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270" windowWidth="13980" windowHeight="10155" tabRatio="976" activeTab="14"/>
  </bookViews>
  <sheets>
    <sheet name="пр.1дох.20" sheetId="1" r:id="rId1"/>
    <sheet name="Пр.1.1. дох.21-22" sheetId="12" state="hidden" r:id="rId2"/>
    <sheet name="пр.2 Рд,пр 20" sheetId="2" r:id="rId3"/>
    <sheet name="пр.3.1. рдпр 21-22" sheetId="13" state="hidden" r:id="rId4"/>
    <sheet name="Пр.3 Рд,пр, ЦС,ВР 20" sheetId="3" r:id="rId5"/>
    <sheet name="пр.4.1.рдпрцс 21-22" sheetId="14" state="hidden" r:id="rId6"/>
    <sheet name="Прил.№5 ведомств.старая" sheetId="10" state="hidden" r:id="rId7"/>
    <sheet name="прил.№6 МП старая" sheetId="11" state="hidden" r:id="rId8"/>
    <sheet name="Пр.4 ведом.20" sheetId="4" r:id="rId9"/>
    <sheet name="пр.5.1.ведом.21-22" sheetId="15" state="hidden" r:id="rId10"/>
    <sheet name="пр.5 МП 20" sheetId="5" r:id="rId11"/>
    <sheet name="пр.6.1.МП 21-22" sheetId="16" state="hidden" r:id="rId12"/>
    <sheet name="пр.6 публ. 20" sheetId="6" r:id="rId13"/>
    <sheet name="пр.8.1.публ.21-22" sheetId="17" state="hidden" r:id="rId14"/>
    <sheet name="пр.7 ист-ки 20" sheetId="7" r:id="rId15"/>
    <sheet name="пр.9.1.ист-ки 21-22 " sheetId="18" state="hidden" r:id="rId16"/>
  </sheets>
  <definedNames>
    <definedName name="_xlnm._FilterDatabase" localSheetId="0" hidden="1">пр.1дох.20!$A$1:$C$176</definedName>
    <definedName name="_xlnm._FilterDatabase" localSheetId="8" hidden="1">'Пр.4 ведом.20'!$A$124:$I$475</definedName>
    <definedName name="_xlnm.Print_Area" localSheetId="1">'Пр.1.1. дох.21-22'!$A$1:$D$150</definedName>
    <definedName name="_xlnm.Print_Area" localSheetId="0">пр.1дох.20!$A$1:$E$176</definedName>
    <definedName name="_xlnm.Print_Area" localSheetId="2">'пр.2 Рд,пр 20'!$A$1:$F$51</definedName>
    <definedName name="_xlnm.Print_Area" localSheetId="4">'Пр.3 Рд,пр, ЦС,ВР 20'!$A$1:$H$1103</definedName>
    <definedName name="_xlnm.Print_Area" localSheetId="8">'Пр.4 ведом.20'!$A$1:$I$1196</definedName>
    <definedName name="_xlnm.Print_Area" localSheetId="10">'пр.5 МП 20'!$A$1:$I$1043</definedName>
    <definedName name="_xlnm.Print_Area" localSheetId="9">'пр.5.1.ведом.21-22'!$A$1:$K$1106</definedName>
    <definedName name="_xlnm.Print_Area" localSheetId="14">'пр.7 ист-ки 20'!$A$1:$E$20</definedName>
    <definedName name="_xlnm.Print_Area" localSheetId="6">'Прил.№5 ведомств.старая'!$A$1:$H$975</definedName>
    <definedName name="_xlnm.Print_Area" localSheetId="7">'прил.№6 МП старая'!$A$1:$G$534</definedName>
  </definedNames>
  <calcPr calcId="145621"/>
</workbook>
</file>

<file path=xl/calcChain.xml><?xml version="1.0" encoding="utf-8"?>
<calcChain xmlns="http://schemas.openxmlformats.org/spreadsheetml/2006/main">
  <c r="D162" i="1" l="1"/>
  <c r="C162" i="1"/>
  <c r="E167" i="1"/>
  <c r="D174" i="1" l="1"/>
  <c r="D136" i="1" l="1"/>
  <c r="D124" i="1"/>
  <c r="D118" i="1"/>
  <c r="C62" i="1"/>
  <c r="D42" i="1"/>
  <c r="D41" i="1" s="1"/>
  <c r="C44" i="1"/>
  <c r="D44" i="1"/>
  <c r="D82" i="1"/>
  <c r="D87" i="1"/>
  <c r="D86" i="1" s="1"/>
  <c r="D85" i="1" s="1"/>
  <c r="D88" i="1"/>
  <c r="D60" i="1"/>
  <c r="D62" i="1"/>
  <c r="D58" i="1"/>
  <c r="D21" i="1"/>
  <c r="D28" i="1"/>
  <c r="C31" i="1"/>
  <c r="D31" i="1"/>
  <c r="E31" i="1" s="1"/>
  <c r="E32" i="1"/>
  <c r="C34" i="1"/>
  <c r="D34" i="1"/>
  <c r="E35" i="1"/>
  <c r="D59" i="1" l="1"/>
  <c r="E34" i="1"/>
  <c r="D12" i="7"/>
  <c r="H40" i="6"/>
  <c r="H39" i="6"/>
  <c r="H38" i="6" s="1"/>
  <c r="H37" i="6" s="1"/>
  <c r="H36" i="6" s="1"/>
  <c r="H35" i="6" s="1"/>
  <c r="H34" i="6"/>
  <c r="H33" i="6" s="1"/>
  <c r="H28" i="6"/>
  <c r="H27" i="6"/>
  <c r="H26" i="6" s="1"/>
  <c r="H25" i="6" s="1"/>
  <c r="H24" i="6" s="1"/>
  <c r="H23" i="6" s="1"/>
  <c r="H22" i="6"/>
  <c r="H21" i="6" s="1"/>
  <c r="H16" i="6"/>
  <c r="H15" i="6" s="1"/>
  <c r="H14" i="6" s="1"/>
  <c r="H13" i="6" s="1"/>
  <c r="H12" i="6" s="1"/>
  <c r="H11" i="6" s="1"/>
  <c r="F19" i="2"/>
  <c r="H32" i="6" l="1"/>
  <c r="H20" i="6"/>
  <c r="H31" i="6" l="1"/>
  <c r="H19" i="6"/>
  <c r="E173" i="1"/>
  <c r="E172" i="1"/>
  <c r="E159" i="1"/>
  <c r="E157" i="1"/>
  <c r="E155" i="1"/>
  <c r="E153" i="1"/>
  <c r="E152" i="1"/>
  <c r="E151" i="1"/>
  <c r="E150" i="1"/>
  <c r="E149" i="1"/>
  <c r="E148" i="1"/>
  <c r="E147" i="1"/>
  <c r="E146" i="1"/>
  <c r="E145" i="1"/>
  <c r="E144" i="1"/>
  <c r="E143" i="1"/>
  <c r="E141" i="1"/>
  <c r="E140" i="1"/>
  <c r="E139" i="1"/>
  <c r="E138" i="1"/>
  <c r="E137" i="1"/>
  <c r="E132" i="1"/>
  <c r="E131" i="1"/>
  <c r="E130" i="1"/>
  <c r="E128" i="1"/>
  <c r="E126" i="1"/>
  <c r="E125" i="1"/>
  <c r="E118" i="1"/>
  <c r="E117" i="1"/>
  <c r="E116" i="1"/>
  <c r="E113" i="1"/>
  <c r="E111" i="1"/>
  <c r="E109" i="1"/>
  <c r="E107" i="1"/>
  <c r="E105" i="1"/>
  <c r="E103" i="1"/>
  <c r="E101" i="1"/>
  <c r="E98" i="1"/>
  <c r="E96" i="1"/>
  <c r="E79" i="1"/>
  <c r="E76" i="1"/>
  <c r="E74" i="1"/>
  <c r="E72" i="1"/>
  <c r="E51" i="1"/>
  <c r="E49" i="1"/>
  <c r="E43" i="1"/>
  <c r="E40" i="1"/>
  <c r="E38" i="1"/>
  <c r="E29" i="1"/>
  <c r="E27" i="1"/>
  <c r="E21" i="1"/>
  <c r="E20" i="1"/>
  <c r="E19" i="1"/>
  <c r="E16" i="1"/>
  <c r="E15" i="1"/>
  <c r="E14" i="1"/>
  <c r="D121" i="1"/>
  <c r="D115" i="1" s="1"/>
  <c r="D170" i="1"/>
  <c r="D169" i="1" s="1"/>
  <c r="D168" i="1" s="1"/>
  <c r="D166" i="1"/>
  <c r="D165" i="1"/>
  <c r="D161" i="1" s="1"/>
  <c r="D160" i="1" s="1"/>
  <c r="D158" i="1"/>
  <c r="D156" i="1"/>
  <c r="D154" i="1"/>
  <c r="D142" i="1"/>
  <c r="D135" i="1" s="1"/>
  <c r="D134" i="1" s="1"/>
  <c r="D112" i="1"/>
  <c r="D110" i="1"/>
  <c r="D108" i="1"/>
  <c r="D106" i="1"/>
  <c r="D104" i="1"/>
  <c r="D102" i="1"/>
  <c r="D100" i="1"/>
  <c r="D97" i="1"/>
  <c r="D95" i="1"/>
  <c r="D94" i="1" s="1"/>
  <c r="D78" i="1"/>
  <c r="D77" i="1" s="1"/>
  <c r="D75" i="1"/>
  <c r="D73" i="1"/>
  <c r="D71" i="1"/>
  <c r="D70" i="1" s="1"/>
  <c r="D69" i="1" s="1"/>
  <c r="D67" i="1"/>
  <c r="D65" i="1"/>
  <c r="D56" i="1"/>
  <c r="D53" i="1" s="1"/>
  <c r="D52" i="1" s="1"/>
  <c r="D50" i="1"/>
  <c r="D48" i="1"/>
  <c r="D39" i="1"/>
  <c r="D37" i="1"/>
  <c r="D26" i="1"/>
  <c r="D24" i="1"/>
  <c r="D18" i="1"/>
  <c r="D17" i="1" s="1"/>
  <c r="D12" i="1"/>
  <c r="D11" i="1" s="1"/>
  <c r="G1042" i="3"/>
  <c r="H1042" i="3" s="1"/>
  <c r="G1039" i="3"/>
  <c r="H1039" i="3" s="1"/>
  <c r="G572" i="3"/>
  <c r="H572" i="3" s="1"/>
  <c r="E18" i="2"/>
  <c r="H197" i="3"/>
  <c r="H185" i="3"/>
  <c r="H18" i="6" l="1"/>
  <c r="D99" i="1"/>
  <c r="H30" i="6"/>
  <c r="D47" i="1"/>
  <c r="D46" i="1" s="1"/>
  <c r="D133" i="1"/>
  <c r="D36" i="1"/>
  <c r="D33" i="1" s="1"/>
  <c r="D93" i="1"/>
  <c r="D64" i="1"/>
  <c r="D23" i="1"/>
  <c r="D92" i="1" l="1"/>
  <c r="D91" i="1" s="1"/>
  <c r="H17" i="6"/>
  <c r="H29" i="6"/>
  <c r="D22" i="1"/>
  <c r="D10" i="1" s="1"/>
  <c r="D114" i="1"/>
  <c r="G38" i="4"/>
  <c r="G34" i="4"/>
  <c r="H41" i="6" l="1"/>
  <c r="D176" i="1"/>
  <c r="D22" i="7" s="1"/>
  <c r="E54" i="2" l="1"/>
  <c r="H1033" i="5" l="1"/>
  <c r="H1032" i="5" s="1"/>
  <c r="H1031" i="5" s="1"/>
  <c r="H1030" i="5" s="1"/>
  <c r="H1025" i="5"/>
  <c r="H1024" i="5" s="1"/>
  <c r="H1023" i="5" s="1"/>
  <c r="H1001" i="5"/>
  <c r="H994" i="5"/>
  <c r="H993" i="5" s="1"/>
  <c r="H992" i="5" s="1"/>
  <c r="H995" i="5" s="1"/>
  <c r="H988" i="5"/>
  <c r="H987" i="5" s="1"/>
  <c r="H982" i="5"/>
  <c r="H976" i="5"/>
  <c r="H977" i="5" s="1"/>
  <c r="H972" i="5"/>
  <c r="H971" i="5" s="1"/>
  <c r="H967" i="5"/>
  <c r="H962" i="5"/>
  <c r="H963" i="5" s="1"/>
  <c r="H955" i="5"/>
  <c r="H951" i="5"/>
  <c r="H943" i="5"/>
  <c r="H939" i="5"/>
  <c r="H935" i="5"/>
  <c r="H931" i="5"/>
  <c r="H927" i="5"/>
  <c r="H923" i="5"/>
  <c r="H919" i="5"/>
  <c r="H916" i="5"/>
  <c r="H847" i="5"/>
  <c r="H828" i="5"/>
  <c r="H817" i="5"/>
  <c r="H813" i="5"/>
  <c r="H805" i="5"/>
  <c r="H795" i="5"/>
  <c r="H791" i="5"/>
  <c r="H782" i="5"/>
  <c r="H781" i="5" s="1"/>
  <c r="H780" i="5" s="1"/>
  <c r="H779" i="5" s="1"/>
  <c r="H778" i="5" s="1"/>
  <c r="H776" i="5"/>
  <c r="H770" i="5"/>
  <c r="H769" i="5" s="1"/>
  <c r="H765" i="5"/>
  <c r="H760" i="5"/>
  <c r="H759" i="5" s="1"/>
  <c r="H751" i="5"/>
  <c r="H747" i="5"/>
  <c r="H743" i="5"/>
  <c r="H739" i="5"/>
  <c r="H732" i="5"/>
  <c r="H733" i="5" s="1"/>
  <c r="H722" i="5"/>
  <c r="H721" i="5" s="1"/>
  <c r="H715" i="5"/>
  <c r="H714" i="5" s="1"/>
  <c r="H708" i="5"/>
  <c r="H705" i="5"/>
  <c r="H706" i="5" s="1"/>
  <c r="H702" i="5"/>
  <c r="H694" i="5"/>
  <c r="H690" i="5"/>
  <c r="H686" i="5"/>
  <c r="H685" i="5" s="1"/>
  <c r="H684" i="5" s="1"/>
  <c r="H687" i="5" s="1"/>
  <c r="H679" i="5"/>
  <c r="H678" i="5" s="1"/>
  <c r="H675" i="5"/>
  <c r="H668" i="5"/>
  <c r="H661" i="5"/>
  <c r="H662" i="5" s="1"/>
  <c r="H654" i="5"/>
  <c r="H651" i="5"/>
  <c r="H652" i="5" s="1"/>
  <c r="H648" i="5"/>
  <c r="H640" i="5"/>
  <c r="H639" i="5" s="1"/>
  <c r="H638" i="5" s="1"/>
  <c r="H605" i="5"/>
  <c r="H602" i="5"/>
  <c r="H599" i="5"/>
  <c r="H590" i="5"/>
  <c r="H587" i="5"/>
  <c r="H579" i="5"/>
  <c r="H578" i="5" s="1"/>
  <c r="H575" i="5"/>
  <c r="H574" i="5" s="1"/>
  <c r="H573" i="5" s="1"/>
  <c r="H576" i="5" s="1"/>
  <c r="H568" i="5"/>
  <c r="H567" i="5" s="1"/>
  <c r="H566" i="5" s="1"/>
  <c r="H565" i="5" s="1"/>
  <c r="H561" i="5"/>
  <c r="H562" i="5" s="1"/>
  <c r="H554" i="5"/>
  <c r="H550" i="5"/>
  <c r="H543" i="5"/>
  <c r="H539" i="5"/>
  <c r="H540" i="5" s="1"/>
  <c r="H535" i="5"/>
  <c r="H534" i="5" s="1"/>
  <c r="H528" i="5"/>
  <c r="H527" i="5" s="1"/>
  <c r="H526" i="5" s="1"/>
  <c r="H529" i="5" s="1"/>
  <c r="H524" i="5"/>
  <c r="H523" i="5" s="1"/>
  <c r="H522" i="5" s="1"/>
  <c r="H525" i="5" s="1"/>
  <c r="H520" i="5"/>
  <c r="H511" i="5"/>
  <c r="H449" i="5"/>
  <c r="H450" i="5" s="1"/>
  <c r="H441" i="5"/>
  <c r="H442" i="5" s="1"/>
  <c r="H437" i="5"/>
  <c r="H436" i="5" s="1"/>
  <c r="H430" i="5"/>
  <c r="H422" i="5"/>
  <c r="H421" i="5" s="1"/>
  <c r="H420" i="5" s="1"/>
  <c r="H423" i="5" s="1"/>
  <c r="H418" i="5"/>
  <c r="H417" i="5" s="1"/>
  <c r="H416" i="5" s="1"/>
  <c r="H415" i="5" s="1"/>
  <c r="H411" i="5"/>
  <c r="H412" i="5" s="1"/>
  <c r="H407" i="5"/>
  <c r="H406" i="5" s="1"/>
  <c r="H400" i="5"/>
  <c r="H396" i="5"/>
  <c r="H389" i="5"/>
  <c r="H385" i="5"/>
  <c r="H384" i="5" s="1"/>
  <c r="H383" i="5" s="1"/>
  <c r="H379" i="5"/>
  <c r="H378" i="5" s="1"/>
  <c r="H367" i="5"/>
  <c r="H363" i="5"/>
  <c r="H362" i="5" s="1"/>
  <c r="H345" i="5"/>
  <c r="H344" i="5" s="1"/>
  <c r="H343" i="5" s="1"/>
  <c r="H341" i="5"/>
  <c r="H334" i="5"/>
  <c r="H330" i="5"/>
  <c r="H326" i="5"/>
  <c r="H322" i="5"/>
  <c r="H314" i="5"/>
  <c r="H313" i="5" s="1"/>
  <c r="H310" i="5"/>
  <c r="H309" i="5" s="1"/>
  <c r="H299" i="5"/>
  <c r="H292" i="5"/>
  <c r="H288" i="5"/>
  <c r="H284" i="5"/>
  <c r="H277" i="5"/>
  <c r="H278" i="5" s="1"/>
  <c r="H273" i="5"/>
  <c r="H272" i="5" s="1"/>
  <c r="H269" i="5"/>
  <c r="H270" i="5" s="1"/>
  <c r="H257" i="5"/>
  <c r="H256" i="5" s="1"/>
  <c r="H255" i="5" s="1"/>
  <c r="H253" i="5"/>
  <c r="H249" i="5"/>
  <c r="H248" i="5" s="1"/>
  <c r="H224" i="5"/>
  <c r="H223" i="5" s="1"/>
  <c r="H222" i="5" s="1"/>
  <c r="H225" i="5" s="1"/>
  <c r="H220" i="5"/>
  <c r="H219" i="5" s="1"/>
  <c r="H199" i="5"/>
  <c r="H198" i="5" s="1"/>
  <c r="H197" i="5" s="1"/>
  <c r="H200" i="5" s="1"/>
  <c r="H149" i="5"/>
  <c r="H108" i="5"/>
  <c r="H107" i="5" s="1"/>
  <c r="H106" i="5" s="1"/>
  <c r="H105" i="5" s="1"/>
  <c r="H104" i="5" s="1"/>
  <c r="H100" i="5"/>
  <c r="H99" i="5" s="1"/>
  <c r="H98" i="5" s="1"/>
  <c r="H97" i="5" s="1"/>
  <c r="H96" i="5" s="1"/>
  <c r="H93" i="5"/>
  <c r="H74" i="5"/>
  <c r="H73" i="5" s="1"/>
  <c r="H66" i="5"/>
  <c r="H65" i="5" s="1"/>
  <c r="H28" i="5"/>
  <c r="H25" i="5"/>
  <c r="H26" i="5" s="1"/>
  <c r="H23" i="5"/>
  <c r="H22" i="5" s="1"/>
  <c r="H16" i="5"/>
  <c r="H17" i="5" s="1"/>
  <c r="H24" i="5" l="1"/>
  <c r="H440" i="5"/>
  <c r="H439" i="5" s="1"/>
  <c r="H783" i="5"/>
  <c r="H716" i="5"/>
  <c r="H536" i="5"/>
  <c r="H989" i="5"/>
  <c r="H268" i="5"/>
  <c r="H267" i="5" s="1"/>
  <c r="H410" i="5"/>
  <c r="H409" i="5" s="1"/>
  <c r="H448" i="5"/>
  <c r="H447" i="5" s="1"/>
  <c r="H650" i="5"/>
  <c r="H660" i="5"/>
  <c r="H659" i="5" s="1"/>
  <c r="H771" i="5"/>
  <c r="H829" i="5"/>
  <c r="H150" i="5"/>
  <c r="H148" i="5"/>
  <c r="H361" i="5"/>
  <c r="H342" i="5"/>
  <c r="H429" i="5"/>
  <c r="H600" i="5"/>
  <c r="H598" i="5"/>
  <c r="H674" i="5"/>
  <c r="H676" i="5"/>
  <c r="H915" i="5"/>
  <c r="H252" i="5"/>
  <c r="H251" i="5" s="1"/>
  <c r="H254" i="5"/>
  <c r="H586" i="5"/>
  <c r="H588" i="5"/>
  <c r="H738" i="5"/>
  <c r="H92" i="5"/>
  <c r="H91" i="5" s="1"/>
  <c r="H298" i="5"/>
  <c r="H300" i="5"/>
  <c r="H368" i="5"/>
  <c r="H366" i="5"/>
  <c r="H29" i="5"/>
  <c r="H247" i="5"/>
  <c r="H250" i="5" s="1"/>
  <c r="H542" i="5"/>
  <c r="H544" i="5"/>
  <c r="H538" i="5"/>
  <c r="H560" i="5"/>
  <c r="H983" i="5"/>
  <c r="H364" i="5"/>
  <c r="H731" i="5"/>
  <c r="H961" i="5"/>
  <c r="H960" i="5" s="1"/>
  <c r="H975" i="5"/>
  <c r="H1029" i="5"/>
  <c r="H512" i="5"/>
  <c r="H758" i="5"/>
  <c r="H827" i="5"/>
  <c r="H986" i="5"/>
  <c r="H577" i="5"/>
  <c r="H564" i="5"/>
  <c r="H541" i="5"/>
  <c r="H533" i="5"/>
  <c r="H970" i="5"/>
  <c r="H973" i="5"/>
  <c r="H435" i="5"/>
  <c r="H258" i="5"/>
  <c r="H768" i="5"/>
  <c r="H405" i="5"/>
  <c r="H408" i="5"/>
  <c r="H390" i="5"/>
  <c r="H388" i="5"/>
  <c r="H386" i="5"/>
  <c r="H377" i="5"/>
  <c r="H340" i="5"/>
  <c r="H346" i="5"/>
  <c r="H218" i="5"/>
  <c r="H308" i="5"/>
  <c r="H312" i="5"/>
  <c r="H276" i="5"/>
  <c r="H271" i="5"/>
  <c r="H274" i="5"/>
  <c r="H917" i="5"/>
  <c r="H991" i="5"/>
  <c r="H72" i="5"/>
  <c r="H64" i="5"/>
  <c r="H981" i="5"/>
  <c r="H775" i="5"/>
  <c r="H777" i="5"/>
  <c r="H677" i="5"/>
  <c r="H680" i="5"/>
  <c r="H604" i="5"/>
  <c r="H606" i="5"/>
  <c r="H723" i="5"/>
  <c r="H713" i="5"/>
  <c r="H704" i="5"/>
  <c r="H510" i="5"/>
  <c r="H1022" i="5"/>
  <c r="H95" i="5"/>
  <c r="H94" i="5"/>
  <c r="H103" i="5"/>
  <c r="H102" i="5"/>
  <c r="H285" i="5"/>
  <c r="H283" i="5"/>
  <c r="H414" i="5"/>
  <c r="H551" i="5"/>
  <c r="H549" i="5"/>
  <c r="H591" i="5"/>
  <c r="H589" i="5"/>
  <c r="H637" i="5"/>
  <c r="H635" i="5"/>
  <c r="H555" i="5"/>
  <c r="H553" i="5"/>
  <c r="H818" i="5"/>
  <c r="H816" i="5"/>
  <c r="H940" i="5"/>
  <c r="H938" i="5"/>
  <c r="H944" i="5"/>
  <c r="H942" i="5"/>
  <c r="H289" i="5"/>
  <c r="H287" i="5"/>
  <c r="H521" i="5"/>
  <c r="H519" i="5"/>
  <c r="H15" i="5"/>
  <c r="H14" i="5" s="1"/>
  <c r="H27" i="5"/>
  <c r="H691" i="5"/>
  <c r="H689" i="5"/>
  <c r="H293" i="5"/>
  <c r="H291" i="5"/>
  <c r="H323" i="5"/>
  <c r="H321" i="5"/>
  <c r="H327" i="5"/>
  <c r="H325" i="5"/>
  <c r="H331" i="5"/>
  <c r="H329" i="5"/>
  <c r="H335" i="5"/>
  <c r="H333" i="5"/>
  <c r="H397" i="5"/>
  <c r="H395" i="5"/>
  <c r="H401" i="5"/>
  <c r="H399" i="5"/>
  <c r="H603" i="5"/>
  <c r="H601" i="5"/>
  <c r="H695" i="5"/>
  <c r="H693" i="5"/>
  <c r="H792" i="5"/>
  <c r="H790" i="5"/>
  <c r="H848" i="5"/>
  <c r="H846" i="5"/>
  <c r="H952" i="5"/>
  <c r="H950" i="5"/>
  <c r="H649" i="5"/>
  <c r="H647" i="5"/>
  <c r="H655" i="5"/>
  <c r="H653" i="5"/>
  <c r="H669" i="5"/>
  <c r="H667" i="5"/>
  <c r="H703" i="5"/>
  <c r="H701" i="5"/>
  <c r="H709" i="5"/>
  <c r="H707" i="5"/>
  <c r="H744" i="5"/>
  <c r="H742" i="5"/>
  <c r="H752" i="5"/>
  <c r="H750" i="5"/>
  <c r="H932" i="5"/>
  <c r="H930" i="5"/>
  <c r="H1002" i="5"/>
  <c r="H1000" i="5"/>
  <c r="H748" i="5"/>
  <c r="H746" i="5"/>
  <c r="H766" i="5"/>
  <c r="H764" i="5"/>
  <c r="H796" i="5"/>
  <c r="H794" i="5"/>
  <c r="H806" i="5"/>
  <c r="H804" i="5"/>
  <c r="H814" i="5"/>
  <c r="H812" i="5"/>
  <c r="H924" i="5"/>
  <c r="H922" i="5"/>
  <c r="H928" i="5"/>
  <c r="H926" i="5"/>
  <c r="H968" i="5"/>
  <c r="H966" i="5"/>
  <c r="H920" i="5"/>
  <c r="H918" i="5"/>
  <c r="H936" i="5"/>
  <c r="H934" i="5"/>
  <c r="H956" i="5"/>
  <c r="H954" i="5"/>
  <c r="I1192" i="4"/>
  <c r="I1184" i="4"/>
  <c r="I1181" i="4"/>
  <c r="I1144" i="4"/>
  <c r="I1130" i="4"/>
  <c r="I1127" i="4"/>
  <c r="I1125" i="4"/>
  <c r="I1117" i="4"/>
  <c r="I1115" i="4"/>
  <c r="I1102" i="4"/>
  <c r="I1099" i="4"/>
  <c r="I1095" i="4"/>
  <c r="I1092" i="4"/>
  <c r="I1075" i="4"/>
  <c r="I1064" i="4"/>
  <c r="I1051" i="4"/>
  <c r="I1047" i="4"/>
  <c r="I1043" i="4"/>
  <c r="I1039" i="4"/>
  <c r="I1035" i="4"/>
  <c r="I1027" i="4"/>
  <c r="I1022" i="4"/>
  <c r="I1019" i="4"/>
  <c r="I1017" i="4"/>
  <c r="I1014" i="4"/>
  <c r="I1005" i="4"/>
  <c r="I1000" i="4"/>
  <c r="I999" i="4"/>
  <c r="I997" i="4"/>
  <c r="I989" i="4"/>
  <c r="I986" i="4"/>
  <c r="I983" i="4"/>
  <c r="I980" i="4"/>
  <c r="I971" i="4"/>
  <c r="I965" i="4"/>
  <c r="I961" i="4"/>
  <c r="I957" i="4"/>
  <c r="I16" i="5" s="1"/>
  <c r="I17" i="5" s="1"/>
  <c r="I951" i="4"/>
  <c r="I944" i="4"/>
  <c r="I937" i="4"/>
  <c r="I883" i="4"/>
  <c r="I878" i="4"/>
  <c r="I875" i="4"/>
  <c r="I867" i="4"/>
  <c r="I864" i="4"/>
  <c r="I857" i="4"/>
  <c r="I853" i="4"/>
  <c r="I850" i="4"/>
  <c r="I847" i="4"/>
  <c r="I831" i="4"/>
  <c r="I825" i="4"/>
  <c r="I817" i="4"/>
  <c r="I801" i="4"/>
  <c r="I780" i="4"/>
  <c r="I772" i="4"/>
  <c r="I768" i="4"/>
  <c r="I754" i="4"/>
  <c r="I738" i="4"/>
  <c r="I733" i="4"/>
  <c r="I726" i="4"/>
  <c r="I723" i="4"/>
  <c r="I719" i="4"/>
  <c r="I716" i="4"/>
  <c r="I712" i="4"/>
  <c r="I709" i="4"/>
  <c r="I705" i="4"/>
  <c r="I695" i="4"/>
  <c r="I688" i="4"/>
  <c r="I681" i="4"/>
  <c r="I668" i="4"/>
  <c r="I660" i="4"/>
  <c r="I651" i="4"/>
  <c r="I648" i="4"/>
  <c r="I645" i="4"/>
  <c r="I623" i="4"/>
  <c r="I618" i="4"/>
  <c r="I615" i="4"/>
  <c r="I611" i="4"/>
  <c r="I608" i="4"/>
  <c r="I604" i="4"/>
  <c r="I598" i="4"/>
  <c r="I591" i="4"/>
  <c r="I580" i="4"/>
  <c r="I571" i="4"/>
  <c r="I556" i="4"/>
  <c r="I553" i="4"/>
  <c r="I545" i="4"/>
  <c r="I515" i="4"/>
  <c r="I511" i="4"/>
  <c r="I491" i="4"/>
  <c r="I488" i="4"/>
  <c r="I486" i="4"/>
  <c r="I475" i="4"/>
  <c r="I470" i="4"/>
  <c r="I464" i="4"/>
  <c r="I459" i="4"/>
  <c r="I440" i="4"/>
  <c r="I428" i="4"/>
  <c r="I425" i="4"/>
  <c r="I412" i="4"/>
  <c r="I404" i="4"/>
  <c r="I401" i="4"/>
  <c r="I397" i="4"/>
  <c r="I394" i="4"/>
  <c r="I390" i="4"/>
  <c r="I386" i="4"/>
  <c r="I366" i="4"/>
  <c r="I362" i="4"/>
  <c r="I340" i="4"/>
  <c r="I330" i="4"/>
  <c r="I309" i="4"/>
  <c r="I306" i="4"/>
  <c r="I302" i="4"/>
  <c r="I292" i="4"/>
  <c r="I276" i="4"/>
  <c r="I272" i="4"/>
  <c r="I269" i="4"/>
  <c r="I262" i="4"/>
  <c r="I258" i="4"/>
  <c r="I255" i="4"/>
  <c r="I247" i="4"/>
  <c r="I242" i="4"/>
  <c r="I239" i="4"/>
  <c r="I236" i="4"/>
  <c r="I233" i="4"/>
  <c r="I230" i="4"/>
  <c r="I225" i="4"/>
  <c r="I205" i="4"/>
  <c r="I192" i="4"/>
  <c r="I189" i="4"/>
  <c r="I184" i="4"/>
  <c r="I182" i="4"/>
  <c r="I172" i="4"/>
  <c r="I162" i="4"/>
  <c r="I159" i="4"/>
  <c r="I143" i="4"/>
  <c r="I136" i="4"/>
  <c r="I131" i="4"/>
  <c r="I126" i="4"/>
  <c r="I122" i="4"/>
  <c r="I117" i="4"/>
  <c r="I106" i="4"/>
  <c r="I95" i="4"/>
  <c r="I86" i="4"/>
  <c r="I83" i="4"/>
  <c r="I77" i="4"/>
  <c r="I73" i="4"/>
  <c r="I53" i="4"/>
  <c r="I48" i="4"/>
  <c r="I44" i="4"/>
  <c r="I38" i="4"/>
  <c r="I34" i="4"/>
  <c r="I24" i="4"/>
  <c r="I21" i="4"/>
  <c r="G1102" i="3"/>
  <c r="G1097" i="3"/>
  <c r="G1094" i="3"/>
  <c r="G1093" i="3" s="1"/>
  <c r="G1092" i="3"/>
  <c r="G1090" i="3"/>
  <c r="G1089" i="3" s="1"/>
  <c r="G1088" i="3"/>
  <c r="G1081" i="3"/>
  <c r="G1079" i="3"/>
  <c r="G1073" i="3"/>
  <c r="G1070" i="3"/>
  <c r="G1068" i="3"/>
  <c r="G1066" i="3"/>
  <c r="G1061" i="3"/>
  <c r="G1058" i="3"/>
  <c r="G1052" i="3"/>
  <c r="G1047" i="3"/>
  <c r="G1041" i="3"/>
  <c r="G1038" i="3"/>
  <c r="G1035" i="3"/>
  <c r="G1031" i="3"/>
  <c r="G1028" i="3"/>
  <c r="G1027" i="3" s="1"/>
  <c r="G1024" i="3"/>
  <c r="G1022" i="3"/>
  <c r="G1021" i="3"/>
  <c r="G1019" i="3"/>
  <c r="G1017" i="3"/>
  <c r="G1016" i="3"/>
  <c r="G1015" i="3" s="1"/>
  <c r="G1014" i="3"/>
  <c r="G1013" i="3"/>
  <c r="G1011" i="3"/>
  <c r="G1010" i="3"/>
  <c r="G1007" i="3"/>
  <c r="G1004" i="3"/>
  <c r="G1001" i="3"/>
  <c r="G995" i="3"/>
  <c r="G989" i="3"/>
  <c r="G984" i="3"/>
  <c r="G982" i="3"/>
  <c r="G981" i="3" s="1"/>
  <c r="G976" i="3"/>
  <c r="G975" i="3" s="1"/>
  <c r="G971" i="3"/>
  <c r="G966" i="3"/>
  <c r="G961" i="3"/>
  <c r="G959" i="3"/>
  <c r="G955" i="3"/>
  <c r="G950" i="3"/>
  <c r="G945" i="3"/>
  <c r="G938" i="3"/>
  <c r="G931" i="3"/>
  <c r="G925" i="3"/>
  <c r="G922" i="3"/>
  <c r="G920" i="3"/>
  <c r="G918" i="3"/>
  <c r="G913" i="3"/>
  <c r="G912" i="3" s="1"/>
  <c r="G910" i="3"/>
  <c r="G908" i="3"/>
  <c r="G902" i="3"/>
  <c r="G897" i="3"/>
  <c r="G896" i="3" s="1"/>
  <c r="G892" i="3"/>
  <c r="G889" i="3"/>
  <c r="G888" i="3" s="1"/>
  <c r="G886" i="3"/>
  <c r="G882" i="3"/>
  <c r="G879" i="3"/>
  <c r="G878" i="3" s="1"/>
  <c r="G875" i="3"/>
  <c r="G871" i="3"/>
  <c r="G867" i="3"/>
  <c r="G866" i="3"/>
  <c r="G865" i="3"/>
  <c r="G864" i="3"/>
  <c r="G863" i="3"/>
  <c r="G862" i="3"/>
  <c r="G858" i="3"/>
  <c r="G854" i="3"/>
  <c r="G851" i="3"/>
  <c r="G847" i="3"/>
  <c r="G843" i="3"/>
  <c r="G841" i="3"/>
  <c r="G837" i="3"/>
  <c r="G835" i="3"/>
  <c r="G833" i="3"/>
  <c r="G825" i="3"/>
  <c r="G822" i="3"/>
  <c r="G821" i="3" s="1"/>
  <c r="G820" i="3"/>
  <c r="G818" i="3"/>
  <c r="G817" i="3" s="1"/>
  <c r="G814" i="3"/>
  <c r="G809" i="3"/>
  <c r="G806" i="3"/>
  <c r="G805" i="3" s="1"/>
  <c r="G804" i="3"/>
  <c r="G803" i="3" s="1"/>
  <c r="G798" i="3"/>
  <c r="G797" i="3" s="1"/>
  <c r="G795" i="3"/>
  <c r="G789" i="3"/>
  <c r="G785" i="3"/>
  <c r="G783" i="3"/>
  <c r="G779" i="3"/>
  <c r="G769" i="3"/>
  <c r="G766" i="3"/>
  <c r="G761" i="3"/>
  <c r="G758" i="3"/>
  <c r="G757" i="3" s="1"/>
  <c r="G755" i="3"/>
  <c r="G752" i="3"/>
  <c r="G748" i="3"/>
  <c r="G747" i="3" s="1"/>
  <c r="G742" i="3"/>
  <c r="G738" i="3"/>
  <c r="G737" i="3" s="1"/>
  <c r="G734" i="3"/>
  <c r="G732" i="3"/>
  <c r="G730" i="3"/>
  <c r="G724" i="3"/>
  <c r="G721" i="3"/>
  <c r="G717" i="3"/>
  <c r="G712" i="3"/>
  <c r="G709" i="3"/>
  <c r="G708" i="3" s="1"/>
  <c r="G706" i="3"/>
  <c r="G703" i="3"/>
  <c r="G699" i="3"/>
  <c r="G698" i="3"/>
  <c r="G692" i="3"/>
  <c r="G691" i="3" s="1"/>
  <c r="G687" i="3"/>
  <c r="G686" i="3" s="1"/>
  <c r="G682" i="3"/>
  <c r="G681" i="3" s="1"/>
  <c r="G679" i="3"/>
  <c r="G675" i="3"/>
  <c r="G672" i="3"/>
  <c r="G668" i="3"/>
  <c r="G667" i="3" s="1"/>
  <c r="G666" i="3" s="1"/>
  <c r="G665" i="3"/>
  <c r="G661" i="3"/>
  <c r="G658" i="3"/>
  <c r="G654" i="3"/>
  <c r="G651" i="3"/>
  <c r="G647" i="3"/>
  <c r="G644" i="3"/>
  <c r="G640" i="3"/>
  <c r="G637" i="3"/>
  <c r="G633" i="3"/>
  <c r="G630" i="3"/>
  <c r="G626" i="3"/>
  <c r="G623" i="3"/>
  <c r="G620" i="3"/>
  <c r="G617" i="3"/>
  <c r="G616" i="3" s="1"/>
  <c r="G612" i="3"/>
  <c r="G609" i="3"/>
  <c r="G608" i="3" s="1"/>
  <c r="G606" i="3"/>
  <c r="G603" i="3"/>
  <c r="G600" i="3"/>
  <c r="G599" i="3" s="1"/>
  <c r="G597" i="3"/>
  <c r="G594" i="3"/>
  <c r="G590" i="3"/>
  <c r="G587" i="3"/>
  <c r="G584" i="3"/>
  <c r="G583" i="3"/>
  <c r="G582" i="3" s="1"/>
  <c r="G577" i="3"/>
  <c r="G571" i="3"/>
  <c r="G569" i="3"/>
  <c r="G565" i="3"/>
  <c r="G564" i="3" s="1"/>
  <c r="G560" i="3"/>
  <c r="G557" i="3"/>
  <c r="G553" i="3"/>
  <c r="G552" i="3" s="1"/>
  <c r="G550" i="3"/>
  <c r="G547" i="3"/>
  <c r="G543" i="3"/>
  <c r="G542" i="3"/>
  <c r="G540" i="3"/>
  <c r="G537" i="3"/>
  <c r="G532" i="3"/>
  <c r="G529" i="3"/>
  <c r="G526" i="3"/>
  <c r="G523" i="3"/>
  <c r="G520" i="3"/>
  <c r="G516" i="3"/>
  <c r="G513" i="3"/>
  <c r="G505" i="3"/>
  <c r="G504" i="3" s="1"/>
  <c r="G500" i="3"/>
  <c r="G497" i="3"/>
  <c r="G495" i="3"/>
  <c r="G494" i="3" s="1"/>
  <c r="G491" i="3"/>
  <c r="G490" i="3" s="1"/>
  <c r="G488" i="3"/>
  <c r="G486" i="3"/>
  <c r="G481" i="3"/>
  <c r="G478" i="3"/>
  <c r="G476" i="3"/>
  <c r="G474" i="3"/>
  <c r="G463" i="3"/>
  <c r="G460" i="3"/>
  <c r="G456" i="3"/>
  <c r="G451" i="3"/>
  <c r="G448" i="3"/>
  <c r="G445" i="3"/>
  <c r="G440" i="3"/>
  <c r="G436" i="3"/>
  <c r="G434" i="3"/>
  <c r="G431" i="3"/>
  <c r="G430" i="3"/>
  <c r="G425" i="3"/>
  <c r="G423" i="3"/>
  <c r="G412" i="3"/>
  <c r="G408" i="3"/>
  <c r="G404" i="3"/>
  <c r="G400" i="3"/>
  <c r="G396" i="3"/>
  <c r="G392" i="3"/>
  <c r="G388" i="3"/>
  <c r="G383" i="3"/>
  <c r="G382" i="3" s="1"/>
  <c r="G380" i="3"/>
  <c r="G378" i="3"/>
  <c r="G375" i="3"/>
  <c r="G372" i="3"/>
  <c r="G370" i="3"/>
  <c r="G366" i="3"/>
  <c r="G364" i="3"/>
  <c r="G361" i="3"/>
  <c r="G360" i="3"/>
  <c r="G358" i="3"/>
  <c r="G356" i="3"/>
  <c r="G350" i="3"/>
  <c r="G347" i="3"/>
  <c r="G344" i="3"/>
  <c r="G341" i="3"/>
  <c r="G340" i="3" s="1"/>
  <c r="G339" i="3"/>
  <c r="G332" i="3"/>
  <c r="G329" i="3"/>
  <c r="G324" i="3"/>
  <c r="G320" i="3"/>
  <c r="G317" i="3"/>
  <c r="G313" i="3"/>
  <c r="G312" i="3" s="1"/>
  <c r="G310" i="3"/>
  <c r="G306" i="3"/>
  <c r="G303" i="3"/>
  <c r="G302" i="3" s="1"/>
  <c r="G297" i="3"/>
  <c r="G292" i="3"/>
  <c r="G290" i="3"/>
  <c r="G284" i="3"/>
  <c r="G282" i="3"/>
  <c r="G280" i="3"/>
  <c r="G276" i="3"/>
  <c r="G270" i="3"/>
  <c r="G264" i="3"/>
  <c r="G260" i="3"/>
  <c r="G257" i="3"/>
  <c r="G250" i="3"/>
  <c r="G247" i="3"/>
  <c r="G246" i="3"/>
  <c r="G245" i="3"/>
  <c r="G244" i="3"/>
  <c r="G241" i="3"/>
  <c r="G238" i="3"/>
  <c r="G231" i="3"/>
  <c r="G224" i="3"/>
  <c r="G219" i="3"/>
  <c r="G209" i="3"/>
  <c r="G205" i="3"/>
  <c r="G200" i="3"/>
  <c r="G199" i="3" s="1"/>
  <c r="G196" i="3"/>
  <c r="G194" i="3"/>
  <c r="G191" i="3"/>
  <c r="G188" i="3"/>
  <c r="G184" i="3"/>
  <c r="G182" i="3"/>
  <c r="G177" i="3"/>
  <c r="G174" i="3"/>
  <c r="G168" i="3"/>
  <c r="G165" i="3"/>
  <c r="G163" i="3"/>
  <c r="G159" i="3"/>
  <c r="G153" i="3"/>
  <c r="G149" i="3"/>
  <c r="G147" i="3"/>
  <c r="G145" i="3"/>
  <c r="G142" i="3"/>
  <c r="G136" i="3"/>
  <c r="G135" i="3" s="1"/>
  <c r="G133" i="3"/>
  <c r="G125" i="3"/>
  <c r="G122" i="3"/>
  <c r="G120" i="3"/>
  <c r="G118" i="3"/>
  <c r="G111" i="3"/>
  <c r="G109" i="3"/>
  <c r="G103" i="3"/>
  <c r="G100" i="3"/>
  <c r="G99" i="3" s="1"/>
  <c r="G96" i="3"/>
  <c r="G94" i="3"/>
  <c r="G90" i="3"/>
  <c r="G85" i="3"/>
  <c r="G82" i="3"/>
  <c r="G81" i="3" s="1"/>
  <c r="G80" i="3"/>
  <c r="G79" i="3" s="1"/>
  <c r="G77" i="3"/>
  <c r="G75" i="3"/>
  <c r="G70" i="3"/>
  <c r="G67" i="3"/>
  <c r="G62" i="3"/>
  <c r="G58" i="3"/>
  <c r="G55" i="3"/>
  <c r="G52" i="3"/>
  <c r="G48" i="3"/>
  <c r="G46" i="3"/>
  <c r="G40" i="3"/>
  <c r="G37" i="3"/>
  <c r="G35" i="3"/>
  <c r="G29" i="3"/>
  <c r="G26" i="3"/>
  <c r="G25" i="3" s="1"/>
  <c r="G18" i="3"/>
  <c r="G16" i="3"/>
  <c r="G15" i="3" s="1"/>
  <c r="H105" i="4"/>
  <c r="H1195" i="4"/>
  <c r="H1191" i="4"/>
  <c r="H1189" i="4"/>
  <c r="H1183" i="4"/>
  <c r="H1180" i="4"/>
  <c r="H1178" i="4"/>
  <c r="H1172" i="4"/>
  <c r="H1171" i="4" s="1"/>
  <c r="H1169" i="4"/>
  <c r="H1168" i="4" s="1"/>
  <c r="H1165" i="4"/>
  <c r="H1161" i="4"/>
  <c r="H1159" i="4"/>
  <c r="H1151" i="4"/>
  <c r="H1150" i="4" s="1"/>
  <c r="H1149" i="4" s="1"/>
  <c r="H1148" i="4" s="1"/>
  <c r="H1143" i="4"/>
  <c r="H1138" i="4"/>
  <c r="H1137" i="4" s="1"/>
  <c r="H1135" i="4"/>
  <c r="H1133" i="4"/>
  <c r="H1129" i="4"/>
  <c r="H1126" i="4"/>
  <c r="H1124" i="4"/>
  <c r="H1119" i="4"/>
  <c r="H1118" i="4" s="1"/>
  <c r="H1116" i="4"/>
  <c r="H1114" i="4"/>
  <c r="H1112" i="4"/>
  <c r="H1107" i="4"/>
  <c r="G468" i="3" s="1"/>
  <c r="H1101" i="4"/>
  <c r="H1098" i="4"/>
  <c r="H1097" i="4"/>
  <c r="H1094" i="4"/>
  <c r="H1091" i="4"/>
  <c r="H1089" i="4"/>
  <c r="H1086" i="4"/>
  <c r="H1083" i="4"/>
  <c r="H1082" i="4" s="1"/>
  <c r="H1078" i="4"/>
  <c r="H1076" i="4"/>
  <c r="G437" i="3" s="1"/>
  <c r="H1072" i="4"/>
  <c r="H1069" i="4"/>
  <c r="H1063" i="4"/>
  <c r="H1061" i="4"/>
  <c r="H1056" i="4"/>
  <c r="H1250" i="4" s="1"/>
  <c r="H1050" i="4"/>
  <c r="H1049" i="4" s="1"/>
  <c r="H1048" i="4" s="1"/>
  <c r="H1046" i="4"/>
  <c r="H1045" i="4"/>
  <c r="H1042" i="4"/>
  <c r="H1041" i="4" s="1"/>
  <c r="H1040" i="4" s="1"/>
  <c r="H1038" i="4"/>
  <c r="H1034" i="4"/>
  <c r="H1033" i="4" s="1"/>
  <c r="H1030" i="4"/>
  <c r="H1029" i="4" s="1"/>
  <c r="H1026" i="4"/>
  <c r="H1025" i="4"/>
  <c r="H1021" i="4"/>
  <c r="H1020" i="4" s="1"/>
  <c r="H1018" i="4"/>
  <c r="H1016" i="4"/>
  <c r="H1013" i="4"/>
  <c r="H1010" i="4"/>
  <c r="H1008" i="4"/>
  <c r="H1004" i="4"/>
  <c r="H1002" i="4"/>
  <c r="H998" i="4"/>
  <c r="H996" i="4"/>
  <c r="H994" i="4"/>
  <c r="H988" i="4"/>
  <c r="H987" i="4" s="1"/>
  <c r="H985" i="4"/>
  <c r="H984" i="4" s="1"/>
  <c r="H982" i="4"/>
  <c r="H981" i="4" s="1"/>
  <c r="H979" i="4"/>
  <c r="H977" i="4"/>
  <c r="H970" i="4"/>
  <c r="H964" i="4"/>
  <c r="H962" i="4"/>
  <c r="H960" i="4"/>
  <c r="H956" i="4"/>
  <c r="H955" i="4" s="1"/>
  <c r="H950" i="4"/>
  <c r="H949" i="4" s="1"/>
  <c r="H948" i="4" s="1"/>
  <c r="H947" i="4" s="1"/>
  <c r="H946" i="4" s="1"/>
  <c r="H943" i="4"/>
  <c r="H936" i="4"/>
  <c r="H935" i="4" s="1"/>
  <c r="H934" i="4" s="1"/>
  <c r="H933" i="4" s="1"/>
  <c r="H931" i="4"/>
  <c r="H929" i="4"/>
  <c r="H927" i="4"/>
  <c r="H924" i="4"/>
  <c r="H923" i="4" s="1"/>
  <c r="H916" i="4"/>
  <c r="H914" i="4"/>
  <c r="H908" i="4"/>
  <c r="H905" i="4"/>
  <c r="H903" i="4"/>
  <c r="H901" i="4"/>
  <c r="H896" i="4"/>
  <c r="H895" i="4" s="1"/>
  <c r="H893" i="4"/>
  <c r="H892" i="4" s="1"/>
  <c r="H887" i="4"/>
  <c r="H886" i="4" s="1"/>
  <c r="H885" i="4" s="1"/>
  <c r="H884" i="4" s="1"/>
  <c r="H882" i="4"/>
  <c r="H877" i="4"/>
  <c r="H876" i="4" s="1"/>
  <c r="H874" i="4"/>
  <c r="H873" i="4" s="1"/>
  <c r="H870" i="4"/>
  <c r="H869" i="4" s="1"/>
  <c r="H868" i="4" s="1"/>
  <c r="H866" i="4"/>
  <c r="H863" i="4"/>
  <c r="H859" i="4"/>
  <c r="H856" i="4"/>
  <c r="H852" i="4"/>
  <c r="H851" i="4" s="1"/>
  <c r="H849" i="4"/>
  <c r="H846" i="4"/>
  <c r="H845" i="4" s="1"/>
  <c r="H842" i="4"/>
  <c r="H839" i="4"/>
  <c r="H836" i="4"/>
  <c r="H835" i="4" s="1"/>
  <c r="H830" i="4"/>
  <c r="H824" i="4"/>
  <c r="H823" i="4" s="1"/>
  <c r="H822" i="4" s="1"/>
  <c r="H821" i="4" s="1"/>
  <c r="H820" i="4" s="1"/>
  <c r="H819" i="4" s="1"/>
  <c r="H816" i="4"/>
  <c r="H813" i="4"/>
  <c r="H811" i="4"/>
  <c r="H809" i="4"/>
  <c r="H805" i="4"/>
  <c r="H804" i="4" s="1"/>
  <c r="H803" i="4"/>
  <c r="H800" i="4"/>
  <c r="H799" i="4" s="1"/>
  <c r="H797" i="4"/>
  <c r="H795" i="4"/>
  <c r="H789" i="4"/>
  <c r="H788" i="4" s="1"/>
  <c r="H786" i="4"/>
  <c r="H779" i="4"/>
  <c r="H774" i="4"/>
  <c r="H773" i="4" s="1"/>
  <c r="H771" i="4"/>
  <c r="H767" i="4"/>
  <c r="H766" i="4" s="1"/>
  <c r="H762" i="4"/>
  <c r="H759" i="4"/>
  <c r="H758" i="4" s="1"/>
  <c r="H756" i="4"/>
  <c r="H755" i="4" s="1"/>
  <c r="H753" i="4"/>
  <c r="H752" i="4" s="1"/>
  <c r="H749" i="4"/>
  <c r="H742" i="4"/>
  <c r="H741" i="4" s="1"/>
  <c r="H740" i="4" s="1"/>
  <c r="H737" i="4"/>
  <c r="H732" i="4"/>
  <c r="H731" i="4" s="1"/>
  <c r="H729" i="4"/>
  <c r="H728" i="4" s="1"/>
  <c r="H727" i="4" s="1"/>
  <c r="H725" i="4"/>
  <c r="H724" i="4" s="1"/>
  <c r="H722" i="4"/>
  <c r="H721" i="4" s="1"/>
  <c r="H718" i="4"/>
  <c r="H715" i="4"/>
  <c r="H711" i="4"/>
  <c r="H710" i="4" s="1"/>
  <c r="H708" i="4"/>
  <c r="H707" i="4" s="1"/>
  <c r="H706" i="4" s="1"/>
  <c r="H704" i="4"/>
  <c r="H701" i="4"/>
  <c r="H697" i="4"/>
  <c r="H694" i="4"/>
  <c r="H693" i="4" s="1"/>
  <c r="H690" i="4"/>
  <c r="H687" i="4"/>
  <c r="H686" i="4" s="1"/>
  <c r="H683" i="4"/>
  <c r="H682" i="4" s="1"/>
  <c r="H680" i="4"/>
  <c r="H679" i="4" s="1"/>
  <c r="H676" i="4"/>
  <c r="H675" i="4" s="1"/>
  <c r="H673" i="4"/>
  <c r="H672" i="4"/>
  <c r="H670" i="4"/>
  <c r="H669" i="4" s="1"/>
  <c r="H667" i="4"/>
  <c r="H662" i="4"/>
  <c r="H661" i="4"/>
  <c r="H659" i="4"/>
  <c r="H658" i="4" s="1"/>
  <c r="H656" i="4"/>
  <c r="H655" i="4" s="1"/>
  <c r="H653" i="4"/>
  <c r="H650" i="4"/>
  <c r="H649" i="4"/>
  <c r="H647" i="4"/>
  <c r="H646" i="4" s="1"/>
  <c r="H644" i="4"/>
  <c r="H643" i="4" s="1"/>
  <c r="H640" i="4"/>
  <c r="H639" i="4" s="1"/>
  <c r="H637" i="4"/>
  <c r="H636" i="4" s="1"/>
  <c r="H634" i="4"/>
  <c r="H633" i="4" s="1"/>
  <c r="H627" i="4"/>
  <c r="H626" i="4" s="1"/>
  <c r="H622" i="4"/>
  <c r="H617" i="4"/>
  <c r="H616" i="4" s="1"/>
  <c r="H614" i="4"/>
  <c r="H610" i="4"/>
  <c r="H609" i="4"/>
  <c r="H607" i="4"/>
  <c r="H606" i="4" s="1"/>
  <c r="H603" i="4"/>
  <c r="H602" i="4" s="1"/>
  <c r="H600" i="4"/>
  <c r="H597" i="4"/>
  <c r="H596" i="4"/>
  <c r="H593" i="4"/>
  <c r="H590" i="4"/>
  <c r="H589" i="4" s="1"/>
  <c r="H587" i="4"/>
  <c r="H586" i="4" s="1"/>
  <c r="H582" i="4"/>
  <c r="H581" i="4" s="1"/>
  <c r="H579" i="4"/>
  <c r="H578" i="4" s="1"/>
  <c r="H576" i="4"/>
  <c r="H575" i="4" s="1"/>
  <c r="H573" i="4"/>
  <c r="H570" i="4"/>
  <c r="H566" i="4"/>
  <c r="H563" i="4"/>
  <c r="H562" i="4" s="1"/>
  <c r="H555" i="4"/>
  <c r="H554" i="4" s="1"/>
  <c r="H552" i="4"/>
  <c r="H544" i="4"/>
  <c r="H543" i="4" s="1"/>
  <c r="H542" i="4" s="1"/>
  <c r="H541" i="4" s="1"/>
  <c r="H540" i="4" s="1"/>
  <c r="H538" i="4"/>
  <c r="H537" i="4" s="1"/>
  <c r="H535" i="4"/>
  <c r="H529" i="4"/>
  <c r="H528" i="4" s="1"/>
  <c r="H527" i="4" s="1"/>
  <c r="H524" i="4"/>
  <c r="H520" i="4"/>
  <c r="H519" i="4" s="1"/>
  <c r="H514" i="4"/>
  <c r="H513" i="4" s="1"/>
  <c r="H512" i="4" s="1"/>
  <c r="H510" i="4"/>
  <c r="H509" i="4" s="1"/>
  <c r="H507" i="4"/>
  <c r="H505" i="4"/>
  <c r="H503" i="4"/>
  <c r="H495" i="4"/>
  <c r="H494" i="4" s="1"/>
  <c r="H490" i="4"/>
  <c r="H489" i="4" s="1"/>
  <c r="H487" i="4"/>
  <c r="H485" i="4"/>
  <c r="H483" i="4"/>
  <c r="H481" i="4"/>
  <c r="H474" i="4"/>
  <c r="H473" i="4" s="1"/>
  <c r="H469" i="4"/>
  <c r="H467" i="4"/>
  <c r="H466" i="4" s="1"/>
  <c r="H463" i="4"/>
  <c r="H462" i="4"/>
  <c r="H458" i="4"/>
  <c r="H457" i="4" s="1"/>
  <c r="H453" i="4"/>
  <c r="H452" i="4" s="1"/>
  <c r="H451" i="4" s="1"/>
  <c r="H445" i="4"/>
  <c r="H444" i="4" s="1"/>
  <c r="H443" i="4" s="1"/>
  <c r="H442" i="4" s="1"/>
  <c r="H441" i="4" s="1"/>
  <c r="H439" i="4"/>
  <c r="H438" i="4" s="1"/>
  <c r="H436" i="4"/>
  <c r="H434" i="4"/>
  <c r="H432" i="4"/>
  <c r="H427" i="4"/>
  <c r="H426" i="4" s="1"/>
  <c r="H424" i="4"/>
  <c r="H422" i="4"/>
  <c r="H416" i="4"/>
  <c r="H415" i="4" s="1"/>
  <c r="H414" i="4" s="1"/>
  <c r="H411" i="4"/>
  <c r="H410" i="4" s="1"/>
  <c r="H409" i="4"/>
  <c r="H406" i="4"/>
  <c r="H405" i="4" s="1"/>
  <c r="H403" i="4"/>
  <c r="H402" i="4"/>
  <c r="H400" i="4"/>
  <c r="H399" i="4" s="1"/>
  <c r="H396" i="4"/>
  <c r="H395" i="4" s="1"/>
  <c r="H393" i="4"/>
  <c r="H389" i="4"/>
  <c r="H388" i="4" s="1"/>
  <c r="H387" i="4" s="1"/>
  <c r="H385" i="4"/>
  <c r="H384" i="4" s="1"/>
  <c r="H383" i="4" s="1"/>
  <c r="H381" i="4"/>
  <c r="H379" i="4"/>
  <c r="H377" i="4"/>
  <c r="H372" i="4"/>
  <c r="H371" i="4" s="1"/>
  <c r="H370" i="4" s="1"/>
  <c r="H368" i="4"/>
  <c r="H365" i="4"/>
  <c r="H364" i="4" s="1"/>
  <c r="H361" i="4"/>
  <c r="H360" i="4" s="1"/>
  <c r="H357" i="4"/>
  <c r="H355" i="4"/>
  <c r="H351" i="4"/>
  <c r="H349" i="4"/>
  <c r="H347" i="4"/>
  <c r="H339" i="4"/>
  <c r="H338" i="4" s="1"/>
  <c r="H335" i="4"/>
  <c r="H332" i="4" s="1"/>
  <c r="H333" i="4"/>
  <c r="H329" i="4"/>
  <c r="H327" i="4"/>
  <c r="H319" i="4"/>
  <c r="H318" i="4" s="1"/>
  <c r="H316" i="4" s="1"/>
  <c r="H314" i="4"/>
  <c r="H311" i="4"/>
  <c r="H310" i="4" s="1"/>
  <c r="H308" i="4"/>
  <c r="H307" i="4" s="1"/>
  <c r="H305" i="4"/>
  <c r="H301" i="4"/>
  <c r="H300" i="4" s="1"/>
  <c r="H299" i="4" s="1"/>
  <c r="H298" i="4"/>
  <c r="H297" i="4"/>
  <c r="H295" i="4"/>
  <c r="H291" i="4"/>
  <c r="H287" i="4"/>
  <c r="H285" i="4"/>
  <c r="H283" i="4"/>
  <c r="H275" i="4"/>
  <c r="H271" i="4"/>
  <c r="H268" i="4"/>
  <c r="H267" i="4" s="1"/>
  <c r="H264" i="4"/>
  <c r="H261" i="4"/>
  <c r="H260" i="4" s="1"/>
  <c r="H257" i="4"/>
  <c r="H254" i="4"/>
  <c r="H253" i="4" s="1"/>
  <c r="H246" i="4"/>
  <c r="H241" i="4"/>
  <c r="H240" i="4"/>
  <c r="H238" i="4"/>
  <c r="H235" i="4"/>
  <c r="H234" i="4"/>
  <c r="H232" i="4"/>
  <c r="H231" i="4" s="1"/>
  <c r="H229" i="4"/>
  <c r="H228" i="4" s="1"/>
  <c r="H224" i="4"/>
  <c r="H223" i="4"/>
  <c r="H221" i="4"/>
  <c r="H220" i="4" s="1"/>
  <c r="H212" i="4"/>
  <c r="H210" i="4"/>
  <c r="H204" i="4"/>
  <c r="H203" i="4" s="1"/>
  <c r="H201" i="4" s="1"/>
  <c r="H1236" i="4" s="1"/>
  <c r="H198" i="4"/>
  <c r="H191" i="4"/>
  <c r="H188" i="4"/>
  <c r="H183" i="4"/>
  <c r="H181" i="4"/>
  <c r="H175" i="4"/>
  <c r="H174" i="4" s="1"/>
  <c r="H173" i="4" s="1"/>
  <c r="H171" i="4"/>
  <c r="H170" i="4" s="1"/>
  <c r="H168" i="4"/>
  <c r="H167" i="4" s="1"/>
  <c r="H166" i="4" s="1"/>
  <c r="H165" i="4" s="1"/>
  <c r="H161" i="4"/>
  <c r="H160" i="4" s="1"/>
  <c r="H158" i="4"/>
  <c r="H156" i="4"/>
  <c r="H152" i="4"/>
  <c r="H151" i="4" s="1"/>
  <c r="H149" i="4"/>
  <c r="H142" i="4"/>
  <c r="H141" i="4" s="1"/>
  <c r="H140" i="4" s="1"/>
  <c r="H135" i="4"/>
  <c r="H134" i="4" s="1"/>
  <c r="H132" i="4" s="1"/>
  <c r="H1249" i="4" s="1"/>
  <c r="H130" i="4"/>
  <c r="H129" i="4" s="1"/>
  <c r="H127" i="4" s="1"/>
  <c r="H1248" i="4" s="1"/>
  <c r="H125" i="4"/>
  <c r="H124" i="4" s="1"/>
  <c r="H123" i="4" s="1"/>
  <c r="H121" i="4"/>
  <c r="H116" i="4"/>
  <c r="H115" i="4"/>
  <c r="H113" i="4"/>
  <c r="H111" i="4"/>
  <c r="H104" i="4"/>
  <c r="H102" i="4"/>
  <c r="H101" i="4"/>
  <c r="H100" i="4" s="1"/>
  <c r="H94" i="4"/>
  <c r="H93" i="4" s="1"/>
  <c r="H91" i="4"/>
  <c r="H90" i="4" s="1"/>
  <c r="H85" i="4"/>
  <c r="H84" i="4"/>
  <c r="H82" i="4"/>
  <c r="H78" i="4"/>
  <c r="H76" i="4"/>
  <c r="H72" i="4"/>
  <c r="H67" i="4"/>
  <c r="H65" i="4"/>
  <c r="H64" i="4" s="1"/>
  <c r="H62" i="4"/>
  <c r="H60" i="4"/>
  <c r="H58" i="4"/>
  <c r="G72" i="3" s="1"/>
  <c r="G71" i="3" s="1"/>
  <c r="H57" i="4"/>
  <c r="H55" i="4"/>
  <c r="H52" i="4"/>
  <c r="H51" i="4"/>
  <c r="G65" i="3" s="1"/>
  <c r="H50" i="4"/>
  <c r="H47" i="4"/>
  <c r="H46" i="4" s="1"/>
  <c r="H43" i="4"/>
  <c r="H40" i="4"/>
  <c r="H39" i="4" s="1"/>
  <c r="H37" i="4"/>
  <c r="H36" i="4"/>
  <c r="H33" i="4"/>
  <c r="H31" i="4"/>
  <c r="H23" i="4"/>
  <c r="H22" i="4" s="1"/>
  <c r="H20" i="4"/>
  <c r="H18" i="4"/>
  <c r="H16" i="4"/>
  <c r="G214" i="3" l="1"/>
  <c r="G213" i="3" s="1"/>
  <c r="H1074" i="4"/>
  <c r="H54" i="4"/>
  <c r="H976" i="4"/>
  <c r="I15" i="5"/>
  <c r="I14" i="5" s="1"/>
  <c r="H434" i="5"/>
  <c r="H270" i="4"/>
  <c r="H266" i="4" s="1"/>
  <c r="H331" i="4"/>
  <c r="H392" i="4"/>
  <c r="H829" i="4"/>
  <c r="H858" i="4"/>
  <c r="G131" i="3"/>
  <c r="H139" i="4"/>
  <c r="H263" i="4"/>
  <c r="H621" i="4"/>
  <c r="H848" i="4"/>
  <c r="H844" i="4" s="1"/>
  <c r="H237" i="4"/>
  <c r="H227" i="4" s="1"/>
  <c r="H526" i="4"/>
  <c r="H714" i="4"/>
  <c r="H739" i="4"/>
  <c r="H815" i="4"/>
  <c r="H865" i="4"/>
  <c r="H881" i="4"/>
  <c r="H1042" i="5"/>
  <c r="H1041" i="5" s="1"/>
  <c r="H1040" i="5" s="1"/>
  <c r="H1039" i="5" s="1"/>
  <c r="H1038" i="5" s="1"/>
  <c r="H1037" i="5" s="1"/>
  <c r="H1036" i="5" s="1"/>
  <c r="H1035" i="5" s="1"/>
  <c r="G417" i="3"/>
  <c r="G416" i="3" s="1"/>
  <c r="G415" i="3" s="1"/>
  <c r="H1055" i="4"/>
  <c r="H1071" i="4"/>
  <c r="H1093" i="4"/>
  <c r="H1128" i="4"/>
  <c r="H1142" i="4"/>
  <c r="H1164" i="4"/>
  <c r="G21" i="3"/>
  <c r="G20" i="3" s="1"/>
  <c r="H42" i="4"/>
  <c r="H120" i="4"/>
  <c r="H119" i="4" s="1"/>
  <c r="H523" i="4"/>
  <c r="G156" i="3"/>
  <c r="G155" i="3" s="1"/>
  <c r="G195" i="3"/>
  <c r="H35" i="4"/>
  <c r="G50" i="3"/>
  <c r="H187" i="4"/>
  <c r="H572" i="4"/>
  <c r="H770" i="4"/>
  <c r="H256" i="4"/>
  <c r="H359" i="4"/>
  <c r="H408" i="4"/>
  <c r="H461" i="4"/>
  <c r="H472" i="4"/>
  <c r="H471" i="4" s="1"/>
  <c r="H534" i="4"/>
  <c r="H533" i="4" s="1"/>
  <c r="H532" i="4" s="1"/>
  <c r="H531" i="4" s="1"/>
  <c r="H530" i="4" s="1"/>
  <c r="H551" i="4"/>
  <c r="H550" i="4" s="1"/>
  <c r="H689" i="4"/>
  <c r="H685" i="4" s="1"/>
  <c r="H703" i="4"/>
  <c r="H717" i="4"/>
  <c r="H748" i="4"/>
  <c r="H855" i="4"/>
  <c r="H969" i="4"/>
  <c r="H1044" i="4"/>
  <c r="H1060" i="4"/>
  <c r="H1059" i="4" s="1"/>
  <c r="H81" i="4"/>
  <c r="H190" i="4"/>
  <c r="H274" i="4"/>
  <c r="H290" i="4"/>
  <c r="H725" i="5"/>
  <c r="G744" i="3"/>
  <c r="G743" i="3" s="1"/>
  <c r="H326" i="4"/>
  <c r="G776" i="3"/>
  <c r="G775" i="3" s="1"/>
  <c r="G774" i="3" s="1"/>
  <c r="H413" i="4"/>
  <c r="H599" i="4"/>
  <c r="H652" i="4"/>
  <c r="H696" i="4"/>
  <c r="H765" i="4"/>
  <c r="H959" i="4"/>
  <c r="H1012" i="4"/>
  <c r="H1032" i="4"/>
  <c r="H148" i="4"/>
  <c r="H147" i="4" s="1"/>
  <c r="H146" i="4" s="1"/>
  <c r="H197" i="4"/>
  <c r="H245" i="4"/>
  <c r="H313" i="4"/>
  <c r="H303" i="4" s="1"/>
  <c r="H328" i="4"/>
  <c r="H346" i="4"/>
  <c r="H421" i="4"/>
  <c r="H465" i="4"/>
  <c r="H1017" i="5"/>
  <c r="H1016" i="5" s="1"/>
  <c r="H1015" i="5" s="1"/>
  <c r="H1014" i="5" s="1"/>
  <c r="H1013" i="5" s="1"/>
  <c r="H592" i="4"/>
  <c r="H613" i="4"/>
  <c r="H612" i="4" s="1"/>
  <c r="H666" i="4"/>
  <c r="H736" i="4"/>
  <c r="H785" i="4"/>
  <c r="H841" i="4"/>
  <c r="H942" i="4"/>
  <c r="H941" i="4" s="1"/>
  <c r="H1077" i="4"/>
  <c r="H1090" i="4"/>
  <c r="H1177" i="4"/>
  <c r="H1068" i="4"/>
  <c r="H1067" i="4" s="1"/>
  <c r="H1088" i="4"/>
  <c r="H820" i="5"/>
  <c r="H1123" i="4"/>
  <c r="H1158" i="4"/>
  <c r="G453" i="3"/>
  <c r="G452" i="3" s="1"/>
  <c r="H954" i="4"/>
  <c r="H1015" i="4"/>
  <c r="H1024" i="4"/>
  <c r="H1085" i="4"/>
  <c r="H1106" i="4"/>
  <c r="H1009" i="5"/>
  <c r="H1008" i="5" s="1"/>
  <c r="H1007" i="5" s="1"/>
  <c r="H1006" i="5" s="1"/>
  <c r="H1005" i="5" s="1"/>
  <c r="H1004" i="5" s="1"/>
  <c r="H1003" i="5" s="1"/>
  <c r="H1010" i="5" s="1"/>
  <c r="H1147" i="4"/>
  <c r="H1146" i="4" s="1"/>
  <c r="H1182" i="4"/>
  <c r="H1194" i="4"/>
  <c r="G114" i="3"/>
  <c r="G113" i="3" s="1"/>
  <c r="H656" i="5"/>
  <c r="H658" i="5"/>
  <c r="H657" i="5" s="1"/>
  <c r="H933" i="5"/>
  <c r="H763" i="5"/>
  <c r="H320" i="5"/>
  <c r="H1028" i="5"/>
  <c r="H1027" i="5"/>
  <c r="H1034" i="5" s="1"/>
  <c r="H365" i="5"/>
  <c r="H147" i="5"/>
  <c r="H548" i="5"/>
  <c r="H559" i="5"/>
  <c r="H297" i="5"/>
  <c r="H673" i="5"/>
  <c r="H670" i="5" s="1"/>
  <c r="H730" i="5"/>
  <c r="H537" i="5"/>
  <c r="H532" i="5" s="1"/>
  <c r="H21" i="5"/>
  <c r="H974" i="5"/>
  <c r="H428" i="5"/>
  <c r="H282" i="5"/>
  <c r="H959" i="5"/>
  <c r="H737" i="5"/>
  <c r="G690" i="3"/>
  <c r="G974" i="3"/>
  <c r="G551" i="3"/>
  <c r="G680" i="3"/>
  <c r="G911" i="3"/>
  <c r="G877" i="3"/>
  <c r="G503" i="3"/>
  <c r="G746" i="3"/>
  <c r="G887" i="3"/>
  <c r="G28" i="3"/>
  <c r="H484" i="5"/>
  <c r="G84" i="3"/>
  <c r="G110" i="3"/>
  <c r="G132" i="3"/>
  <c r="G144" i="3"/>
  <c r="G164" i="3"/>
  <c r="G249" i="3"/>
  <c r="G281" i="3"/>
  <c r="G296" i="3"/>
  <c r="H138" i="5"/>
  <c r="G323" i="3"/>
  <c r="G346" i="3"/>
  <c r="G365" i="3"/>
  <c r="G447" i="3"/>
  <c r="H839" i="5"/>
  <c r="G489" i="3"/>
  <c r="G539" i="3"/>
  <c r="G556" i="3"/>
  <c r="G576" i="3"/>
  <c r="G598" i="3"/>
  <c r="G607" i="3"/>
  <c r="G685" i="3"/>
  <c r="G697" i="3"/>
  <c r="G720" i="3"/>
  <c r="G733" i="3"/>
  <c r="G751" i="3"/>
  <c r="G819" i="3"/>
  <c r="G832" i="3"/>
  <c r="G891" i="3"/>
  <c r="G960" i="3"/>
  <c r="G970" i="3"/>
  <c r="G1023" i="3"/>
  <c r="G45" i="3"/>
  <c r="H473" i="5"/>
  <c r="H474" i="5" s="1"/>
  <c r="G112" i="3"/>
  <c r="G134" i="3"/>
  <c r="G146" i="3"/>
  <c r="G167" i="3"/>
  <c r="G301" i="3"/>
  <c r="G349" i="3"/>
  <c r="G369" i="3"/>
  <c r="G395" i="3"/>
  <c r="H880" i="5"/>
  <c r="H801" i="5"/>
  <c r="G455" i="3"/>
  <c r="H824" i="5"/>
  <c r="G499" i="3"/>
  <c r="H211" i="5"/>
  <c r="H228" i="5"/>
  <c r="H229" i="5" s="1"/>
  <c r="H240" i="5"/>
  <c r="G629" i="3"/>
  <c r="H192" i="5"/>
  <c r="H193" i="5" s="1"/>
  <c r="G723" i="3"/>
  <c r="G736" i="3"/>
  <c r="G754" i="3"/>
  <c r="G778" i="3"/>
  <c r="H41" i="5"/>
  <c r="G813" i="3"/>
  <c r="G857" i="3"/>
  <c r="G874" i="3"/>
  <c r="G895" i="3"/>
  <c r="G909" i="3"/>
  <c r="G930" i="3"/>
  <c r="G965" i="3"/>
  <c r="G1006" i="3"/>
  <c r="G1034" i="3"/>
  <c r="G1046" i="3"/>
  <c r="G1072" i="3"/>
  <c r="G24" i="3"/>
  <c r="G36" i="3"/>
  <c r="G47" i="3"/>
  <c r="G54" i="3"/>
  <c r="G66" i="3"/>
  <c r="G74" i="3"/>
  <c r="H489" i="5"/>
  <c r="H490" i="5" s="1"/>
  <c r="G102" i="3"/>
  <c r="H503" i="5"/>
  <c r="G124" i="3"/>
  <c r="G148" i="3"/>
  <c r="G158" i="3"/>
  <c r="H157" i="5"/>
  <c r="H156" i="5" s="1"/>
  <c r="G187" i="3"/>
  <c r="G193" i="3"/>
  <c r="G204" i="3"/>
  <c r="G218" i="3"/>
  <c r="G240" i="3"/>
  <c r="G275" i="3"/>
  <c r="G289" i="3"/>
  <c r="H116" i="5"/>
  <c r="H131" i="5"/>
  <c r="H132" i="5" s="1"/>
  <c r="G319" i="3"/>
  <c r="H142" i="5"/>
  <c r="G331" i="3"/>
  <c r="H465" i="5"/>
  <c r="G355" i="3"/>
  <c r="G371" i="3"/>
  <c r="G377" i="3"/>
  <c r="G411" i="3"/>
  <c r="H908" i="5"/>
  <c r="G422" i="3"/>
  <c r="G439" i="3"/>
  <c r="G473" i="3"/>
  <c r="G485" i="3"/>
  <c r="G519" i="3"/>
  <c r="G568" i="3"/>
  <c r="G593" i="3"/>
  <c r="G619" i="3"/>
  <c r="G632" i="3"/>
  <c r="G646" i="3"/>
  <c r="G660" i="3"/>
  <c r="G702" i="3"/>
  <c r="G711" i="3"/>
  <c r="G729" i="3"/>
  <c r="G756" i="3"/>
  <c r="G768" i="3"/>
  <c r="G796" i="3"/>
  <c r="G836" i="3"/>
  <c r="G921" i="3"/>
  <c r="G983" i="3"/>
  <c r="G980" i="3" s="1"/>
  <c r="G1009" i="3"/>
  <c r="G1020" i="3"/>
  <c r="G1051" i="3"/>
  <c r="G1065" i="3"/>
  <c r="G1078" i="3"/>
  <c r="G1096" i="3"/>
  <c r="G61" i="3"/>
  <c r="G98" i="3"/>
  <c r="G119" i="3"/>
  <c r="G154" i="3"/>
  <c r="G181" i="3"/>
  <c r="G198" i="3"/>
  <c r="G230" i="3"/>
  <c r="G269" i="3"/>
  <c r="G381" i="3"/>
  <c r="G403" i="3"/>
  <c r="H894" i="5"/>
  <c r="G435" i="3"/>
  <c r="H798" i="5"/>
  <c r="G477" i="3"/>
  <c r="G496" i="3"/>
  <c r="G493" i="3" s="1"/>
  <c r="H170" i="5"/>
  <c r="G563" i="3"/>
  <c r="H183" i="5"/>
  <c r="H182" i="5" s="1"/>
  <c r="G625" i="3"/>
  <c r="G653" i="3"/>
  <c r="G674" i="3"/>
  <c r="G707" i="3"/>
  <c r="G760" i="3"/>
  <c r="G808" i="3"/>
  <c r="H633" i="5"/>
  <c r="H634" i="5" s="1"/>
  <c r="G870" i="3"/>
  <c r="G881" i="3"/>
  <c r="G907" i="3"/>
  <c r="G917" i="3"/>
  <c r="G944" i="3"/>
  <c r="G1003" i="3"/>
  <c r="G1012" i="3"/>
  <c r="G1030" i="3"/>
  <c r="G1069" i="3"/>
  <c r="G1087" i="3"/>
  <c r="G34" i="3"/>
  <c r="G51" i="3"/>
  <c r="G64" i="3"/>
  <c r="H499" i="5"/>
  <c r="G121" i="3"/>
  <c r="G237" i="3"/>
  <c r="G256" i="3"/>
  <c r="G283" i="3"/>
  <c r="G311" i="3"/>
  <c r="H461" i="5"/>
  <c r="H462" i="5" s="1"/>
  <c r="G407" i="3"/>
  <c r="H901" i="5"/>
  <c r="G429" i="3"/>
  <c r="G450" i="3"/>
  <c r="G467" i="3"/>
  <c r="G480" i="3"/>
  <c r="G541" i="3"/>
  <c r="G549" i="3"/>
  <c r="H187" i="5"/>
  <c r="G643" i="3"/>
  <c r="G657" i="3"/>
  <c r="G678" i="3"/>
  <c r="G765" i="3"/>
  <c r="G794" i="3"/>
  <c r="G834" i="3"/>
  <c r="G885" i="3"/>
  <c r="G919" i="3"/>
  <c r="G949" i="3"/>
  <c r="G994" i="3"/>
  <c r="G1026" i="3"/>
  <c r="G1060" i="3"/>
  <c r="H937" i="5"/>
  <c r="G17" i="3"/>
  <c r="G14" i="3" s="1"/>
  <c r="H480" i="5"/>
  <c r="G39" i="3"/>
  <c r="G49" i="3"/>
  <c r="G57" i="3"/>
  <c r="G69" i="3"/>
  <c r="G76" i="3"/>
  <c r="H492" i="5"/>
  <c r="H491" i="5" s="1"/>
  <c r="G108" i="3"/>
  <c r="G117" i="3"/>
  <c r="G130" i="3"/>
  <c r="G141" i="3"/>
  <c r="G152" i="3"/>
  <c r="G162" i="3"/>
  <c r="G176" i="3"/>
  <c r="H161" i="5"/>
  <c r="G190" i="3"/>
  <c r="G208" i="3"/>
  <c r="G223" i="3"/>
  <c r="G279" i="3"/>
  <c r="G291" i="3"/>
  <c r="G305" i="3"/>
  <c r="H120" i="5"/>
  <c r="G316" i="3"/>
  <c r="G338" i="3"/>
  <c r="G343" i="3"/>
  <c r="G357" i="3"/>
  <c r="G363" i="3"/>
  <c r="G374" i="3"/>
  <c r="G379" i="3"/>
  <c r="G387" i="3"/>
  <c r="H866" i="5"/>
  <c r="G424" i="3"/>
  <c r="G433" i="3"/>
  <c r="G444" i="3"/>
  <c r="G459" i="3"/>
  <c r="H835" i="5"/>
  <c r="G475" i="3"/>
  <c r="G487" i="3"/>
  <c r="G536" i="3"/>
  <c r="G546" i="3"/>
  <c r="H179" i="5"/>
  <c r="H178" i="5" s="1"/>
  <c r="G596" i="3"/>
  <c r="G615" i="3"/>
  <c r="G622" i="3"/>
  <c r="G664" i="3"/>
  <c r="G671" i="3"/>
  <c r="G705" i="3"/>
  <c r="G716" i="3"/>
  <c r="G731" i="3"/>
  <c r="G741" i="3"/>
  <c r="G740" i="3" s="1"/>
  <c r="H453" i="5"/>
  <c r="H452" i="5" s="1"/>
  <c r="G824" i="3"/>
  <c r="G853" i="3"/>
  <c r="G901" i="3"/>
  <c r="G924" i="3"/>
  <c r="G937" i="3"/>
  <c r="H89" i="5"/>
  <c r="G988" i="3"/>
  <c r="G1000" i="3"/>
  <c r="G1040" i="3"/>
  <c r="G1057" i="3"/>
  <c r="G1067" i="3"/>
  <c r="G1080" i="3"/>
  <c r="G1077" i="3" s="1"/>
  <c r="G1091" i="3"/>
  <c r="G1101" i="3"/>
  <c r="G1037" i="3"/>
  <c r="G570" i="3"/>
  <c r="G212" i="3"/>
  <c r="H921" i="5"/>
  <c r="G183" i="3"/>
  <c r="H1188" i="4"/>
  <c r="H1141" i="4"/>
  <c r="H757" i="5"/>
  <c r="H1132" i="4"/>
  <c r="H1111" i="4"/>
  <c r="H1100" i="4"/>
  <c r="G462" i="3"/>
  <c r="H826" i="5"/>
  <c r="H811" i="5"/>
  <c r="H803" i="5"/>
  <c r="H789" i="5"/>
  <c r="H1037" i="4"/>
  <c r="G399" i="3"/>
  <c r="H887" i="5"/>
  <c r="G391" i="3"/>
  <c r="H873" i="5"/>
  <c r="H1028" i="4"/>
  <c r="H1007" i="4"/>
  <c r="H993" i="4"/>
  <c r="H20" i="5"/>
  <c r="H913" i="4"/>
  <c r="H912" i="4" s="1"/>
  <c r="H911" i="4" s="1"/>
  <c r="H585" i="5"/>
  <c r="H584" i="5" s="1"/>
  <c r="H907" i="4"/>
  <c r="H891" i="4"/>
  <c r="H985" i="5"/>
  <c r="H580" i="5"/>
  <c r="H572" i="5"/>
  <c r="H563" i="5"/>
  <c r="H862" i="4"/>
  <c r="H552" i="5"/>
  <c r="H838" i="4"/>
  <c r="H518" i="5"/>
  <c r="H914" i="5"/>
  <c r="H808" i="4"/>
  <c r="H778" i="4"/>
  <c r="H433" i="5"/>
  <c r="H438" i="5"/>
  <c r="H761" i="4"/>
  <c r="H751" i="4" s="1"/>
  <c r="H261" i="5"/>
  <c r="H191" i="5"/>
  <c r="H965" i="5"/>
  <c r="H735" i="4"/>
  <c r="H767" i="5"/>
  <c r="H413" i="5"/>
  <c r="H404" i="5"/>
  <c r="H398" i="5"/>
  <c r="H394" i="5"/>
  <c r="H387" i="5"/>
  <c r="H376" i="5"/>
  <c r="G650" i="3"/>
  <c r="H374" i="5"/>
  <c r="H700" i="4"/>
  <c r="G639" i="3"/>
  <c r="H356" i="5"/>
  <c r="G636" i="3"/>
  <c r="H352" i="5"/>
  <c r="H339" i="5"/>
  <c r="H332" i="5"/>
  <c r="H328" i="5"/>
  <c r="H324" i="5"/>
  <c r="G611" i="3"/>
  <c r="H244" i="5"/>
  <c r="G605" i="3"/>
  <c r="H236" i="5"/>
  <c r="G602" i="3"/>
  <c r="H232" i="5"/>
  <c r="H221" i="5"/>
  <c r="G589" i="3"/>
  <c r="G586" i="3"/>
  <c r="H307" i="5"/>
  <c r="H306" i="5" s="1"/>
  <c r="H315" i="5"/>
  <c r="G559" i="3"/>
  <c r="H303" i="5"/>
  <c r="H290" i="5"/>
  <c r="H286" i="5"/>
  <c r="H275" i="5"/>
  <c r="H266" i="5" s="1"/>
  <c r="G531" i="3"/>
  <c r="H215" i="5"/>
  <c r="H210" i="5"/>
  <c r="H212" i="5"/>
  <c r="G528" i="3"/>
  <c r="G525" i="3"/>
  <c r="H207" i="5"/>
  <c r="G522" i="3"/>
  <c r="H203" i="5"/>
  <c r="H569" i="4"/>
  <c r="H565" i="4"/>
  <c r="G515" i="3"/>
  <c r="H174" i="5"/>
  <c r="G512" i="3"/>
  <c r="H990" i="5"/>
  <c r="H101" i="5"/>
  <c r="G958" i="3"/>
  <c r="G954" i="3"/>
  <c r="H82" i="5"/>
  <c r="H71" i="5"/>
  <c r="H450" i="4"/>
  <c r="H63" i="5"/>
  <c r="H109" i="5"/>
  <c r="H431" i="4"/>
  <c r="H430" i="4" s="1"/>
  <c r="H980" i="5"/>
  <c r="H774" i="5"/>
  <c r="H692" i="5"/>
  <c r="H688" i="5"/>
  <c r="H666" i="5"/>
  <c r="H663" i="5" s="1"/>
  <c r="G861" i="3"/>
  <c r="H641" i="5"/>
  <c r="H636" i="5"/>
  <c r="H367" i="4"/>
  <c r="H363" i="4" s="1"/>
  <c r="G850" i="3"/>
  <c r="H629" i="5"/>
  <c r="G846" i="3"/>
  <c r="H622" i="5"/>
  <c r="G842" i="3"/>
  <c r="H615" i="5"/>
  <c r="G840" i="3"/>
  <c r="H612" i="5"/>
  <c r="H597" i="5"/>
  <c r="H337" i="4"/>
  <c r="G788" i="3"/>
  <c r="H58" i="5"/>
  <c r="G784" i="3"/>
  <c r="H51" i="5"/>
  <c r="G782" i="3"/>
  <c r="H48" i="5"/>
  <c r="H749" i="5"/>
  <c r="H745" i="5"/>
  <c r="H741" i="5"/>
  <c r="H304" i="4"/>
  <c r="H712" i="5"/>
  <c r="H710" i="5"/>
  <c r="H700" i="5"/>
  <c r="H282" i="4"/>
  <c r="G309" i="3"/>
  <c r="H127" i="5"/>
  <c r="H953" i="5"/>
  <c r="H941" i="5"/>
  <c r="H929" i="5"/>
  <c r="H925" i="5"/>
  <c r="H219" i="4"/>
  <c r="G173" i="3"/>
  <c r="H209" i="4"/>
  <c r="H202" i="4"/>
  <c r="H509" i="5"/>
  <c r="G328" i="3"/>
  <c r="H180" i="4"/>
  <c r="G263" i="3"/>
  <c r="H858" i="5"/>
  <c r="G259" i="3"/>
  <c r="H851" i="5"/>
  <c r="H845" i="5"/>
  <c r="H155" i="4"/>
  <c r="H154" i="4" s="1"/>
  <c r="G243" i="3"/>
  <c r="H128" i="4"/>
  <c r="H1021" i="5"/>
  <c r="H999" i="5"/>
  <c r="H949" i="5"/>
  <c r="H89" i="4"/>
  <c r="G78" i="3"/>
  <c r="H59" i="4"/>
  <c r="H71" i="4"/>
  <c r="H70" i="4" s="1"/>
  <c r="G95" i="3"/>
  <c r="G93" i="3"/>
  <c r="G89" i="3"/>
  <c r="H13" i="5"/>
  <c r="H12" i="5" s="1"/>
  <c r="H11" i="5"/>
  <c r="H646" i="5"/>
  <c r="H1167" i="4"/>
  <c r="G359" i="3"/>
  <c r="H926" i="4"/>
  <c r="H922" i="4" s="1"/>
  <c r="H872" i="4"/>
  <c r="G1018" i="3"/>
  <c r="H807" i="4"/>
  <c r="G802" i="3"/>
  <c r="H794" i="4"/>
  <c r="H678" i="4"/>
  <c r="H665" i="4"/>
  <c r="H632" i="4"/>
  <c r="H605" i="4"/>
  <c r="H585" i="4"/>
  <c r="H502" i="4"/>
  <c r="H480" i="4"/>
  <c r="H391" i="4"/>
  <c r="H376" i="4"/>
  <c r="H294" i="4"/>
  <c r="H244" i="4"/>
  <c r="H243" i="4"/>
  <c r="H200" i="4"/>
  <c r="H118" i="4"/>
  <c r="H75" i="4"/>
  <c r="H49" i="4"/>
  <c r="H15" i="4"/>
  <c r="H1242" i="4"/>
  <c r="H164" i="4"/>
  <c r="H99" i="4"/>
  <c r="H493" i="4"/>
  <c r="H492" i="4"/>
  <c r="H110" i="4"/>
  <c r="H133" i="4"/>
  <c r="H259" i="4"/>
  <c r="H568" i="4"/>
  <c r="H624" i="4"/>
  <c r="H625" i="4"/>
  <c r="H642" i="4"/>
  <c r="H80" i="4"/>
  <c r="H456" i="4"/>
  <c r="H455" i="4"/>
  <c r="H317" i="4"/>
  <c r="H595" i="4"/>
  <c r="H720" i="4"/>
  <c r="H354" i="4"/>
  <c r="H398" i="4"/>
  <c r="H692" i="4"/>
  <c r="H900" i="4"/>
  <c r="H1001" i="4"/>
  <c r="H854" i="4"/>
  <c r="H958" i="4"/>
  <c r="H953" i="4"/>
  <c r="H975" i="4"/>
  <c r="H1122" i="4"/>
  <c r="G539" i="4"/>
  <c r="I539" i="4" s="1"/>
  <c r="G536" i="4"/>
  <c r="I536" i="4" s="1"/>
  <c r="G529" i="4"/>
  <c r="I529" i="4" s="1"/>
  <c r="H665" i="5" l="1"/>
  <c r="G1064" i="3"/>
  <c r="H37" i="5"/>
  <c r="H38" i="5" s="1"/>
  <c r="G728" i="3"/>
  <c r="G368" i="3"/>
  <c r="G143" i="3"/>
  <c r="H1176" i="4"/>
  <c r="H1175" i="4" s="1"/>
  <c r="H460" i="5"/>
  <c r="H454" i="5"/>
  <c r="I11" i="5"/>
  <c r="I13" i="5"/>
  <c r="I12" i="5" s="1"/>
  <c r="H30" i="4"/>
  <c r="H29" i="4" s="1"/>
  <c r="H522" i="4"/>
  <c r="H828" i="4"/>
  <c r="H138" i="4"/>
  <c r="H672" i="5"/>
  <c r="H1131" i="4"/>
  <c r="H1145" i="4"/>
  <c r="H784" i="4"/>
  <c r="H783" i="4" s="1"/>
  <c r="H968" i="4"/>
  <c r="H1105" i="4"/>
  <c r="H769" i="4"/>
  <c r="H764" i="4" s="1"/>
  <c r="H420" i="4"/>
  <c r="H325" i="4"/>
  <c r="H289" i="4"/>
  <c r="H1081" i="4"/>
  <c r="H1080" i="4" s="1"/>
  <c r="H861" i="4"/>
  <c r="H1225" i="4" s="1"/>
  <c r="H460" i="4"/>
  <c r="H834" i="4"/>
  <c r="H1096" i="4"/>
  <c r="H1193" i="4"/>
  <c r="H1187" i="4" s="1"/>
  <c r="H345" i="4"/>
  <c r="H549" i="4"/>
  <c r="H1054" i="4"/>
  <c r="H620" i="4"/>
  <c r="G484" i="3"/>
  <c r="G483" i="3" s="1"/>
  <c r="H819" i="5"/>
  <c r="H815" i="5" s="1"/>
  <c r="H821" i="5"/>
  <c r="H196" i="4"/>
  <c r="H273" i="4"/>
  <c r="H186" i="4"/>
  <c r="H1163" i="4"/>
  <c r="H713" i="4"/>
  <c r="H664" i="4" s="1"/>
  <c r="H1006" i="4"/>
  <c r="H940" i="4"/>
  <c r="H726" i="5"/>
  <c r="H724" i="5"/>
  <c r="H720" i="5" s="1"/>
  <c r="H717" i="5" s="1"/>
  <c r="H747" i="4"/>
  <c r="H880" i="4"/>
  <c r="H525" i="4"/>
  <c r="H252" i="4"/>
  <c r="H488" i="5"/>
  <c r="H487" i="5" s="1"/>
  <c r="H486" i="5" s="1"/>
  <c r="H736" i="5"/>
  <c r="H632" i="5"/>
  <c r="H631" i="5" s="1"/>
  <c r="H281" i="5"/>
  <c r="H280" i="5" s="1"/>
  <c r="G831" i="3"/>
  <c r="G830" i="3" s="1"/>
  <c r="H472" i="5"/>
  <c r="H471" i="5" s="1"/>
  <c r="H740" i="5"/>
  <c r="H427" i="5"/>
  <c r="H729" i="5"/>
  <c r="H727" i="5"/>
  <c r="H358" i="5"/>
  <c r="H360" i="5"/>
  <c r="H146" i="5"/>
  <c r="H596" i="5"/>
  <c r="H595" i="5" s="1"/>
  <c r="H734" i="5"/>
  <c r="H547" i="5"/>
  <c r="H546" i="5" s="1"/>
  <c r="H969" i="5"/>
  <c r="H958" i="5" s="1"/>
  <c r="H558" i="5"/>
  <c r="H762" i="5"/>
  <c r="G44" i="3"/>
  <c r="G1036" i="3"/>
  <c r="G524" i="3"/>
  <c r="G999" i="3"/>
  <c r="G255" i="3"/>
  <c r="G1002" i="3"/>
  <c r="G673" i="3"/>
  <c r="H171" i="5"/>
  <c r="H169" i="5"/>
  <c r="H168" i="5" s="1"/>
  <c r="G767" i="3"/>
  <c r="G659" i="3"/>
  <c r="G518" i="3"/>
  <c r="H40" i="5"/>
  <c r="H42" i="5"/>
  <c r="H239" i="5"/>
  <c r="H241" i="5"/>
  <c r="G166" i="3"/>
  <c r="G262" i="3"/>
  <c r="H158" i="5"/>
  <c r="G781" i="3"/>
  <c r="G514" i="3"/>
  <c r="G527" i="3"/>
  <c r="G635" i="3"/>
  <c r="G535" i="3"/>
  <c r="G140" i="3"/>
  <c r="H186" i="5"/>
  <c r="H185" i="5" s="1"/>
  <c r="H188" i="5"/>
  <c r="G1008" i="3"/>
  <c r="G192" i="3"/>
  <c r="G33" i="3"/>
  <c r="G454" i="3"/>
  <c r="G421" i="3"/>
  <c r="G354" i="3"/>
  <c r="G739" i="3"/>
  <c r="G73" i="3"/>
  <c r="G852" i="3"/>
  <c r="G704" i="3"/>
  <c r="G432" i="3"/>
  <c r="G362" i="3"/>
  <c r="H160" i="5"/>
  <c r="H162" i="5"/>
  <c r="H493" i="5"/>
  <c r="G56" i="3"/>
  <c r="G993" i="3"/>
  <c r="G793" i="3"/>
  <c r="H902" i="5"/>
  <c r="H900" i="5"/>
  <c r="G869" i="3"/>
  <c r="G807" i="3"/>
  <c r="G624" i="3"/>
  <c r="G268" i="3"/>
  <c r="G1095" i="3"/>
  <c r="G701" i="3"/>
  <c r="G631" i="3"/>
  <c r="G472" i="3"/>
  <c r="G376" i="3"/>
  <c r="G101" i="3"/>
  <c r="G1045" i="3"/>
  <c r="G873" i="3"/>
  <c r="G753" i="3"/>
  <c r="H881" i="5"/>
  <c r="H879" i="5"/>
  <c r="G27" i="3"/>
  <c r="G727" i="3"/>
  <c r="G953" i="3"/>
  <c r="G638" i="3"/>
  <c r="H88" i="5"/>
  <c r="H87" i="5" s="1"/>
  <c r="H90" i="5"/>
  <c r="G222" i="3"/>
  <c r="G116" i="3"/>
  <c r="G906" i="3"/>
  <c r="G905" i="3" s="1"/>
  <c r="G904" i="3" s="1"/>
  <c r="G759" i="3"/>
  <c r="H184" i="5"/>
  <c r="G288" i="3"/>
  <c r="G123" i="3"/>
  <c r="G172" i="3"/>
  <c r="G860" i="3"/>
  <c r="G511" i="3"/>
  <c r="G521" i="3"/>
  <c r="G588" i="3"/>
  <c r="G670" i="3"/>
  <c r="H121" i="5"/>
  <c r="H119" i="5"/>
  <c r="G656" i="3"/>
  <c r="G449" i="3"/>
  <c r="G1029" i="3"/>
  <c r="G943" i="3"/>
  <c r="G60" i="3"/>
  <c r="G330" i="3"/>
  <c r="G964" i="3"/>
  <c r="H840" i="5"/>
  <c r="G345" i="3"/>
  <c r="G745" i="3"/>
  <c r="H130" i="5"/>
  <c r="H129" i="5" s="1"/>
  <c r="G585" i="3"/>
  <c r="G604" i="3"/>
  <c r="G398" i="3"/>
  <c r="H838" i="5"/>
  <c r="H837" i="5" s="1"/>
  <c r="G923" i="3"/>
  <c r="H36" i="5"/>
  <c r="H35" i="5" s="1"/>
  <c r="H180" i="5"/>
  <c r="H836" i="5"/>
  <c r="H834" i="5"/>
  <c r="G386" i="3"/>
  <c r="G342" i="3"/>
  <c r="G189" i="3"/>
  <c r="G916" i="3"/>
  <c r="G548" i="3"/>
  <c r="G479" i="3"/>
  <c r="G1086" i="3"/>
  <c r="G402" i="3"/>
  <c r="G567" i="3"/>
  <c r="G410" i="3"/>
  <c r="H141" i="5"/>
  <c r="H143" i="5"/>
  <c r="G217" i="3"/>
  <c r="G53" i="3"/>
  <c r="G722" i="3"/>
  <c r="G498" i="3"/>
  <c r="H802" i="5"/>
  <c r="H800" i="5"/>
  <c r="G816" i="3"/>
  <c r="G278" i="3"/>
  <c r="G277" i="3" s="1"/>
  <c r="G696" i="3"/>
  <c r="G555" i="3"/>
  <c r="G973" i="3"/>
  <c r="G979" i="3"/>
  <c r="G327" i="3"/>
  <c r="G308" i="3"/>
  <c r="G839" i="3"/>
  <c r="G849" i="3"/>
  <c r="G957" i="3"/>
  <c r="G601" i="3"/>
  <c r="G649" i="3"/>
  <c r="G390" i="3"/>
  <c r="G461" i="3"/>
  <c r="G107" i="3"/>
  <c r="G1056" i="3"/>
  <c r="G987" i="3"/>
  <c r="G443" i="3"/>
  <c r="H867" i="5"/>
  <c r="H865" i="5"/>
  <c r="G337" i="3"/>
  <c r="G304" i="3"/>
  <c r="G68" i="3"/>
  <c r="G38" i="3"/>
  <c r="G948" i="3"/>
  <c r="G884" i="3"/>
  <c r="G764" i="3"/>
  <c r="G677" i="3"/>
  <c r="G642" i="3"/>
  <c r="G406" i="3"/>
  <c r="G236" i="3"/>
  <c r="G880" i="3"/>
  <c r="G876" i="3" s="1"/>
  <c r="G562" i="3"/>
  <c r="H797" i="5"/>
  <c r="H799" i="5"/>
  <c r="G414" i="3"/>
  <c r="G645" i="3"/>
  <c r="G618" i="3"/>
  <c r="G592" i="3"/>
  <c r="H464" i="5"/>
  <c r="H466" i="5"/>
  <c r="H115" i="5"/>
  <c r="H117" i="5"/>
  <c r="H502" i="5"/>
  <c r="H501" i="5" s="1"/>
  <c r="H504" i="5"/>
  <c r="G1005" i="3"/>
  <c r="G812" i="3"/>
  <c r="G777" i="3"/>
  <c r="G773" i="3" s="1"/>
  <c r="G735" i="3"/>
  <c r="G628" i="3"/>
  <c r="H227" i="5"/>
  <c r="H825" i="5"/>
  <c r="H823" i="5"/>
  <c r="G394" i="3"/>
  <c r="G348" i="3"/>
  <c r="H970" i="3"/>
  <c r="G969" i="3"/>
  <c r="G446" i="3"/>
  <c r="G322" i="3"/>
  <c r="G295" i="3"/>
  <c r="G248" i="3"/>
  <c r="G242" i="3" s="1"/>
  <c r="H483" i="5"/>
  <c r="H485" i="5"/>
  <c r="G502" i="3"/>
  <c r="G1076" i="3"/>
  <c r="G88" i="3"/>
  <c r="G258" i="3"/>
  <c r="G787" i="3"/>
  <c r="G845" i="3"/>
  <c r="G530" i="3"/>
  <c r="G558" i="3"/>
  <c r="G610" i="3"/>
  <c r="G1100" i="3"/>
  <c r="G936" i="3"/>
  <c r="G900" i="3"/>
  <c r="G823" i="3"/>
  <c r="G715" i="3"/>
  <c r="G663" i="3"/>
  <c r="G621" i="3"/>
  <c r="G595" i="3"/>
  <c r="G545" i="3"/>
  <c r="G458" i="3"/>
  <c r="G373" i="3"/>
  <c r="G315" i="3"/>
  <c r="G207" i="3"/>
  <c r="G175" i="3"/>
  <c r="G151" i="3"/>
  <c r="G129" i="3"/>
  <c r="H479" i="5"/>
  <c r="H481" i="5"/>
  <c r="G1059" i="3"/>
  <c r="G466" i="3"/>
  <c r="H500" i="5"/>
  <c r="H498" i="5"/>
  <c r="G652" i="3"/>
  <c r="H895" i="5"/>
  <c r="H893" i="5"/>
  <c r="G229" i="3"/>
  <c r="G180" i="3"/>
  <c r="G1050" i="3"/>
  <c r="G710" i="3"/>
  <c r="G438" i="3"/>
  <c r="H907" i="5"/>
  <c r="H909" i="5"/>
  <c r="G318" i="3"/>
  <c r="G274" i="3"/>
  <c r="G239" i="3"/>
  <c r="G203" i="3"/>
  <c r="G186" i="3"/>
  <c r="G157" i="3"/>
  <c r="G63" i="3"/>
  <c r="G1071" i="3"/>
  <c r="G1033" i="3"/>
  <c r="G929" i="3"/>
  <c r="G894" i="3"/>
  <c r="G856" i="3"/>
  <c r="G19" i="3"/>
  <c r="G13" i="3" s="1"/>
  <c r="G890" i="3"/>
  <c r="G750" i="3"/>
  <c r="G719" i="3"/>
  <c r="G684" i="3"/>
  <c r="G575" i="3"/>
  <c r="G538" i="3"/>
  <c r="H139" i="5"/>
  <c r="H137" i="5"/>
  <c r="G161" i="3"/>
  <c r="G83" i="3"/>
  <c r="G689" i="3"/>
  <c r="G210" i="3"/>
  <c r="G211" i="3"/>
  <c r="H756" i="5"/>
  <c r="H1140" i="4"/>
  <c r="H1121" i="4"/>
  <c r="H1110" i="4"/>
  <c r="H1066" i="4"/>
  <c r="H1058" i="4"/>
  <c r="H888" i="5"/>
  <c r="H886" i="5"/>
  <c r="H1036" i="4"/>
  <c r="H872" i="5"/>
  <c r="H874" i="5"/>
  <c r="H992" i="4"/>
  <c r="H991" i="4" s="1"/>
  <c r="H974" i="4"/>
  <c r="H19" i="5"/>
  <c r="H921" i="4"/>
  <c r="H910" i="4"/>
  <c r="H583" i="5"/>
  <c r="H899" i="4"/>
  <c r="H890" i="4"/>
  <c r="H984" i="5"/>
  <c r="H571" i="5"/>
  <c r="H569" i="5"/>
  <c r="H531" i="5"/>
  <c r="H517" i="5"/>
  <c r="H802" i="4"/>
  <c r="H793" i="4"/>
  <c r="H451" i="5"/>
  <c r="H777" i="4"/>
  <c r="H776" i="4"/>
  <c r="H432" i="5"/>
  <c r="H260" i="5"/>
  <c r="H262" i="5"/>
  <c r="H746" i="4"/>
  <c r="H190" i="5"/>
  <c r="H964" i="5"/>
  <c r="H734" i="4"/>
  <c r="H419" i="5"/>
  <c r="H403" i="5"/>
  <c r="H393" i="5"/>
  <c r="H382" i="5"/>
  <c r="H699" i="4"/>
  <c r="H373" i="5"/>
  <c r="H375" i="5"/>
  <c r="H357" i="5"/>
  <c r="H355" i="5"/>
  <c r="H351" i="5"/>
  <c r="H353" i="5"/>
  <c r="H336" i="5"/>
  <c r="H338" i="5"/>
  <c r="H319" i="5"/>
  <c r="H318" i="5" s="1"/>
  <c r="H243" i="5"/>
  <c r="H245" i="5"/>
  <c r="H237" i="5"/>
  <c r="H235" i="5"/>
  <c r="H233" i="5"/>
  <c r="H231" i="5"/>
  <c r="H181" i="5"/>
  <c r="H177" i="5"/>
  <c r="H311" i="5"/>
  <c r="H305" i="5"/>
  <c r="H304" i="5"/>
  <c r="H302" i="5"/>
  <c r="H584" i="4"/>
  <c r="H265" i="5"/>
  <c r="H214" i="5"/>
  <c r="H216" i="5"/>
  <c r="H209" i="5"/>
  <c r="H208" i="5"/>
  <c r="H206" i="5"/>
  <c r="H204" i="5"/>
  <c r="H202" i="5"/>
  <c r="H173" i="5"/>
  <c r="H175" i="5"/>
  <c r="H561" i="4"/>
  <c r="H501" i="4"/>
  <c r="H479" i="4"/>
  <c r="H478" i="4" s="1"/>
  <c r="H83" i="5"/>
  <c r="H81" i="5"/>
  <c r="H70" i="5"/>
  <c r="H62" i="5"/>
  <c r="H429" i="4"/>
  <c r="H979" i="5"/>
  <c r="H773" i="5"/>
  <c r="H683" i="5"/>
  <c r="H671" i="5"/>
  <c r="H664" i="5"/>
  <c r="H645" i="5"/>
  <c r="H375" i="4"/>
  <c r="H628" i="5"/>
  <c r="H621" i="5"/>
  <c r="H623" i="5"/>
  <c r="H616" i="5"/>
  <c r="H614" i="5"/>
  <c r="H611" i="5"/>
  <c r="H613" i="5"/>
  <c r="H353" i="4"/>
  <c r="H59" i="5"/>
  <c r="H57" i="5"/>
  <c r="H52" i="5"/>
  <c r="H50" i="5"/>
  <c r="H49" i="5"/>
  <c r="H47" i="5"/>
  <c r="H735" i="5"/>
  <c r="H293" i="4"/>
  <c r="H711" i="5"/>
  <c r="H281" i="4"/>
  <c r="H699" i="5"/>
  <c r="H126" i="5"/>
  <c r="H128" i="5"/>
  <c r="H226" i="4"/>
  <c r="H913" i="5"/>
  <c r="H218" i="4"/>
  <c r="H155" i="5"/>
  <c r="H208" i="4"/>
  <c r="H508" i="5"/>
  <c r="H459" i="5"/>
  <c r="H179" i="4"/>
  <c r="H859" i="5"/>
  <c r="H857" i="5"/>
  <c r="H850" i="5"/>
  <c r="H852" i="5"/>
  <c r="H145" i="4"/>
  <c r="H1019" i="5"/>
  <c r="H1020" i="5"/>
  <c r="H998" i="5"/>
  <c r="H948" i="5"/>
  <c r="H109" i="4"/>
  <c r="H98" i="4"/>
  <c r="H88" i="4"/>
  <c r="H45" i="4"/>
  <c r="H14" i="4"/>
  <c r="G92" i="3"/>
  <c r="H74" i="4"/>
  <c r="H1012" i="5"/>
  <c r="H1011" i="5"/>
  <c r="H1166" i="4"/>
  <c r="H631" i="4"/>
  <c r="H449" i="4"/>
  <c r="H1219" i="4"/>
  <c r="H1216" i="4"/>
  <c r="H952" i="4"/>
  <c r="H1231" i="4"/>
  <c r="G798" i="4"/>
  <c r="I798" i="4" s="1"/>
  <c r="G796" i="4"/>
  <c r="I796" i="4" s="1"/>
  <c r="H833" i="4" l="1"/>
  <c r="H1053" i="4"/>
  <c r="H879" i="4"/>
  <c r="H619" i="4"/>
  <c r="H719" i="5"/>
  <c r="H718" i="5" s="1"/>
  <c r="H1247" i="4"/>
  <c r="H939" i="4"/>
  <c r="H1186" i="4"/>
  <c r="H185" i="4"/>
  <c r="H324" i="4"/>
  <c r="H419" i="4"/>
  <c r="H1174" i="4"/>
  <c r="H518" i="4"/>
  <c r="H1104" i="4"/>
  <c r="H1157" i="4"/>
  <c r="H967" i="4"/>
  <c r="H137" i="4"/>
  <c r="H1199" i="4"/>
  <c r="H745" i="4"/>
  <c r="H744" i="4" s="1"/>
  <c r="H251" i="4"/>
  <c r="H1213" i="4"/>
  <c r="H195" i="4"/>
  <c r="H548" i="4"/>
  <c r="G367" i="3"/>
  <c r="G510" i="3"/>
  <c r="G442" i="3"/>
  <c r="H728" i="5"/>
  <c r="H359" i="5"/>
  <c r="H761" i="5"/>
  <c r="H557" i="5"/>
  <c r="H145" i="5"/>
  <c r="H426" i="5"/>
  <c r="G43" i="3"/>
  <c r="G12" i="3"/>
  <c r="G688" i="3"/>
  <c r="G893" i="3"/>
  <c r="G202" i="3"/>
  <c r="G786" i="3"/>
  <c r="G1075" i="3"/>
  <c r="H482" i="5"/>
  <c r="G811" i="3"/>
  <c r="G561" i="3"/>
  <c r="G676" i="3"/>
  <c r="G336" i="3"/>
  <c r="G838" i="3"/>
  <c r="G815" i="3"/>
  <c r="G385" i="3"/>
  <c r="G942" i="3"/>
  <c r="G669" i="3"/>
  <c r="G517" i="3"/>
  <c r="G23" i="3"/>
  <c r="G872" i="3"/>
  <c r="G353" i="3"/>
  <c r="G179" i="3"/>
  <c r="G178" i="3" s="1"/>
  <c r="G150" i="3"/>
  <c r="G591" i="3"/>
  <c r="G968" i="3"/>
  <c r="G627" i="3"/>
  <c r="G614" i="3"/>
  <c r="G409" i="3"/>
  <c r="G401" i="3"/>
  <c r="G221" i="3"/>
  <c r="G471" i="3"/>
  <c r="G992" i="3"/>
  <c r="G428" i="3"/>
  <c r="G91" i="3"/>
  <c r="G574" i="3"/>
  <c r="G855" i="3"/>
  <c r="G928" i="3"/>
  <c r="G228" i="3"/>
  <c r="H497" i="5"/>
  <c r="G544" i="3"/>
  <c r="G714" i="3"/>
  <c r="G844" i="3"/>
  <c r="G87" i="3"/>
  <c r="G321" i="3"/>
  <c r="G393" i="3"/>
  <c r="H226" i="5"/>
  <c r="H463" i="5"/>
  <c r="H458" i="5" s="1"/>
  <c r="G641" i="3"/>
  <c r="G763" i="3"/>
  <c r="G947" i="3"/>
  <c r="G300" i="3"/>
  <c r="G648" i="3"/>
  <c r="G307" i="3"/>
  <c r="G978" i="3"/>
  <c r="H833" i="5"/>
  <c r="G397" i="3"/>
  <c r="G963" i="3"/>
  <c r="G59" i="3"/>
  <c r="G655" i="3"/>
  <c r="G171" i="3"/>
  <c r="G115" i="3"/>
  <c r="G952" i="3"/>
  <c r="H878" i="5"/>
  <c r="G749" i="3"/>
  <c r="G1044" i="3"/>
  <c r="G634" i="3"/>
  <c r="H136" i="5"/>
  <c r="G1032" i="3"/>
  <c r="G662" i="3"/>
  <c r="G935" i="3"/>
  <c r="G1099" i="3"/>
  <c r="G106" i="3"/>
  <c r="G389" i="3"/>
  <c r="G956" i="3"/>
  <c r="G326" i="3"/>
  <c r="G267" i="3"/>
  <c r="H899" i="5"/>
  <c r="G792" i="3"/>
  <c r="G32" i="3"/>
  <c r="H238" i="5"/>
  <c r="H39" i="5"/>
  <c r="G254" i="3"/>
  <c r="G998" i="3"/>
  <c r="G683" i="3"/>
  <c r="H906" i="5"/>
  <c r="G1049" i="3"/>
  <c r="H892" i="5"/>
  <c r="G206" i="3"/>
  <c r="G501" i="3"/>
  <c r="G294" i="3"/>
  <c r="G235" i="3"/>
  <c r="G986" i="3"/>
  <c r="G554" i="3"/>
  <c r="H140" i="5"/>
  <c r="G1025" i="3"/>
  <c r="G287" i="3"/>
  <c r="G97" i="3"/>
  <c r="H159" i="5"/>
  <c r="G848" i="3"/>
  <c r="G420" i="3"/>
  <c r="G139" i="3"/>
  <c r="G160" i="3"/>
  <c r="G883" i="3"/>
  <c r="G273" i="3"/>
  <c r="G465" i="3"/>
  <c r="G464" i="3"/>
  <c r="H478" i="5"/>
  <c r="G128" i="3"/>
  <c r="G314" i="3"/>
  <c r="G457" i="3"/>
  <c r="G899" i="3"/>
  <c r="G492" i="3"/>
  <c r="H822" i="5"/>
  <c r="H114" i="5"/>
  <c r="G413" i="3"/>
  <c r="H793" i="5"/>
  <c r="G405" i="3"/>
  <c r="H864" i="5"/>
  <c r="G1055" i="3"/>
  <c r="G972" i="3"/>
  <c r="G718" i="3"/>
  <c r="G216" i="3"/>
  <c r="G566" i="3"/>
  <c r="G1085" i="3"/>
  <c r="G915" i="3"/>
  <c r="G581" i="3"/>
  <c r="H118" i="5"/>
  <c r="G868" i="3"/>
  <c r="G700" i="3"/>
  <c r="G534" i="3"/>
  <c r="G780" i="3"/>
  <c r="G261" i="3"/>
  <c r="G801" i="3"/>
  <c r="G1063" i="3"/>
  <c r="H755" i="5"/>
  <c r="H1109" i="4"/>
  <c r="H1065" i="4"/>
  <c r="H885" i="5"/>
  <c r="H1023" i="4"/>
  <c r="H1243" i="4" s="1"/>
  <c r="H871" i="5"/>
  <c r="H973" i="4"/>
  <c r="H18" i="5"/>
  <c r="H920" i="4"/>
  <c r="H582" i="5"/>
  <c r="H898" i="4"/>
  <c r="H889" i="4"/>
  <c r="H570" i="5"/>
  <c r="H545" i="5"/>
  <c r="H530" i="5"/>
  <c r="H832" i="4"/>
  <c r="H516" i="5"/>
  <c r="H792" i="4"/>
  <c r="H446" i="5"/>
  <c r="H782" i="4"/>
  <c r="H1245" i="4"/>
  <c r="H259" i="5"/>
  <c r="H189" i="5"/>
  <c r="H402" i="5"/>
  <c r="H392" i="5"/>
  <c r="H381" i="5"/>
  <c r="H372" i="5"/>
  <c r="H354" i="5"/>
  <c r="H350" i="5"/>
  <c r="H337" i="5"/>
  <c r="H317" i="5"/>
  <c r="H242" i="5"/>
  <c r="H234" i="5"/>
  <c r="H230" i="5"/>
  <c r="H630" i="4"/>
  <c r="H176" i="5"/>
  <c r="H301" i="5"/>
  <c r="H279" i="5"/>
  <c r="H264" i="5"/>
  <c r="H213" i="5"/>
  <c r="H205" i="5"/>
  <c r="H201" i="5"/>
  <c r="H172" i="5"/>
  <c r="H560" i="4"/>
  <c r="H500" i="4"/>
  <c r="H477" i="4"/>
  <c r="H86" i="5"/>
  <c r="H84" i="5"/>
  <c r="H80" i="5"/>
  <c r="H68" i="5"/>
  <c r="H69" i="5"/>
  <c r="H448" i="4"/>
  <c r="H61" i="5"/>
  <c r="H978" i="5"/>
  <c r="H772" i="5"/>
  <c r="H682" i="5"/>
  <c r="H644" i="5"/>
  <c r="H374" i="4"/>
  <c r="H627" i="5"/>
  <c r="H620" i="5"/>
  <c r="H610" i="5"/>
  <c r="H344" i="4"/>
  <c r="H594" i="5"/>
  <c r="H56" i="5"/>
  <c r="H46" i="5"/>
  <c r="H280" i="4"/>
  <c r="H279" i="4" s="1"/>
  <c r="H698" i="5"/>
  <c r="H125" i="5"/>
  <c r="H250" i="4"/>
  <c r="H912" i="5"/>
  <c r="H1244" i="4"/>
  <c r="H154" i="5"/>
  <c r="H217" i="4"/>
  <c r="H207" i="4"/>
  <c r="H1222" i="4"/>
  <c r="H507" i="5"/>
  <c r="H1210" i="4"/>
  <c r="H178" i="4"/>
  <c r="H856" i="5"/>
  <c r="H849" i="5"/>
  <c r="H144" i="4"/>
  <c r="H1026" i="5"/>
  <c r="H997" i="5"/>
  <c r="H947" i="5"/>
  <c r="H108" i="4"/>
  <c r="H97" i="4"/>
  <c r="H87" i="4"/>
  <c r="H1205" i="4"/>
  <c r="H28" i="4"/>
  <c r="H13" i="4"/>
  <c r="H69" i="4"/>
  <c r="H1235" i="4" s="1"/>
  <c r="H470" i="5"/>
  <c r="H1018" i="5"/>
  <c r="H343" i="4"/>
  <c r="G567" i="4"/>
  <c r="I567" i="4" s="1"/>
  <c r="G594" i="4"/>
  <c r="I594" i="4" s="1"/>
  <c r="H1103" i="4" l="1"/>
  <c r="H1057" i="4" s="1"/>
  <c r="H547" i="4"/>
  <c r="H1234" i="4"/>
  <c r="H1206" i="4"/>
  <c r="H323" i="4"/>
  <c r="H1052" i="4"/>
  <c r="H966" i="4"/>
  <c r="H1185" i="4"/>
  <c r="H418" i="4"/>
  <c r="H1240" i="4"/>
  <c r="H194" i="4"/>
  <c r="H1156" i="4"/>
  <c r="H517" i="4"/>
  <c r="H938" i="4"/>
  <c r="H1207" i="4" s="1"/>
  <c r="H425" i="5"/>
  <c r="H144" i="5"/>
  <c r="H556" i="5"/>
  <c r="G829" i="3"/>
  <c r="G914" i="3"/>
  <c r="G138" i="3"/>
  <c r="G227" i="3"/>
  <c r="G427" i="3"/>
  <c r="G220" i="3"/>
  <c r="H891" i="5"/>
  <c r="G791" i="3"/>
  <c r="G325" i="3"/>
  <c r="G1043" i="3"/>
  <c r="G105" i="3"/>
  <c r="G613" i="3"/>
  <c r="G509" i="3"/>
  <c r="G384" i="3"/>
  <c r="G800" i="3"/>
  <c r="G859" i="3"/>
  <c r="G580" i="3"/>
  <c r="G127" i="3"/>
  <c r="G272" i="3"/>
  <c r="G271" i="3" s="1"/>
  <c r="E25" i="2" s="1"/>
  <c r="G286" i="3"/>
  <c r="G31" i="3"/>
  <c r="G695" i="3"/>
  <c r="G951" i="3"/>
  <c r="G86" i="3"/>
  <c r="G470" i="3"/>
  <c r="H34" i="5"/>
  <c r="H33" i="5" s="1"/>
  <c r="H32" i="5" s="1"/>
  <c r="G941" i="3"/>
  <c r="G1074" i="3"/>
  <c r="G201" i="3"/>
  <c r="G772" i="3"/>
  <c r="G771" i="3" s="1"/>
  <c r="G713" i="3"/>
  <c r="H788" i="5"/>
  <c r="G898" i="3"/>
  <c r="G762" i="3"/>
  <c r="G22" i="3"/>
  <c r="G1054" i="3"/>
  <c r="H810" i="5"/>
  <c r="H809" i="5" s="1"/>
  <c r="H808" i="5" s="1"/>
  <c r="G441" i="3"/>
  <c r="H477" i="5"/>
  <c r="G985" i="3"/>
  <c r="G977" i="3" s="1"/>
  <c r="H905" i="5"/>
  <c r="G253" i="3"/>
  <c r="G266" i="3"/>
  <c r="G1098" i="3"/>
  <c r="H877" i="5"/>
  <c r="G299" i="3"/>
  <c r="H496" i="5"/>
  <c r="H832" i="5"/>
  <c r="H831" i="5" s="1"/>
  <c r="G1062" i="3"/>
  <c r="G533" i="3"/>
  <c r="G1084" i="3"/>
  <c r="G215" i="3"/>
  <c r="E44" i="2"/>
  <c r="H863" i="5"/>
  <c r="H113" i="5"/>
  <c r="G482" i="3"/>
  <c r="G419" i="3"/>
  <c r="G234" i="3"/>
  <c r="G293" i="3"/>
  <c r="G1048" i="3"/>
  <c r="G997" i="3"/>
  <c r="H898" i="5"/>
  <c r="G934" i="3"/>
  <c r="H135" i="5"/>
  <c r="H133" i="5"/>
  <c r="G170" i="3"/>
  <c r="G962" i="3"/>
  <c r="G946" i="3"/>
  <c r="G927" i="3"/>
  <c r="G573" i="3"/>
  <c r="G967" i="3"/>
  <c r="G726" i="3"/>
  <c r="G352" i="3"/>
  <c r="G810" i="3"/>
  <c r="G335" i="3"/>
  <c r="G42" i="3"/>
  <c r="H167" i="5"/>
  <c r="H166" i="5" s="1"/>
  <c r="H1108" i="4"/>
  <c r="H1241" i="4"/>
  <c r="H884" i="5"/>
  <c r="H870" i="5"/>
  <c r="H10" i="5"/>
  <c r="H919" i="4"/>
  <c r="H581" i="5"/>
  <c r="H827" i="4"/>
  <c r="H826" i="4" s="1"/>
  <c r="H515" i="5"/>
  <c r="H1238" i="4"/>
  <c r="H791" i="4"/>
  <c r="H445" i="5"/>
  <c r="H781" i="4"/>
  <c r="H246" i="5"/>
  <c r="H391" i="5"/>
  <c r="H380" i="5"/>
  <c r="H371" i="5"/>
  <c r="H349" i="5"/>
  <c r="H347" i="5"/>
  <c r="H217" i="5"/>
  <c r="H629" i="4"/>
  <c r="H296" i="5"/>
  <c r="H196" i="5"/>
  <c r="H559" i="4"/>
  <c r="H499" i="4"/>
  <c r="H476" i="4"/>
  <c r="H85" i="5"/>
  <c r="H79" i="5"/>
  <c r="H75" i="5"/>
  <c r="H60" i="5"/>
  <c r="H447" i="4"/>
  <c r="H957" i="5"/>
  <c r="H754" i="5"/>
  <c r="H681" i="5"/>
  <c r="H643" i="5"/>
  <c r="H626" i="5"/>
  <c r="H624" i="5"/>
  <c r="H630" i="5"/>
  <c r="H617" i="5"/>
  <c r="H607" i="5"/>
  <c r="H609" i="5"/>
  <c r="H342" i="4"/>
  <c r="H55" i="5"/>
  <c r="H53" i="5"/>
  <c r="H45" i="5"/>
  <c r="H278" i="4"/>
  <c r="H1239" i="4"/>
  <c r="H697" i="5"/>
  <c r="H249" i="4"/>
  <c r="H122" i="5"/>
  <c r="H124" i="5"/>
  <c r="H911" i="5"/>
  <c r="H216" i="4"/>
  <c r="H153" i="5"/>
  <c r="H206" i="4"/>
  <c r="H505" i="5"/>
  <c r="H506" i="5"/>
  <c r="H457" i="5"/>
  <c r="H177" i="4"/>
  <c r="H855" i="5"/>
  <c r="H844" i="5"/>
  <c r="H996" i="5"/>
  <c r="H946" i="5"/>
  <c r="H107" i="4"/>
  <c r="H96" i="4"/>
  <c r="H12" i="4"/>
  <c r="H27" i="4"/>
  <c r="H469" i="5"/>
  <c r="H468" i="5"/>
  <c r="C12" i="7"/>
  <c r="H516" i="4" l="1"/>
  <c r="I578" i="3"/>
  <c r="H1155" i="4"/>
  <c r="H945" i="4"/>
  <c r="H322" i="4"/>
  <c r="I990" i="3"/>
  <c r="H990" i="4"/>
  <c r="I232" i="3"/>
  <c r="H1246" i="4"/>
  <c r="G41" i="3"/>
  <c r="E14" i="2" s="1"/>
  <c r="H431" i="5"/>
  <c r="H424" i="5"/>
  <c r="H112" i="5"/>
  <c r="G265" i="3"/>
  <c r="H904" i="5"/>
  <c r="G579" i="3"/>
  <c r="G508" i="3"/>
  <c r="H890" i="5"/>
  <c r="H134" i="5"/>
  <c r="G30" i="3"/>
  <c r="G169" i="3"/>
  <c r="G1083" i="3"/>
  <c r="G298" i="3"/>
  <c r="H876" i="5"/>
  <c r="G252" i="3"/>
  <c r="G940" i="3"/>
  <c r="G126" i="3"/>
  <c r="G11" i="3"/>
  <c r="G426" i="3"/>
  <c r="G418" i="3" s="1"/>
  <c r="E30" i="2" s="1"/>
  <c r="G828" i="3"/>
  <c r="G334" i="3"/>
  <c r="G933" i="3"/>
  <c r="H862" i="5"/>
  <c r="H787" i="5"/>
  <c r="E45" i="2"/>
  <c r="G351" i="3"/>
  <c r="G996" i="3"/>
  <c r="G233" i="3"/>
  <c r="H495" i="5"/>
  <c r="H476" i="5"/>
  <c r="G790" i="3"/>
  <c r="G725" i="3"/>
  <c r="G926" i="3"/>
  <c r="H897" i="5"/>
  <c r="G469" i="3"/>
  <c r="G1053" i="3"/>
  <c r="G694" i="3"/>
  <c r="G799" i="3"/>
  <c r="G104" i="3"/>
  <c r="G226" i="3"/>
  <c r="H830" i="5"/>
  <c r="H883" i="5"/>
  <c r="H869" i="5"/>
  <c r="H818" i="4"/>
  <c r="H1223" i="4"/>
  <c r="H1224" i="4" s="1"/>
  <c r="H514" i="5"/>
  <c r="H444" i="5"/>
  <c r="H370" i="5"/>
  <c r="H348" i="5"/>
  <c r="H295" i="5"/>
  <c r="H195" i="5"/>
  <c r="H558" i="4"/>
  <c r="H1233" i="4"/>
  <c r="H165" i="5"/>
  <c r="H1226" i="4"/>
  <c r="H78" i="5"/>
  <c r="H67" i="5"/>
  <c r="H753" i="5"/>
  <c r="H642" i="5"/>
  <c r="H619" i="5"/>
  <c r="H618" i="5" s="1"/>
  <c r="H625" i="5"/>
  <c r="H593" i="5"/>
  <c r="H608" i="5"/>
  <c r="H341" i="4"/>
  <c r="I826" i="3" s="1"/>
  <c r="H54" i="5"/>
  <c r="H44" i="5"/>
  <c r="H696" i="5"/>
  <c r="H248" i="4"/>
  <c r="H123" i="5"/>
  <c r="H910" i="5"/>
  <c r="H215" i="4"/>
  <c r="H152" i="5"/>
  <c r="H193" i="4"/>
  <c r="I932" i="3" s="1"/>
  <c r="H456" i="5"/>
  <c r="H455" i="5"/>
  <c r="H163" i="4"/>
  <c r="I251" i="3" s="1"/>
  <c r="H854" i="5"/>
  <c r="H843" i="5"/>
  <c r="H945" i="5"/>
  <c r="H26" i="4"/>
  <c r="H11" i="4"/>
  <c r="G1003" i="4"/>
  <c r="I1003" i="4" s="1"/>
  <c r="G506" i="4"/>
  <c r="I506" i="4" s="1"/>
  <c r="C66" i="1"/>
  <c r="E66" i="1" s="1"/>
  <c r="H918" i="4" l="1"/>
  <c r="H1154" i="4"/>
  <c r="H1251" i="4"/>
  <c r="H1045" i="5" s="1"/>
  <c r="H972" i="4"/>
  <c r="H498" i="4"/>
  <c r="H497" i="4" s="1"/>
  <c r="H321" i="4"/>
  <c r="H1232" i="4"/>
  <c r="G333" i="3"/>
  <c r="G770" i="3"/>
  <c r="E36" i="2" s="1"/>
  <c r="G232" i="3"/>
  <c r="E21" i="2"/>
  <c r="E12" i="2"/>
  <c r="E13" i="2"/>
  <c r="G578" i="3"/>
  <c r="E24" i="2"/>
  <c r="E15" i="2"/>
  <c r="G693" i="3"/>
  <c r="G991" i="3"/>
  <c r="E29" i="2"/>
  <c r="E28" i="2"/>
  <c r="H889" i="5"/>
  <c r="E37" i="2"/>
  <c r="E31" i="2"/>
  <c r="G827" i="3"/>
  <c r="G939" i="3"/>
  <c r="G932" i="3" s="1"/>
  <c r="G1082" i="3"/>
  <c r="E50" i="2"/>
  <c r="H111" i="5"/>
  <c r="G137" i="3"/>
  <c r="E17" i="2" s="1"/>
  <c r="H861" i="5"/>
  <c r="G903" i="3"/>
  <c r="E40" i="2" s="1"/>
  <c r="E16" i="2"/>
  <c r="E23" i="2"/>
  <c r="G225" i="3"/>
  <c r="E48" i="2"/>
  <c r="H896" i="5"/>
  <c r="H475" i="5"/>
  <c r="H494" i="5"/>
  <c r="H786" i="5"/>
  <c r="H785" i="5"/>
  <c r="E42" i="2"/>
  <c r="H875" i="5"/>
  <c r="G507" i="3"/>
  <c r="G285" i="3"/>
  <c r="H903" i="5"/>
  <c r="H807" i="5"/>
  <c r="H882" i="5"/>
  <c r="H868" i="5"/>
  <c r="H513" i="5"/>
  <c r="H443" i="5"/>
  <c r="H369" i="5"/>
  <c r="H294" i="5"/>
  <c r="H194" i="5"/>
  <c r="H557" i="4"/>
  <c r="H1203" i="4"/>
  <c r="H1204" i="4" s="1"/>
  <c r="H77" i="5"/>
  <c r="H76" i="5"/>
  <c r="H1217" i="4"/>
  <c r="H1218" i="4" s="1"/>
  <c r="H43" i="5"/>
  <c r="H592" i="5"/>
  <c r="H151" i="5"/>
  <c r="H1220" i="4"/>
  <c r="H1221" i="4" s="1"/>
  <c r="H1208" i="4"/>
  <c r="H1209" i="4" s="1"/>
  <c r="H853" i="5"/>
  <c r="H842" i="5"/>
  <c r="H25" i="4"/>
  <c r="H10" i="4"/>
  <c r="G1190" i="4"/>
  <c r="I1190" i="4" s="1"/>
  <c r="G1179" i="4"/>
  <c r="I1179" i="4" s="1"/>
  <c r="G1160" i="4"/>
  <c r="I1160" i="4" s="1"/>
  <c r="G930" i="4"/>
  <c r="I930" i="4" s="1"/>
  <c r="G928" i="4"/>
  <c r="I928" i="4" s="1"/>
  <c r="I10" i="3" l="1"/>
  <c r="H784" i="5"/>
  <c r="H277" i="4"/>
  <c r="I333" i="3"/>
  <c r="H1211" i="4"/>
  <c r="H1212" i="4" s="1"/>
  <c r="H1153" i="4"/>
  <c r="I506" i="3"/>
  <c r="H110" i="5"/>
  <c r="H30" i="5" s="1"/>
  <c r="E27" i="2"/>
  <c r="G990" i="3"/>
  <c r="E47" i="2"/>
  <c r="E35" i="2"/>
  <c r="E11" i="2"/>
  <c r="E49" i="2"/>
  <c r="G506" i="3"/>
  <c r="J506" i="3" s="1"/>
  <c r="E33" i="2"/>
  <c r="E43" i="2"/>
  <c r="G251" i="3"/>
  <c r="E26" i="2"/>
  <c r="H467" i="5"/>
  <c r="G826" i="3"/>
  <c r="E39" i="2"/>
  <c r="E34" i="2"/>
  <c r="G10" i="3"/>
  <c r="E20" i="2"/>
  <c r="H860" i="5"/>
  <c r="H316" i="5"/>
  <c r="H263" i="5"/>
  <c r="H164" i="5"/>
  <c r="H546" i="4"/>
  <c r="H31" i="5"/>
  <c r="H841" i="5"/>
  <c r="C61" i="1"/>
  <c r="E61" i="1" s="1"/>
  <c r="C68" i="1"/>
  <c r="E68" i="1" s="1"/>
  <c r="H214" i="4" l="1"/>
  <c r="H1214" i="4"/>
  <c r="E38" i="2"/>
  <c r="E41" i="2"/>
  <c r="E22" i="2"/>
  <c r="E46" i="2"/>
  <c r="E32" i="2"/>
  <c r="G1103" i="3"/>
  <c r="H163" i="5"/>
  <c r="H1043" i="5" s="1"/>
  <c r="H1046" i="5" s="1"/>
  <c r="G978" i="4"/>
  <c r="I978" i="4" s="1"/>
  <c r="G1113" i="4"/>
  <c r="I1113" i="4" s="1"/>
  <c r="G1031" i="4"/>
  <c r="I1031" i="4" s="1"/>
  <c r="G336" i="4"/>
  <c r="I336" i="4" s="1"/>
  <c r="G327" i="4"/>
  <c r="I327" i="4" s="1"/>
  <c r="G1070" i="4"/>
  <c r="I1070" i="4" s="1"/>
  <c r="G1062" i="4"/>
  <c r="I1062" i="4" s="1"/>
  <c r="G564" i="4"/>
  <c r="I564" i="4" s="1"/>
  <c r="G995" i="4"/>
  <c r="I995" i="4" s="1"/>
  <c r="G1084" i="4"/>
  <c r="I1084" i="4" s="1"/>
  <c r="G1011" i="4"/>
  <c r="I1011" i="4" s="1"/>
  <c r="G1009" i="4"/>
  <c r="I1009" i="4" s="1"/>
  <c r="G56" i="4"/>
  <c r="I56" i="4" s="1"/>
  <c r="G58" i="4"/>
  <c r="I58" i="4" s="1"/>
  <c r="H1215" i="4" l="1"/>
  <c r="H1228" i="4" s="1"/>
  <c r="H1227" i="4"/>
  <c r="H1196" i="4"/>
  <c r="G1104" i="3" s="1"/>
  <c r="G1105" i="3" s="1"/>
  <c r="E51" i="2"/>
  <c r="D23" i="7" s="1"/>
  <c r="D24" i="7" s="1"/>
  <c r="D15" i="7" s="1"/>
  <c r="G411" i="5"/>
  <c r="G407" i="5"/>
  <c r="F675" i="3"/>
  <c r="F672" i="3"/>
  <c r="G722" i="4"/>
  <c r="G725" i="4"/>
  <c r="G724" i="4" l="1"/>
  <c r="I724" i="4" s="1"/>
  <c r="I725" i="4"/>
  <c r="G721" i="4"/>
  <c r="I721" i="4" s="1"/>
  <c r="I722" i="4"/>
  <c r="E52" i="2"/>
  <c r="E53" i="2" s="1"/>
  <c r="H1229" i="4"/>
  <c r="D16" i="7"/>
  <c r="D14" i="7"/>
  <c r="D11" i="7" s="1"/>
  <c r="H1198" i="4"/>
  <c r="G410" i="5"/>
  <c r="I411" i="5"/>
  <c r="G406" i="5"/>
  <c r="I407" i="5"/>
  <c r="F671" i="3"/>
  <c r="H672" i="3"/>
  <c r="F674" i="3"/>
  <c r="H675" i="3"/>
  <c r="E55" i="2"/>
  <c r="G412" i="5"/>
  <c r="I412" i="5" s="1"/>
  <c r="G408" i="5"/>
  <c r="I408" i="5" s="1"/>
  <c r="G396" i="5"/>
  <c r="G400" i="5"/>
  <c r="G389" i="5"/>
  <c r="G385" i="5"/>
  <c r="F668" i="3"/>
  <c r="H668" i="3" s="1"/>
  <c r="F665" i="3"/>
  <c r="F661" i="3"/>
  <c r="F658" i="3"/>
  <c r="G718" i="4"/>
  <c r="G715" i="4"/>
  <c r="G711" i="4"/>
  <c r="G708" i="4"/>
  <c r="G717" i="4" l="1"/>
  <c r="I717" i="4" s="1"/>
  <c r="I718" i="4"/>
  <c r="G714" i="4"/>
  <c r="I714" i="4" s="1"/>
  <c r="I715" i="4"/>
  <c r="G707" i="4"/>
  <c r="I707" i="4" s="1"/>
  <c r="I708" i="4"/>
  <c r="G710" i="4"/>
  <c r="I710" i="4" s="1"/>
  <c r="I711" i="4"/>
  <c r="G720" i="4"/>
  <c r="I720" i="4" s="1"/>
  <c r="G401" i="5"/>
  <c r="I401" i="5" s="1"/>
  <c r="I400" i="5"/>
  <c r="G405" i="5"/>
  <c r="I406" i="5"/>
  <c r="G395" i="5"/>
  <c r="I396" i="5"/>
  <c r="G388" i="5"/>
  <c r="I389" i="5"/>
  <c r="G386" i="5"/>
  <c r="I386" i="5" s="1"/>
  <c r="I385" i="5"/>
  <c r="G409" i="5"/>
  <c r="I409" i="5" s="1"/>
  <c r="I410" i="5"/>
  <c r="F667" i="3"/>
  <c r="F666" i="3" s="1"/>
  <c r="H666" i="3" s="1"/>
  <c r="F673" i="3"/>
  <c r="H673" i="3" s="1"/>
  <c r="H674" i="3"/>
  <c r="F657" i="3"/>
  <c r="H658" i="3"/>
  <c r="F660" i="3"/>
  <c r="H661" i="3"/>
  <c r="F664" i="3"/>
  <c r="H665" i="3"/>
  <c r="F670" i="3"/>
  <c r="H671" i="3"/>
  <c r="G399" i="5"/>
  <c r="G397" i="5"/>
  <c r="I397" i="5" s="1"/>
  <c r="G390" i="5"/>
  <c r="I390" i="5" s="1"/>
  <c r="G384" i="5"/>
  <c r="G713" i="4"/>
  <c r="I713" i="4" s="1"/>
  <c r="G150" i="4"/>
  <c r="I150" i="4" s="1"/>
  <c r="G103" i="4"/>
  <c r="I103" i="4" s="1"/>
  <c r="H667" i="3" l="1"/>
  <c r="G706" i="4"/>
  <c r="I706" i="4" s="1"/>
  <c r="G387" i="5"/>
  <c r="I387" i="5" s="1"/>
  <c r="I388" i="5"/>
  <c r="G404" i="5"/>
  <c r="I405" i="5"/>
  <c r="G398" i="5"/>
  <c r="I399" i="5"/>
  <c r="G383" i="5"/>
  <c r="I384" i="5"/>
  <c r="G394" i="5"/>
  <c r="I394" i="5" s="1"/>
  <c r="I395" i="5"/>
  <c r="H670" i="3"/>
  <c r="F669" i="3"/>
  <c r="H669" i="3" s="1"/>
  <c r="F659" i="3"/>
  <c r="H659" i="3" s="1"/>
  <c r="H660" i="3"/>
  <c r="F663" i="3"/>
  <c r="H664" i="3"/>
  <c r="F656" i="3"/>
  <c r="H657" i="3"/>
  <c r="G1195" i="4"/>
  <c r="I1195" i="4" s="1"/>
  <c r="G403" i="5" l="1"/>
  <c r="I404" i="5"/>
  <c r="G382" i="5"/>
  <c r="I383" i="5"/>
  <c r="G393" i="5"/>
  <c r="I398" i="5"/>
  <c r="H656" i="3"/>
  <c r="F655" i="3"/>
  <c r="H655" i="3" s="1"/>
  <c r="H663" i="3"/>
  <c r="F662" i="3"/>
  <c r="H662" i="3" s="1"/>
  <c r="G635" i="4"/>
  <c r="I635" i="4" s="1"/>
  <c r="G381" i="5" l="1"/>
  <c r="I382" i="5"/>
  <c r="G392" i="5"/>
  <c r="I393" i="5"/>
  <c r="G402" i="5"/>
  <c r="I402" i="5" s="1"/>
  <c r="I403" i="5"/>
  <c r="G628" i="4"/>
  <c r="I628" i="4" s="1"/>
  <c r="G391" i="5" l="1"/>
  <c r="I391" i="5" s="1"/>
  <c r="I392" i="5"/>
  <c r="G380" i="5"/>
  <c r="I380" i="5" s="1"/>
  <c r="I381" i="5"/>
  <c r="G356" i="4"/>
  <c r="I356" i="4" s="1"/>
  <c r="G932" i="4" l="1"/>
  <c r="I932" i="4" s="1"/>
  <c r="C136" i="1" l="1"/>
  <c r="E136" i="1" s="1"/>
  <c r="F1092" i="3"/>
  <c r="G485" i="4"/>
  <c r="I485" i="4" s="1"/>
  <c r="G484" i="4"/>
  <c r="I484" i="4" s="1"/>
  <c r="G482" i="4"/>
  <c r="I482" i="4" s="1"/>
  <c r="G468" i="4"/>
  <c r="I468" i="4" s="1"/>
  <c r="G437" i="4"/>
  <c r="I437" i="4" s="1"/>
  <c r="G378" i="4"/>
  <c r="I378" i="4" s="1"/>
  <c r="G382" i="4"/>
  <c r="I382" i="4" s="1"/>
  <c r="G352" i="4"/>
  <c r="I352" i="4" s="1"/>
  <c r="G286" i="4"/>
  <c r="I286" i="4" s="1"/>
  <c r="G915" i="4"/>
  <c r="I915" i="4" s="1"/>
  <c r="F1091" i="3" l="1"/>
  <c r="H1091" i="3" s="1"/>
  <c r="H1092" i="3"/>
  <c r="G790" i="4"/>
  <c r="I790" i="4" s="1"/>
  <c r="G782" i="5"/>
  <c r="I782" i="5" s="1"/>
  <c r="F1047" i="3"/>
  <c r="G882" i="4"/>
  <c r="G437" i="5"/>
  <c r="F721" i="3"/>
  <c r="G771" i="4"/>
  <c r="G588" i="4"/>
  <c r="I588" i="4" s="1"/>
  <c r="G671" i="4"/>
  <c r="I671" i="4" s="1"/>
  <c r="G430" i="5"/>
  <c r="G963" i="4"/>
  <c r="I963" i="4" s="1"/>
  <c r="G1107" i="4"/>
  <c r="I1107" i="4" s="1"/>
  <c r="G881" i="4" l="1"/>
  <c r="I882" i="4"/>
  <c r="G770" i="4"/>
  <c r="I770" i="4" s="1"/>
  <c r="I771" i="4"/>
  <c r="G436" i="5"/>
  <c r="I437" i="5"/>
  <c r="G429" i="5"/>
  <c r="I430" i="5"/>
  <c r="F720" i="3"/>
  <c r="H721" i="3"/>
  <c r="F1046" i="3"/>
  <c r="H1047" i="3"/>
  <c r="C120" i="1"/>
  <c r="E120" i="1" s="1"/>
  <c r="G880" i="4" l="1"/>
  <c r="I881" i="4"/>
  <c r="G428" i="5"/>
  <c r="I429" i="5"/>
  <c r="G435" i="5"/>
  <c r="I436" i="5"/>
  <c r="F1045" i="3"/>
  <c r="H1046" i="3"/>
  <c r="F719" i="3"/>
  <c r="H719" i="3" s="1"/>
  <c r="H720" i="3"/>
  <c r="C13" i="1"/>
  <c r="E13" i="1" s="1"/>
  <c r="G879" i="4" l="1"/>
  <c r="I879" i="4" s="1"/>
  <c r="I880" i="4"/>
  <c r="G438" i="5"/>
  <c r="I438" i="5" s="1"/>
  <c r="I435" i="5"/>
  <c r="G427" i="5"/>
  <c r="I428" i="5"/>
  <c r="F1044" i="3"/>
  <c r="H1045" i="3"/>
  <c r="F136" i="3"/>
  <c r="G105" i="4"/>
  <c r="G101" i="4"/>
  <c r="I101" i="4" s="1"/>
  <c r="G104" i="4" l="1"/>
  <c r="I104" i="4" s="1"/>
  <c r="I105" i="4"/>
  <c r="G426" i="5"/>
  <c r="I427" i="5"/>
  <c r="F135" i="3"/>
  <c r="H136" i="3"/>
  <c r="F1043" i="3"/>
  <c r="H1043" i="3" s="1"/>
  <c r="H1044" i="3"/>
  <c r="F425" i="3"/>
  <c r="G1063" i="4"/>
  <c r="I1063" i="4" s="1"/>
  <c r="G425" i="5" l="1"/>
  <c r="I426" i="5"/>
  <c r="F424" i="3"/>
  <c r="H424" i="3" s="1"/>
  <c r="H425" i="3"/>
  <c r="F134" i="3"/>
  <c r="H134" i="3" s="1"/>
  <c r="H135" i="3"/>
  <c r="G674" i="4"/>
  <c r="I674" i="4" s="1"/>
  <c r="I425" i="5" l="1"/>
  <c r="G431" i="5"/>
  <c r="I431" i="5" s="1"/>
  <c r="G1087" i="4"/>
  <c r="I1087" i="4" s="1"/>
  <c r="G1073" i="4"/>
  <c r="I1073" i="4" s="1"/>
  <c r="G1136" i="4"/>
  <c r="I1136" i="4" s="1"/>
  <c r="G422" i="5"/>
  <c r="F682" i="3"/>
  <c r="G732" i="4"/>
  <c r="G731" i="4" l="1"/>
  <c r="I731" i="4" s="1"/>
  <c r="I732" i="4"/>
  <c r="G421" i="5"/>
  <c r="I422" i="5"/>
  <c r="F681" i="3"/>
  <c r="H682" i="3"/>
  <c r="C166" i="1"/>
  <c r="E166" i="1" s="1"/>
  <c r="G420" i="5" l="1"/>
  <c r="I421" i="5"/>
  <c r="F680" i="3"/>
  <c r="H680" i="3" s="1"/>
  <c r="H681" i="3"/>
  <c r="C58" i="1"/>
  <c r="E58" i="1" s="1"/>
  <c r="C57" i="1"/>
  <c r="E57" i="1" s="1"/>
  <c r="C55" i="1"/>
  <c r="E55" i="1" s="1"/>
  <c r="C54" i="1"/>
  <c r="E54" i="1" s="1"/>
  <c r="G423" i="5" l="1"/>
  <c r="I423" i="5" s="1"/>
  <c r="I420" i="5"/>
  <c r="F311" i="14"/>
  <c r="F310" i="14" s="1"/>
  <c r="G567" i="14"/>
  <c r="G566" i="14" s="1"/>
  <c r="G565" i="14" s="1"/>
  <c r="F567" i="14"/>
  <c r="F566" i="14" s="1"/>
  <c r="F565" i="14" s="1"/>
  <c r="G185" i="15"/>
  <c r="G184" i="15" s="1"/>
  <c r="H217" i="16"/>
  <c r="H216" i="16" s="1"/>
  <c r="H215" i="16" s="1"/>
  <c r="H218" i="16" s="1"/>
  <c r="G217" i="16"/>
  <c r="G216" i="16" s="1"/>
  <c r="G215" i="16" s="1"/>
  <c r="G218" i="16" s="1"/>
  <c r="H633" i="15"/>
  <c r="H632" i="15" s="1"/>
  <c r="C138" i="12"/>
  <c r="G633" i="15"/>
  <c r="G632" i="15" s="1"/>
  <c r="G220" i="5"/>
  <c r="G219" i="5" l="1"/>
  <c r="I220" i="5"/>
  <c r="G917" i="4"/>
  <c r="I917" i="4" s="1"/>
  <c r="G218" i="5" l="1"/>
  <c r="I219" i="5"/>
  <c r="G435" i="4"/>
  <c r="I435" i="4" s="1"/>
  <c r="G380" i="4"/>
  <c r="I380" i="4" s="1"/>
  <c r="G221" i="5" l="1"/>
  <c r="I221" i="5" s="1"/>
  <c r="I218" i="5"/>
  <c r="G1173" i="4"/>
  <c r="I1173" i="4" s="1"/>
  <c r="C123" i="1"/>
  <c r="E123" i="1" s="1"/>
  <c r="F569" i="3"/>
  <c r="H569" i="3" s="1"/>
  <c r="F594" i="3"/>
  <c r="G644" i="4"/>
  <c r="F350" i="3"/>
  <c r="G988" i="4"/>
  <c r="F159" i="3"/>
  <c r="G936" i="4"/>
  <c r="G935" i="4" l="1"/>
  <c r="I936" i="4"/>
  <c r="G643" i="4"/>
  <c r="I643" i="4" s="1"/>
  <c r="I644" i="4"/>
  <c r="G987" i="4"/>
  <c r="I987" i="4" s="1"/>
  <c r="I988" i="4"/>
  <c r="F158" i="3"/>
  <c r="H159" i="3"/>
  <c r="F593" i="3"/>
  <c r="H594" i="3"/>
  <c r="F349" i="3"/>
  <c r="H350" i="3"/>
  <c r="G521" i="4"/>
  <c r="I521" i="4" s="1"/>
  <c r="G157" i="4"/>
  <c r="I157" i="4" s="1"/>
  <c r="G112" i="4"/>
  <c r="I112" i="4" s="1"/>
  <c r="G41" i="4"/>
  <c r="I41" i="4" s="1"/>
  <c r="G1089" i="4"/>
  <c r="I1089" i="4" s="1"/>
  <c r="G1134" i="4"/>
  <c r="I1134" i="4" s="1"/>
  <c r="G934" i="4" l="1"/>
  <c r="I935" i="4"/>
  <c r="F592" i="3"/>
  <c r="H592" i="3" s="1"/>
  <c r="H593" i="3"/>
  <c r="F348" i="3"/>
  <c r="H348" i="3" s="1"/>
  <c r="H349" i="3"/>
  <c r="F157" i="3"/>
  <c r="H157" i="3" s="1"/>
  <c r="H158" i="3"/>
  <c r="G909" i="4"/>
  <c r="I909" i="4" s="1"/>
  <c r="G897" i="4"/>
  <c r="I897" i="4" s="1"/>
  <c r="G1152" i="4"/>
  <c r="I1152" i="4" s="1"/>
  <c r="G933" i="4" l="1"/>
  <c r="I933" i="4" s="1"/>
  <c r="I934" i="4"/>
  <c r="G812" i="4"/>
  <c r="I812" i="4" s="1"/>
  <c r="G810" i="4"/>
  <c r="I810" i="4" s="1"/>
  <c r="G496" i="4" l="1"/>
  <c r="I496" i="4" s="1"/>
  <c r="G629" i="14" l="1"/>
  <c r="G628" i="14" s="1"/>
  <c r="G627" i="14" s="1"/>
  <c r="G626" i="14" s="1"/>
  <c r="F629" i="14"/>
  <c r="F628" i="14" s="1"/>
  <c r="F627" i="14" s="1"/>
  <c r="F626" i="14" s="1"/>
  <c r="G695" i="15"/>
  <c r="G694" i="15" s="1"/>
  <c r="H246" i="16" l="1"/>
  <c r="H245" i="16" s="1"/>
  <c r="H244" i="16" s="1"/>
  <c r="H247" i="16" s="1"/>
  <c r="G645" i="14"/>
  <c r="G644" i="14" s="1"/>
  <c r="G643" i="14" s="1"/>
  <c r="H711" i="15"/>
  <c r="H710" i="15" s="1"/>
  <c r="G712" i="15"/>
  <c r="G711" i="15" s="1"/>
  <c r="G710" i="15" s="1"/>
  <c r="H221" i="16"/>
  <c r="H220" i="16" s="1"/>
  <c r="H219" i="16" s="1"/>
  <c r="H222" i="16" s="1"/>
  <c r="G221" i="16"/>
  <c r="G220" i="16" s="1"/>
  <c r="G219" i="16" s="1"/>
  <c r="G222" i="16" s="1"/>
  <c r="G570" i="14"/>
  <c r="G569" i="14" s="1"/>
  <c r="G568" i="14" s="1"/>
  <c r="F570" i="14"/>
  <c r="F569" i="14" s="1"/>
  <c r="F568" i="14" s="1"/>
  <c r="H636" i="15"/>
  <c r="H635" i="15" s="1"/>
  <c r="G636" i="15"/>
  <c r="G635" i="15" s="1"/>
  <c r="H196" i="16"/>
  <c r="H195" i="16" s="1"/>
  <c r="H194" i="16" s="1"/>
  <c r="G196" i="16"/>
  <c r="G195" i="16" s="1"/>
  <c r="G194" i="16" s="1"/>
  <c r="G197" i="16" s="1"/>
  <c r="H492" i="14"/>
  <c r="H491" i="14" s="1"/>
  <c r="I492" i="14"/>
  <c r="I491" i="14" s="1"/>
  <c r="J492" i="14"/>
  <c r="J491" i="14" s="1"/>
  <c r="K492" i="14"/>
  <c r="K491" i="14" s="1"/>
  <c r="G493" i="14"/>
  <c r="G492" i="14" s="1"/>
  <c r="G491" i="14" s="1"/>
  <c r="F493" i="14"/>
  <c r="F492" i="14" s="1"/>
  <c r="F491" i="14" s="1"/>
  <c r="H559" i="15"/>
  <c r="H558" i="15" s="1"/>
  <c r="G559" i="15"/>
  <c r="G558" i="15" s="1"/>
  <c r="H606" i="16"/>
  <c r="H605" i="16" s="1"/>
  <c r="H604" i="16" s="1"/>
  <c r="H607" i="16" s="1"/>
  <c r="G606" i="16"/>
  <c r="G605" i="16" s="1"/>
  <c r="G604" i="16" s="1"/>
  <c r="G607" i="16" s="1"/>
  <c r="G822" i="14"/>
  <c r="G821" i="14" s="1"/>
  <c r="G820" i="14" s="1"/>
  <c r="F822" i="14"/>
  <c r="F821" i="14" s="1"/>
  <c r="F820" i="14" s="1"/>
  <c r="H397" i="15"/>
  <c r="H396" i="15" s="1"/>
  <c r="I397" i="15"/>
  <c r="I396" i="15" s="1"/>
  <c r="J397" i="15"/>
  <c r="J396" i="15" s="1"/>
  <c r="K397" i="15"/>
  <c r="K396" i="15" s="1"/>
  <c r="G397" i="15"/>
  <c r="G396" i="15" s="1"/>
  <c r="H659" i="16"/>
  <c r="H658" i="16" s="1"/>
  <c r="H657" i="16" s="1"/>
  <c r="H660" i="16" s="1"/>
  <c r="G659" i="16"/>
  <c r="G658" i="16" s="1"/>
  <c r="G657" i="16" s="1"/>
  <c r="G660" i="16" s="1"/>
  <c r="G691" i="14"/>
  <c r="G690" i="14" s="1"/>
  <c r="G689" i="14" s="1"/>
  <c r="F691" i="14"/>
  <c r="F690" i="14" s="1"/>
  <c r="F689" i="14" s="1"/>
  <c r="G315" i="15"/>
  <c r="H305" i="15"/>
  <c r="H304" i="15" s="1"/>
  <c r="G305" i="15"/>
  <c r="G304" i="15" s="1"/>
  <c r="G686" i="5"/>
  <c r="F886" i="3"/>
  <c r="F851" i="3"/>
  <c r="G400" i="4"/>
  <c r="G407" i="4"/>
  <c r="I407" i="4" s="1"/>
  <c r="G365" i="4"/>
  <c r="G369" i="4"/>
  <c r="I369" i="4" s="1"/>
  <c r="G561" i="5"/>
  <c r="I561" i="5" s="1"/>
  <c r="G350" i="4"/>
  <c r="I350" i="4" s="1"/>
  <c r="G348" i="4"/>
  <c r="I348" i="4" s="1"/>
  <c r="G284" i="4"/>
  <c r="I284" i="4" s="1"/>
  <c r="G902" i="4"/>
  <c r="I902" i="4" s="1"/>
  <c r="G904" i="4"/>
  <c r="I904" i="4" s="1"/>
  <c r="G399" i="4" l="1"/>
  <c r="I399" i="4" s="1"/>
  <c r="I400" i="4"/>
  <c r="G364" i="4"/>
  <c r="I364" i="4" s="1"/>
  <c r="I365" i="4"/>
  <c r="G685" i="5"/>
  <c r="I686" i="5"/>
  <c r="F885" i="3"/>
  <c r="H886" i="3"/>
  <c r="G629" i="5"/>
  <c r="H851" i="3"/>
  <c r="F645" i="14"/>
  <c r="F644" i="14" s="1"/>
  <c r="F643" i="14" s="1"/>
  <c r="G246" i="16"/>
  <c r="G245" i="16" s="1"/>
  <c r="G244" i="16" s="1"/>
  <c r="G247" i="16" s="1"/>
  <c r="F850" i="3"/>
  <c r="H197" i="16"/>
  <c r="I353" i="15"/>
  <c r="J353" i="15"/>
  <c r="K353" i="15"/>
  <c r="G355" i="15"/>
  <c r="G684" i="5" l="1"/>
  <c r="I685" i="5"/>
  <c r="F849" i="3"/>
  <c r="H849" i="3" s="1"/>
  <c r="H850" i="3"/>
  <c r="G628" i="5"/>
  <c r="I629" i="5"/>
  <c r="F884" i="3"/>
  <c r="H884" i="3" s="1"/>
  <c r="H885" i="3"/>
  <c r="C13" i="12"/>
  <c r="D130" i="12"/>
  <c r="D131" i="12"/>
  <c r="D129" i="12"/>
  <c r="D139" i="12"/>
  <c r="G687" i="5" l="1"/>
  <c r="I687" i="5" s="1"/>
  <c r="I684" i="5"/>
  <c r="G627" i="5"/>
  <c r="I628" i="5"/>
  <c r="F369" i="14"/>
  <c r="F368" i="14" s="1"/>
  <c r="F367" i="14" s="1"/>
  <c r="F322" i="14"/>
  <c r="F321" i="14" s="1"/>
  <c r="F320" i="14" s="1"/>
  <c r="G596" i="14"/>
  <c r="G595" i="14" s="1"/>
  <c r="G594" i="14" s="1"/>
  <c r="F596" i="14"/>
  <c r="F595" i="14" s="1"/>
  <c r="F594" i="14" s="1"/>
  <c r="H951" i="15"/>
  <c r="H950" i="15" s="1"/>
  <c r="G951" i="15"/>
  <c r="G950" i="15" s="1"/>
  <c r="G943" i="15"/>
  <c r="G942" i="15" s="1"/>
  <c r="G896" i="15"/>
  <c r="G895" i="15" s="1"/>
  <c r="H662" i="15"/>
  <c r="H661" i="15" s="1"/>
  <c r="G662" i="15"/>
  <c r="G661" i="15" s="1"/>
  <c r="G630" i="5" l="1"/>
  <c r="I630" i="5" s="1"/>
  <c r="I627" i="5"/>
  <c r="G29" i="15"/>
  <c r="F1028" i="3" l="1"/>
  <c r="G863" i="4"/>
  <c r="F67" i="3"/>
  <c r="G51" i="4"/>
  <c r="I51" i="4" s="1"/>
  <c r="G52" i="4"/>
  <c r="I52" i="4" s="1"/>
  <c r="G370" i="15"/>
  <c r="G249" i="5"/>
  <c r="G199" i="5"/>
  <c r="G224" i="5"/>
  <c r="G739" i="5"/>
  <c r="F752" i="3"/>
  <c r="G315" i="4"/>
  <c r="I315" i="4" s="1"/>
  <c r="G305" i="4"/>
  <c r="F520" i="3"/>
  <c r="F703" i="3"/>
  <c r="G763" i="4"/>
  <c r="I763" i="4" s="1"/>
  <c r="G753" i="4"/>
  <c r="G583" i="4"/>
  <c r="I583" i="4" s="1"/>
  <c r="G570" i="4"/>
  <c r="F597" i="3"/>
  <c r="G663" i="4"/>
  <c r="I663" i="4" s="1"/>
  <c r="G647" i="4"/>
  <c r="G569" i="4" l="1"/>
  <c r="I569" i="4" s="1"/>
  <c r="I570" i="4"/>
  <c r="G646" i="4"/>
  <c r="I646" i="4" s="1"/>
  <c r="I647" i="4"/>
  <c r="G862" i="4"/>
  <c r="I862" i="4" s="1"/>
  <c r="I863" i="4"/>
  <c r="G752" i="4"/>
  <c r="I752" i="4" s="1"/>
  <c r="I753" i="4"/>
  <c r="G304" i="4"/>
  <c r="I304" i="4" s="1"/>
  <c r="I305" i="4"/>
  <c r="G198" i="5"/>
  <c r="I199" i="5"/>
  <c r="G248" i="5"/>
  <c r="I249" i="5"/>
  <c r="G738" i="5"/>
  <c r="I739" i="5"/>
  <c r="G223" i="5"/>
  <c r="I224" i="5"/>
  <c r="F596" i="3"/>
  <c r="H597" i="3"/>
  <c r="F751" i="3"/>
  <c r="H752" i="3"/>
  <c r="F66" i="3"/>
  <c r="H66" i="3" s="1"/>
  <c r="H67" i="3"/>
  <c r="F519" i="3"/>
  <c r="H520" i="3"/>
  <c r="F702" i="3"/>
  <c r="H703" i="3"/>
  <c r="F1027" i="3"/>
  <c r="H1028" i="3"/>
  <c r="G222" i="5" l="1"/>
  <c r="I223" i="5"/>
  <c r="G247" i="5"/>
  <c r="I248" i="5"/>
  <c r="G737" i="5"/>
  <c r="I738" i="5"/>
  <c r="G197" i="5"/>
  <c r="I198" i="5"/>
  <c r="F1026" i="3"/>
  <c r="H1026" i="3" s="1"/>
  <c r="H1027" i="3"/>
  <c r="F518" i="3"/>
  <c r="H518" i="3" s="1"/>
  <c r="H519" i="3"/>
  <c r="F750" i="3"/>
  <c r="H750" i="3" s="1"/>
  <c r="H751" i="3"/>
  <c r="F701" i="3"/>
  <c r="H701" i="3" s="1"/>
  <c r="H702" i="3"/>
  <c r="F595" i="3"/>
  <c r="H595" i="3" s="1"/>
  <c r="H596" i="3"/>
  <c r="G379" i="5"/>
  <c r="F654" i="3"/>
  <c r="G702" i="4"/>
  <c r="I702" i="4" s="1"/>
  <c r="G684" i="4"/>
  <c r="I684" i="4" s="1"/>
  <c r="G704" i="4"/>
  <c r="G703" i="4" l="1"/>
  <c r="I703" i="4" s="1"/>
  <c r="I704" i="4"/>
  <c r="G200" i="5"/>
  <c r="I200" i="5" s="1"/>
  <c r="I197" i="5"/>
  <c r="I247" i="5"/>
  <c r="G250" i="5"/>
  <c r="I250" i="5" s="1"/>
  <c r="G378" i="5"/>
  <c r="I379" i="5"/>
  <c r="G740" i="5"/>
  <c r="I740" i="5" s="1"/>
  <c r="I737" i="5"/>
  <c r="G225" i="5"/>
  <c r="I225" i="5" s="1"/>
  <c r="I222" i="5"/>
  <c r="F653" i="3"/>
  <c r="H654" i="3"/>
  <c r="G1170" i="4"/>
  <c r="I1170" i="4" s="1"/>
  <c r="G79" i="4"/>
  <c r="I79" i="4" s="1"/>
  <c r="G377" i="5" l="1"/>
  <c r="I378" i="5"/>
  <c r="F652" i="3"/>
  <c r="H652" i="3" s="1"/>
  <c r="H653" i="3"/>
  <c r="G265" i="4"/>
  <c r="I265" i="4" s="1"/>
  <c r="G579" i="5"/>
  <c r="G575" i="5"/>
  <c r="G840" i="4"/>
  <c r="I840" i="4" s="1"/>
  <c r="F297" i="3"/>
  <c r="G970" i="4"/>
  <c r="G743" i="4"/>
  <c r="I743" i="4" s="1"/>
  <c r="F486" i="3"/>
  <c r="G1124" i="4"/>
  <c r="I1124" i="4" s="1"/>
  <c r="G969" i="4" l="1"/>
  <c r="I970" i="4"/>
  <c r="G574" i="5"/>
  <c r="I575" i="5"/>
  <c r="G578" i="5"/>
  <c r="I579" i="5"/>
  <c r="G376" i="5"/>
  <c r="I376" i="5" s="1"/>
  <c r="I377" i="5"/>
  <c r="F485" i="3"/>
  <c r="H485" i="3" s="1"/>
  <c r="H486" i="3"/>
  <c r="F296" i="3"/>
  <c r="H297" i="3"/>
  <c r="G1079" i="4"/>
  <c r="I1079" i="4" s="1"/>
  <c r="G1120" i="4"/>
  <c r="I1120" i="4" s="1"/>
  <c r="F358" i="3"/>
  <c r="G996" i="4"/>
  <c r="I996" i="4" s="1"/>
  <c r="G1056" i="4"/>
  <c r="I1056" i="4" s="1"/>
  <c r="I1250" i="4" s="1"/>
  <c r="G1139" i="4"/>
  <c r="I1139" i="4" s="1"/>
  <c r="G925" i="4"/>
  <c r="I925" i="4" s="1"/>
  <c r="G843" i="4"/>
  <c r="I843" i="4" s="1"/>
  <c r="G837" i="4"/>
  <c r="I837" i="4" s="1"/>
  <c r="G860" i="4"/>
  <c r="I860" i="4" s="1"/>
  <c r="G638" i="4"/>
  <c r="I638" i="4" s="1"/>
  <c r="G417" i="4"/>
  <c r="I417" i="4" s="1"/>
  <c r="G320" i="4"/>
  <c r="I320" i="4" s="1"/>
  <c r="G358" i="4"/>
  <c r="I358" i="4" s="1"/>
  <c r="G968" i="4" l="1"/>
  <c r="I969" i="4"/>
  <c r="G577" i="5"/>
  <c r="I578" i="5"/>
  <c r="G573" i="5"/>
  <c r="I574" i="5"/>
  <c r="F295" i="3"/>
  <c r="H296" i="3"/>
  <c r="F357" i="3"/>
  <c r="H357" i="3" s="1"/>
  <c r="H358" i="3"/>
  <c r="F1041" i="3"/>
  <c r="F1038" i="3"/>
  <c r="F1037" i="3" l="1"/>
  <c r="H1037" i="3" s="1"/>
  <c r="H1038" i="3"/>
  <c r="F1040" i="3"/>
  <c r="H1040" i="3" s="1"/>
  <c r="H1041" i="3"/>
  <c r="G967" i="4"/>
  <c r="I968" i="4"/>
  <c r="I573" i="5"/>
  <c r="G572" i="5"/>
  <c r="G576" i="5"/>
  <c r="I576" i="5" s="1"/>
  <c r="G580" i="5"/>
  <c r="I580" i="5" s="1"/>
  <c r="I577" i="5"/>
  <c r="F294" i="3"/>
  <c r="H295" i="3"/>
  <c r="G877" i="4"/>
  <c r="G874" i="4"/>
  <c r="C129" i="1"/>
  <c r="E129" i="1" s="1"/>
  <c r="G873" i="4" l="1"/>
  <c r="I873" i="4" s="1"/>
  <c r="I874" i="4"/>
  <c r="G876" i="4"/>
  <c r="I876" i="4" s="1"/>
  <c r="I877" i="4"/>
  <c r="F1036" i="3"/>
  <c r="H1036" i="3" s="1"/>
  <c r="G966" i="4"/>
  <c r="I966" i="4" s="1"/>
  <c r="I967" i="4"/>
  <c r="G571" i="5"/>
  <c r="I572" i="5"/>
  <c r="F293" i="3"/>
  <c r="H293" i="3" s="1"/>
  <c r="H294" i="3"/>
  <c r="F995" i="3"/>
  <c r="G830" i="4"/>
  <c r="G829" i="4" l="1"/>
  <c r="I830" i="4"/>
  <c r="G872" i="4"/>
  <c r="I872" i="4" s="1"/>
  <c r="G570" i="5"/>
  <c r="I570" i="5" s="1"/>
  <c r="I571" i="5"/>
  <c r="F994" i="3"/>
  <c r="H995" i="3"/>
  <c r="C124" i="1"/>
  <c r="E124" i="1" s="1"/>
  <c r="C165" i="1"/>
  <c r="E165" i="1" s="1"/>
  <c r="C163" i="1"/>
  <c r="E163" i="1" s="1"/>
  <c r="C164" i="1"/>
  <c r="E164" i="1" s="1"/>
  <c r="G828" i="4" l="1"/>
  <c r="I828" i="4" s="1"/>
  <c r="I829" i="4"/>
  <c r="F993" i="3"/>
  <c r="H994" i="3"/>
  <c r="C119" i="1"/>
  <c r="E119" i="1" s="1"/>
  <c r="F992" i="3" l="1"/>
  <c r="H992" i="3" s="1"/>
  <c r="H993" i="3"/>
  <c r="C161" i="1"/>
  <c r="C160" i="1" s="1"/>
  <c r="E162" i="1"/>
  <c r="F347" i="14"/>
  <c r="F346" i="14" s="1"/>
  <c r="F345" i="14" s="1"/>
  <c r="F349" i="14"/>
  <c r="F348" i="14" s="1"/>
  <c r="G921" i="15"/>
  <c r="E161" i="1" l="1"/>
  <c r="G383" i="15"/>
  <c r="G222" i="4" l="1"/>
  <c r="I222" i="4" s="1"/>
  <c r="G641" i="4" l="1"/>
  <c r="I641" i="4" s="1"/>
  <c r="F336" i="14" l="1"/>
  <c r="F335" i="14" s="1"/>
  <c r="G910" i="15"/>
  <c r="F361" i="3" l="1"/>
  <c r="H361" i="3" s="1"/>
  <c r="G998" i="4"/>
  <c r="I998" i="4" s="1"/>
  <c r="H265" i="15" l="1"/>
  <c r="H1013" i="15"/>
  <c r="D101" i="12"/>
  <c r="D128" i="12"/>
  <c r="G871" i="4" l="1"/>
  <c r="G568" i="5" l="1"/>
  <c r="I568" i="5" s="1"/>
  <c r="I871" i="4"/>
  <c r="G567" i="5"/>
  <c r="F1035" i="3"/>
  <c r="G870" i="4"/>
  <c r="C100" i="1"/>
  <c r="E100" i="1" s="1"/>
  <c r="G524" i="15"/>
  <c r="H524" i="15" s="1"/>
  <c r="G869" i="4" l="1"/>
  <c r="I870" i="4"/>
  <c r="G566" i="5"/>
  <c r="I567" i="5"/>
  <c r="F1034" i="3"/>
  <c r="H1035" i="3"/>
  <c r="G433" i="4"/>
  <c r="I433" i="4" s="1"/>
  <c r="G868" i="4" l="1"/>
  <c r="I868" i="4" s="1"/>
  <c r="I869" i="4"/>
  <c r="G565" i="5"/>
  <c r="I566" i="5"/>
  <c r="F1033" i="3"/>
  <c r="H1034" i="3"/>
  <c r="G423" i="4"/>
  <c r="I423" i="4" s="1"/>
  <c r="G564" i="5" l="1"/>
  <c r="I565" i="5"/>
  <c r="F1032" i="3"/>
  <c r="H1032" i="3" s="1"/>
  <c r="H1033" i="3"/>
  <c r="F976" i="3"/>
  <c r="H976" i="3" s="1"/>
  <c r="G563" i="5" l="1"/>
  <c r="I564" i="5"/>
  <c r="G373" i="4"/>
  <c r="I373" i="4" s="1"/>
  <c r="G1104" i="15"/>
  <c r="G1101" i="15"/>
  <c r="G1099" i="15"/>
  <c r="G1090" i="15"/>
  <c r="G1088" i="15"/>
  <c r="G1082" i="15"/>
  <c r="G1071" i="15"/>
  <c r="G1069" i="15"/>
  <c r="G1061" i="15"/>
  <c r="G1048" i="15"/>
  <c r="G1045" i="15"/>
  <c r="G1043" i="15"/>
  <c r="G1036" i="15"/>
  <c r="G1031" i="15"/>
  <c r="G1028" i="15"/>
  <c r="G1026" i="15"/>
  <c r="G1024" i="15"/>
  <c r="G1018" i="15"/>
  <c r="G1013" i="15"/>
  <c r="G1006" i="15"/>
  <c r="G1003" i="15"/>
  <c r="G1000" i="15"/>
  <c r="G998" i="15"/>
  <c r="G995" i="15"/>
  <c r="G990" i="15"/>
  <c r="G984" i="15"/>
  <c r="G981" i="15"/>
  <c r="G975" i="15"/>
  <c r="G916" i="15"/>
  <c r="G905" i="15"/>
  <c r="G902" i="15"/>
  <c r="G878" i="15"/>
  <c r="G871" i="15"/>
  <c r="G864" i="15"/>
  <c r="G862" i="15"/>
  <c r="G860" i="15"/>
  <c r="G857" i="15"/>
  <c r="G849" i="15"/>
  <c r="G847" i="15"/>
  <c r="G841" i="15"/>
  <c r="G838" i="15"/>
  <c r="G836" i="15"/>
  <c r="G829" i="15"/>
  <c r="G826" i="15"/>
  <c r="G820" i="15"/>
  <c r="G815" i="15"/>
  <c r="G811" i="15"/>
  <c r="G804" i="15"/>
  <c r="G794" i="15"/>
  <c r="G791" i="15"/>
  <c r="G788" i="15"/>
  <c r="G780" i="15"/>
  <c r="G772" i="15"/>
  <c r="G769" i="15"/>
  <c r="G767" i="15"/>
  <c r="G765" i="15"/>
  <c r="G761" i="15"/>
  <c r="G756" i="15"/>
  <c r="G753" i="15"/>
  <c r="G751" i="15"/>
  <c r="G742" i="15"/>
  <c r="G735" i="15"/>
  <c r="G730" i="15"/>
  <c r="G718" i="15"/>
  <c r="G715" i="15"/>
  <c r="G708" i="15"/>
  <c r="G701" i="15"/>
  <c r="G691" i="15"/>
  <c r="G687" i="15"/>
  <c r="G680" i="15"/>
  <c r="G677" i="15"/>
  <c r="G670" i="15"/>
  <c r="G666" i="15"/>
  <c r="G649" i="15"/>
  <c r="G646" i="15"/>
  <c r="G643" i="15"/>
  <c r="G640" i="15"/>
  <c r="G630" i="15"/>
  <c r="G627" i="15"/>
  <c r="G624" i="15"/>
  <c r="G617" i="15"/>
  <c r="G612" i="15"/>
  <c r="G600" i="15"/>
  <c r="G597" i="15"/>
  <c r="G593" i="15"/>
  <c r="G590" i="15"/>
  <c r="G583" i="15"/>
  <c r="G569" i="15"/>
  <c r="G566" i="15"/>
  <c r="G563" i="15"/>
  <c r="G556" i="15"/>
  <c r="G553" i="15"/>
  <c r="G542" i="15"/>
  <c r="G534" i="15"/>
  <c r="G531" i="15"/>
  <c r="G516" i="15"/>
  <c r="G510" i="15"/>
  <c r="G506" i="15"/>
  <c r="G503" i="15"/>
  <c r="G501" i="15"/>
  <c r="G499" i="15"/>
  <c r="G491" i="15"/>
  <c r="G486" i="15"/>
  <c r="G483" i="15"/>
  <c r="G481" i="15"/>
  <c r="G472" i="15"/>
  <c r="G467" i="15"/>
  <c r="G465" i="15"/>
  <c r="G461" i="15"/>
  <c r="G456" i="15"/>
  <c r="G443" i="15"/>
  <c r="G437" i="15"/>
  <c r="G434" i="15"/>
  <c r="G432" i="15"/>
  <c r="G430" i="15"/>
  <c r="G425" i="15"/>
  <c r="G420" i="15"/>
  <c r="G414" i="15"/>
  <c r="G401" i="15"/>
  <c r="G394" i="15"/>
  <c r="G391" i="15"/>
  <c r="G387" i="15"/>
  <c r="G379" i="15"/>
  <c r="G377" i="15"/>
  <c r="G375" i="15"/>
  <c r="G366" i="15"/>
  <c r="G362" i="15"/>
  <c r="G358" i="15"/>
  <c r="G352" i="15"/>
  <c r="G350" i="15"/>
  <c r="G348" i="15"/>
  <c r="G340" i="15"/>
  <c r="G336" i="15"/>
  <c r="G334" i="15"/>
  <c r="G327" i="15"/>
  <c r="G320" i="15"/>
  <c r="G896" i="16" s="1"/>
  <c r="G312" i="15"/>
  <c r="G309" i="15"/>
  <c r="G302" i="15"/>
  <c r="G296" i="15"/>
  <c r="G292" i="15"/>
  <c r="G288" i="15"/>
  <c r="G286" i="15"/>
  <c r="G284" i="15"/>
  <c r="G276" i="15"/>
  <c r="G265" i="15"/>
  <c r="F296" i="14" s="1"/>
  <c r="F295" i="14" s="1"/>
  <c r="F294" i="14" s="1"/>
  <c r="G262" i="15"/>
  <c r="G41" i="15"/>
  <c r="G247" i="15"/>
  <c r="G242" i="15"/>
  <c r="G236" i="15"/>
  <c r="G233" i="15"/>
  <c r="G222" i="15"/>
  <c r="G213" i="15"/>
  <c r="G211" i="15"/>
  <c r="G202" i="15"/>
  <c r="G201" i="15" s="1"/>
  <c r="G196" i="15"/>
  <c r="G173" i="15"/>
  <c r="G169" i="15"/>
  <c r="G166" i="15"/>
  <c r="G159" i="15"/>
  <c r="G156" i="15"/>
  <c r="G154" i="15"/>
  <c r="G150" i="15"/>
  <c r="G147" i="15"/>
  <c r="G123" i="15"/>
  <c r="G114" i="15"/>
  <c r="G111" i="15"/>
  <c r="G109" i="15"/>
  <c r="G95" i="15"/>
  <c r="G92" i="15"/>
  <c r="G83" i="15"/>
  <c r="G79" i="15"/>
  <c r="G77" i="15"/>
  <c r="G73" i="15"/>
  <c r="G68" i="15"/>
  <c r="G66" i="15"/>
  <c r="G63" i="15"/>
  <c r="G61" i="15"/>
  <c r="G56" i="15"/>
  <c r="G49" i="15"/>
  <c r="G46" i="15"/>
  <c r="G45" i="15" s="1"/>
  <c r="G44" i="15" s="1"/>
  <c r="G43" i="15"/>
  <c r="G39" i="15"/>
  <c r="G37" i="15"/>
  <c r="G23" i="15"/>
  <c r="G18" i="15"/>
  <c r="G16" i="15"/>
  <c r="G569" i="5" l="1"/>
  <c r="I569" i="5" s="1"/>
  <c r="I563" i="5"/>
  <c r="G730" i="4"/>
  <c r="I730" i="4" s="1"/>
  <c r="G1165" i="4"/>
  <c r="I1165" i="4" s="1"/>
  <c r="G169" i="4"/>
  <c r="I169" i="4" s="1"/>
  <c r="G176" i="4"/>
  <c r="I176" i="4" s="1"/>
  <c r="G23" i="5"/>
  <c r="F280" i="3"/>
  <c r="G960" i="4"/>
  <c r="I960" i="4" s="1"/>
  <c r="G894" i="4"/>
  <c r="I894" i="4" s="1"/>
  <c r="G32" i="4"/>
  <c r="I32" i="4" s="1"/>
  <c r="G504" i="4"/>
  <c r="I504" i="4" s="1"/>
  <c r="G17" i="4"/>
  <c r="I17" i="4" s="1"/>
  <c r="G806" i="4"/>
  <c r="I806" i="4" s="1"/>
  <c r="G22" i="5" l="1"/>
  <c r="I22" i="5" s="1"/>
  <c r="I23" i="5"/>
  <c r="F279" i="3"/>
  <c r="H279" i="3" s="1"/>
  <c r="H280" i="3"/>
  <c r="G92" i="4"/>
  <c r="I92" i="4" s="1"/>
  <c r="G36" i="4"/>
  <c r="I36" i="4" s="1"/>
  <c r="G213" i="4"/>
  <c r="I213" i="4" s="1"/>
  <c r="G211" i="4"/>
  <c r="I211" i="4" s="1"/>
  <c r="G68" i="4"/>
  <c r="I68" i="4" s="1"/>
  <c r="G66" i="4"/>
  <c r="I66" i="4" s="1"/>
  <c r="G524" i="5" l="1"/>
  <c r="I524" i="5" s="1"/>
  <c r="G528" i="5"/>
  <c r="I528" i="5" s="1"/>
  <c r="F1007" i="3"/>
  <c r="H1007" i="3" s="1"/>
  <c r="F1004" i="3"/>
  <c r="H1004" i="3" s="1"/>
  <c r="F590" i="3"/>
  <c r="H590" i="3" s="1"/>
  <c r="F587" i="3"/>
  <c r="H587" i="3" s="1"/>
  <c r="F516" i="3"/>
  <c r="H516" i="3" s="1"/>
  <c r="H556" i="15"/>
  <c r="H555" i="15" s="1"/>
  <c r="H554" i="15" s="1"/>
  <c r="G640" i="4"/>
  <c r="G637" i="4"/>
  <c r="G566" i="4"/>
  <c r="G842" i="4"/>
  <c r="G839" i="4"/>
  <c r="G636" i="4" l="1"/>
  <c r="I636" i="4" s="1"/>
  <c r="I637" i="4"/>
  <c r="G841" i="4"/>
  <c r="I841" i="4" s="1"/>
  <c r="I842" i="4"/>
  <c r="G565" i="4"/>
  <c r="I565" i="4" s="1"/>
  <c r="I566" i="4"/>
  <c r="G838" i="4"/>
  <c r="I838" i="4" s="1"/>
  <c r="I839" i="4"/>
  <c r="G639" i="4"/>
  <c r="I639" i="4" s="1"/>
  <c r="I640" i="4"/>
  <c r="F489" i="14"/>
  <c r="G171" i="16"/>
  <c r="G489" i="14"/>
  <c r="H171" i="16"/>
  <c r="G555" i="15"/>
  <c r="G554" i="15" s="1"/>
  <c r="G577" i="4" l="1"/>
  <c r="I577" i="4" s="1"/>
  <c r="G760" i="4"/>
  <c r="I760" i="4" s="1"/>
  <c r="G657" i="4"/>
  <c r="I657" i="4" s="1"/>
  <c r="G654" i="4"/>
  <c r="I654" i="4" s="1"/>
  <c r="G757" i="4"/>
  <c r="I757" i="4" s="1"/>
  <c r="G574" i="4"/>
  <c r="I574" i="4" s="1"/>
  <c r="G312" i="4"/>
  <c r="I312" i="4" s="1"/>
  <c r="F999" i="14" l="1"/>
  <c r="F998" i="14" s="1"/>
  <c r="G951" i="14"/>
  <c r="G950" i="14"/>
  <c r="G949" i="14"/>
  <c r="G944" i="14"/>
  <c r="G943" i="14"/>
  <c r="G942" i="14"/>
  <c r="G941" i="14"/>
  <c r="G940" i="14"/>
  <c r="G939" i="14"/>
  <c r="G910" i="14"/>
  <c r="G909" i="14" s="1"/>
  <c r="G908" i="14" s="1"/>
  <c r="F910" i="14"/>
  <c r="F909" i="14" s="1"/>
  <c r="F908" i="14" s="1"/>
  <c r="F881" i="14"/>
  <c r="G846" i="14"/>
  <c r="G845" i="14"/>
  <c r="G794" i="14"/>
  <c r="G793" i="14" s="1"/>
  <c r="G792" i="14" s="1"/>
  <c r="F794" i="14"/>
  <c r="F793" i="14" s="1"/>
  <c r="F792" i="14" s="1"/>
  <c r="G780" i="14"/>
  <c r="G779" i="14"/>
  <c r="F737" i="14"/>
  <c r="F736" i="14" s="1"/>
  <c r="F735" i="14" s="1"/>
  <c r="G617" i="14"/>
  <c r="G616" i="14"/>
  <c r="G615" i="14"/>
  <c r="G606" i="14"/>
  <c r="G605" i="14" s="1"/>
  <c r="G604" i="14" s="1"/>
  <c r="G593" i="14"/>
  <c r="G592" i="14"/>
  <c r="G591" i="14"/>
  <c r="G590" i="14"/>
  <c r="G589" i="14"/>
  <c r="G588" i="14"/>
  <c r="G412" i="14"/>
  <c r="G411" i="14"/>
  <c r="G410" i="14"/>
  <c r="F280" i="14"/>
  <c r="F279" i="14" s="1"/>
  <c r="F278" i="14"/>
  <c r="F277" i="14" s="1"/>
  <c r="G214" i="14"/>
  <c r="F214" i="14"/>
  <c r="F209" i="14"/>
  <c r="G187" i="14"/>
  <c r="G186" i="14"/>
  <c r="G185" i="14"/>
  <c r="G175" i="14"/>
  <c r="G174" i="14"/>
  <c r="G173" i="14"/>
  <c r="H939" i="15"/>
  <c r="H938" i="15" s="1"/>
  <c r="H887" i="15"/>
  <c r="H886" i="15" s="1"/>
  <c r="G887" i="15"/>
  <c r="G886" i="15" s="1"/>
  <c r="G744" i="15"/>
  <c r="G743" i="15" s="1"/>
  <c r="H672" i="15"/>
  <c r="H671" i="15" s="1"/>
  <c r="G672" i="15"/>
  <c r="G671" i="15" s="1"/>
  <c r="H608" i="15"/>
  <c r="H607" i="15" s="1"/>
  <c r="G608" i="15"/>
  <c r="G607" i="15" s="1"/>
  <c r="G498" i="15"/>
  <c r="G478" i="15"/>
  <c r="G450" i="15"/>
  <c r="G369" i="15"/>
  <c r="H118" i="15"/>
  <c r="H117" i="15" s="1"/>
  <c r="H116" i="15" s="1"/>
  <c r="G118" i="15"/>
  <c r="G117" i="15" s="1"/>
  <c r="G116" i="15" s="1"/>
  <c r="G52" i="15"/>
  <c r="G51" i="15" s="1"/>
  <c r="G28" i="15"/>
  <c r="F276" i="14" l="1"/>
  <c r="C12" i="1" l="1"/>
  <c r="C11" i="1" l="1"/>
  <c r="E11" i="1" s="1"/>
  <c r="E12" i="1"/>
  <c r="G1162" i="4"/>
  <c r="I1162" i="4" s="1"/>
  <c r="G65" i="14" l="1"/>
  <c r="G64" i="14" s="1"/>
  <c r="F65" i="14"/>
  <c r="F64" i="14" s="1"/>
  <c r="F606" i="14"/>
  <c r="F605" i="14" s="1"/>
  <c r="F604" i="14" s="1"/>
  <c r="G791" i="14"/>
  <c r="G537" i="14"/>
  <c r="G536" i="14" s="1"/>
  <c r="G535" i="14" s="1"/>
  <c r="F537" i="14"/>
  <c r="F536" i="14" s="1"/>
  <c r="F535" i="14" s="1"/>
  <c r="H560" i="16"/>
  <c r="H559" i="16" s="1"/>
  <c r="H558" i="16" s="1"/>
  <c r="H557" i="16" s="1"/>
  <c r="H556" i="16" s="1"/>
  <c r="H555" i="16" s="1"/>
  <c r="H561" i="16" s="1"/>
  <c r="G560" i="16"/>
  <c r="G559" i="16" s="1"/>
  <c r="G558" i="16" s="1"/>
  <c r="G557" i="16" s="1"/>
  <c r="G556" i="16" s="1"/>
  <c r="G555" i="16" s="1"/>
  <c r="G561" i="16" s="1"/>
  <c r="H369" i="15"/>
  <c r="H368" i="15" s="1"/>
  <c r="H367" i="15" s="1"/>
  <c r="G368" i="15"/>
  <c r="G367" i="15" s="1"/>
  <c r="G60" i="14"/>
  <c r="G59" i="14" s="1"/>
  <c r="G58" i="14" s="1"/>
  <c r="F60" i="14"/>
  <c r="F59" i="14" s="1"/>
  <c r="F58" i="14" s="1"/>
  <c r="F791" i="14" l="1"/>
  <c r="H307" i="16"/>
  <c r="H306" i="16" s="1"/>
  <c r="H305" i="16" s="1"/>
  <c r="G307" i="16"/>
  <c r="G306" i="16" s="1"/>
  <c r="G305" i="16" s="1"/>
  <c r="H453" i="16"/>
  <c r="H452" i="16" s="1"/>
  <c r="H451" i="16" s="1"/>
  <c r="H454" i="16" s="1"/>
  <c r="G453" i="16"/>
  <c r="G452" i="16" s="1"/>
  <c r="G451" i="16" s="1"/>
  <c r="G454" i="16" s="1"/>
  <c r="H204" i="15"/>
  <c r="H203" i="15" s="1"/>
  <c r="G204" i="15"/>
  <c r="G203" i="15" s="1"/>
  <c r="H308" i="16" l="1"/>
  <c r="G308" i="16"/>
  <c r="F540" i="14"/>
  <c r="F539" i="14" s="1"/>
  <c r="F538" i="14" s="1"/>
  <c r="F534" i="14" s="1"/>
  <c r="G509" i="15"/>
  <c r="H52" i="15"/>
  <c r="H51" i="15" s="1"/>
  <c r="G640" i="5"/>
  <c r="G418" i="5"/>
  <c r="G310" i="5"/>
  <c r="G314" i="5"/>
  <c r="G309" i="5" l="1"/>
  <c r="I310" i="5"/>
  <c r="G639" i="5"/>
  <c r="I640" i="5"/>
  <c r="G417" i="5"/>
  <c r="I418" i="5"/>
  <c r="G313" i="5"/>
  <c r="I314" i="5"/>
  <c r="G611" i="15"/>
  <c r="G610" i="15" s="1"/>
  <c r="G606" i="15" s="1"/>
  <c r="H510" i="15"/>
  <c r="F78" i="14"/>
  <c r="F77" i="14" s="1"/>
  <c r="F76" i="14" s="1"/>
  <c r="H612" i="15"/>
  <c r="G540" i="14" s="1"/>
  <c r="G539" i="14" s="1"/>
  <c r="G538" i="14" s="1"/>
  <c r="G534" i="14" s="1"/>
  <c r="G311" i="16"/>
  <c r="G310" i="16" s="1"/>
  <c r="G309" i="16" s="1"/>
  <c r="G304" i="16" s="1"/>
  <c r="G303" i="16" s="1"/>
  <c r="G302" i="16" s="1"/>
  <c r="G508" i="15"/>
  <c r="G507" i="15" s="1"/>
  <c r="F679" i="3"/>
  <c r="F571" i="3"/>
  <c r="F568" i="3"/>
  <c r="F975" i="3"/>
  <c r="F858" i="3"/>
  <c r="F65" i="3"/>
  <c r="F85" i="3"/>
  <c r="G312" i="5" l="1"/>
  <c r="I313" i="5"/>
  <c r="F570" i="3"/>
  <c r="H570" i="3" s="1"/>
  <c r="H571" i="3"/>
  <c r="G638" i="5"/>
  <c r="I639" i="5"/>
  <c r="G416" i="5"/>
  <c r="I417" i="5"/>
  <c r="G308" i="5"/>
  <c r="I309" i="5"/>
  <c r="F678" i="3"/>
  <c r="H679" i="3"/>
  <c r="F974" i="3"/>
  <c r="H975" i="3"/>
  <c r="F64" i="3"/>
  <c r="H65" i="3"/>
  <c r="F857" i="3"/>
  <c r="H858" i="3"/>
  <c r="F84" i="3"/>
  <c r="H85" i="3"/>
  <c r="F567" i="3"/>
  <c r="H567" i="3" s="1"/>
  <c r="H568" i="3"/>
  <c r="H39" i="15"/>
  <c r="H38" i="15" s="1"/>
  <c r="G38" i="15"/>
  <c r="H509" i="15"/>
  <c r="H508" i="15" s="1"/>
  <c r="H507" i="15" s="1"/>
  <c r="G78" i="14"/>
  <c r="G77" i="14" s="1"/>
  <c r="G76" i="14" s="1"/>
  <c r="H611" i="15"/>
  <c r="H610" i="15" s="1"/>
  <c r="H606" i="15" s="1"/>
  <c r="H311" i="16"/>
  <c r="H310" i="16" s="1"/>
  <c r="H309" i="16" s="1"/>
  <c r="H304" i="16" s="1"/>
  <c r="H303" i="16" s="1"/>
  <c r="H302" i="16" s="1"/>
  <c r="G312" i="16"/>
  <c r="G50" i="4"/>
  <c r="I50" i="4" s="1"/>
  <c r="G729" i="4"/>
  <c r="G544" i="4"/>
  <c r="C154" i="1"/>
  <c r="E154" i="1" s="1"/>
  <c r="G514" i="4"/>
  <c r="G372" i="4"/>
  <c r="G614" i="4"/>
  <c r="G617" i="4"/>
  <c r="D132" i="12"/>
  <c r="C132" i="12"/>
  <c r="D92" i="12"/>
  <c r="D100" i="12"/>
  <c r="C92" i="12"/>
  <c r="C86" i="12"/>
  <c r="C84" i="12"/>
  <c r="C156" i="1"/>
  <c r="E156" i="1" s="1"/>
  <c r="C104" i="1"/>
  <c r="E104" i="1" s="1"/>
  <c r="C102" i="1"/>
  <c r="E102" i="1" s="1"/>
  <c r="C110" i="1"/>
  <c r="E110" i="1" s="1"/>
  <c r="G728" i="4" l="1"/>
  <c r="I728" i="4" s="1"/>
  <c r="I729" i="4"/>
  <c r="G513" i="4"/>
  <c r="I514" i="4"/>
  <c r="G613" i="4"/>
  <c r="I613" i="4" s="1"/>
  <c r="I614" i="4"/>
  <c r="G543" i="4"/>
  <c r="I544" i="4"/>
  <c r="G371" i="4"/>
  <c r="I372" i="4"/>
  <c r="G616" i="4"/>
  <c r="I616" i="4" s="1"/>
  <c r="I617" i="4"/>
  <c r="I416" i="5"/>
  <c r="G415" i="5"/>
  <c r="I308" i="5"/>
  <c r="G307" i="5"/>
  <c r="I638" i="5"/>
  <c r="G635" i="5"/>
  <c r="G637" i="5"/>
  <c r="G315" i="5"/>
  <c r="I315" i="5" s="1"/>
  <c r="I312" i="5"/>
  <c r="F973" i="3"/>
  <c r="H974" i="3"/>
  <c r="F566" i="3"/>
  <c r="H566" i="3" s="1"/>
  <c r="F856" i="3"/>
  <c r="H857" i="3"/>
  <c r="F83" i="3"/>
  <c r="H83" i="3" s="1"/>
  <c r="H84" i="3"/>
  <c r="F63" i="3"/>
  <c r="H63" i="3" s="1"/>
  <c r="H64" i="3"/>
  <c r="F677" i="3"/>
  <c r="H678" i="3"/>
  <c r="G727" i="4"/>
  <c r="I727" i="4" s="1"/>
  <c r="G49" i="4"/>
  <c r="I49" i="4" s="1"/>
  <c r="H312" i="16"/>
  <c r="G61" i="4"/>
  <c r="I61" i="4" s="1"/>
  <c r="H57" i="15"/>
  <c r="G57" i="15"/>
  <c r="I815" i="15"/>
  <c r="G454" i="4"/>
  <c r="I454" i="4" s="1"/>
  <c r="I404" i="15"/>
  <c r="H264" i="15"/>
  <c r="G542" i="4" l="1"/>
  <c r="I543" i="4"/>
  <c r="G512" i="4"/>
  <c r="I512" i="4" s="1"/>
  <c r="I513" i="4"/>
  <c r="G612" i="4"/>
  <c r="I612" i="4" s="1"/>
  <c r="G370" i="4"/>
  <c r="I370" i="4" s="1"/>
  <c r="I371" i="4"/>
  <c r="G306" i="5"/>
  <c r="I307" i="5"/>
  <c r="G641" i="5"/>
  <c r="I641" i="5" s="1"/>
  <c r="I635" i="5"/>
  <c r="I415" i="5"/>
  <c r="G414" i="5"/>
  <c r="G636" i="5"/>
  <c r="I636" i="5" s="1"/>
  <c r="I637" i="5"/>
  <c r="F855" i="3"/>
  <c r="H855" i="3" s="1"/>
  <c r="H856" i="3"/>
  <c r="F676" i="3"/>
  <c r="H676" i="3" s="1"/>
  <c r="H677" i="3"/>
  <c r="F972" i="3"/>
  <c r="H973" i="3"/>
  <c r="H263" i="15"/>
  <c r="G296" i="14"/>
  <c r="G295" i="14" s="1"/>
  <c r="G294" i="14" s="1"/>
  <c r="F573" i="14"/>
  <c r="F572" i="14" s="1"/>
  <c r="F571" i="14" s="1"/>
  <c r="G639" i="15"/>
  <c r="G638" i="15" s="1"/>
  <c r="G1012" i="15"/>
  <c r="G1011" i="15" s="1"/>
  <c r="F438" i="14"/>
  <c r="F437" i="14" s="1"/>
  <c r="F436" i="14" s="1"/>
  <c r="G210" i="15"/>
  <c r="F916" i="14"/>
  <c r="F915" i="14" s="1"/>
  <c r="G264" i="15"/>
  <c r="G263" i="15" s="1"/>
  <c r="C95" i="1"/>
  <c r="E95" i="1" s="1"/>
  <c r="G541" i="4" l="1"/>
  <c r="I542" i="4"/>
  <c r="G413" i="5"/>
  <c r="I414" i="5"/>
  <c r="I306" i="5"/>
  <c r="G305" i="5"/>
  <c r="I305" i="5" s="1"/>
  <c r="G311" i="5"/>
  <c r="I311" i="5" s="1"/>
  <c r="D44" i="2"/>
  <c r="F44" i="2" s="1"/>
  <c r="H972" i="3"/>
  <c r="G1250" i="4"/>
  <c r="G994" i="5"/>
  <c r="I994" i="5" s="1"/>
  <c r="D13" i="12"/>
  <c r="G881" i="14"/>
  <c r="G880" i="14" s="1"/>
  <c r="G879" i="14" s="1"/>
  <c r="F880" i="14"/>
  <c r="F879" i="14" s="1"/>
  <c r="F1094" i="3"/>
  <c r="H1094" i="3" s="1"/>
  <c r="F1097" i="3"/>
  <c r="H1097" i="3" s="1"/>
  <c r="F1102" i="3"/>
  <c r="H1102" i="3" s="1"/>
  <c r="H479" i="15"/>
  <c r="G495" i="4"/>
  <c r="G490" i="4"/>
  <c r="G487" i="4"/>
  <c r="I487" i="4" s="1"/>
  <c r="G483" i="4"/>
  <c r="I483" i="4" s="1"/>
  <c r="G481" i="4"/>
  <c r="I481" i="4" s="1"/>
  <c r="G19" i="4"/>
  <c r="I19" i="4" s="1"/>
  <c r="G489" i="4" l="1"/>
  <c r="I489" i="4" s="1"/>
  <c r="I490" i="4"/>
  <c r="G494" i="4"/>
  <c r="I494" i="4" s="1"/>
  <c r="I495" i="4"/>
  <c r="G540" i="4"/>
  <c r="I540" i="4" s="1"/>
  <c r="I541" i="4"/>
  <c r="G419" i="5"/>
  <c r="I419" i="5" s="1"/>
  <c r="I413" i="5"/>
  <c r="G480" i="4"/>
  <c r="G999" i="14"/>
  <c r="G998" i="14" s="1"/>
  <c r="H478" i="15"/>
  <c r="G914" i="16"/>
  <c r="F1011" i="14"/>
  <c r="F1010" i="14" s="1"/>
  <c r="F1009" i="14" s="1"/>
  <c r="H483" i="15"/>
  <c r="F1003" i="14"/>
  <c r="F1002" i="14" s="1"/>
  <c r="G482" i="15"/>
  <c r="H486" i="15"/>
  <c r="F1006" i="14"/>
  <c r="F1005" i="14" s="1"/>
  <c r="F1004" i="14" s="1"/>
  <c r="F1090" i="3"/>
  <c r="H1090" i="3" s="1"/>
  <c r="F1088" i="3"/>
  <c r="H1088" i="3" s="1"/>
  <c r="G485" i="15"/>
  <c r="G484" i="15" s="1"/>
  <c r="G490" i="15"/>
  <c r="G489" i="15" s="1"/>
  <c r="G488" i="15" s="1"/>
  <c r="H491" i="15"/>
  <c r="G1011" i="14" s="1"/>
  <c r="G1010" i="14" s="1"/>
  <c r="G1009" i="14" s="1"/>
  <c r="G492" i="4"/>
  <c r="I492" i="4" s="1"/>
  <c r="G493" i="4" l="1"/>
  <c r="I493" i="4" s="1"/>
  <c r="G479" i="4"/>
  <c r="I480" i="4"/>
  <c r="G17" i="15"/>
  <c r="F113" i="14"/>
  <c r="F112" i="14" s="1"/>
  <c r="H481" i="15"/>
  <c r="F1001" i="14"/>
  <c r="F1000" i="14" s="1"/>
  <c r="G480" i="15"/>
  <c r="G477" i="15" s="1"/>
  <c r="G476" i="15" s="1"/>
  <c r="G475" i="15" s="1"/>
  <c r="G1003" i="14"/>
  <c r="G1002" i="14" s="1"/>
  <c r="H482" i="15"/>
  <c r="H485" i="15"/>
  <c r="H484" i="15" s="1"/>
  <c r="G1006" i="14"/>
  <c r="G1005" i="14" s="1"/>
  <c r="G1004" i="14" s="1"/>
  <c r="G487" i="15"/>
  <c r="H914" i="16"/>
  <c r="H490" i="15"/>
  <c r="H489" i="15" s="1"/>
  <c r="G478" i="4" l="1"/>
  <c r="I479" i="4"/>
  <c r="G1001" i="14"/>
  <c r="G1000" i="14" s="1"/>
  <c r="H480" i="15"/>
  <c r="H477" i="15" s="1"/>
  <c r="H476" i="15" s="1"/>
  <c r="H475" i="15" s="1"/>
  <c r="G474" i="15"/>
  <c r="G473" i="15" s="1"/>
  <c r="G1135" i="15" s="1"/>
  <c r="H488" i="15"/>
  <c r="H487" i="15"/>
  <c r="G124" i="14"/>
  <c r="G123" i="14" s="1"/>
  <c r="G126" i="14"/>
  <c r="G125" i="14" s="1"/>
  <c r="F126" i="14"/>
  <c r="F125" i="14" s="1"/>
  <c r="F124" i="14"/>
  <c r="F123" i="14" s="1"/>
  <c r="F131" i="3"/>
  <c r="F133" i="3"/>
  <c r="H102" i="15"/>
  <c r="H100" i="15"/>
  <c r="G102" i="15"/>
  <c r="G100" i="15"/>
  <c r="G100" i="4"/>
  <c r="I100" i="4" s="1"/>
  <c r="G102" i="4"/>
  <c r="I102" i="4" s="1"/>
  <c r="I478" i="4" l="1"/>
  <c r="G477" i="4"/>
  <c r="F132" i="3"/>
  <c r="H132" i="3" s="1"/>
  <c r="H133" i="3"/>
  <c r="F130" i="3"/>
  <c r="H130" i="3" s="1"/>
  <c r="H131" i="3"/>
  <c r="G99" i="4"/>
  <c r="H474" i="15"/>
  <c r="H473" i="15" s="1"/>
  <c r="H1135" i="15" s="1"/>
  <c r="G99" i="15"/>
  <c r="G98" i="15" s="1"/>
  <c r="G97" i="15" s="1"/>
  <c r="G96" i="15" s="1"/>
  <c r="G122" i="14"/>
  <c r="G121" i="14" s="1"/>
  <c r="G120" i="14" s="1"/>
  <c r="G119" i="14" s="1"/>
  <c r="E16" i="13" s="1"/>
  <c r="F122" i="14"/>
  <c r="F121" i="14" s="1"/>
  <c r="F120" i="14" s="1"/>
  <c r="F119" i="14" s="1"/>
  <c r="D16" i="13" s="1"/>
  <c r="H99" i="15"/>
  <c r="H98" i="15" s="1"/>
  <c r="H97" i="15" s="1"/>
  <c r="H96" i="15" s="1"/>
  <c r="G394" i="14"/>
  <c r="G393" i="14" s="1"/>
  <c r="G392" i="14" s="1"/>
  <c r="G391" i="14" s="1"/>
  <c r="G390" i="14" s="1"/>
  <c r="F394" i="14"/>
  <c r="F393" i="14" s="1"/>
  <c r="F392" i="14" s="1"/>
  <c r="F391" i="14" s="1"/>
  <c r="F390" i="14" s="1"/>
  <c r="F417" i="3"/>
  <c r="H962" i="16"/>
  <c r="H961" i="16" s="1"/>
  <c r="H960" i="16" s="1"/>
  <c r="H959" i="16" s="1"/>
  <c r="H958" i="16" s="1"/>
  <c r="H957" i="16" s="1"/>
  <c r="H956" i="16" s="1"/>
  <c r="H955" i="16" s="1"/>
  <c r="G962" i="16"/>
  <c r="G961" i="16" s="1"/>
  <c r="G960" i="16" s="1"/>
  <c r="G959" i="16" s="1"/>
  <c r="G958" i="16" s="1"/>
  <c r="G957" i="16" s="1"/>
  <c r="G956" i="16" s="1"/>
  <c r="G955" i="16" s="1"/>
  <c r="G1042" i="5"/>
  <c r="H968" i="15"/>
  <c r="H967" i="15" s="1"/>
  <c r="H966" i="15" s="1"/>
  <c r="H965" i="15" s="1"/>
  <c r="H1159" i="15" s="1"/>
  <c r="G968" i="15"/>
  <c r="G967" i="15" s="1"/>
  <c r="G966" i="15" s="1"/>
  <c r="G965" i="15" s="1"/>
  <c r="G1159" i="15" s="1"/>
  <c r="G1055" i="4"/>
  <c r="H450" i="15"/>
  <c r="H449" i="15" s="1"/>
  <c r="G449" i="15"/>
  <c r="G98" i="4" l="1"/>
  <c r="I99" i="4"/>
  <c r="G476" i="4"/>
  <c r="I477" i="4"/>
  <c r="G1054" i="4"/>
  <c r="I1055" i="4"/>
  <c r="G1041" i="5"/>
  <c r="I1042" i="5"/>
  <c r="F416" i="3"/>
  <c r="H417" i="3"/>
  <c r="F129" i="3"/>
  <c r="G524" i="4"/>
  <c r="I524" i="4" s="1"/>
  <c r="G1226" i="4" l="1"/>
  <c r="I476" i="4"/>
  <c r="I1226" i="4" s="1"/>
  <c r="G1053" i="4"/>
  <c r="I1054" i="4"/>
  <c r="G97" i="4"/>
  <c r="I98" i="4"/>
  <c r="G1040" i="5"/>
  <c r="I1041" i="5"/>
  <c r="F128" i="3"/>
  <c r="H129" i="3"/>
  <c r="F415" i="3"/>
  <c r="H416" i="3"/>
  <c r="G149" i="14"/>
  <c r="G148" i="14" s="1"/>
  <c r="G147" i="14" s="1"/>
  <c r="F149" i="14"/>
  <c r="F148" i="14" s="1"/>
  <c r="F147" i="14" s="1"/>
  <c r="H28" i="15"/>
  <c r="H27" i="15" s="1"/>
  <c r="H26" i="15" s="1"/>
  <c r="H25" i="15" s="1"/>
  <c r="H24" i="15" s="1"/>
  <c r="G27" i="15"/>
  <c r="G26" i="15" s="1"/>
  <c r="G25" i="15" s="1"/>
  <c r="G24" i="15" s="1"/>
  <c r="G1052" i="4" l="1"/>
  <c r="I1052" i="4" s="1"/>
  <c r="I1053" i="4"/>
  <c r="G96" i="4"/>
  <c r="I96" i="4" s="1"/>
  <c r="I97" i="4"/>
  <c r="G1039" i="5"/>
  <c r="I1040" i="5"/>
  <c r="F414" i="3"/>
  <c r="H415" i="3"/>
  <c r="F127" i="3"/>
  <c r="H128" i="3"/>
  <c r="G750" i="4"/>
  <c r="I750" i="4" s="1"/>
  <c r="G1038" i="5" l="1"/>
  <c r="I1039" i="5"/>
  <c r="F126" i="3"/>
  <c r="H127" i="3"/>
  <c r="F413" i="3"/>
  <c r="H413" i="3" s="1"/>
  <c r="H414" i="3"/>
  <c r="D81" i="12"/>
  <c r="C81" i="12"/>
  <c r="C97" i="1"/>
  <c r="E97" i="1" s="1"/>
  <c r="D38" i="12"/>
  <c r="D36" i="12"/>
  <c r="C38" i="12"/>
  <c r="C36" i="12"/>
  <c r="C39" i="1"/>
  <c r="E39" i="1" s="1"/>
  <c r="C37" i="1"/>
  <c r="E37" i="1" s="1"/>
  <c r="D30" i="12"/>
  <c r="C30" i="12"/>
  <c r="C56" i="1"/>
  <c r="C26" i="1"/>
  <c r="E26" i="1" s="1"/>
  <c r="G1037" i="5" l="1"/>
  <c r="I1038" i="5"/>
  <c r="D16" i="2"/>
  <c r="F16" i="2" s="1"/>
  <c r="H126" i="3"/>
  <c r="C53" i="1"/>
  <c r="E53" i="1" s="1"/>
  <c r="E56" i="1"/>
  <c r="C35" i="12"/>
  <c r="C36" i="1"/>
  <c r="D35" i="12"/>
  <c r="F270" i="14"/>
  <c r="F269" i="14" s="1"/>
  <c r="F268" i="14" s="1"/>
  <c r="C71" i="1"/>
  <c r="E71" i="1" s="1"/>
  <c r="C73" i="1"/>
  <c r="E73" i="1" s="1"/>
  <c r="C75" i="1"/>
  <c r="E75" i="1" s="1"/>
  <c r="D65" i="12"/>
  <c r="D67" i="12"/>
  <c r="C67" i="12"/>
  <c r="D69" i="12"/>
  <c r="C69" i="12"/>
  <c r="C65" i="12"/>
  <c r="C125" i="12"/>
  <c r="D125" i="12" s="1"/>
  <c r="G178" i="15"/>
  <c r="D141" i="12"/>
  <c r="D140" i="12"/>
  <c r="C128" i="12"/>
  <c r="C124" i="12"/>
  <c r="D124" i="12" s="1"/>
  <c r="C123" i="12"/>
  <c r="D123" i="12" s="1"/>
  <c r="C122" i="12"/>
  <c r="D122" i="12" s="1"/>
  <c r="C121" i="12"/>
  <c r="D121" i="12" s="1"/>
  <c r="C119" i="12"/>
  <c r="D119" i="12" s="1"/>
  <c r="C118" i="12"/>
  <c r="D118" i="12" s="1"/>
  <c r="C117" i="12"/>
  <c r="D117" i="12" s="1"/>
  <c r="C116" i="12"/>
  <c r="D116" i="12" s="1"/>
  <c r="C115" i="12"/>
  <c r="D115" i="12" s="1"/>
  <c r="C114" i="12"/>
  <c r="E36" i="1" l="1"/>
  <c r="C33" i="1"/>
  <c r="E33" i="1" s="1"/>
  <c r="G1036" i="5"/>
  <c r="I1037" i="5"/>
  <c r="D138" i="12"/>
  <c r="D114" i="12"/>
  <c r="D64" i="12"/>
  <c r="D63" i="12" s="1"/>
  <c r="C64" i="12"/>
  <c r="C63" i="12" s="1"/>
  <c r="C70" i="1"/>
  <c r="G1035" i="5" l="1"/>
  <c r="I1035" i="5" s="1"/>
  <c r="I1036" i="5"/>
  <c r="C69" i="1"/>
  <c r="E69" i="1" s="1"/>
  <c r="E70" i="1"/>
  <c r="E19" i="13"/>
  <c r="E18" i="13"/>
  <c r="D18" i="12"/>
  <c r="D17" i="12" s="1"/>
  <c r="D25" i="12"/>
  <c r="C25" i="12"/>
  <c r="D57" i="12"/>
  <c r="D56" i="12" s="1"/>
  <c r="D145" i="12"/>
  <c r="D144" i="12" s="1"/>
  <c r="D143" i="12" s="1"/>
  <c r="C145" i="12"/>
  <c r="C144" i="12" s="1"/>
  <c r="C143" i="12" s="1"/>
  <c r="D134" i="12"/>
  <c r="C134" i="12"/>
  <c r="D108" i="12"/>
  <c r="C108" i="12"/>
  <c r="D103" i="12"/>
  <c r="C103" i="12"/>
  <c r="D94" i="12"/>
  <c r="C94" i="12"/>
  <c r="D90" i="12"/>
  <c r="C90" i="12"/>
  <c r="D88" i="12"/>
  <c r="C88" i="12"/>
  <c r="D78" i="12"/>
  <c r="C78" i="12"/>
  <c r="D72" i="12"/>
  <c r="D71" i="12" s="1"/>
  <c r="C72" i="12"/>
  <c r="C71" i="12" s="1"/>
  <c r="D61" i="12"/>
  <c r="C61" i="12"/>
  <c r="D59" i="12"/>
  <c r="C59" i="12"/>
  <c r="C56" i="12"/>
  <c r="C55" i="12"/>
  <c r="D50" i="12"/>
  <c r="D49" i="12" s="1"/>
  <c r="C50" i="12"/>
  <c r="C49" i="12" s="1"/>
  <c r="D47" i="12"/>
  <c r="C47" i="12"/>
  <c r="D45" i="12"/>
  <c r="C45" i="12"/>
  <c r="D41" i="12"/>
  <c r="D40" i="12" s="1"/>
  <c r="C41" i="12"/>
  <c r="C40" i="12" s="1"/>
  <c r="D33" i="12"/>
  <c r="C33" i="12"/>
  <c r="C32" i="12" s="1"/>
  <c r="D28" i="12"/>
  <c r="C28" i="12"/>
  <c r="C18" i="12"/>
  <c r="C17" i="12" s="1"/>
  <c r="D12" i="12"/>
  <c r="D11" i="12" s="1"/>
  <c r="C12" i="12"/>
  <c r="C11" i="12" s="1"/>
  <c r="H37" i="17"/>
  <c r="H36" i="17" s="1"/>
  <c r="H35" i="17" s="1"/>
  <c r="H34" i="17" s="1"/>
  <c r="H33" i="17" s="1"/>
  <c r="H953" i="16"/>
  <c r="H952" i="16" s="1"/>
  <c r="H951" i="16" s="1"/>
  <c r="H950" i="16" s="1"/>
  <c r="H949" i="16" s="1"/>
  <c r="H947" i="16" s="1"/>
  <c r="H945" i="16"/>
  <c r="H944" i="16" s="1"/>
  <c r="H943" i="16" s="1"/>
  <c r="H942" i="16" s="1"/>
  <c r="H941" i="16" s="1"/>
  <c r="H896" i="16"/>
  <c r="H895" i="16" s="1"/>
  <c r="H894" i="16" s="1"/>
  <c r="H871" i="16"/>
  <c r="H870" i="16" s="1"/>
  <c r="H869" i="16" s="1"/>
  <c r="H844" i="16"/>
  <c r="H842" i="16"/>
  <c r="H841" i="16" s="1"/>
  <c r="H786" i="16"/>
  <c r="H787" i="16" s="1"/>
  <c r="H703" i="16"/>
  <c r="H701" i="16"/>
  <c r="H700" i="16" s="1"/>
  <c r="H699" i="16" s="1"/>
  <c r="H698" i="16" s="1"/>
  <c r="H696" i="16"/>
  <c r="H697" i="16" s="1"/>
  <c r="H679" i="16"/>
  <c r="H680" i="16" s="1"/>
  <c r="G953" i="16"/>
  <c r="G945" i="16"/>
  <c r="G944" i="16" s="1"/>
  <c r="G943" i="16" s="1"/>
  <c r="G942" i="16" s="1"/>
  <c r="G941" i="16" s="1"/>
  <c r="G871" i="16"/>
  <c r="G870" i="16" s="1"/>
  <c r="G869" i="16" s="1"/>
  <c r="G842" i="16"/>
  <c r="G841" i="16" s="1"/>
  <c r="G786" i="16"/>
  <c r="G787" i="16" s="1"/>
  <c r="G696" i="16"/>
  <c r="G697" i="16" s="1"/>
  <c r="G679" i="16"/>
  <c r="G680" i="16" s="1"/>
  <c r="G22" i="16"/>
  <c r="G23" i="16" s="1"/>
  <c r="G952" i="16"/>
  <c r="G951" i="16" s="1"/>
  <c r="G950" i="16" s="1"/>
  <c r="G949" i="16" s="1"/>
  <c r="G895" i="16"/>
  <c r="G894" i="16" s="1"/>
  <c r="G703" i="16"/>
  <c r="G701" i="16"/>
  <c r="G700" i="16" s="1"/>
  <c r="G699" i="16" s="1"/>
  <c r="G698" i="16" s="1"/>
  <c r="C97" i="12" l="1"/>
  <c r="C83" i="12" s="1"/>
  <c r="D97" i="12"/>
  <c r="D83" i="12" s="1"/>
  <c r="D58" i="12"/>
  <c r="D55" i="12"/>
  <c r="H785" i="16"/>
  <c r="H784" i="16" s="1"/>
  <c r="H783" i="16" s="1"/>
  <c r="H782" i="16" s="1"/>
  <c r="H781" i="16" s="1"/>
  <c r="G21" i="16"/>
  <c r="D44" i="12"/>
  <c r="D43" i="12" s="1"/>
  <c r="C44" i="12"/>
  <c r="C43" i="12" s="1"/>
  <c r="H939" i="16"/>
  <c r="H946" i="16" s="1"/>
  <c r="H940" i="16"/>
  <c r="G785" i="16"/>
  <c r="G784" i="16" s="1"/>
  <c r="G783" i="16" s="1"/>
  <c r="G782" i="16" s="1"/>
  <c r="G781" i="16" s="1"/>
  <c r="H695" i="16"/>
  <c r="H694" i="16" s="1"/>
  <c r="H693" i="16" s="1"/>
  <c r="H692" i="16" s="1"/>
  <c r="H872" i="16"/>
  <c r="H678" i="16"/>
  <c r="H677" i="16" s="1"/>
  <c r="H676" i="16" s="1"/>
  <c r="H675" i="16" s="1"/>
  <c r="C58" i="12"/>
  <c r="D76" i="12"/>
  <c r="D77" i="12"/>
  <c r="C76" i="12"/>
  <c r="C77" i="12"/>
  <c r="D27" i="12"/>
  <c r="D26" i="12" s="1"/>
  <c r="D24" i="12"/>
  <c r="C27" i="12"/>
  <c r="C26" i="12" s="1"/>
  <c r="C24" i="12"/>
  <c r="D32" i="12"/>
  <c r="H948" i="16"/>
  <c r="H954" i="16"/>
  <c r="G678" i="16"/>
  <c r="G677" i="16" s="1"/>
  <c r="G676" i="16" s="1"/>
  <c r="G675" i="16" s="1"/>
  <c r="G939" i="16"/>
  <c r="G946" i="16" s="1"/>
  <c r="G940" i="16"/>
  <c r="G947" i="16"/>
  <c r="G948" i="16"/>
  <c r="G695" i="16"/>
  <c r="G694" i="16" s="1"/>
  <c r="G693" i="16" s="1"/>
  <c r="G692" i="16" s="1"/>
  <c r="G844" i="16"/>
  <c r="G872" i="16"/>
  <c r="F213" i="14"/>
  <c r="F212" i="14" s="1"/>
  <c r="F211" i="14" s="1"/>
  <c r="F210" i="14" s="1"/>
  <c r="F267" i="14"/>
  <c r="H406" i="15"/>
  <c r="G406" i="15"/>
  <c r="F324" i="3"/>
  <c r="G199" i="4"/>
  <c r="I199" i="4" s="1"/>
  <c r="G288" i="4"/>
  <c r="I288" i="4" s="1"/>
  <c r="G296" i="4"/>
  <c r="I296" i="4" s="1"/>
  <c r="G508" i="4"/>
  <c r="I508" i="4" s="1"/>
  <c r="G677" i="4"/>
  <c r="I677" i="4" s="1"/>
  <c r="G814" i="4"/>
  <c r="I814" i="4" s="1"/>
  <c r="G888" i="4"/>
  <c r="I888" i="4" s="1"/>
  <c r="G906" i="4"/>
  <c r="I906" i="4" s="1"/>
  <c r="F323" i="3" l="1"/>
  <c r="H324" i="3"/>
  <c r="C96" i="12"/>
  <c r="D96" i="12"/>
  <c r="F307" i="14"/>
  <c r="F306" i="14" s="1"/>
  <c r="F305" i="14" s="1"/>
  <c r="F304" i="14" s="1"/>
  <c r="F43" i="12"/>
  <c r="E43" i="12"/>
  <c r="G146" i="16"/>
  <c r="H276" i="15"/>
  <c r="H275" i="15" s="1"/>
  <c r="H274" i="15" s="1"/>
  <c r="H273" i="15" s="1"/>
  <c r="C23" i="12"/>
  <c r="C22" i="12" s="1"/>
  <c r="E10" i="12" s="1"/>
  <c r="D23" i="12"/>
  <c r="D22" i="12" s="1"/>
  <c r="G954" i="16"/>
  <c r="G149" i="5"/>
  <c r="G275" i="15"/>
  <c r="G274" i="15" s="1"/>
  <c r="G273" i="15" s="1"/>
  <c r="G275" i="4"/>
  <c r="G274" i="4" l="1"/>
  <c r="I275" i="4"/>
  <c r="G150" i="5"/>
  <c r="I150" i="5" s="1"/>
  <c r="I149" i="5"/>
  <c r="F322" i="3"/>
  <c r="H323" i="3"/>
  <c r="F10" i="12"/>
  <c r="D10" i="12"/>
  <c r="H146" i="16"/>
  <c r="G307" i="14"/>
  <c r="G306" i="14" s="1"/>
  <c r="G305" i="14" s="1"/>
  <c r="G304" i="14" s="1"/>
  <c r="G145" i="16"/>
  <c r="G144" i="16" s="1"/>
  <c r="G143" i="16" s="1"/>
  <c r="G142" i="16" s="1"/>
  <c r="G141" i="16" s="1"/>
  <c r="G147" i="16"/>
  <c r="C10" i="12"/>
  <c r="G148" i="5"/>
  <c r="G273" i="4" l="1"/>
  <c r="I273" i="4" s="1"/>
  <c r="I274" i="4"/>
  <c r="G147" i="5"/>
  <c r="I148" i="5"/>
  <c r="F321" i="3"/>
  <c r="H321" i="3" s="1"/>
  <c r="H322" i="3"/>
  <c r="H147" i="16"/>
  <c r="H145" i="16"/>
  <c r="H144" i="16" s="1"/>
  <c r="H143" i="16" s="1"/>
  <c r="H142" i="16" s="1"/>
  <c r="H141" i="16" s="1"/>
  <c r="G146" i="5" l="1"/>
  <c r="I147" i="5"/>
  <c r="G833" i="14"/>
  <c r="G832" i="14" s="1"/>
  <c r="G831" i="14" s="1"/>
  <c r="G830" i="14" s="1"/>
  <c r="G829" i="14" s="1"/>
  <c r="F833" i="14"/>
  <c r="F832" i="14" s="1"/>
  <c r="F831" i="14" s="1"/>
  <c r="F830" i="14" s="1"/>
  <c r="F829" i="14" s="1"/>
  <c r="G478" i="14"/>
  <c r="G477" i="14" s="1"/>
  <c r="G476" i="14" s="1"/>
  <c r="G475" i="14" s="1"/>
  <c r="G474" i="14" s="1"/>
  <c r="F478" i="14"/>
  <c r="F477" i="14" s="1"/>
  <c r="F476" i="14" s="1"/>
  <c r="F475" i="14" s="1"/>
  <c r="F474" i="14" s="1"/>
  <c r="F505" i="3"/>
  <c r="I146" i="5" l="1"/>
  <c r="G145" i="5"/>
  <c r="F504" i="3"/>
  <c r="H505" i="3"/>
  <c r="G760" i="5"/>
  <c r="H408" i="15"/>
  <c r="H407" i="15" s="1"/>
  <c r="H405" i="15" s="1"/>
  <c r="G408" i="15"/>
  <c r="G407" i="15" s="1"/>
  <c r="G405" i="15" s="1"/>
  <c r="H1052" i="15"/>
  <c r="H1051" i="15" s="1"/>
  <c r="H1050" i="15" s="1"/>
  <c r="H1049" i="15" s="1"/>
  <c r="G1052" i="15"/>
  <c r="G1051" i="15" s="1"/>
  <c r="G1050" i="15" s="1"/>
  <c r="G1049" i="15" s="1"/>
  <c r="G144" i="5" l="1"/>
  <c r="I144" i="5" s="1"/>
  <c r="I145" i="5"/>
  <c r="G759" i="5"/>
  <c r="I760" i="5"/>
  <c r="F503" i="3"/>
  <c r="H504" i="3"/>
  <c r="G1143" i="4"/>
  <c r="G365" i="14"/>
  <c r="G364" i="14" s="1"/>
  <c r="G363" i="14" s="1"/>
  <c r="G362" i="14" s="1"/>
  <c r="F365" i="14"/>
  <c r="F364" i="14" s="1"/>
  <c r="F363" i="14" s="1"/>
  <c r="F362" i="14" s="1"/>
  <c r="G939" i="15"/>
  <c r="G938" i="15" s="1"/>
  <c r="G937" i="15" s="1"/>
  <c r="G209" i="14"/>
  <c r="G208" i="14" s="1"/>
  <c r="G207" i="14" s="1"/>
  <c r="G206" i="14" s="1"/>
  <c r="G205" i="14" s="1"/>
  <c r="F208" i="14"/>
  <c r="F207" i="14" s="1"/>
  <c r="F206" i="14" s="1"/>
  <c r="F205" i="14" s="1"/>
  <c r="H127" i="15"/>
  <c r="H126" i="15" s="1"/>
  <c r="H125" i="15" s="1"/>
  <c r="H124" i="15" s="1"/>
  <c r="G127" i="15"/>
  <c r="G126" i="15" s="1"/>
  <c r="G125" i="15" s="1"/>
  <c r="G124" i="15" s="1"/>
  <c r="G1033" i="5"/>
  <c r="I1033" i="5" s="1"/>
  <c r="H132" i="15"/>
  <c r="H131" i="15" s="1"/>
  <c r="G132" i="15"/>
  <c r="G131" i="15" s="1"/>
  <c r="G1142" i="4" l="1"/>
  <c r="I1143" i="4"/>
  <c r="G758" i="5"/>
  <c r="I759" i="5"/>
  <c r="F502" i="3"/>
  <c r="H503" i="3"/>
  <c r="G130" i="15"/>
  <c r="G129" i="15"/>
  <c r="H129" i="15"/>
  <c r="H130" i="15"/>
  <c r="F194" i="3"/>
  <c r="F182" i="3"/>
  <c r="H182" i="3" s="1"/>
  <c r="G916" i="5"/>
  <c r="G919" i="5"/>
  <c r="G824" i="4"/>
  <c r="G823" i="4" l="1"/>
  <c r="I824" i="4"/>
  <c r="G1141" i="4"/>
  <c r="I1142" i="4"/>
  <c r="G918" i="5"/>
  <c r="I918" i="5" s="1"/>
  <c r="I919" i="5"/>
  <c r="G917" i="5"/>
  <c r="I917" i="5" s="1"/>
  <c r="I916" i="5"/>
  <c r="G757" i="5"/>
  <c r="I758" i="5"/>
  <c r="F193" i="3"/>
  <c r="H193" i="3" s="1"/>
  <c r="H194" i="3"/>
  <c r="F501" i="3"/>
  <c r="H501" i="3" s="1"/>
  <c r="H502" i="3"/>
  <c r="G779" i="15"/>
  <c r="G778" i="15" s="1"/>
  <c r="H780" i="15"/>
  <c r="G839" i="16"/>
  <c r="G920" i="5"/>
  <c r="I920" i="5" s="1"/>
  <c r="F961" i="3"/>
  <c r="F40" i="3"/>
  <c r="H40" i="3" s="1"/>
  <c r="F21" i="3"/>
  <c r="H21" i="3" s="1"/>
  <c r="D126" i="12"/>
  <c r="C158" i="1"/>
  <c r="E158" i="1" s="1"/>
  <c r="G1140" i="4" l="1"/>
  <c r="I1140" i="4" s="1"/>
  <c r="I1141" i="4"/>
  <c r="G822" i="4"/>
  <c r="I823" i="4"/>
  <c r="G756" i="5"/>
  <c r="I757" i="5"/>
  <c r="F960" i="3"/>
  <c r="H960" i="3" s="1"/>
  <c r="H961" i="3"/>
  <c r="H839" i="16"/>
  <c r="H840" i="16" s="1"/>
  <c r="H779" i="15"/>
  <c r="H778" i="15" s="1"/>
  <c r="H777" i="15" s="1"/>
  <c r="H776" i="15" s="1"/>
  <c r="H775" i="15" s="1"/>
  <c r="H774" i="15" s="1"/>
  <c r="G777" i="15"/>
  <c r="G776" i="15" s="1"/>
  <c r="G775" i="15" s="1"/>
  <c r="G774" i="15" s="1"/>
  <c r="G838" i="16"/>
  <c r="G840" i="16"/>
  <c r="G821" i="4" l="1"/>
  <c r="I822" i="4"/>
  <c r="G755" i="5"/>
  <c r="I755" i="5" s="1"/>
  <c r="I756" i="5"/>
  <c r="H838" i="16"/>
  <c r="C25" i="1"/>
  <c r="G114" i="4"/>
  <c r="I114" i="4" s="1"/>
  <c r="I821" i="4" l="1"/>
  <c r="G820" i="4"/>
  <c r="C24" i="1"/>
  <c r="E25" i="1"/>
  <c r="G93" i="5"/>
  <c r="I820" i="4" l="1"/>
  <c r="G819" i="4"/>
  <c r="I819" i="4" s="1"/>
  <c r="G92" i="5"/>
  <c r="I92" i="5" s="1"/>
  <c r="I93" i="5"/>
  <c r="C23" i="1"/>
  <c r="E23" i="1" s="1"/>
  <c r="E24" i="1"/>
  <c r="F897" i="14"/>
  <c r="F896" i="14" s="1"/>
  <c r="G466" i="15"/>
  <c r="H467" i="15"/>
  <c r="G89" i="16"/>
  <c r="G32" i="17"/>
  <c r="G91" i="5"/>
  <c r="I91" i="5" s="1"/>
  <c r="G897" i="14" l="1"/>
  <c r="G896" i="14" s="1"/>
  <c r="H466" i="15"/>
  <c r="G90" i="16"/>
  <c r="G88" i="16"/>
  <c r="H89" i="16"/>
  <c r="H32" i="17"/>
  <c r="H31" i="17" s="1"/>
  <c r="H30" i="17" s="1"/>
  <c r="H29" i="17" s="1"/>
  <c r="H28" i="17" s="1"/>
  <c r="H27" i="17" s="1"/>
  <c r="G37" i="17"/>
  <c r="G36" i="17" s="1"/>
  <c r="G35" i="17" s="1"/>
  <c r="G34" i="17" s="1"/>
  <c r="G33" i="17" s="1"/>
  <c r="G40" i="6"/>
  <c r="I40" i="6" s="1"/>
  <c r="G34" i="6"/>
  <c r="G469" i="4"/>
  <c r="I469" i="4" s="1"/>
  <c r="G33" i="6" l="1"/>
  <c r="I33" i="6" s="1"/>
  <c r="I34" i="6"/>
  <c r="H88" i="16"/>
  <c r="H90" i="16"/>
  <c r="G31" i="17"/>
  <c r="G30" i="17" s="1"/>
  <c r="G29" i="17" s="1"/>
  <c r="G28" i="17" s="1"/>
  <c r="G27" i="17" s="1"/>
  <c r="G22" i="6" l="1"/>
  <c r="G16" i="6"/>
  <c r="G15" i="6" l="1"/>
  <c r="I15" i="6" s="1"/>
  <c r="I16" i="6"/>
  <c r="G21" i="6"/>
  <c r="I22" i="6"/>
  <c r="F187" i="14"/>
  <c r="F38" i="14"/>
  <c r="G38" i="14" s="1"/>
  <c r="G20" i="6" l="1"/>
  <c r="I21" i="6"/>
  <c r="D19" i="13"/>
  <c r="G1093" i="15"/>
  <c r="H1093" i="15" s="1"/>
  <c r="G1039" i="15"/>
  <c r="H1039" i="15" s="1"/>
  <c r="G1010" i="15"/>
  <c r="G986" i="15"/>
  <c r="G964" i="15"/>
  <c r="G960" i="15"/>
  <c r="G956" i="15"/>
  <c r="G935" i="15"/>
  <c r="H935" i="15" s="1"/>
  <c r="G932" i="15"/>
  <c r="H932" i="15" s="1"/>
  <c r="G930" i="15"/>
  <c r="H930" i="15" s="1"/>
  <c r="G927" i="15"/>
  <c r="H927" i="15" s="1"/>
  <c r="H924" i="15"/>
  <c r="H922" i="15"/>
  <c r="G918" i="15"/>
  <c r="H918" i="15" s="1"/>
  <c r="G915" i="15"/>
  <c r="G914" i="15" s="1"/>
  <c r="G913" i="15"/>
  <c r="H911" i="15"/>
  <c r="G270" i="14"/>
  <c r="G269" i="14" s="1"/>
  <c r="G268" i="14" s="1"/>
  <c r="G884" i="15"/>
  <c r="G808" i="15"/>
  <c r="G801" i="15"/>
  <c r="G798" i="15"/>
  <c r="G726" i="15"/>
  <c r="H726" i="15" s="1"/>
  <c r="G690" i="16"/>
  <c r="G684" i="15"/>
  <c r="G605" i="15"/>
  <c r="G685" i="16" s="1"/>
  <c r="G587" i="15"/>
  <c r="G580" i="15"/>
  <c r="G545" i="15"/>
  <c r="G519" i="15"/>
  <c r="H519" i="15" s="1"/>
  <c r="G422" i="15"/>
  <c r="H422" i="15" s="1"/>
  <c r="G330" i="15"/>
  <c r="G272" i="15"/>
  <c r="G269" i="15"/>
  <c r="G258" i="15"/>
  <c r="G255" i="15"/>
  <c r="G246" i="15"/>
  <c r="G245" i="15" s="1"/>
  <c r="G239" i="15"/>
  <c r="F184" i="14" s="1"/>
  <c r="F183" i="14" s="1"/>
  <c r="F182" i="14" s="1"/>
  <c r="F178" i="14"/>
  <c r="F177" i="14" s="1"/>
  <c r="F176" i="14" s="1"/>
  <c r="G230" i="15"/>
  <c r="H230" i="15" s="1"/>
  <c r="G225" i="15"/>
  <c r="G189" i="15"/>
  <c r="G140" i="15"/>
  <c r="H140" i="15" s="1"/>
  <c r="G86" i="15"/>
  <c r="G20" i="15"/>
  <c r="H18" i="15"/>
  <c r="G19" i="6" l="1"/>
  <c r="I20" i="6"/>
  <c r="H913" i="15"/>
  <c r="G912" i="15"/>
  <c r="G909" i="15" s="1"/>
  <c r="F338" i="14"/>
  <c r="F337" i="14" s="1"/>
  <c r="F334" i="14" s="1"/>
  <c r="F87" i="14"/>
  <c r="F86" i="14" s="1"/>
  <c r="G76" i="15"/>
  <c r="H95" i="15"/>
  <c r="H94" i="15" s="1"/>
  <c r="H93" i="15" s="1"/>
  <c r="G94" i="15"/>
  <c r="G93" i="15" s="1"/>
  <c r="H147" i="15"/>
  <c r="F228" i="14"/>
  <c r="F227" i="14" s="1"/>
  <c r="F226" i="14" s="1"/>
  <c r="G146" i="15"/>
  <c r="G145" i="15" s="1"/>
  <c r="F681" i="14"/>
  <c r="F680" i="14" s="1"/>
  <c r="F679" i="14" s="1"/>
  <c r="G295" i="15"/>
  <c r="G294" i="15" s="1"/>
  <c r="F811" i="14"/>
  <c r="F810" i="14" s="1"/>
  <c r="F809" i="14" s="1"/>
  <c r="G386" i="15"/>
  <c r="G385" i="15" s="1"/>
  <c r="H425" i="15"/>
  <c r="F849" i="14"/>
  <c r="F848" i="14" s="1"/>
  <c r="F847" i="14" s="1"/>
  <c r="G424" i="15"/>
  <c r="G423" i="15" s="1"/>
  <c r="H437" i="15"/>
  <c r="F861" i="14"/>
  <c r="F860" i="14" s="1"/>
  <c r="F859" i="14" s="1"/>
  <c r="G436" i="15"/>
  <c r="G435" i="15" s="1"/>
  <c r="F486" i="14"/>
  <c r="F485" i="14" s="1"/>
  <c r="F484" i="14" s="1"/>
  <c r="G552" i="15"/>
  <c r="G551" i="15" s="1"/>
  <c r="G550" i="15" s="1"/>
  <c r="F533" i="14"/>
  <c r="F532" i="14" s="1"/>
  <c r="F531" i="14" s="1"/>
  <c r="G599" i="15"/>
  <c r="G598" i="15" s="1"/>
  <c r="F634" i="14"/>
  <c r="F633" i="14" s="1"/>
  <c r="F632" i="14" s="1"/>
  <c r="G700" i="15"/>
  <c r="G699" i="15" s="1"/>
  <c r="F937" i="14"/>
  <c r="F936" i="14" s="1"/>
  <c r="F935" i="14" s="1"/>
  <c r="G793" i="15"/>
  <c r="G792" i="15" s="1"/>
  <c r="H871" i="15"/>
  <c r="H870" i="15" s="1"/>
  <c r="H869" i="15" s="1"/>
  <c r="G870" i="15"/>
  <c r="G869" i="15" s="1"/>
  <c r="H975" i="15"/>
  <c r="G974" i="15"/>
  <c r="G973" i="15" s="1"/>
  <c r="F400" i="14"/>
  <c r="F399" i="14" s="1"/>
  <c r="F398" i="14" s="1"/>
  <c r="F431" i="14"/>
  <c r="F430" i="14" s="1"/>
  <c r="F429" i="14" s="1"/>
  <c r="G1005" i="15"/>
  <c r="G1004" i="15" s="1"/>
  <c r="H1071" i="15"/>
  <c r="G1070" i="15"/>
  <c r="F16" i="14"/>
  <c r="F15" i="14" s="1"/>
  <c r="F93" i="14"/>
  <c r="F92" i="14" s="1"/>
  <c r="F91" i="14" s="1"/>
  <c r="G82" i="15"/>
  <c r="G81" i="15" s="1"/>
  <c r="H114" i="15"/>
  <c r="F158" i="14"/>
  <c r="F157" i="14" s="1"/>
  <c r="F156" i="14" s="1"/>
  <c r="G113" i="15"/>
  <c r="G112" i="15" s="1"/>
  <c r="G241" i="15"/>
  <c r="G240" i="15" s="1"/>
  <c r="F190" i="14"/>
  <c r="F189" i="14" s="1"/>
  <c r="F188" i="14" s="1"/>
  <c r="F671" i="14"/>
  <c r="F670" i="14" s="1"/>
  <c r="G285" i="15"/>
  <c r="F724" i="14"/>
  <c r="F723" i="14" s="1"/>
  <c r="G335" i="15"/>
  <c r="F801" i="14"/>
  <c r="F800" i="14" s="1"/>
  <c r="G376" i="15"/>
  <c r="F838" i="14"/>
  <c r="F837" i="14" s="1"/>
  <c r="F836" i="14" s="1"/>
  <c r="G413" i="15"/>
  <c r="G412" i="15" s="1"/>
  <c r="H430" i="15"/>
  <c r="F854" i="14"/>
  <c r="F853" i="14" s="1"/>
  <c r="G429" i="15"/>
  <c r="F886" i="14"/>
  <c r="F885" i="14" s="1"/>
  <c r="F884" i="14" s="1"/>
  <c r="G455" i="15"/>
  <c r="G454" i="15" s="1"/>
  <c r="F488" i="14"/>
  <c r="F487" i="14" s="1"/>
  <c r="F516" i="14"/>
  <c r="F515" i="14" s="1"/>
  <c r="F514" i="14" s="1"/>
  <c r="G582" i="15"/>
  <c r="G581" i="15" s="1"/>
  <c r="F563" i="14"/>
  <c r="F562" i="14" s="1"/>
  <c r="F561" i="14" s="1"/>
  <c r="G629" i="15"/>
  <c r="G628" i="15" s="1"/>
  <c r="H772" i="15"/>
  <c r="F764" i="14"/>
  <c r="F763" i="14" s="1"/>
  <c r="F762" i="14" s="1"/>
  <c r="G771" i="15"/>
  <c r="G770" i="15" s="1"/>
  <c r="H829" i="15"/>
  <c r="F972" i="14"/>
  <c r="F971" i="14" s="1"/>
  <c r="F970" i="14" s="1"/>
  <c r="G828" i="15"/>
  <c r="G827" i="15" s="1"/>
  <c r="F406" i="14"/>
  <c r="F405" i="14" s="1"/>
  <c r="F404" i="14" s="1"/>
  <c r="G980" i="15"/>
  <c r="G979" i="15" s="1"/>
  <c r="F420" i="14"/>
  <c r="F419" i="14" s="1"/>
  <c r="F418" i="14" s="1"/>
  <c r="G994" i="15"/>
  <c r="G993" i="15" s="1"/>
  <c r="H1024" i="15"/>
  <c r="F449" i="14"/>
  <c r="F448" i="14" s="1"/>
  <c r="G1023" i="15"/>
  <c r="H1043" i="15"/>
  <c r="F468" i="14"/>
  <c r="F467" i="14" s="1"/>
  <c r="G1042" i="15"/>
  <c r="H1074" i="15"/>
  <c r="F19" i="14"/>
  <c r="F18" i="14" s="1"/>
  <c r="F17" i="14" s="1"/>
  <c r="G1073" i="15"/>
  <c r="G1072" i="15" s="1"/>
  <c r="H1101" i="15"/>
  <c r="F104" i="14"/>
  <c r="F103" i="14" s="1"/>
  <c r="G1100" i="15"/>
  <c r="H41" i="15"/>
  <c r="F48" i="14"/>
  <c r="F47" i="14" s="1"/>
  <c r="G40" i="15"/>
  <c r="F199" i="14"/>
  <c r="F198" i="14" s="1"/>
  <c r="F197" i="14" s="1"/>
  <c r="G122" i="15"/>
  <c r="G121" i="15" s="1"/>
  <c r="G120" i="15" s="1"/>
  <c r="F247" i="14"/>
  <c r="F246" i="14" s="1"/>
  <c r="F245" i="14" s="1"/>
  <c r="G165" i="15"/>
  <c r="G164" i="15" s="1"/>
  <c r="H196" i="15"/>
  <c r="F874" i="14"/>
  <c r="F873" i="14" s="1"/>
  <c r="F872" i="14" s="1"/>
  <c r="G195" i="15"/>
  <c r="G194" i="15" s="1"/>
  <c r="G193" i="15" s="1"/>
  <c r="G192" i="15" s="1"/>
  <c r="F673" i="14"/>
  <c r="F672" i="14" s="1"/>
  <c r="G287" i="15"/>
  <c r="F705" i="14"/>
  <c r="F704" i="14" s="1"/>
  <c r="F703" i="14" s="1"/>
  <c r="G319" i="15"/>
  <c r="G318" i="15" s="1"/>
  <c r="F728" i="14"/>
  <c r="F727" i="14" s="1"/>
  <c r="F726" i="14" s="1"/>
  <c r="G339" i="15"/>
  <c r="G338" i="15" s="1"/>
  <c r="F782" i="14"/>
  <c r="F781" i="14" s="1"/>
  <c r="F778" i="14" s="1"/>
  <c r="G357" i="15"/>
  <c r="G354" i="15" s="1"/>
  <c r="G353" i="15" s="1"/>
  <c r="F803" i="14"/>
  <c r="F802" i="14" s="1"/>
  <c r="G378" i="15"/>
  <c r="F818" i="14"/>
  <c r="F817" i="14" s="1"/>
  <c r="F816" i="14" s="1"/>
  <c r="H394" i="15"/>
  <c r="H599" i="16" s="1"/>
  <c r="G393" i="15"/>
  <c r="G392" i="15" s="1"/>
  <c r="H420" i="15"/>
  <c r="F844" i="14"/>
  <c r="F843" i="14" s="1"/>
  <c r="F842" i="14" s="1"/>
  <c r="G419" i="15"/>
  <c r="G418" i="15" s="1"/>
  <c r="H432" i="15"/>
  <c r="F856" i="14"/>
  <c r="F855" i="14" s="1"/>
  <c r="G431" i="15"/>
  <c r="F895" i="14"/>
  <c r="F894" i="14" s="1"/>
  <c r="F893" i="14" s="1"/>
  <c r="F892" i="14" s="1"/>
  <c r="G464" i="15"/>
  <c r="G463" i="15" s="1"/>
  <c r="G836" i="16"/>
  <c r="G835" i="16" s="1"/>
  <c r="G834" i="16" s="1"/>
  <c r="G541" i="15"/>
  <c r="G540" i="15" s="1"/>
  <c r="F172" i="14"/>
  <c r="F171" i="14" s="1"/>
  <c r="F170" i="14" s="1"/>
  <c r="F550" i="14"/>
  <c r="F549" i="14" s="1"/>
  <c r="F548" i="14" s="1"/>
  <c r="G616" i="15"/>
  <c r="G615" i="15" s="1"/>
  <c r="F624" i="14"/>
  <c r="F623" i="14" s="1"/>
  <c r="F622" i="14" s="1"/>
  <c r="G690" i="15"/>
  <c r="G689" i="15" s="1"/>
  <c r="F931" i="14"/>
  <c r="F930" i="14" s="1"/>
  <c r="F929" i="14" s="1"/>
  <c r="G787" i="15"/>
  <c r="G786" i="15" s="1"/>
  <c r="H841" i="15"/>
  <c r="F984" i="14"/>
  <c r="F983" i="14" s="1"/>
  <c r="F982" i="14" s="1"/>
  <c r="G840" i="15"/>
  <c r="G839" i="15" s="1"/>
  <c r="G999" i="15"/>
  <c r="F425" i="14"/>
  <c r="F424" i="14" s="1"/>
  <c r="H1026" i="15"/>
  <c r="F451" i="14"/>
  <c r="F450" i="14" s="1"/>
  <c r="G1025" i="15"/>
  <c r="H1048" i="15"/>
  <c r="F473" i="14"/>
  <c r="F472" i="14" s="1"/>
  <c r="F471" i="14" s="1"/>
  <c r="G1047" i="15"/>
  <c r="G1046" i="15" s="1"/>
  <c r="F24" i="14"/>
  <c r="F23" i="14" s="1"/>
  <c r="F22" i="14" s="1"/>
  <c r="G1078" i="15"/>
  <c r="G1077" i="15" s="1"/>
  <c r="H1104" i="15"/>
  <c r="F107" i="14"/>
  <c r="F106" i="14" s="1"/>
  <c r="F105" i="14" s="1"/>
  <c r="G1103" i="15"/>
  <c r="G1102" i="15" s="1"/>
  <c r="H20" i="15"/>
  <c r="F115" i="14"/>
  <c r="F114" i="14" s="1"/>
  <c r="G19" i="15"/>
  <c r="F669" i="14"/>
  <c r="F668" i="14" s="1"/>
  <c r="G283" i="15"/>
  <c r="F776" i="14"/>
  <c r="F775" i="14" s="1"/>
  <c r="G351" i="15"/>
  <c r="H506" i="15"/>
  <c r="H505" i="15" s="1"/>
  <c r="H504" i="15" s="1"/>
  <c r="G505" i="15"/>
  <c r="G504" i="15" s="1"/>
  <c r="F560" i="14"/>
  <c r="F559" i="14" s="1"/>
  <c r="F558" i="14" s="1"/>
  <c r="G626" i="15"/>
  <c r="G625" i="15" s="1"/>
  <c r="H756" i="15"/>
  <c r="F748" i="14"/>
  <c r="F747" i="14" s="1"/>
  <c r="F746" i="14" s="1"/>
  <c r="G755" i="15"/>
  <c r="G754" i="15" s="1"/>
  <c r="H23" i="15"/>
  <c r="F118" i="14"/>
  <c r="F117" i="14" s="1"/>
  <c r="F116" i="14" s="1"/>
  <c r="G22" i="15"/>
  <c r="G21" i="15" s="1"/>
  <c r="H159" i="15"/>
  <c r="F240" i="14"/>
  <c r="F239" i="14" s="1"/>
  <c r="F238" i="14" s="1"/>
  <c r="G158" i="15"/>
  <c r="G157" i="15" s="1"/>
  <c r="F293" i="14"/>
  <c r="F292" i="14" s="1"/>
  <c r="F291" i="14" s="1"/>
  <c r="G261" i="15"/>
  <c r="G260" i="15" s="1"/>
  <c r="F687" i="14"/>
  <c r="F686" i="14" s="1"/>
  <c r="F685" i="14" s="1"/>
  <c r="G301" i="15"/>
  <c r="G300" i="15" s="1"/>
  <c r="H391" i="15"/>
  <c r="F815" i="14"/>
  <c r="F814" i="14" s="1"/>
  <c r="F813" i="14" s="1"/>
  <c r="G390" i="15"/>
  <c r="G389" i="15" s="1"/>
  <c r="G113" i="14"/>
  <c r="G112" i="14" s="1"/>
  <c r="H17" i="15"/>
  <c r="H49" i="15"/>
  <c r="F56" i="14"/>
  <c r="F55" i="14" s="1"/>
  <c r="F54" i="14" s="1"/>
  <c r="G48" i="15"/>
  <c r="G47" i="15" s="1"/>
  <c r="H92" i="15"/>
  <c r="G91" i="15"/>
  <c r="G90" i="15" s="1"/>
  <c r="F254" i="14"/>
  <c r="F253" i="14" s="1"/>
  <c r="F252" i="14" s="1"/>
  <c r="G172" i="15"/>
  <c r="G171" i="15" s="1"/>
  <c r="F907" i="14"/>
  <c r="F906" i="14" s="1"/>
  <c r="F905" i="14" s="1"/>
  <c r="G200" i="15"/>
  <c r="F181" i="14"/>
  <c r="F180" i="14" s="1"/>
  <c r="F179" i="14" s="1"/>
  <c r="G235" i="15"/>
  <c r="G234" i="15" s="1"/>
  <c r="G291" i="15"/>
  <c r="G290" i="15" s="1"/>
  <c r="F677" i="14"/>
  <c r="F676" i="14" s="1"/>
  <c r="F675" i="14" s="1"/>
  <c r="F715" i="14"/>
  <c r="F714" i="14" s="1"/>
  <c r="F713" i="14" s="1"/>
  <c r="G326" i="15"/>
  <c r="G325" i="15" s="1"/>
  <c r="G349" i="15"/>
  <c r="F774" i="14"/>
  <c r="F773" i="14" s="1"/>
  <c r="F786" i="14"/>
  <c r="F785" i="14" s="1"/>
  <c r="F784" i="14" s="1"/>
  <c r="G361" i="15"/>
  <c r="G360" i="15" s="1"/>
  <c r="G382" i="15"/>
  <c r="G381" i="15" s="1"/>
  <c r="F807" i="14"/>
  <c r="F806" i="14" s="1"/>
  <c r="F805" i="14" s="1"/>
  <c r="F825" i="14"/>
  <c r="F824" i="14" s="1"/>
  <c r="F823" i="14" s="1"/>
  <c r="G400" i="15"/>
  <c r="G399" i="15" s="1"/>
  <c r="H434" i="15"/>
  <c r="F858" i="14"/>
  <c r="F857" i="14" s="1"/>
  <c r="G433" i="15"/>
  <c r="F902" i="14"/>
  <c r="F901" i="14" s="1"/>
  <c r="F900" i="14" s="1"/>
  <c r="G471" i="15"/>
  <c r="G470" i="15" s="1"/>
  <c r="F502" i="14"/>
  <c r="F501" i="14" s="1"/>
  <c r="F500" i="14" s="1"/>
  <c r="G568" i="15"/>
  <c r="G567" i="15" s="1"/>
  <c r="F530" i="14"/>
  <c r="F529" i="14" s="1"/>
  <c r="F528" i="14" s="1"/>
  <c r="G596" i="15"/>
  <c r="G595" i="15" s="1"/>
  <c r="G623" i="15"/>
  <c r="G622" i="15" s="1"/>
  <c r="F557" i="14"/>
  <c r="F556" i="14" s="1"/>
  <c r="F555" i="14" s="1"/>
  <c r="F582" i="14"/>
  <c r="F581" i="14" s="1"/>
  <c r="F580" i="14" s="1"/>
  <c r="G648" i="15"/>
  <c r="G647" i="15" s="1"/>
  <c r="F708" i="14"/>
  <c r="F707" i="14" s="1"/>
  <c r="F706" i="14" s="1"/>
  <c r="G734" i="15"/>
  <c r="G733" i="15" s="1"/>
  <c r="F934" i="14"/>
  <c r="F933" i="14" s="1"/>
  <c r="F932" i="14" s="1"/>
  <c r="G790" i="15"/>
  <c r="G789" i="15" s="1"/>
  <c r="F947" i="14"/>
  <c r="F946" i="14" s="1"/>
  <c r="F945" i="14" s="1"/>
  <c r="G803" i="15"/>
  <c r="G802" i="15" s="1"/>
  <c r="H857" i="15"/>
  <c r="F132" i="14"/>
  <c r="F131" i="14" s="1"/>
  <c r="F130" i="14" s="1"/>
  <c r="G856" i="15"/>
  <c r="G855" i="15" s="1"/>
  <c r="G989" i="15"/>
  <c r="G988" i="15" s="1"/>
  <c r="F415" i="14"/>
  <c r="F414" i="14" s="1"/>
  <c r="F413" i="14" s="1"/>
  <c r="H1031" i="15"/>
  <c r="F456" i="14"/>
  <c r="F455" i="14" s="1"/>
  <c r="F454" i="14" s="1"/>
  <c r="G1030" i="15"/>
  <c r="G1029" i="15" s="1"/>
  <c r="H1061" i="15"/>
  <c r="F923" i="14"/>
  <c r="F922" i="14" s="1"/>
  <c r="F921" i="14" s="1"/>
  <c r="G1060" i="15"/>
  <c r="G1059" i="15" s="1"/>
  <c r="H1090" i="15"/>
  <c r="F35" i="14"/>
  <c r="F34" i="14" s="1"/>
  <c r="G1089" i="15"/>
  <c r="F790" i="14"/>
  <c r="F789" i="14" s="1"/>
  <c r="F788" i="14" s="1"/>
  <c r="G365" i="15"/>
  <c r="G364" i="15" s="1"/>
  <c r="G403" i="15"/>
  <c r="G402" i="15" s="1"/>
  <c r="G395" i="15" s="1"/>
  <c r="F828" i="14"/>
  <c r="F827" i="14" s="1"/>
  <c r="F826" i="14" s="1"/>
  <c r="F576" i="14"/>
  <c r="F575" i="14" s="1"/>
  <c r="F574" i="14" s="1"/>
  <c r="G642" i="15"/>
  <c r="G641" i="15" s="1"/>
  <c r="G714" i="15"/>
  <c r="G713" i="15" s="1"/>
  <c r="F648" i="14"/>
  <c r="F647" i="14" s="1"/>
  <c r="F646" i="14" s="1"/>
  <c r="F496" i="14"/>
  <c r="F495" i="14" s="1"/>
  <c r="F494" i="14" s="1"/>
  <c r="G562" i="15"/>
  <c r="G561" i="15" s="1"/>
  <c r="F341" i="14"/>
  <c r="F340" i="14" s="1"/>
  <c r="F339" i="14" s="1"/>
  <c r="H916" i="15"/>
  <c r="H915" i="15" s="1"/>
  <c r="H914" i="15" s="1"/>
  <c r="H83" i="15"/>
  <c r="G437" i="16"/>
  <c r="H242" i="15"/>
  <c r="G863" i="16"/>
  <c r="H330" i="15"/>
  <c r="H38" i="16" s="1"/>
  <c r="H39" i="16" s="1"/>
  <c r="G38" i="16"/>
  <c r="H649" i="15"/>
  <c r="G237" i="16"/>
  <c r="H735" i="15"/>
  <c r="G892" i="16"/>
  <c r="H804" i="15"/>
  <c r="G485" i="16"/>
  <c r="H990" i="15"/>
  <c r="G725" i="16"/>
  <c r="H123" i="15"/>
  <c r="G921" i="16"/>
  <c r="H166" i="15"/>
  <c r="G767" i="16"/>
  <c r="H233" i="15"/>
  <c r="G847" i="16"/>
  <c r="H302" i="15"/>
  <c r="G652" i="16"/>
  <c r="H336" i="15"/>
  <c r="G48" i="16"/>
  <c r="H377" i="15"/>
  <c r="G571" i="16"/>
  <c r="H414" i="15"/>
  <c r="G902" i="16"/>
  <c r="H701" i="15"/>
  <c r="G887" i="16"/>
  <c r="H1010" i="15"/>
  <c r="H755" i="16" s="1"/>
  <c r="G755" i="16"/>
  <c r="H173" i="15"/>
  <c r="G778" i="16"/>
  <c r="H236" i="15"/>
  <c r="G181" i="14" s="1"/>
  <c r="G180" i="14" s="1"/>
  <c r="G179" i="14" s="1"/>
  <c r="G851" i="16"/>
  <c r="H288" i="15"/>
  <c r="G628" i="16"/>
  <c r="H320" i="15"/>
  <c r="H897" i="16" s="1"/>
  <c r="G897" i="16"/>
  <c r="G599" i="16"/>
  <c r="H77" i="15"/>
  <c r="G427" i="16"/>
  <c r="H399" i="16"/>
  <c r="G399" i="16"/>
  <c r="H292" i="15"/>
  <c r="G635" i="16"/>
  <c r="H327" i="15"/>
  <c r="G34" i="16"/>
  <c r="H350" i="15"/>
  <c r="G526" i="16"/>
  <c r="H362" i="15"/>
  <c r="G546" i="16"/>
  <c r="G581" i="16"/>
  <c r="H401" i="15"/>
  <c r="G610" i="16"/>
  <c r="H472" i="15"/>
  <c r="G38" i="17"/>
  <c r="G97" i="16"/>
  <c r="H597" i="15"/>
  <c r="G296" i="16"/>
  <c r="H643" i="15"/>
  <c r="G229" i="16"/>
  <c r="H691" i="15"/>
  <c r="G371" i="16"/>
  <c r="H1000" i="15"/>
  <c r="G425" i="14" s="1"/>
  <c r="G424" i="14" s="1"/>
  <c r="G740" i="16"/>
  <c r="H262" i="15"/>
  <c r="G124" i="16"/>
  <c r="H296" i="15"/>
  <c r="G642" i="16"/>
  <c r="H352" i="15"/>
  <c r="G529" i="16"/>
  <c r="H387" i="15"/>
  <c r="G588" i="16"/>
  <c r="H600" i="15"/>
  <c r="G300" i="16"/>
  <c r="H1079" i="15"/>
  <c r="G418" i="16"/>
  <c r="H86" i="15"/>
  <c r="H441" i="16" s="1"/>
  <c r="G441" i="16"/>
  <c r="G875" i="16"/>
  <c r="F195" i="14"/>
  <c r="F194" i="14" s="1"/>
  <c r="F193" i="14" s="1"/>
  <c r="F192" i="14" s="1"/>
  <c r="H286" i="15"/>
  <c r="G625" i="16"/>
  <c r="G595" i="16"/>
  <c r="H456" i="15"/>
  <c r="G71" i="16"/>
  <c r="G20" i="17"/>
  <c r="G19" i="17" s="1"/>
  <c r="G18" i="17" s="1"/>
  <c r="G17" i="17" s="1"/>
  <c r="G16" i="17" s="1"/>
  <c r="G15" i="17" s="1"/>
  <c r="H583" i="15"/>
  <c r="G274" i="16"/>
  <c r="H1006" i="15"/>
  <c r="G748" i="16"/>
  <c r="H202" i="15"/>
  <c r="G449" i="16"/>
  <c r="H340" i="15"/>
  <c r="G55" i="16"/>
  <c r="G14" i="17"/>
  <c r="G13" i="17" s="1"/>
  <c r="G12" i="17" s="1"/>
  <c r="G11" i="17" s="1"/>
  <c r="G10" i="17" s="1"/>
  <c r="G9" i="17" s="1"/>
  <c r="H379" i="15"/>
  <c r="G574" i="16"/>
  <c r="H465" i="15"/>
  <c r="G86" i="16"/>
  <c r="H563" i="15"/>
  <c r="G200" i="16"/>
  <c r="H617" i="15"/>
  <c r="G882" i="16"/>
  <c r="H715" i="15"/>
  <c r="G250" i="16"/>
  <c r="H981" i="15"/>
  <c r="G711" i="16"/>
  <c r="H995" i="15"/>
  <c r="G733" i="16"/>
  <c r="G759" i="16"/>
  <c r="H545" i="15"/>
  <c r="H859" i="16" s="1"/>
  <c r="H858" i="16" s="1"/>
  <c r="H857" i="16" s="1"/>
  <c r="G859" i="16"/>
  <c r="H189" i="15"/>
  <c r="H403" i="16" s="1"/>
  <c r="G403" i="16"/>
  <c r="H225" i="15"/>
  <c r="H158" i="16" s="1"/>
  <c r="G158" i="16"/>
  <c r="H239" i="15"/>
  <c r="G855" i="16"/>
  <c r="H255" i="15"/>
  <c r="H113" i="16" s="1"/>
  <c r="H114" i="16" s="1"/>
  <c r="G113" i="16"/>
  <c r="H258" i="15"/>
  <c r="H117" i="16" s="1"/>
  <c r="H118" i="16" s="1"/>
  <c r="G117" i="16"/>
  <c r="H272" i="15"/>
  <c r="H139" i="16" s="1"/>
  <c r="H138" i="16" s="1"/>
  <c r="H137" i="16" s="1"/>
  <c r="G139" i="16"/>
  <c r="H128" i="16"/>
  <c r="H127" i="16" s="1"/>
  <c r="H126" i="16" s="1"/>
  <c r="G128" i="16"/>
  <c r="H269" i="15"/>
  <c r="H135" i="16" s="1"/>
  <c r="H136" i="16" s="1"/>
  <c r="G135" i="16"/>
  <c r="H580" i="15"/>
  <c r="H270" i="16" s="1"/>
  <c r="H271" i="16" s="1"/>
  <c r="G270" i="16"/>
  <c r="H587" i="15"/>
  <c r="H281" i="16" s="1"/>
  <c r="H282" i="16" s="1"/>
  <c r="G281" i="16"/>
  <c r="G684" i="16"/>
  <c r="G683" i="16" s="1"/>
  <c r="G682" i="16" s="1"/>
  <c r="G686" i="16"/>
  <c r="H327" i="16"/>
  <c r="H326" i="16" s="1"/>
  <c r="H325" i="16" s="1"/>
  <c r="G327" i="16"/>
  <c r="H684" i="15"/>
  <c r="H360" i="16" s="1"/>
  <c r="G360" i="16"/>
  <c r="G689" i="16"/>
  <c r="G688" i="16" s="1"/>
  <c r="G687" i="16" s="1"/>
  <c r="G691" i="16"/>
  <c r="H808" i="15"/>
  <c r="H492" i="16" s="1"/>
  <c r="H491" i="16" s="1"/>
  <c r="H490" i="16" s="1"/>
  <c r="G492" i="16"/>
  <c r="H801" i="15"/>
  <c r="H481" i="16" s="1"/>
  <c r="H480" i="16" s="1"/>
  <c r="H479" i="16" s="1"/>
  <c r="G481" i="16"/>
  <c r="H798" i="15"/>
  <c r="H477" i="16" s="1"/>
  <c r="H476" i="16" s="1"/>
  <c r="H475" i="16" s="1"/>
  <c r="G477" i="16"/>
  <c r="H884" i="15"/>
  <c r="H15" i="16" s="1"/>
  <c r="H14" i="16" s="1"/>
  <c r="H13" i="16" s="1"/>
  <c r="G15" i="16"/>
  <c r="H960" i="15"/>
  <c r="H821" i="16" s="1"/>
  <c r="H822" i="16" s="1"/>
  <c r="G821" i="16"/>
  <c r="H956" i="15"/>
  <c r="H814" i="16" s="1"/>
  <c r="H813" i="16" s="1"/>
  <c r="H812" i="16" s="1"/>
  <c r="H811" i="16" s="1"/>
  <c r="H810" i="16" s="1"/>
  <c r="H809" i="16" s="1"/>
  <c r="G814" i="16"/>
  <c r="H964" i="15"/>
  <c r="H828" i="16" s="1"/>
  <c r="H829" i="16" s="1"/>
  <c r="G828" i="16"/>
  <c r="H1003" i="15"/>
  <c r="H744" i="16" s="1"/>
  <c r="G744" i="16"/>
  <c r="H986" i="15"/>
  <c r="H718" i="16" s="1"/>
  <c r="H719" i="16" s="1"/>
  <c r="G718" i="16"/>
  <c r="H404" i="15"/>
  <c r="G614" i="16"/>
  <c r="H366" i="15"/>
  <c r="G553" i="16"/>
  <c r="H630" i="15"/>
  <c r="G184" i="16"/>
  <c r="H627" i="15"/>
  <c r="G180" i="16"/>
  <c r="H624" i="15"/>
  <c r="G176" i="16"/>
  <c r="H553" i="15"/>
  <c r="G167" i="16"/>
  <c r="H794" i="15"/>
  <c r="G470" i="16"/>
  <c r="H791" i="15"/>
  <c r="G466" i="16"/>
  <c r="H788" i="15"/>
  <c r="G462" i="16"/>
  <c r="H640" i="15"/>
  <c r="G225" i="16"/>
  <c r="H569" i="15"/>
  <c r="G208" i="16"/>
  <c r="H22" i="16"/>
  <c r="H358" i="15"/>
  <c r="G539" i="16"/>
  <c r="H356" i="15"/>
  <c r="H536" i="16" s="1"/>
  <c r="G536" i="16"/>
  <c r="H284" i="15"/>
  <c r="G622" i="16"/>
  <c r="H690" i="16"/>
  <c r="H605" i="15"/>
  <c r="H685" i="16" s="1"/>
  <c r="H247" i="15"/>
  <c r="H246" i="15" s="1"/>
  <c r="H245" i="15" s="1"/>
  <c r="H542" i="15"/>
  <c r="G955" i="5"/>
  <c r="I955" i="5" s="1"/>
  <c r="G939" i="5"/>
  <c r="I939" i="5" s="1"/>
  <c r="G805" i="5"/>
  <c r="I805" i="5" s="1"/>
  <c r="G783" i="5"/>
  <c r="I783" i="5" s="1"/>
  <c r="G18" i="6" l="1"/>
  <c r="I19" i="6"/>
  <c r="F819" i="14"/>
  <c r="G785" i="15"/>
  <c r="G282" i="15"/>
  <c r="F667" i="14"/>
  <c r="G837" i="16"/>
  <c r="F852" i="14"/>
  <c r="G902" i="14"/>
  <c r="G901" i="14" s="1"/>
  <c r="G900" i="14" s="1"/>
  <c r="H471" i="15"/>
  <c r="H470" i="15" s="1"/>
  <c r="H635" i="16"/>
  <c r="H636" i="16" s="1"/>
  <c r="G677" i="14"/>
  <c r="G676" i="14" s="1"/>
  <c r="G675" i="14" s="1"/>
  <c r="H291" i="15"/>
  <c r="H290" i="15" s="1"/>
  <c r="H902" i="16"/>
  <c r="H901" i="16" s="1"/>
  <c r="H900" i="16" s="1"/>
  <c r="H899" i="16" s="1"/>
  <c r="H898" i="16" s="1"/>
  <c r="G838" i="14"/>
  <c r="G837" i="14" s="1"/>
  <c r="G836" i="14" s="1"/>
  <c r="H413" i="15"/>
  <c r="H412" i="15" s="1"/>
  <c r="H847" i="16"/>
  <c r="H846" i="16" s="1"/>
  <c r="H845" i="16" s="1"/>
  <c r="G178" i="14"/>
  <c r="G177" i="14" s="1"/>
  <c r="G176" i="14" s="1"/>
  <c r="H921" i="16"/>
  <c r="H922" i="16" s="1"/>
  <c r="G199" i="14"/>
  <c r="G198" i="14" s="1"/>
  <c r="G197" i="14" s="1"/>
  <c r="H122" i="15"/>
  <c r="H121" i="15" s="1"/>
  <c r="H120" i="15" s="1"/>
  <c r="H485" i="16"/>
  <c r="H484" i="16" s="1"/>
  <c r="H483" i="16" s="1"/>
  <c r="H474" i="16" s="1"/>
  <c r="H473" i="16" s="1"/>
  <c r="H472" i="16" s="1"/>
  <c r="G947" i="14"/>
  <c r="G946" i="14" s="1"/>
  <c r="G945" i="14" s="1"/>
  <c r="G938" i="14" s="1"/>
  <c r="H803" i="15"/>
  <c r="H802" i="15" s="1"/>
  <c r="H237" i="16"/>
  <c r="H238" i="16" s="1"/>
  <c r="G582" i="14"/>
  <c r="G581" i="14" s="1"/>
  <c r="G580" i="14" s="1"/>
  <c r="H648" i="15"/>
  <c r="H647" i="15" s="1"/>
  <c r="H863" i="16"/>
  <c r="H864" i="16" s="1"/>
  <c r="G190" i="14"/>
  <c r="G189" i="14" s="1"/>
  <c r="G188" i="14" s="1"/>
  <c r="H241" i="15"/>
  <c r="H240" i="15" s="1"/>
  <c r="G923" i="14"/>
  <c r="G922" i="14" s="1"/>
  <c r="G921" i="14" s="1"/>
  <c r="H1060" i="15"/>
  <c r="H1059" i="15" s="1"/>
  <c r="H856" i="15"/>
  <c r="H855" i="15" s="1"/>
  <c r="G132" i="14"/>
  <c r="G131" i="14" s="1"/>
  <c r="G130" i="14" s="1"/>
  <c r="G984" i="14"/>
  <c r="G983" i="14" s="1"/>
  <c r="G982" i="14" s="1"/>
  <c r="H840" i="15"/>
  <c r="H839" i="15" s="1"/>
  <c r="G400" i="14"/>
  <c r="G399" i="14" s="1"/>
  <c r="G398" i="14" s="1"/>
  <c r="H974" i="15"/>
  <c r="H973" i="15" s="1"/>
  <c r="G849" i="14"/>
  <c r="G848" i="14" s="1"/>
  <c r="G847" i="14" s="1"/>
  <c r="H424" i="15"/>
  <c r="H423" i="15" s="1"/>
  <c r="H208" i="16"/>
  <c r="H207" i="16" s="1"/>
  <c r="H206" i="16" s="1"/>
  <c r="G502" i="14"/>
  <c r="G501" i="14" s="1"/>
  <c r="G500" i="14" s="1"/>
  <c r="H568" i="15"/>
  <c r="H567" i="15" s="1"/>
  <c r="H167" i="16"/>
  <c r="H166" i="16" s="1"/>
  <c r="H165" i="16" s="1"/>
  <c r="G486" i="14"/>
  <c r="G485" i="14" s="1"/>
  <c r="G484" i="14" s="1"/>
  <c r="H552" i="15"/>
  <c r="H551" i="15" s="1"/>
  <c r="H550" i="15" s="1"/>
  <c r="H855" i="16"/>
  <c r="H854" i="16" s="1"/>
  <c r="H853" i="16" s="1"/>
  <c r="G184" i="14"/>
  <c r="G183" i="14" s="1"/>
  <c r="G182" i="14" s="1"/>
  <c r="H759" i="16"/>
  <c r="H760" i="16" s="1"/>
  <c r="H1012" i="15"/>
  <c r="H1011" i="15" s="1"/>
  <c r="G438" i="14"/>
  <c r="G437" i="14" s="1"/>
  <c r="G436" i="14" s="1"/>
  <c r="H882" i="16"/>
  <c r="H883" i="16" s="1"/>
  <c r="G550" i="14"/>
  <c r="G549" i="14" s="1"/>
  <c r="G548" i="14" s="1"/>
  <c r="H616" i="15"/>
  <c r="H615" i="15" s="1"/>
  <c r="H574" i="16"/>
  <c r="H573" i="16" s="1"/>
  <c r="G803" i="14"/>
  <c r="G802" i="14" s="1"/>
  <c r="G886" i="14"/>
  <c r="G885" i="14" s="1"/>
  <c r="G884" i="14" s="1"/>
  <c r="H455" i="15"/>
  <c r="H454" i="15" s="1"/>
  <c r="H300" i="16"/>
  <c r="H301" i="16" s="1"/>
  <c r="G533" i="14"/>
  <c r="G532" i="14" s="1"/>
  <c r="G531" i="14" s="1"/>
  <c r="H599" i="15"/>
  <c r="H598" i="15" s="1"/>
  <c r="H529" i="16"/>
  <c r="H530" i="16" s="1"/>
  <c r="G776" i="14"/>
  <c r="G775" i="14" s="1"/>
  <c r="H351" i="15"/>
  <c r="H124" i="16"/>
  <c r="H125" i="16" s="1"/>
  <c r="G293" i="14"/>
  <c r="G292" i="14" s="1"/>
  <c r="G291" i="14" s="1"/>
  <c r="H261" i="15"/>
  <c r="H260" i="15" s="1"/>
  <c r="H296" i="16"/>
  <c r="H295" i="16" s="1"/>
  <c r="H294" i="16" s="1"/>
  <c r="G530" i="14"/>
  <c r="G529" i="14" s="1"/>
  <c r="G528" i="14" s="1"/>
  <c r="H596" i="15"/>
  <c r="H595" i="15" s="1"/>
  <c r="H1089" i="15"/>
  <c r="G35" i="14"/>
  <c r="G34" i="14" s="1"/>
  <c r="G748" i="14"/>
  <c r="G747" i="14" s="1"/>
  <c r="G746" i="14" s="1"/>
  <c r="H755" i="15"/>
  <c r="H754" i="15" s="1"/>
  <c r="G844" i="14"/>
  <c r="G843" i="14" s="1"/>
  <c r="G842" i="14" s="1"/>
  <c r="H419" i="15"/>
  <c r="H418" i="15" s="1"/>
  <c r="G874" i="14"/>
  <c r="G873" i="14" s="1"/>
  <c r="G872" i="14" s="1"/>
  <c r="H195" i="15"/>
  <c r="H194" i="15" s="1"/>
  <c r="H193" i="15" s="1"/>
  <c r="H192" i="15" s="1"/>
  <c r="H191" i="15" s="1"/>
  <c r="G468" i="14"/>
  <c r="G467" i="14" s="1"/>
  <c r="H1042" i="15"/>
  <c r="G854" i="14"/>
  <c r="G853" i="14" s="1"/>
  <c r="H429" i="15"/>
  <c r="G861" i="14"/>
  <c r="G860" i="14" s="1"/>
  <c r="G859" i="14" s="1"/>
  <c r="H436" i="15"/>
  <c r="H435" i="15" s="1"/>
  <c r="H622" i="16"/>
  <c r="H623" i="16" s="1"/>
  <c r="G669" i="14"/>
  <c r="G668" i="14" s="1"/>
  <c r="H283" i="15"/>
  <c r="H539" i="16"/>
  <c r="H540" i="16" s="1"/>
  <c r="G782" i="14"/>
  <c r="G781" i="14" s="1"/>
  <c r="G778" i="14" s="1"/>
  <c r="H357" i="15"/>
  <c r="H354" i="15" s="1"/>
  <c r="H449" i="16"/>
  <c r="H448" i="16" s="1"/>
  <c r="H447" i="16" s="1"/>
  <c r="G907" i="14"/>
  <c r="G906" i="14" s="1"/>
  <c r="G905" i="14" s="1"/>
  <c r="H201" i="15"/>
  <c r="H200" i="15" s="1"/>
  <c r="H274" i="16"/>
  <c r="H275" i="16" s="1"/>
  <c r="G516" i="14"/>
  <c r="G515" i="14" s="1"/>
  <c r="G514" i="14" s="1"/>
  <c r="H582" i="15"/>
  <c r="H581" i="15" s="1"/>
  <c r="H610" i="16"/>
  <c r="H611" i="16" s="1"/>
  <c r="G825" i="14"/>
  <c r="G824" i="14" s="1"/>
  <c r="G823" i="14" s="1"/>
  <c r="H400" i="15"/>
  <c r="H399" i="15" s="1"/>
  <c r="H546" i="16"/>
  <c r="H545" i="16" s="1"/>
  <c r="H544" i="16" s="1"/>
  <c r="H541" i="16" s="1"/>
  <c r="G786" i="14"/>
  <c r="G785" i="14" s="1"/>
  <c r="G784" i="14" s="1"/>
  <c r="H361" i="15"/>
  <c r="H360" i="15" s="1"/>
  <c r="H34" i="16"/>
  <c r="H33" i="16" s="1"/>
  <c r="H32" i="16" s="1"/>
  <c r="G715" i="14"/>
  <c r="G714" i="14" s="1"/>
  <c r="G713" i="14" s="1"/>
  <c r="H326" i="15"/>
  <c r="H325" i="15" s="1"/>
  <c r="H628" i="16"/>
  <c r="H629" i="16" s="1"/>
  <c r="G673" i="14"/>
  <c r="G672" i="14" s="1"/>
  <c r="H287" i="15"/>
  <c r="H778" i="16"/>
  <c r="H777" i="16" s="1"/>
  <c r="H776" i="16" s="1"/>
  <c r="H775" i="16" s="1"/>
  <c r="H774" i="16" s="1"/>
  <c r="H773" i="16" s="1"/>
  <c r="G254" i="14"/>
  <c r="G253" i="14" s="1"/>
  <c r="G252" i="14" s="1"/>
  <c r="G251" i="14" s="1"/>
  <c r="H172" i="15"/>
  <c r="H171" i="15" s="1"/>
  <c r="H887" i="16"/>
  <c r="H886" i="16" s="1"/>
  <c r="H885" i="16" s="1"/>
  <c r="H884" i="16" s="1"/>
  <c r="G634" i="14"/>
  <c r="G633" i="14" s="1"/>
  <c r="G632" i="14" s="1"/>
  <c r="H700" i="15"/>
  <c r="H699" i="15" s="1"/>
  <c r="H571" i="16"/>
  <c r="H572" i="16" s="1"/>
  <c r="G801" i="14"/>
  <c r="G800" i="14" s="1"/>
  <c r="H652" i="16"/>
  <c r="H653" i="16" s="1"/>
  <c r="G687" i="14"/>
  <c r="G686" i="14" s="1"/>
  <c r="G685" i="14" s="1"/>
  <c r="H301" i="15"/>
  <c r="H300" i="15" s="1"/>
  <c r="H767" i="16"/>
  <c r="H768" i="16" s="1"/>
  <c r="G247" i="14"/>
  <c r="G246" i="14" s="1"/>
  <c r="G245" i="14" s="1"/>
  <c r="H165" i="15"/>
  <c r="H164" i="15" s="1"/>
  <c r="H725" i="16"/>
  <c r="H724" i="16" s="1"/>
  <c r="H723" i="16" s="1"/>
  <c r="H989" i="15"/>
  <c r="H988" i="15" s="1"/>
  <c r="G415" i="14"/>
  <c r="G414" i="14" s="1"/>
  <c r="G413" i="14" s="1"/>
  <c r="H892" i="16"/>
  <c r="H891" i="16" s="1"/>
  <c r="H890" i="16" s="1"/>
  <c r="H889" i="16" s="1"/>
  <c r="G708" i="14"/>
  <c r="G707" i="14" s="1"/>
  <c r="G706" i="14" s="1"/>
  <c r="H734" i="15"/>
  <c r="H733" i="15" s="1"/>
  <c r="H437" i="16"/>
  <c r="H436" i="16" s="1"/>
  <c r="H435" i="16" s="1"/>
  <c r="G93" i="14"/>
  <c r="G92" i="14" s="1"/>
  <c r="G91" i="14" s="1"/>
  <c r="H82" i="15"/>
  <c r="H81" i="15" s="1"/>
  <c r="G118" i="14"/>
  <c r="G117" i="14" s="1"/>
  <c r="G116" i="14" s="1"/>
  <c r="H22" i="15"/>
  <c r="H21" i="15" s="1"/>
  <c r="G856" i="14"/>
  <c r="G855" i="14" s="1"/>
  <c r="H431" i="15"/>
  <c r="H1073" i="15"/>
  <c r="H1072" i="15" s="1"/>
  <c r="G19" i="14"/>
  <c r="G18" i="14" s="1"/>
  <c r="G764" i="14"/>
  <c r="G763" i="14" s="1"/>
  <c r="G762" i="14" s="1"/>
  <c r="H771" i="15"/>
  <c r="H770" i="15" s="1"/>
  <c r="G158" i="14"/>
  <c r="G157" i="14" s="1"/>
  <c r="G156" i="14" s="1"/>
  <c r="H113" i="15"/>
  <c r="H112" i="15" s="1"/>
  <c r="G728" i="14"/>
  <c r="G727" i="14" s="1"/>
  <c r="G726" i="14" s="1"/>
  <c r="H339" i="15"/>
  <c r="H338" i="15" s="1"/>
  <c r="H748" i="16"/>
  <c r="H749" i="16" s="1"/>
  <c r="H1005" i="15"/>
  <c r="H1004" i="15" s="1"/>
  <c r="G431" i="14"/>
  <c r="G430" i="14" s="1"/>
  <c r="G429" i="14" s="1"/>
  <c r="H581" i="16"/>
  <c r="H580" i="16" s="1"/>
  <c r="H579" i="16" s="1"/>
  <c r="G807" i="14"/>
  <c r="G806" i="14" s="1"/>
  <c r="G805" i="14" s="1"/>
  <c r="H382" i="15"/>
  <c r="H381" i="15" s="1"/>
  <c r="H526" i="16"/>
  <c r="H527" i="16" s="1"/>
  <c r="G774" i="14"/>
  <c r="G773" i="14" s="1"/>
  <c r="H349" i="15"/>
  <c r="H427" i="16"/>
  <c r="H426" i="16" s="1"/>
  <c r="G87" i="14"/>
  <c r="G86" i="14" s="1"/>
  <c r="H76" i="15"/>
  <c r="G705" i="14"/>
  <c r="G704" i="14" s="1"/>
  <c r="G703" i="14" s="1"/>
  <c r="H319" i="15"/>
  <c r="H318" i="15" s="1"/>
  <c r="H48" i="16"/>
  <c r="H47" i="16" s="1"/>
  <c r="G724" i="14"/>
  <c r="G723" i="14" s="1"/>
  <c r="H335" i="15"/>
  <c r="H91" i="15"/>
  <c r="H90" i="15" s="1"/>
  <c r="H390" i="15"/>
  <c r="H389" i="15" s="1"/>
  <c r="G815" i="14"/>
  <c r="G814" i="14" s="1"/>
  <c r="G813" i="14" s="1"/>
  <c r="G115" i="14"/>
  <c r="G114" i="14" s="1"/>
  <c r="H19" i="15"/>
  <c r="H1047" i="15"/>
  <c r="H1046" i="15" s="1"/>
  <c r="G473" i="14"/>
  <c r="G472" i="14" s="1"/>
  <c r="G471" i="14" s="1"/>
  <c r="G48" i="14"/>
  <c r="G47" i="14" s="1"/>
  <c r="H40" i="15"/>
  <c r="G449" i="14"/>
  <c r="G448" i="14" s="1"/>
  <c r="H1023" i="15"/>
  <c r="H836" i="16"/>
  <c r="H837" i="16" s="1"/>
  <c r="H541" i="15"/>
  <c r="H540" i="15" s="1"/>
  <c r="G172" i="14"/>
  <c r="G171" i="14" s="1"/>
  <c r="G170" i="14" s="1"/>
  <c r="H462" i="16"/>
  <c r="H461" i="16" s="1"/>
  <c r="H460" i="16" s="1"/>
  <c r="G931" i="14"/>
  <c r="G930" i="14" s="1"/>
  <c r="G929" i="14" s="1"/>
  <c r="H787" i="15"/>
  <c r="H786" i="15" s="1"/>
  <c r="H470" i="16"/>
  <c r="H469" i="16" s="1"/>
  <c r="H468" i="16" s="1"/>
  <c r="G937" i="14"/>
  <c r="G936" i="14" s="1"/>
  <c r="G935" i="14" s="1"/>
  <c r="H793" i="15"/>
  <c r="H792" i="15" s="1"/>
  <c r="H180" i="16"/>
  <c r="H181" i="16" s="1"/>
  <c r="G560" i="14"/>
  <c r="G559" i="14" s="1"/>
  <c r="G558" i="14" s="1"/>
  <c r="H626" i="15"/>
  <c r="H625" i="15" s="1"/>
  <c r="H711" i="16"/>
  <c r="H710" i="16" s="1"/>
  <c r="H709" i="16" s="1"/>
  <c r="H980" i="15"/>
  <c r="H979" i="15" s="1"/>
  <c r="G406" i="14"/>
  <c r="G405" i="14" s="1"/>
  <c r="G404" i="14" s="1"/>
  <c r="H625" i="16"/>
  <c r="H626" i="16" s="1"/>
  <c r="G671" i="14"/>
  <c r="G670" i="14" s="1"/>
  <c r="H285" i="15"/>
  <c r="H371" i="16"/>
  <c r="H372" i="16" s="1"/>
  <c r="G624" i="14"/>
  <c r="G623" i="14" s="1"/>
  <c r="G622" i="14" s="1"/>
  <c r="G621" i="14" s="1"/>
  <c r="H690" i="15"/>
  <c r="H689" i="15" s="1"/>
  <c r="G573" i="14"/>
  <c r="G572" i="14" s="1"/>
  <c r="G571" i="14" s="1"/>
  <c r="H639" i="15"/>
  <c r="H638" i="15" s="1"/>
  <c r="H466" i="16"/>
  <c r="H467" i="16" s="1"/>
  <c r="G934" i="14"/>
  <c r="G933" i="14" s="1"/>
  <c r="G932" i="14" s="1"/>
  <c r="H790" i="15"/>
  <c r="H789" i="15" s="1"/>
  <c r="H172" i="16"/>
  <c r="G488" i="14"/>
  <c r="G487" i="14" s="1"/>
  <c r="H176" i="16"/>
  <c r="H175" i="16" s="1"/>
  <c r="H174" i="16" s="1"/>
  <c r="G557" i="14"/>
  <c r="G556" i="14" s="1"/>
  <c r="G555" i="14" s="1"/>
  <c r="H623" i="15"/>
  <c r="H622" i="15" s="1"/>
  <c r="H184" i="16"/>
  <c r="H183" i="16" s="1"/>
  <c r="H182" i="16" s="1"/>
  <c r="G563" i="14"/>
  <c r="G562" i="14" s="1"/>
  <c r="G561" i="14" s="1"/>
  <c r="H629" i="15"/>
  <c r="H628" i="15" s="1"/>
  <c r="H733" i="16"/>
  <c r="H732" i="16" s="1"/>
  <c r="H731" i="16" s="1"/>
  <c r="H994" i="15"/>
  <c r="H993" i="15" s="1"/>
  <c r="G420" i="14"/>
  <c r="G419" i="14" s="1"/>
  <c r="G418" i="14" s="1"/>
  <c r="H86" i="16"/>
  <c r="H87" i="16" s="1"/>
  <c r="G895" i="14"/>
  <c r="G894" i="14" s="1"/>
  <c r="G893" i="14" s="1"/>
  <c r="G892" i="14" s="1"/>
  <c r="H464" i="15"/>
  <c r="H463" i="15" s="1"/>
  <c r="H595" i="16"/>
  <c r="H594" i="16" s="1"/>
  <c r="H593" i="16" s="1"/>
  <c r="H418" i="16"/>
  <c r="H417" i="16" s="1"/>
  <c r="H416" i="16" s="1"/>
  <c r="H1078" i="15"/>
  <c r="H1077" i="15" s="1"/>
  <c r="G24" i="14"/>
  <c r="G23" i="14" s="1"/>
  <c r="G22" i="14" s="1"/>
  <c r="H588" i="16"/>
  <c r="H589" i="16" s="1"/>
  <c r="G811" i="14"/>
  <c r="G810" i="14" s="1"/>
  <c r="G809" i="14" s="1"/>
  <c r="H386" i="15"/>
  <c r="H385" i="15" s="1"/>
  <c r="H642" i="16"/>
  <c r="H641" i="16" s="1"/>
  <c r="G681" i="14"/>
  <c r="G680" i="14" s="1"/>
  <c r="G679" i="14" s="1"/>
  <c r="H295" i="15"/>
  <c r="H294" i="15" s="1"/>
  <c r="G456" i="14"/>
  <c r="G455" i="14" s="1"/>
  <c r="G454" i="14" s="1"/>
  <c r="H1030" i="15"/>
  <c r="H1029" i="15" s="1"/>
  <c r="G858" i="14"/>
  <c r="G857" i="14" s="1"/>
  <c r="H433" i="15"/>
  <c r="G56" i="14"/>
  <c r="G55" i="14" s="1"/>
  <c r="G54" i="14" s="1"/>
  <c r="H48" i="15"/>
  <c r="H47" i="15" s="1"/>
  <c r="G240" i="14"/>
  <c r="G239" i="14" s="1"/>
  <c r="G238" i="14" s="1"/>
  <c r="H158" i="15"/>
  <c r="H157" i="15" s="1"/>
  <c r="H1103" i="15"/>
  <c r="H1102" i="15" s="1"/>
  <c r="G107" i="14"/>
  <c r="G106" i="14" s="1"/>
  <c r="G105" i="14" s="1"/>
  <c r="G451" i="14"/>
  <c r="G450" i="14" s="1"/>
  <c r="H1025" i="15"/>
  <c r="H393" i="15"/>
  <c r="H392" i="15" s="1"/>
  <c r="G818" i="14"/>
  <c r="G817" i="14" s="1"/>
  <c r="G816" i="14" s="1"/>
  <c r="H1100" i="15"/>
  <c r="G104" i="14"/>
  <c r="G103" i="14" s="1"/>
  <c r="H828" i="15"/>
  <c r="H827" i="15" s="1"/>
  <c r="G972" i="14"/>
  <c r="G971" i="14" s="1"/>
  <c r="G970" i="14" s="1"/>
  <c r="G428" i="15"/>
  <c r="G16" i="14"/>
  <c r="G15" i="14" s="1"/>
  <c r="H1070" i="15"/>
  <c r="G228" i="14"/>
  <c r="G227" i="14" s="1"/>
  <c r="G226" i="14" s="1"/>
  <c r="H146" i="15"/>
  <c r="H145" i="15" s="1"/>
  <c r="H553" i="16"/>
  <c r="H554" i="16" s="1"/>
  <c r="H365" i="15"/>
  <c r="H364" i="15" s="1"/>
  <c r="G790" i="14"/>
  <c r="G789" i="14" s="1"/>
  <c r="G788" i="14" s="1"/>
  <c r="H614" i="16"/>
  <c r="H615" i="16" s="1"/>
  <c r="H403" i="15"/>
  <c r="H402" i="15" s="1"/>
  <c r="G828" i="14"/>
  <c r="G827" i="14" s="1"/>
  <c r="G826" i="14" s="1"/>
  <c r="H229" i="16"/>
  <c r="H230" i="16" s="1"/>
  <c r="G576" i="14"/>
  <c r="G575" i="14" s="1"/>
  <c r="G574" i="14" s="1"/>
  <c r="H642" i="15"/>
  <c r="H641" i="15" s="1"/>
  <c r="H250" i="16"/>
  <c r="H251" i="16" s="1"/>
  <c r="G648" i="14"/>
  <c r="G647" i="14" s="1"/>
  <c r="G646" i="14" s="1"/>
  <c r="H714" i="15"/>
  <c r="H713" i="15" s="1"/>
  <c r="H200" i="16"/>
  <c r="H199" i="16" s="1"/>
  <c r="H198" i="16" s="1"/>
  <c r="H562" i="15"/>
  <c r="H561" i="15" s="1"/>
  <c r="G496" i="14"/>
  <c r="G495" i="14" s="1"/>
  <c r="G494" i="14" s="1"/>
  <c r="H740" i="16"/>
  <c r="H741" i="16" s="1"/>
  <c r="H999" i="15"/>
  <c r="H851" i="16"/>
  <c r="H850" i="16" s="1"/>
  <c r="H849" i="16" s="1"/>
  <c r="H235" i="15"/>
  <c r="H234" i="15" s="1"/>
  <c r="H225" i="16"/>
  <c r="H224" i="16" s="1"/>
  <c r="H223" i="16" s="1"/>
  <c r="G341" i="14"/>
  <c r="G340" i="14" s="1"/>
  <c r="G339" i="14" s="1"/>
  <c r="H37" i="16"/>
  <c r="H36" i="16" s="1"/>
  <c r="H269" i="16"/>
  <c r="H268" i="16" s="1"/>
  <c r="H116" i="16"/>
  <c r="H115" i="16" s="1"/>
  <c r="H717" i="16"/>
  <c r="G681" i="16"/>
  <c r="G674" i="16" s="1"/>
  <c r="G673" i="16" s="1"/>
  <c r="H493" i="16"/>
  <c r="H134" i="16"/>
  <c r="H133" i="16" s="1"/>
  <c r="H132" i="16" s="1"/>
  <c r="H131" i="16" s="1"/>
  <c r="H280" i="16"/>
  <c r="H279" i="16" s="1"/>
  <c r="H16" i="16"/>
  <c r="H112" i="16"/>
  <c r="H111" i="16" s="1"/>
  <c r="H860" i="16"/>
  <c r="H482" i="16"/>
  <c r="H820" i="16"/>
  <c r="H819" i="16" s="1"/>
  <c r="H818" i="16" s="1"/>
  <c r="H817" i="16" s="1"/>
  <c r="H816" i="16" s="1"/>
  <c r="G874" i="16"/>
  <c r="G873" i="16" s="1"/>
  <c r="G868" i="16" s="1"/>
  <c r="G867" i="16" s="1"/>
  <c r="G866" i="16" s="1"/>
  <c r="G876" i="16"/>
  <c r="G525" i="16"/>
  <c r="G527" i="16"/>
  <c r="G426" i="16"/>
  <c r="G428" i="16"/>
  <c r="G850" i="16"/>
  <c r="G849" i="16" s="1"/>
  <c r="G852" i="16"/>
  <c r="G903" i="16"/>
  <c r="G901" i="16"/>
  <c r="G900" i="16" s="1"/>
  <c r="G899" i="16" s="1"/>
  <c r="G898" i="16" s="1"/>
  <c r="G846" i="16"/>
  <c r="G845" i="16" s="1"/>
  <c r="G848" i="16"/>
  <c r="G238" i="16"/>
  <c r="G236" i="16"/>
  <c r="G235" i="16" s="1"/>
  <c r="H55" i="16"/>
  <c r="H14" i="17"/>
  <c r="H13" i="17" s="1"/>
  <c r="H12" i="17" s="1"/>
  <c r="H11" i="17" s="1"/>
  <c r="H10" i="17" s="1"/>
  <c r="H9" i="17" s="1"/>
  <c r="G70" i="16"/>
  <c r="G69" i="16" s="1"/>
  <c r="G68" i="16" s="1"/>
  <c r="G67" i="16" s="1"/>
  <c r="G72" i="16"/>
  <c r="G301" i="16"/>
  <c r="G299" i="16"/>
  <c r="G298" i="16" s="1"/>
  <c r="G125" i="16"/>
  <c r="G123" i="16"/>
  <c r="G122" i="16" s="1"/>
  <c r="G297" i="16"/>
  <c r="G295" i="16"/>
  <c r="G294" i="16" s="1"/>
  <c r="H38" i="17"/>
  <c r="H97" i="16"/>
  <c r="H754" i="16"/>
  <c r="H753" i="16" s="1"/>
  <c r="H756" i="16"/>
  <c r="H328" i="16"/>
  <c r="H815" i="16"/>
  <c r="G448" i="16"/>
  <c r="G447" i="16" s="1"/>
  <c r="G450" i="16"/>
  <c r="G275" i="16"/>
  <c r="G273" i="16"/>
  <c r="G272" i="16" s="1"/>
  <c r="H20" i="17"/>
  <c r="H19" i="17" s="1"/>
  <c r="H18" i="17" s="1"/>
  <c r="H17" i="17" s="1"/>
  <c r="H16" i="17" s="1"/>
  <c r="H15" i="17" s="1"/>
  <c r="H71" i="16"/>
  <c r="H440" i="16"/>
  <c r="H439" i="16" s="1"/>
  <c r="H442" i="16"/>
  <c r="G611" i="16"/>
  <c r="G609" i="16"/>
  <c r="G608" i="16" s="1"/>
  <c r="G545" i="16"/>
  <c r="G544" i="16" s="1"/>
  <c r="G541" i="16" s="1"/>
  <c r="G547" i="16"/>
  <c r="G35" i="16"/>
  <c r="G33" i="16"/>
  <c r="G32" i="16" s="1"/>
  <c r="G398" i="16"/>
  <c r="G397" i="16" s="1"/>
  <c r="G400" i="16"/>
  <c r="G598" i="16"/>
  <c r="G597" i="16" s="1"/>
  <c r="G600" i="16"/>
  <c r="G627" i="16"/>
  <c r="G629" i="16"/>
  <c r="G779" i="16"/>
  <c r="G777" i="16"/>
  <c r="G776" i="16" s="1"/>
  <c r="G775" i="16" s="1"/>
  <c r="G774" i="16" s="1"/>
  <c r="G773" i="16" s="1"/>
  <c r="G886" i="16"/>
  <c r="G885" i="16" s="1"/>
  <c r="G884" i="16" s="1"/>
  <c r="G888" i="16"/>
  <c r="G570" i="16"/>
  <c r="G572" i="16"/>
  <c r="G651" i="16"/>
  <c r="G650" i="16" s="1"/>
  <c r="G653" i="16"/>
  <c r="G766" i="16"/>
  <c r="G765" i="16" s="1"/>
  <c r="G768" i="16"/>
  <c r="G726" i="16"/>
  <c r="G724" i="16"/>
  <c r="G723" i="16" s="1"/>
  <c r="G893" i="16"/>
  <c r="G891" i="16"/>
  <c r="G890" i="16" s="1"/>
  <c r="G889" i="16" s="1"/>
  <c r="G37" i="16"/>
  <c r="G36" i="16" s="1"/>
  <c r="G39" i="16"/>
  <c r="G436" i="16"/>
  <c r="G435" i="16" s="1"/>
  <c r="G438" i="16"/>
  <c r="H875" i="16"/>
  <c r="G195" i="14"/>
  <c r="G54" i="16"/>
  <c r="G53" i="16" s="1"/>
  <c r="G56" i="16"/>
  <c r="G749" i="16"/>
  <c r="G747" i="16"/>
  <c r="G746" i="16" s="1"/>
  <c r="G582" i="16"/>
  <c r="G580" i="16"/>
  <c r="G579" i="16" s="1"/>
  <c r="G636" i="16"/>
  <c r="G634" i="16"/>
  <c r="G633" i="16" s="1"/>
  <c r="G754" i="16"/>
  <c r="G753" i="16" s="1"/>
  <c r="G756" i="16"/>
  <c r="G49" i="16"/>
  <c r="G47" i="16"/>
  <c r="G922" i="16"/>
  <c r="G920" i="16"/>
  <c r="G919" i="16" s="1"/>
  <c r="G918" i="16" s="1"/>
  <c r="G917" i="16" s="1"/>
  <c r="G916" i="16" s="1"/>
  <c r="G484" i="16"/>
  <c r="G483" i="16" s="1"/>
  <c r="G486" i="16"/>
  <c r="G862" i="16"/>
  <c r="G861" i="16" s="1"/>
  <c r="G864" i="16"/>
  <c r="H140" i="16"/>
  <c r="G758" i="16"/>
  <c r="G757" i="16" s="1"/>
  <c r="G760" i="16"/>
  <c r="G710" i="16"/>
  <c r="G709" i="16" s="1"/>
  <c r="G712" i="16"/>
  <c r="G883" i="16"/>
  <c r="G881" i="16"/>
  <c r="G880" i="16" s="1"/>
  <c r="G879" i="16" s="1"/>
  <c r="G575" i="16"/>
  <c r="G573" i="16"/>
  <c r="G624" i="16"/>
  <c r="G626" i="16"/>
  <c r="G440" i="16"/>
  <c r="G439" i="16" s="1"/>
  <c r="G442" i="16"/>
  <c r="G528" i="16"/>
  <c r="G530" i="16"/>
  <c r="G370" i="16"/>
  <c r="G369" i="16" s="1"/>
  <c r="G372" i="16"/>
  <c r="G734" i="16"/>
  <c r="G732" i="16"/>
  <c r="G731" i="16" s="1"/>
  <c r="G251" i="16"/>
  <c r="G249" i="16"/>
  <c r="G248" i="16" s="1"/>
  <c r="G201" i="16"/>
  <c r="G199" i="16"/>
  <c r="G198" i="16" s="1"/>
  <c r="G85" i="16"/>
  <c r="G84" i="16" s="1"/>
  <c r="G87" i="16"/>
  <c r="G596" i="16"/>
  <c r="G594" i="16"/>
  <c r="G593" i="16" s="1"/>
  <c r="G419" i="16"/>
  <c r="G417" i="16"/>
  <c r="G416" i="16" s="1"/>
  <c r="G589" i="16"/>
  <c r="G587" i="16"/>
  <c r="G586" i="16" s="1"/>
  <c r="G641" i="16"/>
  <c r="G643" i="16"/>
  <c r="G741" i="16"/>
  <c r="G739" i="16"/>
  <c r="G228" i="16"/>
  <c r="G227" i="16" s="1"/>
  <c r="G230" i="16"/>
  <c r="G98" i="16"/>
  <c r="G96" i="16"/>
  <c r="G95" i="16" s="1"/>
  <c r="G94" i="16" s="1"/>
  <c r="G93" i="16" s="1"/>
  <c r="H398" i="16"/>
  <c r="H397" i="16" s="1"/>
  <c r="H400" i="16"/>
  <c r="H600" i="16"/>
  <c r="H598" i="16"/>
  <c r="H597" i="16" s="1"/>
  <c r="G858" i="16"/>
  <c r="G857" i="16" s="1"/>
  <c r="G860" i="16"/>
  <c r="G402" i="16"/>
  <c r="G401" i="16" s="1"/>
  <c r="G404" i="16"/>
  <c r="H402" i="16"/>
  <c r="H401" i="16" s="1"/>
  <c r="H404" i="16"/>
  <c r="G159" i="16"/>
  <c r="G157" i="16"/>
  <c r="G156" i="16" s="1"/>
  <c r="H157" i="16"/>
  <c r="H156" i="16" s="1"/>
  <c r="H159" i="16"/>
  <c r="G854" i="16"/>
  <c r="G853" i="16" s="1"/>
  <c r="G856" i="16"/>
  <c r="G112" i="16"/>
  <c r="G111" i="16" s="1"/>
  <c r="G114" i="16"/>
  <c r="G118" i="16"/>
  <c r="G116" i="16"/>
  <c r="G115" i="16" s="1"/>
  <c r="G134" i="16"/>
  <c r="G133" i="16" s="1"/>
  <c r="G136" i="16"/>
  <c r="G138" i="16"/>
  <c r="G137" i="16" s="1"/>
  <c r="G140" i="16"/>
  <c r="H129" i="16"/>
  <c r="G129" i="16"/>
  <c r="G127" i="16"/>
  <c r="G126" i="16" s="1"/>
  <c r="G271" i="16"/>
  <c r="G269" i="16"/>
  <c r="G268" i="16" s="1"/>
  <c r="G282" i="16"/>
  <c r="G280" i="16"/>
  <c r="G279" i="16" s="1"/>
  <c r="H686" i="16"/>
  <c r="H684" i="16"/>
  <c r="H683" i="16" s="1"/>
  <c r="H682" i="16" s="1"/>
  <c r="G326" i="16"/>
  <c r="G325" i="16" s="1"/>
  <c r="G328" i="16"/>
  <c r="G359" i="16"/>
  <c r="G358" i="16" s="1"/>
  <c r="G361" i="16"/>
  <c r="H359" i="16"/>
  <c r="H358" i="16" s="1"/>
  <c r="H361" i="16"/>
  <c r="G493" i="16"/>
  <c r="G491" i="16"/>
  <c r="G490" i="16" s="1"/>
  <c r="G476" i="16"/>
  <c r="G475" i="16" s="1"/>
  <c r="G478" i="16"/>
  <c r="H478" i="16"/>
  <c r="G480" i="16"/>
  <c r="G479" i="16" s="1"/>
  <c r="G482" i="16"/>
  <c r="G14" i="16"/>
  <c r="G13" i="16" s="1"/>
  <c r="G16" i="16"/>
  <c r="G815" i="16"/>
  <c r="G813" i="16"/>
  <c r="G812" i="16" s="1"/>
  <c r="G811" i="16" s="1"/>
  <c r="G810" i="16" s="1"/>
  <c r="G809" i="16" s="1"/>
  <c r="H827" i="16"/>
  <c r="H826" i="16" s="1"/>
  <c r="H825" i="16" s="1"/>
  <c r="H824" i="16" s="1"/>
  <c r="H823" i="16" s="1"/>
  <c r="G829" i="16"/>
  <c r="G827" i="16"/>
  <c r="G826" i="16" s="1"/>
  <c r="G825" i="16" s="1"/>
  <c r="G824" i="16" s="1"/>
  <c r="G823" i="16" s="1"/>
  <c r="G822" i="16"/>
  <c r="G820" i="16"/>
  <c r="G819" i="16" s="1"/>
  <c r="G818" i="16" s="1"/>
  <c r="G817" i="16" s="1"/>
  <c r="G816" i="16" s="1"/>
  <c r="G745" i="16"/>
  <c r="G743" i="16"/>
  <c r="G742" i="16" s="1"/>
  <c r="H745" i="16"/>
  <c r="H743" i="16"/>
  <c r="H742" i="16" s="1"/>
  <c r="G719" i="16"/>
  <c r="G717" i="16"/>
  <c r="G613" i="16"/>
  <c r="G612" i="16" s="1"/>
  <c r="G615" i="16"/>
  <c r="G554" i="16"/>
  <c r="G552" i="16"/>
  <c r="G551" i="16" s="1"/>
  <c r="H10" i="16"/>
  <c r="H12" i="16"/>
  <c r="H11" i="16" s="1"/>
  <c r="H689" i="16"/>
  <c r="H688" i="16" s="1"/>
  <c r="H687" i="16" s="1"/>
  <c r="H691" i="16"/>
  <c r="G183" i="16"/>
  <c r="G182" i="16" s="1"/>
  <c r="G185" i="16"/>
  <c r="G181" i="16"/>
  <c r="G179" i="16"/>
  <c r="G178" i="16" s="1"/>
  <c r="G177" i="16"/>
  <c r="G175" i="16"/>
  <c r="G174" i="16" s="1"/>
  <c r="G166" i="16"/>
  <c r="G165" i="16" s="1"/>
  <c r="G168" i="16"/>
  <c r="G170" i="16"/>
  <c r="G169" i="16" s="1"/>
  <c r="G172" i="16"/>
  <c r="G469" i="16"/>
  <c r="G468" i="16" s="1"/>
  <c r="G471" i="16"/>
  <c r="G467" i="16"/>
  <c r="G465" i="16"/>
  <c r="G464" i="16" s="1"/>
  <c r="G461" i="16"/>
  <c r="G460" i="16" s="1"/>
  <c r="G463" i="16"/>
  <c r="G226" i="16"/>
  <c r="G224" i="16"/>
  <c r="G223" i="16" s="1"/>
  <c r="G209" i="16"/>
  <c r="G207" i="16"/>
  <c r="G206" i="16" s="1"/>
  <c r="H21" i="16"/>
  <c r="H23" i="16"/>
  <c r="G540" i="16"/>
  <c r="G538" i="16"/>
  <c r="H537" i="16"/>
  <c r="H535" i="16"/>
  <c r="H534" i="16" s="1"/>
  <c r="G535" i="16"/>
  <c r="G534" i="16" s="1"/>
  <c r="G537" i="16"/>
  <c r="G621" i="16"/>
  <c r="G623" i="16"/>
  <c r="G938" i="5"/>
  <c r="I938" i="5" s="1"/>
  <c r="G806" i="5"/>
  <c r="I806" i="5" s="1"/>
  <c r="G956" i="5"/>
  <c r="I956" i="5" s="1"/>
  <c r="G954" i="5"/>
  <c r="I954" i="5" s="1"/>
  <c r="G940" i="5"/>
  <c r="I940" i="5" s="1"/>
  <c r="G770" i="5"/>
  <c r="I770" i="5" s="1"/>
  <c r="G776" i="5"/>
  <c r="I776" i="5" s="1"/>
  <c r="G732" i="5"/>
  <c r="I732" i="5" s="1"/>
  <c r="G722" i="5"/>
  <c r="I722" i="5" s="1"/>
  <c r="G715" i="5"/>
  <c r="I715" i="5" s="1"/>
  <c r="G708" i="5"/>
  <c r="I708" i="5" s="1"/>
  <c r="G705" i="5"/>
  <c r="I705" i="5" s="1"/>
  <c r="G702" i="5"/>
  <c r="I702" i="5" s="1"/>
  <c r="G661" i="5"/>
  <c r="I661" i="5" s="1"/>
  <c r="G668" i="5"/>
  <c r="I668" i="5" s="1"/>
  <c r="G675" i="5"/>
  <c r="I675" i="5" s="1"/>
  <c r="G679" i="5"/>
  <c r="I679" i="5" s="1"/>
  <c r="G690" i="5"/>
  <c r="I690" i="5" s="1"/>
  <c r="G694" i="5"/>
  <c r="I694" i="5" s="1"/>
  <c r="G253" i="5"/>
  <c r="I253" i="5" s="1"/>
  <c r="G16" i="5"/>
  <c r="F938" i="3"/>
  <c r="H938" i="3" s="1"/>
  <c r="F1073" i="3"/>
  <c r="H1073" i="3" s="1"/>
  <c r="F1061" i="3"/>
  <c r="H1061" i="3" s="1"/>
  <c r="G17" i="6" l="1"/>
  <c r="I17" i="6" s="1"/>
  <c r="I18" i="6"/>
  <c r="G819" i="14"/>
  <c r="G603" i="16"/>
  <c r="H395" i="15"/>
  <c r="H852" i="16"/>
  <c r="H299" i="16"/>
  <c r="H298" i="16" s="1"/>
  <c r="H293" i="16" s="1"/>
  <c r="H292" i="16" s="1"/>
  <c r="H291" i="16" s="1"/>
  <c r="H712" i="16"/>
  <c r="H747" i="16"/>
  <c r="H746" i="16" s="1"/>
  <c r="H734" i="16"/>
  <c r="H624" i="16"/>
  <c r="H848" i="16"/>
  <c r="H185" i="16"/>
  <c r="H419" i="16"/>
  <c r="H471" i="16"/>
  <c r="H726" i="16"/>
  <c r="H450" i="16"/>
  <c r="H170" i="16"/>
  <c r="H169" i="16" s="1"/>
  <c r="H164" i="16" s="1"/>
  <c r="H35" i="16"/>
  <c r="H370" i="16"/>
  <c r="H369" i="16" s="1"/>
  <c r="H366" i="16" s="1"/>
  <c r="H627" i="16"/>
  <c r="H613" i="16"/>
  <c r="H612" i="16" s="1"/>
  <c r="H893" i="16"/>
  <c r="H273" i="16"/>
  <c r="H272" i="16" s="1"/>
  <c r="H486" i="16"/>
  <c r="H528" i="16"/>
  <c r="H903" i="16"/>
  <c r="H587" i="16"/>
  <c r="H586" i="16" s="1"/>
  <c r="H585" i="16" s="1"/>
  <c r="H584" i="16" s="1"/>
  <c r="H525" i="16"/>
  <c r="H596" i="16"/>
  <c r="H31" i="16"/>
  <c r="H30" i="16" s="1"/>
  <c r="H29" i="16" s="1"/>
  <c r="H209" i="16"/>
  <c r="H228" i="16"/>
  <c r="H227" i="16" s="1"/>
  <c r="H236" i="16"/>
  <c r="H235" i="16" s="1"/>
  <c r="H538" i="16"/>
  <c r="H531" i="16" s="1"/>
  <c r="H438" i="16"/>
  <c r="H123" i="16"/>
  <c r="H122" i="16" s="1"/>
  <c r="H119" i="16" s="1"/>
  <c r="H758" i="16"/>
  <c r="H757" i="16" s="1"/>
  <c r="H752" i="16" s="1"/>
  <c r="H751" i="16" s="1"/>
  <c r="H750" i="16" s="1"/>
  <c r="H428" i="16"/>
  <c r="H465" i="16"/>
  <c r="H464" i="16" s="1"/>
  <c r="H459" i="16" s="1"/>
  <c r="H458" i="16" s="1"/>
  <c r="H457" i="16" s="1"/>
  <c r="H888" i="16"/>
  <c r="H643" i="16"/>
  <c r="H85" i="16"/>
  <c r="H84" i="16" s="1"/>
  <c r="H83" i="16" s="1"/>
  <c r="H82" i="16" s="1"/>
  <c r="H881" i="16"/>
  <c r="H880" i="16" s="1"/>
  <c r="H879" i="16" s="1"/>
  <c r="H878" i="16" s="1"/>
  <c r="H920" i="16"/>
  <c r="H919" i="16" s="1"/>
  <c r="H918" i="16" s="1"/>
  <c r="H917" i="16" s="1"/>
  <c r="H916" i="16" s="1"/>
  <c r="H651" i="16"/>
  <c r="H650" i="16" s="1"/>
  <c r="H647" i="16" s="1"/>
  <c r="H463" i="16"/>
  <c r="H168" i="16"/>
  <c r="G434" i="16"/>
  <c r="G433" i="16" s="1"/>
  <c r="G432" i="16" s="1"/>
  <c r="H249" i="16"/>
  <c r="H248" i="16" s="1"/>
  <c r="H297" i="16"/>
  <c r="H552" i="16"/>
  <c r="H551" i="16" s="1"/>
  <c r="H548" i="16" s="1"/>
  <c r="H543" i="16" s="1"/>
  <c r="H542" i="16" s="1"/>
  <c r="H570" i="16"/>
  <c r="H547" i="16"/>
  <c r="H634" i="16"/>
  <c r="H633" i="16" s="1"/>
  <c r="H632" i="16" s="1"/>
  <c r="H631" i="16" s="1"/>
  <c r="H201" i="16"/>
  <c r="H428" i="15"/>
  <c r="H575" i="16"/>
  <c r="G667" i="14"/>
  <c r="H177" i="16"/>
  <c r="H130" i="16"/>
  <c r="H621" i="16"/>
  <c r="H179" i="16"/>
  <c r="H178" i="16" s="1"/>
  <c r="H173" i="16" s="1"/>
  <c r="H856" i="16"/>
  <c r="H766" i="16"/>
  <c r="H765" i="16" s="1"/>
  <c r="H779" i="16"/>
  <c r="H609" i="16"/>
  <c r="H608" i="16" s="1"/>
  <c r="H835" i="16"/>
  <c r="H834" i="16" s="1"/>
  <c r="H582" i="16"/>
  <c r="H862" i="16"/>
  <c r="H861" i="16" s="1"/>
  <c r="H49" i="16"/>
  <c r="H282" i="15"/>
  <c r="H739" i="16"/>
  <c r="G852" i="14"/>
  <c r="H434" i="16"/>
  <c r="H433" i="16" s="1"/>
  <c r="H432" i="16" s="1"/>
  <c r="H446" i="16"/>
  <c r="H445" i="16" s="1"/>
  <c r="G446" i="16"/>
  <c r="G445" i="16" s="1"/>
  <c r="H226" i="16"/>
  <c r="G293" i="16"/>
  <c r="G292" i="16" s="1"/>
  <c r="G291" i="16" s="1"/>
  <c r="G602" i="16"/>
  <c r="G601" i="16" s="1"/>
  <c r="H110" i="16"/>
  <c r="H109" i="16" s="1"/>
  <c r="H108" i="16" s="1"/>
  <c r="H396" i="16"/>
  <c r="H395" i="16" s="1"/>
  <c r="H394" i="16" s="1"/>
  <c r="G459" i="16"/>
  <c r="G458" i="16" s="1"/>
  <c r="G457" i="16" s="1"/>
  <c r="H681" i="16"/>
  <c r="H674" i="16" s="1"/>
  <c r="H673" i="16" s="1"/>
  <c r="G81" i="16"/>
  <c r="G83" i="16"/>
  <c r="G82" i="16" s="1"/>
  <c r="G368" i="16"/>
  <c r="G367" i="16" s="1"/>
  <c r="G366" i="16"/>
  <c r="G630" i="16"/>
  <c r="G632" i="16"/>
  <c r="G631" i="16" s="1"/>
  <c r="H874" i="16"/>
  <c r="H873" i="16" s="1"/>
  <c r="H868" i="16" s="1"/>
  <c r="H867" i="16" s="1"/>
  <c r="H866" i="16" s="1"/>
  <c r="H876" i="16"/>
  <c r="G649" i="16"/>
  <c r="G648" i="16" s="1"/>
  <c r="G647" i="16"/>
  <c r="G65" i="16"/>
  <c r="G66" i="16"/>
  <c r="G91" i="16"/>
  <c r="G92" i="16"/>
  <c r="G590" i="16"/>
  <c r="G592" i="16"/>
  <c r="G591" i="16" s="1"/>
  <c r="G31" i="16"/>
  <c r="G30" i="16" s="1"/>
  <c r="H70" i="16"/>
  <c r="H69" i="16" s="1"/>
  <c r="H68" i="16" s="1"/>
  <c r="H67" i="16" s="1"/>
  <c r="H72" i="16"/>
  <c r="G620" i="16"/>
  <c r="G619" i="16" s="1"/>
  <c r="G618" i="16" s="1"/>
  <c r="G617" i="16" s="1"/>
  <c r="G164" i="16"/>
  <c r="G173" i="16"/>
  <c r="G878" i="16"/>
  <c r="G752" i="16"/>
  <c r="G751" i="16" s="1"/>
  <c r="G750" i="16" s="1"/>
  <c r="G52" i="16"/>
  <c r="G51" i="16" s="1"/>
  <c r="G50" i="16"/>
  <c r="H98" i="16"/>
  <c r="H96" i="16"/>
  <c r="H95" i="16" s="1"/>
  <c r="H94" i="16" s="1"/>
  <c r="H93" i="16" s="1"/>
  <c r="G585" i="16"/>
  <c r="G584" i="16" s="1"/>
  <c r="G583" i="16"/>
  <c r="G833" i="16"/>
  <c r="G832" i="16" s="1"/>
  <c r="G831" i="16" s="1"/>
  <c r="G830" i="16" s="1"/>
  <c r="G396" i="16"/>
  <c r="G395" i="16" s="1"/>
  <c r="G393" i="16" s="1"/>
  <c r="H576" i="16"/>
  <c r="H578" i="16"/>
  <c r="H577" i="16" s="1"/>
  <c r="G576" i="16"/>
  <c r="G578" i="16"/>
  <c r="G577" i="16" s="1"/>
  <c r="H592" i="16"/>
  <c r="H591" i="16" s="1"/>
  <c r="H590" i="16"/>
  <c r="H56" i="16"/>
  <c r="H54" i="16"/>
  <c r="H53" i="16" s="1"/>
  <c r="G110" i="16"/>
  <c r="G109" i="16" s="1"/>
  <c r="G108" i="16" s="1"/>
  <c r="G121" i="16"/>
  <c r="G120" i="16" s="1"/>
  <c r="G119" i="16"/>
  <c r="G132" i="16"/>
  <c r="G131" i="16" s="1"/>
  <c r="G130" i="16"/>
  <c r="G474" i="16"/>
  <c r="G473" i="16" s="1"/>
  <c r="G472" i="16" s="1"/>
  <c r="G12" i="16"/>
  <c r="G11" i="16" s="1"/>
  <c r="G10" i="16"/>
  <c r="G548" i="16"/>
  <c r="G543" i="16" s="1"/>
  <c r="G542" i="16" s="1"/>
  <c r="G550" i="16"/>
  <c r="G549" i="16" s="1"/>
  <c r="G533" i="16"/>
  <c r="G532" i="16" s="1"/>
  <c r="G531" i="16"/>
  <c r="G937" i="5"/>
  <c r="I937" i="5" s="1"/>
  <c r="G771" i="5"/>
  <c r="I771" i="5" s="1"/>
  <c r="G953" i="5"/>
  <c r="I953" i="5" s="1"/>
  <c r="G15" i="5"/>
  <c r="F1096" i="3"/>
  <c r="H1096" i="3" s="1"/>
  <c r="G775" i="5"/>
  <c r="I775" i="5" s="1"/>
  <c r="G777" i="5"/>
  <c r="I777" i="5" s="1"/>
  <c r="G731" i="5"/>
  <c r="I731" i="5" s="1"/>
  <c r="G733" i="5"/>
  <c r="I733" i="5" s="1"/>
  <c r="G721" i="5"/>
  <c r="I721" i="5" s="1"/>
  <c r="G723" i="5"/>
  <c r="I723" i="5" s="1"/>
  <c r="G714" i="5"/>
  <c r="I714" i="5" s="1"/>
  <c r="G716" i="5"/>
  <c r="I716" i="5" s="1"/>
  <c r="G704" i="5"/>
  <c r="I704" i="5" s="1"/>
  <c r="G706" i="5"/>
  <c r="I706" i="5" s="1"/>
  <c r="G701" i="5"/>
  <c r="I701" i="5" s="1"/>
  <c r="G703" i="5"/>
  <c r="I703" i="5" s="1"/>
  <c r="G707" i="5"/>
  <c r="I707" i="5" s="1"/>
  <c r="G709" i="5"/>
  <c r="I709" i="5" s="1"/>
  <c r="G693" i="5"/>
  <c r="I693" i="5" s="1"/>
  <c r="G695" i="5"/>
  <c r="I695" i="5" s="1"/>
  <c r="G689" i="5"/>
  <c r="I689" i="5" s="1"/>
  <c r="G691" i="5"/>
  <c r="I691" i="5" s="1"/>
  <c r="G678" i="5"/>
  <c r="I678" i="5" s="1"/>
  <c r="G680" i="5"/>
  <c r="I680" i="5" s="1"/>
  <c r="G674" i="5"/>
  <c r="I674" i="5" s="1"/>
  <c r="G676" i="5"/>
  <c r="I676" i="5" s="1"/>
  <c r="G667" i="5"/>
  <c r="I667" i="5" s="1"/>
  <c r="G669" i="5"/>
  <c r="I669" i="5" s="1"/>
  <c r="G660" i="5"/>
  <c r="I660" i="5" s="1"/>
  <c r="G662" i="5"/>
  <c r="I662" i="5" s="1"/>
  <c r="G252" i="5"/>
  <c r="I252" i="5" s="1"/>
  <c r="G254" i="5"/>
  <c r="I254" i="5" s="1"/>
  <c r="G17" i="5"/>
  <c r="F1021" i="3"/>
  <c r="F1017" i="3"/>
  <c r="H1017" i="3" s="1"/>
  <c r="F1014" i="3"/>
  <c r="F1011" i="3"/>
  <c r="F1001" i="3"/>
  <c r="H1001" i="3" s="1"/>
  <c r="F989" i="3"/>
  <c r="H989" i="3" s="1"/>
  <c r="F971" i="3"/>
  <c r="H971" i="3" s="1"/>
  <c r="F966" i="3"/>
  <c r="H966" i="3" s="1"/>
  <c r="F950" i="3"/>
  <c r="H950" i="3" s="1"/>
  <c r="F937" i="3"/>
  <c r="H937" i="3" s="1"/>
  <c r="F925" i="3"/>
  <c r="H925" i="3" s="1"/>
  <c r="F922" i="3"/>
  <c r="H922" i="3" s="1"/>
  <c r="F920" i="3"/>
  <c r="H920" i="3" s="1"/>
  <c r="F918" i="3"/>
  <c r="H918" i="3" s="1"/>
  <c r="F913" i="3"/>
  <c r="H913" i="3" s="1"/>
  <c r="F910" i="3"/>
  <c r="H910" i="3" s="1"/>
  <c r="F908" i="3"/>
  <c r="H908" i="3" s="1"/>
  <c r="F902" i="3"/>
  <c r="H902" i="3" s="1"/>
  <c r="F897" i="3"/>
  <c r="H897" i="3" s="1"/>
  <c r="F892" i="3"/>
  <c r="H892" i="3" s="1"/>
  <c r="F889" i="3"/>
  <c r="H889" i="3" s="1"/>
  <c r="F882" i="3"/>
  <c r="H882" i="3" s="1"/>
  <c r="F879" i="3"/>
  <c r="H879" i="3" s="1"/>
  <c r="F875" i="3"/>
  <c r="H875" i="3" s="1"/>
  <c r="F871" i="3"/>
  <c r="H871" i="3" s="1"/>
  <c r="F867" i="3"/>
  <c r="H867" i="3" s="1"/>
  <c r="F865" i="3"/>
  <c r="H865" i="3" s="1"/>
  <c r="F854" i="3"/>
  <c r="H854" i="3" s="1"/>
  <c r="F847" i="3"/>
  <c r="H847" i="3" s="1"/>
  <c r="F843" i="3"/>
  <c r="H843" i="3" s="1"/>
  <c r="F841" i="3"/>
  <c r="H841" i="3" s="1"/>
  <c r="F837" i="3"/>
  <c r="H837" i="3" s="1"/>
  <c r="F835" i="3"/>
  <c r="H835" i="3" s="1"/>
  <c r="F789" i="3"/>
  <c r="H789" i="3" s="1"/>
  <c r="F785" i="3"/>
  <c r="H785" i="3" s="1"/>
  <c r="F779" i="3"/>
  <c r="F776" i="3"/>
  <c r="H776" i="3" s="1"/>
  <c r="F769" i="3"/>
  <c r="H769" i="3" s="1"/>
  <c r="F766" i="3"/>
  <c r="H766" i="3" s="1"/>
  <c r="F748" i="3"/>
  <c r="H748" i="3" s="1"/>
  <c r="F742" i="3"/>
  <c r="H742" i="3" s="1"/>
  <c r="F738" i="3"/>
  <c r="H738" i="3" s="1"/>
  <c r="G301" i="4"/>
  <c r="I301" i="4" s="1"/>
  <c r="F718" i="14" l="1"/>
  <c r="G718" i="14" s="1"/>
  <c r="H779" i="3"/>
  <c r="F944" i="14"/>
  <c r="H1014" i="3"/>
  <c r="F941" i="14"/>
  <c r="H1011" i="3"/>
  <c r="F951" i="14"/>
  <c r="H1021" i="3"/>
  <c r="H603" i="16"/>
  <c r="H602" i="16" s="1"/>
  <c r="H601" i="16" s="1"/>
  <c r="H368" i="16"/>
  <c r="H367" i="16" s="1"/>
  <c r="H121" i="16"/>
  <c r="H120" i="16" s="1"/>
  <c r="H550" i="16"/>
  <c r="H549" i="16" s="1"/>
  <c r="H620" i="16"/>
  <c r="H619" i="16" s="1"/>
  <c r="H618" i="16" s="1"/>
  <c r="H617" i="16" s="1"/>
  <c r="H630" i="16"/>
  <c r="H649" i="16"/>
  <c r="H648" i="16" s="1"/>
  <c r="H583" i="16"/>
  <c r="H81" i="16"/>
  <c r="H533" i="16"/>
  <c r="H532" i="16" s="1"/>
  <c r="H833" i="16"/>
  <c r="H832" i="16" s="1"/>
  <c r="H831" i="16" s="1"/>
  <c r="H830" i="16" s="1"/>
  <c r="H107" i="16"/>
  <c r="G444" i="16"/>
  <c r="G443" i="16"/>
  <c r="H444" i="16"/>
  <c r="H443" i="16"/>
  <c r="H393" i="16"/>
  <c r="G394" i="16"/>
  <c r="H52" i="16"/>
  <c r="H51" i="16" s="1"/>
  <c r="H50" i="16"/>
  <c r="H65" i="16"/>
  <c r="H66" i="16"/>
  <c r="G29" i="16"/>
  <c r="H91" i="16"/>
  <c r="H92" i="16"/>
  <c r="G107" i="16"/>
  <c r="G300" i="4"/>
  <c r="I300" i="4" s="1"/>
  <c r="G688" i="5"/>
  <c r="I688" i="5" s="1"/>
  <c r="G659" i="5"/>
  <c r="I659" i="5" s="1"/>
  <c r="G673" i="5"/>
  <c r="I673" i="5" s="1"/>
  <c r="G713" i="5"/>
  <c r="I713" i="5" s="1"/>
  <c r="G730" i="5"/>
  <c r="I730" i="5" s="1"/>
  <c r="G251" i="5"/>
  <c r="I251" i="5" s="1"/>
  <c r="G666" i="5"/>
  <c r="I666" i="5" s="1"/>
  <c r="G677" i="5"/>
  <c r="I677" i="5" s="1"/>
  <c r="G692" i="5"/>
  <c r="I692" i="5" s="1"/>
  <c r="G14" i="5"/>
  <c r="F747" i="3"/>
  <c r="H747" i="3" s="1"/>
  <c r="G633" i="5"/>
  <c r="F907" i="3"/>
  <c r="H907" i="3" s="1"/>
  <c r="F949" i="3"/>
  <c r="H949" i="3" s="1"/>
  <c r="G612" i="5"/>
  <c r="I612" i="5" s="1"/>
  <c r="F780" i="14"/>
  <c r="F878" i="3"/>
  <c r="H878" i="3" s="1"/>
  <c r="F909" i="3"/>
  <c r="F846" i="14"/>
  <c r="F737" i="3"/>
  <c r="H737" i="3" s="1"/>
  <c r="F768" i="3"/>
  <c r="H768" i="3" s="1"/>
  <c r="G615" i="5"/>
  <c r="I615" i="5" s="1"/>
  <c r="F896" i="3"/>
  <c r="H896" i="3" s="1"/>
  <c r="F1095" i="3"/>
  <c r="H1095" i="3" s="1"/>
  <c r="F741" i="3"/>
  <c r="H741" i="3" s="1"/>
  <c r="F834" i="3"/>
  <c r="H834" i="3" s="1"/>
  <c r="F870" i="3"/>
  <c r="H870" i="3" s="1"/>
  <c r="F888" i="3"/>
  <c r="H888" i="3" s="1"/>
  <c r="F901" i="3"/>
  <c r="H901" i="3" s="1"/>
  <c r="F936" i="3"/>
  <c r="H936" i="3" s="1"/>
  <c r="F988" i="3"/>
  <c r="H988" i="3" s="1"/>
  <c r="G774" i="5"/>
  <c r="I774" i="5" s="1"/>
  <c r="G700" i="5"/>
  <c r="I700" i="5" s="1"/>
  <c r="F846" i="3"/>
  <c r="H846" i="3" s="1"/>
  <c r="G622" i="5"/>
  <c r="I622" i="5" s="1"/>
  <c r="F775" i="3"/>
  <c r="H775" i="3" s="1"/>
  <c r="G37" i="5"/>
  <c r="I37" i="5" s="1"/>
  <c r="F778" i="3"/>
  <c r="H778" i="3" s="1"/>
  <c r="G41" i="5"/>
  <c r="I41" i="5" s="1"/>
  <c r="F784" i="3"/>
  <c r="H784" i="3" s="1"/>
  <c r="G51" i="5"/>
  <c r="I51" i="5" s="1"/>
  <c r="F788" i="3"/>
  <c r="H788" i="3" s="1"/>
  <c r="G58" i="5"/>
  <c r="I58" i="5" s="1"/>
  <c r="G634" i="5" l="1"/>
  <c r="I634" i="5" s="1"/>
  <c r="I633" i="5"/>
  <c r="F845" i="14"/>
  <c r="H909" i="3"/>
  <c r="G683" i="5"/>
  <c r="I683" i="5" s="1"/>
  <c r="G712" i="5"/>
  <c r="I712" i="5" s="1"/>
  <c r="G672" i="5"/>
  <c r="G710" i="5"/>
  <c r="I710" i="5" s="1"/>
  <c r="G670" i="5"/>
  <c r="I670" i="5" s="1"/>
  <c r="G613" i="5"/>
  <c r="I613" i="5" s="1"/>
  <c r="G299" i="4"/>
  <c r="I299" i="4" s="1"/>
  <c r="G52" i="5"/>
  <c r="I52" i="5" s="1"/>
  <c r="G699" i="5"/>
  <c r="I699" i="5" s="1"/>
  <c r="G773" i="5"/>
  <c r="I773" i="5" s="1"/>
  <c r="G665" i="5"/>
  <c r="I665" i="5" s="1"/>
  <c r="G729" i="5"/>
  <c r="I729" i="5" s="1"/>
  <c r="G611" i="5"/>
  <c r="I611" i="5" s="1"/>
  <c r="G658" i="5"/>
  <c r="I658" i="5" s="1"/>
  <c r="G616" i="5"/>
  <c r="I616" i="5" s="1"/>
  <c r="G656" i="5"/>
  <c r="I656" i="5" s="1"/>
  <c r="G632" i="5"/>
  <c r="I632" i="5" s="1"/>
  <c r="G11" i="5"/>
  <c r="G13" i="5"/>
  <c r="G614" i="5"/>
  <c r="I614" i="5" s="1"/>
  <c r="G663" i="5"/>
  <c r="I663" i="5" s="1"/>
  <c r="G727" i="5"/>
  <c r="I727" i="5" s="1"/>
  <c r="F787" i="3"/>
  <c r="H787" i="3" s="1"/>
  <c r="F845" i="3"/>
  <c r="H845" i="3" s="1"/>
  <c r="F987" i="3"/>
  <c r="H987" i="3" s="1"/>
  <c r="F895" i="3"/>
  <c r="H895" i="3" s="1"/>
  <c r="F767" i="3"/>
  <c r="H767" i="3" s="1"/>
  <c r="F877" i="3"/>
  <c r="H877" i="3" s="1"/>
  <c r="F948" i="3"/>
  <c r="H948" i="3" s="1"/>
  <c r="F774" i="3"/>
  <c r="H774" i="3" s="1"/>
  <c r="F777" i="3"/>
  <c r="F717" i="14"/>
  <c r="G717" i="14" s="1"/>
  <c r="F900" i="3"/>
  <c r="H900" i="3" s="1"/>
  <c r="F935" i="3"/>
  <c r="H935" i="3" s="1"/>
  <c r="F736" i="3"/>
  <c r="H736" i="3" s="1"/>
  <c r="F746" i="3"/>
  <c r="H746" i="3" s="1"/>
  <c r="G621" i="5"/>
  <c r="I621" i="5" s="1"/>
  <c r="G623" i="5"/>
  <c r="I623" i="5" s="1"/>
  <c r="G57" i="5"/>
  <c r="I57" i="5" s="1"/>
  <c r="G59" i="5"/>
  <c r="I59" i="5" s="1"/>
  <c r="G40" i="5"/>
  <c r="I40" i="5" s="1"/>
  <c r="G42" i="5"/>
  <c r="I42" i="5" s="1"/>
  <c r="G36" i="5"/>
  <c r="I36" i="5" s="1"/>
  <c r="G38" i="5"/>
  <c r="I38" i="5" s="1"/>
  <c r="G671" i="5" l="1"/>
  <c r="I671" i="5" s="1"/>
  <c r="I672" i="5"/>
  <c r="F716" i="14"/>
  <c r="G716" i="14" s="1"/>
  <c r="G712" i="14" s="1"/>
  <c r="H777" i="3"/>
  <c r="H299" i="15"/>
  <c r="G299" i="15"/>
  <c r="G871" i="14"/>
  <c r="G870" i="14" s="1"/>
  <c r="G869" i="14" s="1"/>
  <c r="F871" i="14"/>
  <c r="F870" i="14" s="1"/>
  <c r="F869" i="14" s="1"/>
  <c r="D42" i="13" s="1"/>
  <c r="G883" i="14"/>
  <c r="G882" i="14" s="1"/>
  <c r="F883" i="14"/>
  <c r="F882" i="14" s="1"/>
  <c r="G783" i="14"/>
  <c r="F783" i="14"/>
  <c r="G920" i="14"/>
  <c r="G919" i="14" s="1"/>
  <c r="F920" i="14"/>
  <c r="F919" i="14" s="1"/>
  <c r="G35" i="5"/>
  <c r="I35" i="5" s="1"/>
  <c r="G620" i="5"/>
  <c r="I620" i="5" s="1"/>
  <c r="G728" i="5"/>
  <c r="I728" i="5" s="1"/>
  <c r="G631" i="5"/>
  <c r="I631" i="5" s="1"/>
  <c r="G657" i="5"/>
  <c r="I657" i="5" s="1"/>
  <c r="G39" i="5"/>
  <c r="I39" i="5" s="1"/>
  <c r="G772" i="5"/>
  <c r="I772" i="5" s="1"/>
  <c r="G682" i="5"/>
  <c r="I682" i="5" s="1"/>
  <c r="G610" i="5"/>
  <c r="I610" i="5" s="1"/>
  <c r="G664" i="5"/>
  <c r="I664" i="5" s="1"/>
  <c r="F745" i="3"/>
  <c r="H745" i="3" s="1"/>
  <c r="F934" i="3"/>
  <c r="H934" i="3" s="1"/>
  <c r="F786" i="3"/>
  <c r="H786" i="3" s="1"/>
  <c r="F773" i="3"/>
  <c r="H773" i="3" s="1"/>
  <c r="F735" i="3"/>
  <c r="H735" i="3" s="1"/>
  <c r="F899" i="3"/>
  <c r="H899" i="3" s="1"/>
  <c r="F894" i="3"/>
  <c r="H894" i="3" s="1"/>
  <c r="F734" i="3"/>
  <c r="H734" i="3" s="1"/>
  <c r="F732" i="3"/>
  <c r="H732" i="3" s="1"/>
  <c r="F730" i="3"/>
  <c r="H730" i="3" s="1"/>
  <c r="F765" i="3"/>
  <c r="H765" i="3" s="1"/>
  <c r="F809" i="3"/>
  <c r="H809" i="3" s="1"/>
  <c r="F825" i="3"/>
  <c r="H825" i="3" s="1"/>
  <c r="F717" i="3"/>
  <c r="H717" i="3" s="1"/>
  <c r="F706" i="3"/>
  <c r="H706" i="3" s="1"/>
  <c r="F651" i="3"/>
  <c r="H651" i="3" s="1"/>
  <c r="F692" i="3"/>
  <c r="H692" i="3" s="1"/>
  <c r="F644" i="3"/>
  <c r="F687" i="3"/>
  <c r="H687" i="3" s="1"/>
  <c r="F623" i="3"/>
  <c r="H623" i="3" s="1"/>
  <c r="F609" i="3"/>
  <c r="H609" i="3" s="1"/>
  <c r="F603" i="3"/>
  <c r="H603" i="3" s="1"/>
  <c r="F600" i="3"/>
  <c r="H600" i="3" s="1"/>
  <c r="F584" i="3"/>
  <c r="H584" i="3" s="1"/>
  <c r="F565" i="3"/>
  <c r="F577" i="3"/>
  <c r="H577" i="3" s="1"/>
  <c r="F560" i="3"/>
  <c r="H560" i="3" s="1"/>
  <c r="F557" i="3"/>
  <c r="H557" i="3" s="1"/>
  <c r="F547" i="3"/>
  <c r="F543" i="3"/>
  <c r="H543" i="3" s="1"/>
  <c r="F540" i="3"/>
  <c r="F529" i="3"/>
  <c r="H529" i="3" s="1"/>
  <c r="F523" i="3"/>
  <c r="H523" i="3" s="1"/>
  <c r="F513" i="3"/>
  <c r="H513" i="3" s="1"/>
  <c r="F500" i="3"/>
  <c r="H500" i="3" s="1"/>
  <c r="F495" i="3"/>
  <c r="H495" i="3" s="1"/>
  <c r="F491" i="3"/>
  <c r="H491" i="3" s="1"/>
  <c r="F474" i="3"/>
  <c r="H474" i="3" s="1"/>
  <c r="F476" i="3"/>
  <c r="H476" i="3" s="1"/>
  <c r="F481" i="3"/>
  <c r="H481" i="3" s="1"/>
  <c r="F712" i="14" l="1"/>
  <c r="F513" i="14"/>
  <c r="G513" i="14" s="1"/>
  <c r="H540" i="3"/>
  <c r="F617" i="14"/>
  <c r="H644" i="3"/>
  <c r="F520" i="14"/>
  <c r="G520" i="14" s="1"/>
  <c r="H547" i="3"/>
  <c r="F545" i="14"/>
  <c r="G545" i="14" s="1"/>
  <c r="H565" i="3"/>
  <c r="G626" i="5"/>
  <c r="I626" i="5" s="1"/>
  <c r="G624" i="5"/>
  <c r="I624" i="5" s="1"/>
  <c r="G835" i="14"/>
  <c r="G834" i="14" s="1"/>
  <c r="F835" i="14"/>
  <c r="F834" i="14" s="1"/>
  <c r="G684" i="14"/>
  <c r="F684" i="14"/>
  <c r="G725" i="14"/>
  <c r="F725" i="14"/>
  <c r="G674" i="14"/>
  <c r="F674" i="14"/>
  <c r="E42" i="13"/>
  <c r="G681" i="5"/>
  <c r="I681" i="5" s="1"/>
  <c r="G34" i="5"/>
  <c r="I34" i="5" s="1"/>
  <c r="G617" i="5"/>
  <c r="I617" i="5" s="1"/>
  <c r="G607" i="5"/>
  <c r="I607" i="5" s="1"/>
  <c r="G609" i="5"/>
  <c r="I609" i="5" s="1"/>
  <c r="F705" i="3"/>
  <c r="H705" i="3" s="1"/>
  <c r="F764" i="3"/>
  <c r="H764" i="3" s="1"/>
  <c r="F893" i="3"/>
  <c r="H893" i="3" s="1"/>
  <c r="F499" i="3"/>
  <c r="H499" i="3" s="1"/>
  <c r="G179" i="5"/>
  <c r="I179" i="5" s="1"/>
  <c r="G232" i="5"/>
  <c r="I232" i="5" s="1"/>
  <c r="F716" i="3"/>
  <c r="H716" i="3" s="1"/>
  <c r="F659" i="14"/>
  <c r="G659" i="14" s="1"/>
  <c r="F729" i="3"/>
  <c r="H729" i="3" s="1"/>
  <c r="F933" i="3"/>
  <c r="H933" i="3" s="1"/>
  <c r="G303" i="5"/>
  <c r="I303" i="5" s="1"/>
  <c r="G183" i="5"/>
  <c r="G240" i="5"/>
  <c r="F824" i="3"/>
  <c r="H824" i="3" s="1"/>
  <c r="F731" i="3"/>
  <c r="H731" i="3" s="1"/>
  <c r="F480" i="3"/>
  <c r="H480" i="3" s="1"/>
  <c r="G203" i="5"/>
  <c r="I203" i="5" s="1"/>
  <c r="G228" i="5"/>
  <c r="G211" i="5"/>
  <c r="F490" i="3"/>
  <c r="F464" i="14"/>
  <c r="G464" i="14" s="1"/>
  <c r="G174" i="5"/>
  <c r="I174" i="5" s="1"/>
  <c r="F576" i="3"/>
  <c r="H576" i="3" s="1"/>
  <c r="G187" i="5"/>
  <c r="I187" i="5" s="1"/>
  <c r="F622" i="3"/>
  <c r="H622" i="3" s="1"/>
  <c r="G374" i="5"/>
  <c r="I374" i="5" s="1"/>
  <c r="F808" i="3"/>
  <c r="H808" i="3" s="1"/>
  <c r="F733" i="3"/>
  <c r="H733" i="3" s="1"/>
  <c r="F515" i="3"/>
  <c r="H515" i="3" s="1"/>
  <c r="F512" i="3"/>
  <c r="H512" i="3" s="1"/>
  <c r="G170" i="5"/>
  <c r="I170" i="5" s="1"/>
  <c r="F460" i="3"/>
  <c r="F463" i="3"/>
  <c r="H463" i="3" s="1"/>
  <c r="F423" i="3"/>
  <c r="H423" i="3" s="1"/>
  <c r="G1061" i="4"/>
  <c r="I1061" i="4" s="1"/>
  <c r="F440" i="3"/>
  <c r="H440" i="3" s="1"/>
  <c r="F436" i="3"/>
  <c r="H436" i="3" s="1"/>
  <c r="G210" i="5" l="1"/>
  <c r="I210" i="5" s="1"/>
  <c r="I211" i="5"/>
  <c r="G227" i="5"/>
  <c r="I227" i="5" s="1"/>
  <c r="I228" i="5"/>
  <c r="F435" i="14"/>
  <c r="F434" i="14" s="1"/>
  <c r="F433" i="14" s="1"/>
  <c r="H460" i="3"/>
  <c r="F463" i="14"/>
  <c r="G463" i="14" s="1"/>
  <c r="H490" i="3"/>
  <c r="G184" i="5"/>
  <c r="I184" i="5" s="1"/>
  <c r="I183" i="5"/>
  <c r="G239" i="5"/>
  <c r="I239" i="5" s="1"/>
  <c r="I240" i="5"/>
  <c r="G435" i="14"/>
  <c r="H913" i="16"/>
  <c r="H912" i="16" s="1"/>
  <c r="H911" i="16" s="1"/>
  <c r="H910" i="16" s="1"/>
  <c r="H915" i="16" s="1"/>
  <c r="H105" i="16"/>
  <c r="G1060" i="4"/>
  <c r="G233" i="5"/>
  <c r="I233" i="5" s="1"/>
  <c r="G302" i="5"/>
  <c r="I302" i="5" s="1"/>
  <c r="G186" i="5"/>
  <c r="I186" i="5" s="1"/>
  <c r="G231" i="5"/>
  <c r="I231" i="5" s="1"/>
  <c r="F728" i="3"/>
  <c r="G304" i="5"/>
  <c r="I304" i="5" s="1"/>
  <c r="G608" i="5"/>
  <c r="I608" i="5" s="1"/>
  <c r="G619" i="5"/>
  <c r="I619" i="5" s="1"/>
  <c r="G171" i="5"/>
  <c r="I171" i="5" s="1"/>
  <c r="G209" i="5"/>
  <c r="I209" i="5" s="1"/>
  <c r="G375" i="5"/>
  <c r="I375" i="5" s="1"/>
  <c r="G175" i="5"/>
  <c r="I175" i="5" s="1"/>
  <c r="G212" i="5"/>
  <c r="I212" i="5" s="1"/>
  <c r="G241" i="5"/>
  <c r="I241" i="5" s="1"/>
  <c r="G204" i="5"/>
  <c r="I204" i="5" s="1"/>
  <c r="G173" i="5"/>
  <c r="I173" i="5" s="1"/>
  <c r="G202" i="5"/>
  <c r="I202" i="5" s="1"/>
  <c r="G188" i="5"/>
  <c r="I188" i="5" s="1"/>
  <c r="G229" i="5"/>
  <c r="I229" i="5" s="1"/>
  <c r="G182" i="5"/>
  <c r="I182" i="5" s="1"/>
  <c r="G180" i="5"/>
  <c r="I180" i="5" s="1"/>
  <c r="G798" i="5"/>
  <c r="I798" i="5" s="1"/>
  <c r="F411" i="14"/>
  <c r="F511" i="3"/>
  <c r="H511" i="3" s="1"/>
  <c r="F807" i="3"/>
  <c r="H807" i="3" s="1"/>
  <c r="F479" i="3"/>
  <c r="H479" i="3" s="1"/>
  <c r="F823" i="3"/>
  <c r="H823" i="3" s="1"/>
  <c r="D42" i="2"/>
  <c r="F42" i="2" s="1"/>
  <c r="F715" i="3"/>
  <c r="F658" i="14"/>
  <c r="G658" i="14" s="1"/>
  <c r="G178" i="5"/>
  <c r="I178" i="5" s="1"/>
  <c r="F514" i="3"/>
  <c r="H514" i="3" s="1"/>
  <c r="F498" i="3"/>
  <c r="H498" i="3" s="1"/>
  <c r="F763" i="3"/>
  <c r="H763" i="3" s="1"/>
  <c r="F422" i="3"/>
  <c r="F459" i="3"/>
  <c r="H459" i="3" s="1"/>
  <c r="G835" i="5"/>
  <c r="I835" i="5" s="1"/>
  <c r="F462" i="3"/>
  <c r="H462" i="3" s="1"/>
  <c r="G839" i="5"/>
  <c r="I839" i="5" s="1"/>
  <c r="F412" i="3"/>
  <c r="F408" i="3"/>
  <c r="F404" i="3"/>
  <c r="F383" i="3"/>
  <c r="F378" i="3"/>
  <c r="H378" i="3" s="1"/>
  <c r="F380" i="3"/>
  <c r="H380" i="3" s="1"/>
  <c r="F375" i="3"/>
  <c r="H375" i="3" s="1"/>
  <c r="F370" i="3"/>
  <c r="H370" i="3" s="1"/>
  <c r="F372" i="3"/>
  <c r="H372" i="3" s="1"/>
  <c r="F364" i="3"/>
  <c r="H364" i="3" s="1"/>
  <c r="F366" i="3"/>
  <c r="F360" i="3"/>
  <c r="H360" i="3" s="1"/>
  <c r="F356" i="3"/>
  <c r="H356" i="3" s="1"/>
  <c r="F276" i="3"/>
  <c r="H276" i="3" s="1"/>
  <c r="F282" i="3"/>
  <c r="H282" i="3" s="1"/>
  <c r="F317" i="3"/>
  <c r="F320" i="3"/>
  <c r="F310" i="3"/>
  <c r="H310" i="3" s="1"/>
  <c r="F313" i="3"/>
  <c r="H313" i="3" s="1"/>
  <c r="F306" i="3"/>
  <c r="F303" i="3"/>
  <c r="F329" i="3"/>
  <c r="F332" i="3"/>
  <c r="F257" i="3"/>
  <c r="H257" i="3" s="1"/>
  <c r="F264" i="3"/>
  <c r="H264" i="3" s="1"/>
  <c r="F250" i="3"/>
  <c r="H250" i="3" s="1"/>
  <c r="F238" i="3"/>
  <c r="H238" i="3" s="1"/>
  <c r="F231" i="3"/>
  <c r="H231" i="3" s="1"/>
  <c r="F58" i="3"/>
  <c r="H58" i="3" s="1"/>
  <c r="F200" i="3"/>
  <c r="H200" i="3" s="1"/>
  <c r="F191" i="3"/>
  <c r="H191" i="3" s="1"/>
  <c r="F196" i="3"/>
  <c r="H196" i="3" s="1"/>
  <c r="F175" i="14"/>
  <c r="F156" i="3"/>
  <c r="H156" i="3" s="1"/>
  <c r="F224" i="3"/>
  <c r="H224" i="3" s="1"/>
  <c r="G1059" i="4" l="1"/>
  <c r="I1059" i="4" s="1"/>
  <c r="I1060" i="4"/>
  <c r="F286" i="14"/>
  <c r="G286" i="14" s="1"/>
  <c r="H303" i="3"/>
  <c r="F389" i="14"/>
  <c r="G389" i="14" s="1"/>
  <c r="H412" i="3"/>
  <c r="F727" i="3"/>
  <c r="H727" i="3" s="1"/>
  <c r="H728" i="3"/>
  <c r="F289" i="14"/>
  <c r="G289" i="14" s="1"/>
  <c r="H306" i="3"/>
  <c r="F360" i="14"/>
  <c r="G360" i="14" s="1"/>
  <c r="H383" i="3"/>
  <c r="G312" i="14"/>
  <c r="H329" i="3"/>
  <c r="F385" i="14"/>
  <c r="G385" i="14" s="1"/>
  <c r="H408" i="3"/>
  <c r="F714" i="3"/>
  <c r="H714" i="3" s="1"/>
  <c r="H715" i="3"/>
  <c r="G226" i="5"/>
  <c r="I226" i="5" s="1"/>
  <c r="G238" i="5"/>
  <c r="I238" i="5" s="1"/>
  <c r="F303" i="14"/>
  <c r="G303" i="14" s="1"/>
  <c r="H320" i="3"/>
  <c r="F300" i="14"/>
  <c r="G300" i="14" s="1"/>
  <c r="H317" i="3"/>
  <c r="F421" i="3"/>
  <c r="H421" i="3" s="1"/>
  <c r="H422" i="3"/>
  <c r="F315" i="14"/>
  <c r="G315" i="14" s="1"/>
  <c r="H332" i="3"/>
  <c r="F343" i="14"/>
  <c r="G343" i="14" s="1"/>
  <c r="H366" i="3"/>
  <c r="F381" i="14"/>
  <c r="G381" i="14" s="1"/>
  <c r="H404" i="3"/>
  <c r="G338" i="14"/>
  <c r="F359" i="3"/>
  <c r="H359" i="3" s="1"/>
  <c r="H106" i="16"/>
  <c r="H104" i="16"/>
  <c r="H103" i="16" s="1"/>
  <c r="H102" i="16" s="1"/>
  <c r="H101" i="16" s="1"/>
  <c r="G702" i="14"/>
  <c r="G701" i="14" s="1"/>
  <c r="F702" i="14"/>
  <c r="F701" i="14" s="1"/>
  <c r="G483" i="14"/>
  <c r="F483" i="14"/>
  <c r="F199" i="3"/>
  <c r="H199" i="3" s="1"/>
  <c r="G797" i="5"/>
  <c r="I797" i="5" s="1"/>
  <c r="G301" i="5"/>
  <c r="I301" i="5" s="1"/>
  <c r="G799" i="5"/>
  <c r="I799" i="5" s="1"/>
  <c r="G172" i="5"/>
  <c r="I172" i="5" s="1"/>
  <c r="G181" i="5"/>
  <c r="I181" i="5" s="1"/>
  <c r="G618" i="5"/>
  <c r="I618" i="5" s="1"/>
  <c r="G185" i="5"/>
  <c r="I185" i="5" s="1"/>
  <c r="G230" i="5"/>
  <c r="I230" i="5" s="1"/>
  <c r="G177" i="5"/>
  <c r="I177" i="5" s="1"/>
  <c r="G201" i="5"/>
  <c r="I201" i="5" s="1"/>
  <c r="F230" i="3"/>
  <c r="H230" i="3" s="1"/>
  <c r="F221" i="14"/>
  <c r="G221" i="14" s="1"/>
  <c r="F155" i="3"/>
  <c r="H155" i="3" s="1"/>
  <c r="F146" i="14"/>
  <c r="G146" i="14" s="1"/>
  <c r="F461" i="3"/>
  <c r="H461" i="3" s="1"/>
  <c r="F249" i="3"/>
  <c r="H249" i="3" s="1"/>
  <c r="F275" i="3"/>
  <c r="H275" i="3" s="1"/>
  <c r="F266" i="14"/>
  <c r="G266" i="14" s="1"/>
  <c r="F379" i="3"/>
  <c r="F357" i="14"/>
  <c r="G357" i="14" s="1"/>
  <c r="F762" i="3"/>
  <c r="H762" i="3" s="1"/>
  <c r="F190" i="3"/>
  <c r="H190" i="3" s="1"/>
  <c r="F256" i="3"/>
  <c r="H256" i="3" s="1"/>
  <c r="F369" i="3"/>
  <c r="G347" i="14"/>
  <c r="F458" i="3"/>
  <c r="H458" i="3" s="1"/>
  <c r="G434" i="14"/>
  <c r="F281" i="3"/>
  <c r="H281" i="3" s="1"/>
  <c r="F374" i="3"/>
  <c r="H374" i="3" s="1"/>
  <c r="F352" i="14"/>
  <c r="G352" i="14" s="1"/>
  <c r="F195" i="3"/>
  <c r="F186" i="14"/>
  <c r="F355" i="3"/>
  <c r="H355" i="3" s="1"/>
  <c r="G336" i="14"/>
  <c r="F371" i="3"/>
  <c r="G349" i="14"/>
  <c r="F377" i="3"/>
  <c r="F355" i="14"/>
  <c r="G355" i="14" s="1"/>
  <c r="F510" i="3"/>
  <c r="H510" i="3" s="1"/>
  <c r="F657" i="14"/>
  <c r="F403" i="3"/>
  <c r="H403" i="3" s="1"/>
  <c r="G894" i="5"/>
  <c r="I894" i="5" s="1"/>
  <c r="F407" i="3"/>
  <c r="H407" i="3" s="1"/>
  <c r="G901" i="5"/>
  <c r="I901" i="5" s="1"/>
  <c r="G838" i="5"/>
  <c r="I838" i="5" s="1"/>
  <c r="G840" i="5"/>
  <c r="I840" i="5" s="1"/>
  <c r="F263" i="3"/>
  <c r="H263" i="3" s="1"/>
  <c r="G858" i="5"/>
  <c r="I858" i="5" s="1"/>
  <c r="F411" i="3"/>
  <c r="H411" i="3" s="1"/>
  <c r="G908" i="5"/>
  <c r="I908" i="5" s="1"/>
  <c r="G836" i="5"/>
  <c r="I836" i="5" s="1"/>
  <c r="G834" i="5"/>
  <c r="I834" i="5" s="1"/>
  <c r="F184" i="3"/>
  <c r="H184" i="3" s="1"/>
  <c r="G923" i="5"/>
  <c r="I923" i="5" s="1"/>
  <c r="F223" i="3"/>
  <c r="F331" i="3"/>
  <c r="H331" i="3" s="1"/>
  <c r="G465" i="5"/>
  <c r="I465" i="5" s="1"/>
  <c r="F328" i="3"/>
  <c r="H328" i="3" s="1"/>
  <c r="G461" i="5"/>
  <c r="I461" i="5" s="1"/>
  <c r="F302" i="3"/>
  <c r="H302" i="3" s="1"/>
  <c r="G116" i="5"/>
  <c r="F319" i="3"/>
  <c r="H319" i="3" s="1"/>
  <c r="G142" i="5"/>
  <c r="I142" i="5" s="1"/>
  <c r="F305" i="3"/>
  <c r="H305" i="3" s="1"/>
  <c r="G120" i="5"/>
  <c r="I120" i="5" s="1"/>
  <c r="F316" i="3"/>
  <c r="H316" i="3" s="1"/>
  <c r="G138" i="5"/>
  <c r="I138" i="5" s="1"/>
  <c r="F312" i="3"/>
  <c r="H312" i="3" s="1"/>
  <c r="G131" i="5"/>
  <c r="I131" i="5" s="1"/>
  <c r="F309" i="3"/>
  <c r="H309" i="3" s="1"/>
  <c r="G127" i="5"/>
  <c r="I127" i="5" s="1"/>
  <c r="F219" i="3"/>
  <c r="H219" i="3" s="1"/>
  <c r="F205" i="3"/>
  <c r="H205" i="3" s="1"/>
  <c r="F209" i="3"/>
  <c r="H209" i="3" s="1"/>
  <c r="F188" i="3"/>
  <c r="H188" i="3" s="1"/>
  <c r="F177" i="3"/>
  <c r="F168" i="3"/>
  <c r="H168" i="3" s="1"/>
  <c r="F142" i="3"/>
  <c r="H142" i="3" s="1"/>
  <c r="F94" i="3"/>
  <c r="H94" i="3" s="1"/>
  <c r="F100" i="3"/>
  <c r="H100" i="3" s="1"/>
  <c r="F103" i="3"/>
  <c r="F26" i="3"/>
  <c r="H26" i="3" s="1"/>
  <c r="F185" i="14" l="1"/>
  <c r="H195" i="3"/>
  <c r="F96" i="14"/>
  <c r="G96" i="14" s="1"/>
  <c r="H103" i="3"/>
  <c r="G117" i="5"/>
  <c r="I117" i="5" s="1"/>
  <c r="I116" i="5"/>
  <c r="G213" i="14"/>
  <c r="H223" i="3"/>
  <c r="G348" i="14"/>
  <c r="H371" i="3"/>
  <c r="F356" i="14"/>
  <c r="G356" i="14" s="1"/>
  <c r="H379" i="3"/>
  <c r="F354" i="14"/>
  <c r="G354" i="14" s="1"/>
  <c r="H377" i="3"/>
  <c r="F167" i="14"/>
  <c r="G167" i="14" s="1"/>
  <c r="H177" i="3"/>
  <c r="G346" i="14"/>
  <c r="H369" i="3"/>
  <c r="G335" i="14"/>
  <c r="F354" i="3"/>
  <c r="H354" i="3" s="1"/>
  <c r="H100" i="16"/>
  <c r="H99" i="16"/>
  <c r="H972" i="15"/>
  <c r="H971" i="15" s="1"/>
  <c r="G972" i="15"/>
  <c r="G971" i="15" s="1"/>
  <c r="G657" i="14"/>
  <c r="G656" i="14" s="1"/>
  <c r="F656" i="14"/>
  <c r="G433" i="14"/>
  <c r="G432" i="14" s="1"/>
  <c r="F432" i="14"/>
  <c r="G666" i="14"/>
  <c r="F666" i="14"/>
  <c r="G1058" i="4"/>
  <c r="I1058" i="4" s="1"/>
  <c r="G115" i="5"/>
  <c r="I115" i="5" s="1"/>
  <c r="G909" i="5"/>
  <c r="I909" i="5" s="1"/>
  <c r="G895" i="5"/>
  <c r="I895" i="5" s="1"/>
  <c r="G176" i="5"/>
  <c r="I176" i="5" s="1"/>
  <c r="G837" i="5"/>
  <c r="I837" i="5" s="1"/>
  <c r="G833" i="5"/>
  <c r="I833" i="5" s="1"/>
  <c r="G902" i="5"/>
  <c r="I902" i="5" s="1"/>
  <c r="F181" i="3"/>
  <c r="H181" i="3" s="1"/>
  <c r="F262" i="3"/>
  <c r="H262" i="3" s="1"/>
  <c r="F406" i="3"/>
  <c r="H406" i="3" s="1"/>
  <c r="F384" i="14"/>
  <c r="G384" i="14" s="1"/>
  <c r="F373" i="3"/>
  <c r="F351" i="14"/>
  <c r="G351" i="14" s="1"/>
  <c r="F420" i="3"/>
  <c r="H420" i="3" s="1"/>
  <c r="F154" i="3"/>
  <c r="F145" i="14"/>
  <c r="G145" i="14" s="1"/>
  <c r="F311" i="3"/>
  <c r="H311" i="3" s="1"/>
  <c r="F330" i="3"/>
  <c r="F314" i="14"/>
  <c r="G314" i="14" s="1"/>
  <c r="F141" i="3"/>
  <c r="H141" i="3" s="1"/>
  <c r="F183" i="3"/>
  <c r="F174" i="14"/>
  <c r="F410" i="3"/>
  <c r="H410" i="3" s="1"/>
  <c r="F388" i="14"/>
  <c r="G388" i="14" s="1"/>
  <c r="F402" i="3"/>
  <c r="H402" i="3" s="1"/>
  <c r="F380" i="14"/>
  <c r="G380" i="14" s="1"/>
  <c r="F167" i="3"/>
  <c r="H167" i="3" s="1"/>
  <c r="F368" i="3"/>
  <c r="H368" i="3" s="1"/>
  <c r="F308" i="3"/>
  <c r="H308" i="3" s="1"/>
  <c r="F315" i="3"/>
  <c r="F299" i="14"/>
  <c r="G299" i="14" s="1"/>
  <c r="F318" i="3"/>
  <c r="F302" i="14"/>
  <c r="G302" i="14" s="1"/>
  <c r="F327" i="3"/>
  <c r="H327" i="3" s="1"/>
  <c r="G311" i="14"/>
  <c r="F457" i="3"/>
  <c r="H457" i="3" s="1"/>
  <c r="F187" i="3"/>
  <c r="H187" i="3" s="1"/>
  <c r="F304" i="3"/>
  <c r="F288" i="14"/>
  <c r="G288" i="14" s="1"/>
  <c r="F301" i="3"/>
  <c r="F285" i="14"/>
  <c r="G285" i="14" s="1"/>
  <c r="F376" i="3"/>
  <c r="F255" i="3"/>
  <c r="H255" i="3" s="1"/>
  <c r="F274" i="3"/>
  <c r="H274" i="3" s="1"/>
  <c r="F265" i="14"/>
  <c r="G265" i="14" s="1"/>
  <c r="F229" i="3"/>
  <c r="H229" i="3" s="1"/>
  <c r="F220" i="14"/>
  <c r="G220" i="14" s="1"/>
  <c r="G924" i="5"/>
  <c r="I924" i="5" s="1"/>
  <c r="G922" i="5"/>
  <c r="I922" i="5" s="1"/>
  <c r="G857" i="5"/>
  <c r="I857" i="5" s="1"/>
  <c r="G859" i="5"/>
  <c r="I859" i="5" s="1"/>
  <c r="G464" i="5"/>
  <c r="I464" i="5" s="1"/>
  <c r="G466" i="5"/>
  <c r="I466" i="5" s="1"/>
  <c r="G460" i="5"/>
  <c r="I460" i="5" s="1"/>
  <c r="G462" i="5"/>
  <c r="I462" i="5" s="1"/>
  <c r="G137" i="5"/>
  <c r="I137" i="5" s="1"/>
  <c r="G139" i="5"/>
  <c r="I139" i="5" s="1"/>
  <c r="G141" i="5"/>
  <c r="I141" i="5" s="1"/>
  <c r="G143" i="5"/>
  <c r="I143" i="5" s="1"/>
  <c r="G130" i="5"/>
  <c r="I130" i="5" s="1"/>
  <c r="G132" i="5"/>
  <c r="I132" i="5" s="1"/>
  <c r="G119" i="5"/>
  <c r="I119" i="5" s="1"/>
  <c r="G121" i="5"/>
  <c r="I121" i="5" s="1"/>
  <c r="G126" i="5"/>
  <c r="I126" i="5" s="1"/>
  <c r="G128" i="5"/>
  <c r="I128" i="5" s="1"/>
  <c r="F99" i="3"/>
  <c r="H99" i="3" s="1"/>
  <c r="G499" i="5"/>
  <c r="I499" i="5" s="1"/>
  <c r="F93" i="3"/>
  <c r="H93" i="3" s="1"/>
  <c r="G489" i="5"/>
  <c r="I489" i="5" s="1"/>
  <c r="F25" i="3"/>
  <c r="H25" i="3" s="1"/>
  <c r="G480" i="5"/>
  <c r="I480" i="5" s="1"/>
  <c r="F102" i="3"/>
  <c r="H102" i="3" s="1"/>
  <c r="G503" i="5"/>
  <c r="I503" i="5" s="1"/>
  <c r="F176" i="3"/>
  <c r="H176" i="3" s="1"/>
  <c r="G161" i="5"/>
  <c r="I161" i="5" s="1"/>
  <c r="G1169" i="4"/>
  <c r="I1169" i="4" s="1"/>
  <c r="F120" i="3"/>
  <c r="H120" i="3" s="1"/>
  <c r="F125" i="3"/>
  <c r="H125" i="3" s="1"/>
  <c r="F114" i="3"/>
  <c r="H114" i="3" s="1"/>
  <c r="F111" i="3"/>
  <c r="H111" i="3" s="1"/>
  <c r="F62" i="3"/>
  <c r="H62" i="3" s="1"/>
  <c r="F57" i="3"/>
  <c r="H57" i="3" s="1"/>
  <c r="F39" i="3"/>
  <c r="H39" i="3" s="1"/>
  <c r="F20" i="3"/>
  <c r="H20" i="3" s="1"/>
  <c r="F313" i="14" l="1"/>
  <c r="G313" i="14" s="1"/>
  <c r="H330" i="3"/>
  <c r="F144" i="14"/>
  <c r="G144" i="14" s="1"/>
  <c r="H154" i="3"/>
  <c r="F353" i="14"/>
  <c r="G353" i="14" s="1"/>
  <c r="H376" i="3"/>
  <c r="F287" i="14"/>
  <c r="G287" i="14" s="1"/>
  <c r="H304" i="3"/>
  <c r="F298" i="14"/>
  <c r="H315" i="3"/>
  <c r="F284" i="14"/>
  <c r="F283" i="14" s="1"/>
  <c r="H301" i="3"/>
  <c r="F301" i="14"/>
  <c r="G301" i="14" s="1"/>
  <c r="H318" i="3"/>
  <c r="F350" i="14"/>
  <c r="G350" i="14" s="1"/>
  <c r="H373" i="3"/>
  <c r="F173" i="14"/>
  <c r="H183" i="3"/>
  <c r="G290" i="14"/>
  <c r="F290" i="14"/>
  <c r="G345" i="14"/>
  <c r="G310" i="14"/>
  <c r="G309" i="14" s="1"/>
  <c r="G308" i="14" s="1"/>
  <c r="F309" i="14"/>
  <c r="F308" i="14" s="1"/>
  <c r="G298" i="14"/>
  <c r="G297" i="14" s="1"/>
  <c r="F297" i="14"/>
  <c r="G397" i="14"/>
  <c r="G396" i="14" s="1"/>
  <c r="F397" i="14"/>
  <c r="F396" i="14" s="1"/>
  <c r="G1168" i="4"/>
  <c r="I1168" i="4" s="1"/>
  <c r="G118" i="5"/>
  <c r="I118" i="5" s="1"/>
  <c r="G459" i="5"/>
  <c r="I459" i="5" s="1"/>
  <c r="G856" i="5"/>
  <c r="I856" i="5" s="1"/>
  <c r="G921" i="5"/>
  <c r="I921" i="5" s="1"/>
  <c r="G490" i="5"/>
  <c r="I490" i="5" s="1"/>
  <c r="G832" i="5"/>
  <c r="I832" i="5" s="1"/>
  <c r="G125" i="5"/>
  <c r="I125" i="5" s="1"/>
  <c r="G129" i="5"/>
  <c r="I129" i="5" s="1"/>
  <c r="G136" i="5"/>
  <c r="I136" i="5" s="1"/>
  <c r="G463" i="5"/>
  <c r="I463" i="5" s="1"/>
  <c r="F326" i="3"/>
  <c r="G140" i="5"/>
  <c r="I140" i="5" s="1"/>
  <c r="F38" i="3"/>
  <c r="F37" i="14"/>
  <c r="G37" i="14" s="1"/>
  <c r="F56" i="3"/>
  <c r="H56" i="3" s="1"/>
  <c r="F261" i="3"/>
  <c r="H261" i="3" s="1"/>
  <c r="F61" i="3"/>
  <c r="H61" i="3" s="1"/>
  <c r="F124" i="3"/>
  <c r="H124" i="3" s="1"/>
  <c r="F175" i="3"/>
  <c r="F166" i="14"/>
  <c r="G166" i="14" s="1"/>
  <c r="F24" i="3"/>
  <c r="H24" i="3" s="1"/>
  <c r="F98" i="3"/>
  <c r="H98" i="3" s="1"/>
  <c r="F307" i="3"/>
  <c r="H307" i="3" s="1"/>
  <c r="F300" i="3"/>
  <c r="H300" i="3" s="1"/>
  <c r="F273" i="3"/>
  <c r="H273" i="3" s="1"/>
  <c r="F264" i="14"/>
  <c r="F110" i="3"/>
  <c r="H110" i="3" s="1"/>
  <c r="F101" i="3"/>
  <c r="F95" i="14"/>
  <c r="G95" i="14" s="1"/>
  <c r="F228" i="3"/>
  <c r="H228" i="3" s="1"/>
  <c r="F219" i="14"/>
  <c r="F113" i="3"/>
  <c r="H113" i="3" s="1"/>
  <c r="F401" i="3"/>
  <c r="H401" i="3" s="1"/>
  <c r="F379" i="14"/>
  <c r="F19" i="3"/>
  <c r="F314" i="3"/>
  <c r="H314" i="3" s="1"/>
  <c r="F166" i="3"/>
  <c r="H166" i="3" s="1"/>
  <c r="F409" i="3"/>
  <c r="H409" i="3" s="1"/>
  <c r="F387" i="14"/>
  <c r="F140" i="3"/>
  <c r="H140" i="3" s="1"/>
  <c r="F419" i="3"/>
  <c r="H419" i="3" s="1"/>
  <c r="F405" i="3"/>
  <c r="H405" i="3" s="1"/>
  <c r="F383" i="14"/>
  <c r="G502" i="5"/>
  <c r="I502" i="5" s="1"/>
  <c r="G504" i="5"/>
  <c r="I504" i="5" s="1"/>
  <c r="G498" i="5"/>
  <c r="I498" i="5" s="1"/>
  <c r="G500" i="5"/>
  <c r="I500" i="5" s="1"/>
  <c r="G479" i="5"/>
  <c r="I479" i="5" s="1"/>
  <c r="G481" i="5"/>
  <c r="I481" i="5" s="1"/>
  <c r="G160" i="5"/>
  <c r="I160" i="5" s="1"/>
  <c r="G162" i="5"/>
  <c r="I162" i="5" s="1"/>
  <c r="G1172" i="4"/>
  <c r="I1172" i="4" s="1"/>
  <c r="F29" i="3"/>
  <c r="H29" i="3" s="1"/>
  <c r="G284" i="14" l="1"/>
  <c r="G283" i="14" s="1"/>
  <c r="F36" i="14"/>
  <c r="G36" i="14" s="1"/>
  <c r="H38" i="3"/>
  <c r="F94" i="14"/>
  <c r="G94" i="14" s="1"/>
  <c r="G90" i="14" s="1"/>
  <c r="H101" i="3"/>
  <c r="G17" i="14"/>
  <c r="H19" i="3"/>
  <c r="F165" i="14"/>
  <c r="G165" i="14" s="1"/>
  <c r="H175" i="3"/>
  <c r="F325" i="3"/>
  <c r="H325" i="3" s="1"/>
  <c r="H326" i="3"/>
  <c r="H1082" i="15"/>
  <c r="G1081" i="15"/>
  <c r="G1080" i="15" s="1"/>
  <c r="F27" i="14"/>
  <c r="F26" i="14" s="1"/>
  <c r="F25" i="14" s="1"/>
  <c r="F60" i="3"/>
  <c r="H60" i="3" s="1"/>
  <c r="G422" i="16"/>
  <c r="G421" i="16" s="1"/>
  <c r="G420" i="16" s="1"/>
  <c r="G415" i="16" s="1"/>
  <c r="F282" i="14"/>
  <c r="F281" i="14" s="1"/>
  <c r="F299" i="3"/>
  <c r="H299" i="3" s="1"/>
  <c r="G282" i="14"/>
  <c r="G281" i="14" s="1"/>
  <c r="G383" i="14"/>
  <c r="G382" i="14" s="1"/>
  <c r="F382" i="14"/>
  <c r="G379" i="14"/>
  <c r="G378" i="14" s="1"/>
  <c r="F378" i="14"/>
  <c r="G219" i="14"/>
  <c r="G218" i="14" s="1"/>
  <c r="G217" i="14" s="1"/>
  <c r="G216" i="14" s="1"/>
  <c r="G215" i="14" s="1"/>
  <c r="F218" i="14"/>
  <c r="F217" i="14" s="1"/>
  <c r="F216" i="14" s="1"/>
  <c r="F215" i="14" s="1"/>
  <c r="G264" i="14"/>
  <c r="G263" i="14" s="1"/>
  <c r="F263" i="14"/>
  <c r="F262" i="14" s="1"/>
  <c r="F261" i="14" s="1"/>
  <c r="D25" i="13" s="1"/>
  <c r="G387" i="14"/>
  <c r="G386" i="14" s="1"/>
  <c r="F386" i="14"/>
  <c r="F251" i="14"/>
  <c r="G1171" i="4"/>
  <c r="I1171" i="4" s="1"/>
  <c r="G124" i="5"/>
  <c r="I124" i="5" s="1"/>
  <c r="G135" i="5"/>
  <c r="G122" i="5"/>
  <c r="I122" i="5" s="1"/>
  <c r="G478" i="5"/>
  <c r="I478" i="5" s="1"/>
  <c r="G501" i="5"/>
  <c r="I501" i="5" s="1"/>
  <c r="G831" i="5"/>
  <c r="I831" i="5" s="1"/>
  <c r="G159" i="5"/>
  <c r="I159" i="5" s="1"/>
  <c r="F97" i="3"/>
  <c r="H97" i="3" s="1"/>
  <c r="G458" i="5"/>
  <c r="I458" i="5" s="1"/>
  <c r="G497" i="5"/>
  <c r="G855" i="5"/>
  <c r="I855" i="5" s="1"/>
  <c r="G133" i="5"/>
  <c r="I133" i="5" s="1"/>
  <c r="F227" i="3"/>
  <c r="H227" i="3" s="1"/>
  <c r="F123" i="3"/>
  <c r="H123" i="3" s="1"/>
  <c r="F112" i="3"/>
  <c r="H112" i="3" s="1"/>
  <c r="F28" i="3"/>
  <c r="H28" i="3" s="1"/>
  <c r="G484" i="5"/>
  <c r="I484" i="5" s="1"/>
  <c r="H499" i="15"/>
  <c r="G389" i="4"/>
  <c r="I389" i="4" s="1"/>
  <c r="G496" i="5" l="1"/>
  <c r="I497" i="5"/>
  <c r="G134" i="5"/>
  <c r="I134" i="5" s="1"/>
  <c r="I135" i="5"/>
  <c r="F90" i="14"/>
  <c r="H498" i="15"/>
  <c r="H860" i="15"/>
  <c r="F135" i="14"/>
  <c r="F134" i="14" s="1"/>
  <c r="G859" i="15"/>
  <c r="H422" i="16"/>
  <c r="H1081" i="15"/>
  <c r="H1080" i="15" s="1"/>
  <c r="G27" i="14"/>
  <c r="G423" i="16"/>
  <c r="G123" i="5"/>
  <c r="I123" i="5" s="1"/>
  <c r="G388" i="4"/>
  <c r="I388" i="4" s="1"/>
  <c r="F863" i="3"/>
  <c r="H863" i="3" s="1"/>
  <c r="G1167" i="4"/>
  <c r="I1167" i="4" s="1"/>
  <c r="G457" i="5"/>
  <c r="G854" i="5"/>
  <c r="I854" i="5" s="1"/>
  <c r="G830" i="5"/>
  <c r="I830" i="5" s="1"/>
  <c r="F298" i="3"/>
  <c r="H298" i="3" s="1"/>
  <c r="F27" i="3"/>
  <c r="H27" i="3" s="1"/>
  <c r="G26" i="14"/>
  <c r="F226" i="3"/>
  <c r="H226" i="3" s="1"/>
  <c r="G483" i="5"/>
  <c r="I483" i="5" s="1"/>
  <c r="G485" i="5"/>
  <c r="I485" i="5" s="1"/>
  <c r="G456" i="5" l="1"/>
  <c r="I456" i="5" s="1"/>
  <c r="I457" i="5"/>
  <c r="G495" i="5"/>
  <c r="I496" i="5"/>
  <c r="H37" i="15"/>
  <c r="G36" i="15"/>
  <c r="F44" i="14"/>
  <c r="F43" i="14" s="1"/>
  <c r="H859" i="15"/>
  <c r="G135" i="14"/>
  <c r="G134" i="14" s="1"/>
  <c r="H421" i="16"/>
  <c r="H420" i="16" s="1"/>
  <c r="H415" i="16" s="1"/>
  <c r="H423" i="16"/>
  <c r="F799" i="14"/>
  <c r="F798" i="14" s="1"/>
  <c r="F797" i="14" s="1"/>
  <c r="G374" i="15"/>
  <c r="G373" i="15" s="1"/>
  <c r="G1076" i="15"/>
  <c r="G1075" i="15" s="1"/>
  <c r="F1087" i="3"/>
  <c r="H1087" i="3" s="1"/>
  <c r="H375" i="15"/>
  <c r="G568" i="16"/>
  <c r="G1166" i="4"/>
  <c r="I1166" i="4" s="1"/>
  <c r="F833" i="3"/>
  <c r="F118" i="3"/>
  <c r="H118" i="3" s="1"/>
  <c r="G387" i="4"/>
  <c r="I387" i="4" s="1"/>
  <c r="G853" i="5"/>
  <c r="I853" i="5" s="1"/>
  <c r="G455" i="5"/>
  <c r="I455" i="5" s="1"/>
  <c r="G482" i="5"/>
  <c r="I482" i="5" s="1"/>
  <c r="F225" i="3"/>
  <c r="H225" i="3" s="1"/>
  <c r="F23" i="3"/>
  <c r="H23" i="3" s="1"/>
  <c r="G1101" i="4"/>
  <c r="I1101" i="4" s="1"/>
  <c r="G1021" i="4"/>
  <c r="I1021" i="4" s="1"/>
  <c r="H912" i="15"/>
  <c r="G494" i="5" l="1"/>
  <c r="I494" i="5" s="1"/>
  <c r="I495" i="5"/>
  <c r="F832" i="3"/>
  <c r="H832" i="3" s="1"/>
  <c r="H833" i="3"/>
  <c r="H16" i="15"/>
  <c r="G15" i="15"/>
  <c r="F111" i="14"/>
  <c r="F110" i="14" s="1"/>
  <c r="F772" i="14"/>
  <c r="F771" i="14" s="1"/>
  <c r="F770" i="14" s="1"/>
  <c r="G347" i="15"/>
  <c r="G346" i="15" s="1"/>
  <c r="H568" i="16"/>
  <c r="H569" i="16" s="1"/>
  <c r="G799" i="14"/>
  <c r="G798" i="14" s="1"/>
  <c r="G797" i="14" s="1"/>
  <c r="H36" i="15"/>
  <c r="G44" i="14"/>
  <c r="G43" i="14" s="1"/>
  <c r="H1076" i="15"/>
  <c r="H1075" i="15" s="1"/>
  <c r="H384" i="15"/>
  <c r="G384" i="15"/>
  <c r="G25" i="14"/>
  <c r="G21" i="14" s="1"/>
  <c r="G20" i="14" s="1"/>
  <c r="F21" i="14"/>
  <c r="F20" i="14" s="1"/>
  <c r="G569" i="16"/>
  <c r="G567" i="16"/>
  <c r="G566" i="16" s="1"/>
  <c r="G565" i="16" s="1"/>
  <c r="G564" i="16" s="1"/>
  <c r="G563" i="16" s="1"/>
  <c r="G562" i="16" s="1"/>
  <c r="H348" i="15"/>
  <c r="G523" i="16"/>
  <c r="F117" i="3"/>
  <c r="H117" i="3" s="1"/>
  <c r="G1020" i="4"/>
  <c r="G934" i="15"/>
  <c r="H934" i="15" s="1"/>
  <c r="G1100" i="4"/>
  <c r="I1100" i="4" s="1"/>
  <c r="F339" i="3"/>
  <c r="H339" i="3" s="1"/>
  <c r="H897" i="15"/>
  <c r="G322" i="14" s="1"/>
  <c r="G321" i="14" s="1"/>
  <c r="G320" i="14" s="1"/>
  <c r="G477" i="5"/>
  <c r="I477" i="5" s="1"/>
  <c r="F22" i="3"/>
  <c r="H22" i="3" s="1"/>
  <c r="G977" i="4"/>
  <c r="G933" i="15" l="1"/>
  <c r="H933" i="15" s="1"/>
  <c r="I1020" i="4"/>
  <c r="H896" i="15"/>
  <c r="I977" i="4"/>
  <c r="H567" i="16"/>
  <c r="H566" i="16" s="1"/>
  <c r="H565" i="16" s="1"/>
  <c r="H564" i="16" s="1"/>
  <c r="H563" i="16" s="1"/>
  <c r="H562" i="16" s="1"/>
  <c r="H523" i="16"/>
  <c r="H522" i="16" s="1"/>
  <c r="H521" i="16" s="1"/>
  <c r="H520" i="16" s="1"/>
  <c r="H519" i="16" s="1"/>
  <c r="H518" i="16" s="1"/>
  <c r="H517" i="16" s="1"/>
  <c r="G772" i="14"/>
  <c r="G771" i="14" s="1"/>
  <c r="G770" i="14" s="1"/>
  <c r="H347" i="15"/>
  <c r="H346" i="15" s="1"/>
  <c r="H15" i="15"/>
  <c r="G111" i="14"/>
  <c r="G110" i="14" s="1"/>
  <c r="G109" i="14" s="1"/>
  <c r="G524" i="16"/>
  <c r="G522" i="16"/>
  <c r="G521" i="16" s="1"/>
  <c r="G520" i="16" s="1"/>
  <c r="G519" i="16" s="1"/>
  <c r="G518" i="16" s="1"/>
  <c r="G517" i="16" s="1"/>
  <c r="G188" i="4"/>
  <c r="I188" i="4" s="1"/>
  <c r="H524" i="16" l="1"/>
  <c r="G187" i="4"/>
  <c r="H185" i="15"/>
  <c r="G85" i="4"/>
  <c r="I85" i="4" s="1"/>
  <c r="G82" i="4"/>
  <c r="I82" i="4" s="1"/>
  <c r="G76" i="4"/>
  <c r="I76" i="4" s="1"/>
  <c r="H184" i="15" l="1"/>
  <c r="I187" i="4"/>
  <c r="F89" i="14"/>
  <c r="F88" i="14" s="1"/>
  <c r="F85" i="14" s="1"/>
  <c r="G78" i="15"/>
  <c r="G75" i="15" s="1"/>
  <c r="F83" i="14"/>
  <c r="F82" i="14" s="1"/>
  <c r="F81" i="14" s="1"/>
  <c r="G72" i="15"/>
  <c r="G71" i="15" s="1"/>
  <c r="H73" i="15"/>
  <c r="G411" i="16"/>
  <c r="H79" i="15"/>
  <c r="G430" i="16"/>
  <c r="G81" i="4"/>
  <c r="I81" i="4" s="1"/>
  <c r="G84" i="4"/>
  <c r="G85" i="15"/>
  <c r="H85" i="15" s="1"/>
  <c r="G78" i="4"/>
  <c r="I78" i="4" s="1"/>
  <c r="F96" i="3"/>
  <c r="H96" i="3" s="1"/>
  <c r="G72" i="4"/>
  <c r="I72" i="4" s="1"/>
  <c r="F90" i="3"/>
  <c r="H90" i="3" s="1"/>
  <c r="G271" i="4"/>
  <c r="I271" i="4" s="1"/>
  <c r="G84" i="15" l="1"/>
  <c r="H84" i="15" s="1"/>
  <c r="I84" i="4"/>
  <c r="H411" i="16"/>
  <c r="H412" i="16" s="1"/>
  <c r="G83" i="14"/>
  <c r="G82" i="14" s="1"/>
  <c r="G81" i="14" s="1"/>
  <c r="H72" i="15"/>
  <c r="H71" i="15" s="1"/>
  <c r="H430" i="16"/>
  <c r="H429" i="16" s="1"/>
  <c r="H425" i="16" s="1"/>
  <c r="H424" i="16" s="1"/>
  <c r="H414" i="16" s="1"/>
  <c r="H413" i="16" s="1"/>
  <c r="G89" i="14"/>
  <c r="G88" i="14" s="1"/>
  <c r="H78" i="15"/>
  <c r="H75" i="15" s="1"/>
  <c r="G410" i="16"/>
  <c r="G409" i="16" s="1"/>
  <c r="G408" i="16" s="1"/>
  <c r="G412" i="16"/>
  <c r="H80" i="15"/>
  <c r="G80" i="15"/>
  <c r="G431" i="16"/>
  <c r="G429" i="16"/>
  <c r="G425" i="16" s="1"/>
  <c r="G424" i="16" s="1"/>
  <c r="G414" i="16" s="1"/>
  <c r="G413" i="16" s="1"/>
  <c r="G75" i="4"/>
  <c r="G270" i="4"/>
  <c r="G271" i="15"/>
  <c r="H271" i="15" s="1"/>
  <c r="G71" i="4"/>
  <c r="I71" i="4" s="1"/>
  <c r="G80" i="4"/>
  <c r="I80" i="4" s="1"/>
  <c r="F89" i="3"/>
  <c r="H89" i="3" s="1"/>
  <c r="G473" i="5"/>
  <c r="I473" i="5" s="1"/>
  <c r="F95" i="3"/>
  <c r="H95" i="3" s="1"/>
  <c r="G492" i="5"/>
  <c r="I492" i="5" s="1"/>
  <c r="G339" i="4"/>
  <c r="I339" i="4" s="1"/>
  <c r="G329" i="4"/>
  <c r="I329" i="4" s="1"/>
  <c r="G270" i="15" l="1"/>
  <c r="H270" i="15" s="1"/>
  <c r="I270" i="4"/>
  <c r="G74" i="4"/>
  <c r="I74" i="4" s="1"/>
  <c r="I75" i="4"/>
  <c r="H410" i="16"/>
  <c r="H409" i="16" s="1"/>
  <c r="H408" i="16" s="1"/>
  <c r="H407" i="16" s="1"/>
  <c r="H431" i="16"/>
  <c r="G406" i="16"/>
  <c r="G405" i="16" s="1"/>
  <c r="G407" i="16"/>
  <c r="G70" i="4"/>
  <c r="G328" i="4"/>
  <c r="G329" i="15"/>
  <c r="H329" i="15" s="1"/>
  <c r="G338" i="4"/>
  <c r="I338" i="4" s="1"/>
  <c r="G474" i="5"/>
  <c r="I474" i="5" s="1"/>
  <c r="G493" i="5"/>
  <c r="I493" i="5" s="1"/>
  <c r="F92" i="3"/>
  <c r="H92" i="3" s="1"/>
  <c r="G85" i="14"/>
  <c r="F88" i="3"/>
  <c r="H88" i="3" s="1"/>
  <c r="G409" i="4"/>
  <c r="I409" i="4" s="1"/>
  <c r="G328" i="15" l="1"/>
  <c r="H328" i="15" s="1"/>
  <c r="I328" i="4"/>
  <c r="G69" i="4"/>
  <c r="I69" i="4" s="1"/>
  <c r="I1235" i="4" s="1"/>
  <c r="I70" i="4"/>
  <c r="H406" i="16"/>
  <c r="H405" i="16" s="1"/>
  <c r="H70" i="15"/>
  <c r="G70" i="15"/>
  <c r="H74" i="15"/>
  <c r="G74" i="15"/>
  <c r="G337" i="4"/>
  <c r="I337" i="4" s="1"/>
  <c r="F87" i="3"/>
  <c r="H87" i="3" s="1"/>
  <c r="F91" i="3"/>
  <c r="H91" i="3" s="1"/>
  <c r="G39" i="6"/>
  <c r="G14" i="6"/>
  <c r="I14" i="6" s="1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2" i="11"/>
  <c r="G491" i="11" s="1"/>
  <c r="G490" i="11" s="1"/>
  <c r="G485" i="11"/>
  <c r="G484" i="11" s="1"/>
  <c r="G483" i="11" s="1"/>
  <c r="G481" i="11"/>
  <c r="G480" i="11" s="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2" i="11"/>
  <c r="G461" i="11" s="1"/>
  <c r="G464" i="11" s="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9" i="11"/>
  <c r="G378" i="11" s="1"/>
  <c r="G377" i="11" s="1"/>
  <c r="G371" i="11"/>
  <c r="G370" i="11" s="1"/>
  <c r="G368" i="11"/>
  <c r="G367" i="11" s="1"/>
  <c r="G366" i="11" s="1"/>
  <c r="G365" i="11"/>
  <c r="G364" i="11" s="1"/>
  <c r="G363" i="11" s="1"/>
  <c r="G360" i="11"/>
  <c r="G359" i="11" s="1"/>
  <c r="G358" i="11"/>
  <c r="G357" i="11" s="1"/>
  <c r="G356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32" i="11"/>
  <c r="G331" i="11" s="1"/>
  <c r="G330" i="11" s="1"/>
  <c r="G324" i="11"/>
  <c r="G323" i="11" s="1"/>
  <c r="G322" i="11"/>
  <c r="G321" i="11" s="1"/>
  <c r="G314" i="11"/>
  <c r="G313" i="11" s="1"/>
  <c r="G310" i="11"/>
  <c r="G309" i="11" s="1"/>
  <c r="G307" i="11"/>
  <c r="G306" i="11" s="1"/>
  <c r="G305" i="11" s="1"/>
  <c r="G304" i="11"/>
  <c r="G303" i="11" s="1"/>
  <c r="G302" i="11" s="1"/>
  <c r="G301" i="11" s="1"/>
  <c r="G299" i="11"/>
  <c r="G298" i="11" s="1"/>
  <c r="G297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77" i="11"/>
  <c r="G276" i="11" s="1"/>
  <c r="G275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59" i="11"/>
  <c r="G161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31" i="11"/>
  <c r="G130" i="11" s="1"/>
  <c r="G129" i="11" s="1"/>
  <c r="G126" i="11"/>
  <c r="G125" i="11" s="1"/>
  <c r="G122" i="11"/>
  <c r="G121" i="11" s="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6" i="11"/>
  <c r="G75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4" i="11"/>
  <c r="G17" i="11"/>
  <c r="G16" i="11" s="1"/>
  <c r="G15" i="11"/>
  <c r="G14" i="11" s="1"/>
  <c r="G1032" i="5"/>
  <c r="I1032" i="5" s="1"/>
  <c r="G1025" i="5"/>
  <c r="I1025" i="5" s="1"/>
  <c r="G972" i="5"/>
  <c r="I972" i="5" s="1"/>
  <c r="G967" i="5"/>
  <c r="I967" i="5" s="1"/>
  <c r="G962" i="5"/>
  <c r="I962" i="5" s="1"/>
  <c r="G982" i="5"/>
  <c r="I982" i="5" s="1"/>
  <c r="G976" i="5"/>
  <c r="I976" i="5" s="1"/>
  <c r="G1001" i="5"/>
  <c r="I1001" i="5" s="1"/>
  <c r="G951" i="5"/>
  <c r="I951" i="5" s="1"/>
  <c r="G943" i="5"/>
  <c r="I943" i="5" s="1"/>
  <c r="G935" i="5"/>
  <c r="I935" i="5" s="1"/>
  <c r="G931" i="5"/>
  <c r="I931" i="5" s="1"/>
  <c r="G927" i="5"/>
  <c r="I927" i="5" s="1"/>
  <c r="G907" i="5"/>
  <c r="I907" i="5" s="1"/>
  <c r="G900" i="5"/>
  <c r="I900" i="5" s="1"/>
  <c r="G847" i="5"/>
  <c r="I847" i="5" s="1"/>
  <c r="G820" i="5"/>
  <c r="I820" i="5" s="1"/>
  <c r="G813" i="5"/>
  <c r="I813" i="5" s="1"/>
  <c r="G828" i="5"/>
  <c r="I828" i="5" s="1"/>
  <c r="G781" i="5"/>
  <c r="I781" i="5" s="1"/>
  <c r="G769" i="5"/>
  <c r="I769" i="5" s="1"/>
  <c r="G765" i="5"/>
  <c r="I765" i="5" s="1"/>
  <c r="G550" i="5"/>
  <c r="I550" i="5" s="1"/>
  <c r="G543" i="5"/>
  <c r="I543" i="5" s="1"/>
  <c r="G539" i="5"/>
  <c r="I539" i="5" s="1"/>
  <c r="G511" i="5"/>
  <c r="I511" i="5" s="1"/>
  <c r="G488" i="5"/>
  <c r="I488" i="5" s="1"/>
  <c r="G373" i="5"/>
  <c r="I373" i="5" s="1"/>
  <c r="G330" i="5"/>
  <c r="I330" i="5" s="1"/>
  <c r="G299" i="5"/>
  <c r="I299" i="5" s="1"/>
  <c r="G284" i="5"/>
  <c r="I284" i="5" s="1"/>
  <c r="G277" i="5"/>
  <c r="I277" i="5" s="1"/>
  <c r="G114" i="5"/>
  <c r="I114" i="5" s="1"/>
  <c r="G100" i="5"/>
  <c r="I100" i="5" s="1"/>
  <c r="G74" i="5"/>
  <c r="I74" i="5" s="1"/>
  <c r="G56" i="5"/>
  <c r="I56" i="5" s="1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40" i="10" s="1"/>
  <c r="G639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8" i="10" s="1"/>
  <c r="G237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G1194" i="4"/>
  <c r="I1194" i="4" s="1"/>
  <c r="G1191" i="4"/>
  <c r="I1191" i="4" s="1"/>
  <c r="G1183" i="4"/>
  <c r="I1183" i="4" s="1"/>
  <c r="G1180" i="4"/>
  <c r="I1180" i="4" s="1"/>
  <c r="G1164" i="4"/>
  <c r="I1164" i="4" s="1"/>
  <c r="G1161" i="4"/>
  <c r="I1161" i="4" s="1"/>
  <c r="G1151" i="4"/>
  <c r="I1151" i="4" s="1"/>
  <c r="G1138" i="4"/>
  <c r="I1138" i="4" s="1"/>
  <c r="G1133" i="4"/>
  <c r="I1133" i="4" s="1"/>
  <c r="G1129" i="4"/>
  <c r="I1129" i="4" s="1"/>
  <c r="G1119" i="4"/>
  <c r="I1119" i="4" s="1"/>
  <c r="G1114" i="4"/>
  <c r="I1114" i="4" s="1"/>
  <c r="G1112" i="4"/>
  <c r="I1112" i="4" s="1"/>
  <c r="G1098" i="4"/>
  <c r="I1098" i="4" s="1"/>
  <c r="G1091" i="4"/>
  <c r="I1091" i="4" s="1"/>
  <c r="G1088" i="4"/>
  <c r="I1088" i="4" s="1"/>
  <c r="G1083" i="4"/>
  <c r="I1083" i="4" s="1"/>
  <c r="G1094" i="4"/>
  <c r="I1094" i="4" s="1"/>
  <c r="G804" i="5"/>
  <c r="I804" i="5" s="1"/>
  <c r="G1076" i="4"/>
  <c r="G791" i="5"/>
  <c r="I791" i="5" s="1"/>
  <c r="G1050" i="4"/>
  <c r="I1050" i="4" s="1"/>
  <c r="G1046" i="4"/>
  <c r="I1046" i="4" s="1"/>
  <c r="G1042" i="4"/>
  <c r="I1042" i="4" s="1"/>
  <c r="G1018" i="4"/>
  <c r="G1016" i="4"/>
  <c r="G1013" i="4"/>
  <c r="I1013" i="4" s="1"/>
  <c r="G1010" i="4"/>
  <c r="G1008" i="4"/>
  <c r="G1004" i="4"/>
  <c r="G1002" i="4"/>
  <c r="I1002" i="4" s="1"/>
  <c r="G899" i="15"/>
  <c r="H899" i="15" s="1"/>
  <c r="G956" i="4"/>
  <c r="I956" i="4" s="1"/>
  <c r="G943" i="4"/>
  <c r="I943" i="4" s="1"/>
  <c r="G924" i="4"/>
  <c r="I924" i="4" s="1"/>
  <c r="F145" i="3"/>
  <c r="H145" i="3" s="1"/>
  <c r="G908" i="4"/>
  <c r="I908" i="4" s="1"/>
  <c r="G896" i="4"/>
  <c r="I896" i="4" s="1"/>
  <c r="G856" i="4"/>
  <c r="I856" i="4" s="1"/>
  <c r="G852" i="4"/>
  <c r="I852" i="4" s="1"/>
  <c r="G849" i="4"/>
  <c r="I849" i="4" s="1"/>
  <c r="G535" i="5"/>
  <c r="I535" i="5" s="1"/>
  <c r="F1003" i="3"/>
  <c r="H1003" i="3" s="1"/>
  <c r="G520" i="5"/>
  <c r="I520" i="5" s="1"/>
  <c r="G816" i="4"/>
  <c r="I816" i="4" s="1"/>
  <c r="G800" i="4"/>
  <c r="I800" i="4" s="1"/>
  <c r="G787" i="4"/>
  <c r="I787" i="4" s="1"/>
  <c r="G779" i="4"/>
  <c r="I779" i="4" s="1"/>
  <c r="G775" i="4"/>
  <c r="I775" i="4" s="1"/>
  <c r="G767" i="4"/>
  <c r="I767" i="4" s="1"/>
  <c r="G756" i="4"/>
  <c r="I756" i="4" s="1"/>
  <c r="G742" i="4"/>
  <c r="I742" i="4" s="1"/>
  <c r="G737" i="4"/>
  <c r="I737" i="4" s="1"/>
  <c r="G701" i="4"/>
  <c r="I701" i="4" s="1"/>
  <c r="G698" i="4"/>
  <c r="I698" i="4" s="1"/>
  <c r="G363" i="5"/>
  <c r="I363" i="5" s="1"/>
  <c r="G691" i="4"/>
  <c r="I691" i="4" s="1"/>
  <c r="G673" i="4"/>
  <c r="I673" i="4" s="1"/>
  <c r="G660" i="15"/>
  <c r="G657" i="15"/>
  <c r="G659" i="4"/>
  <c r="I659" i="4" s="1"/>
  <c r="G653" i="4"/>
  <c r="I653" i="4" s="1"/>
  <c r="G650" i="4"/>
  <c r="I650" i="4" s="1"/>
  <c r="G627" i="4"/>
  <c r="I627" i="4" s="1"/>
  <c r="G622" i="4"/>
  <c r="I622" i="4" s="1"/>
  <c r="G610" i="4"/>
  <c r="I610" i="4" s="1"/>
  <c r="G607" i="4"/>
  <c r="I607" i="4" s="1"/>
  <c r="G601" i="4"/>
  <c r="I601" i="4" s="1"/>
  <c r="G597" i="4"/>
  <c r="I597" i="4" s="1"/>
  <c r="G593" i="4"/>
  <c r="I593" i="4" s="1"/>
  <c r="G577" i="15"/>
  <c r="G579" i="4"/>
  <c r="I579" i="4" s="1"/>
  <c r="G573" i="4"/>
  <c r="I573" i="4" s="1"/>
  <c r="G555" i="4"/>
  <c r="I555" i="4" s="1"/>
  <c r="G552" i="4"/>
  <c r="I552" i="4" s="1"/>
  <c r="G523" i="4"/>
  <c r="I523" i="4" s="1"/>
  <c r="G510" i="4"/>
  <c r="I510" i="4" s="1"/>
  <c r="G503" i="4"/>
  <c r="I503" i="4" s="1"/>
  <c r="G474" i="4"/>
  <c r="I474" i="4" s="1"/>
  <c r="G458" i="4"/>
  <c r="I458" i="4" s="1"/>
  <c r="G446" i="4"/>
  <c r="I446" i="4" s="1"/>
  <c r="G439" i="4"/>
  <c r="I439" i="4" s="1"/>
  <c r="G434" i="4"/>
  <c r="I434" i="4" s="1"/>
  <c r="F891" i="3"/>
  <c r="H891" i="3" s="1"/>
  <c r="G427" i="4"/>
  <c r="I427" i="4" s="1"/>
  <c r="G424" i="4"/>
  <c r="G422" i="4"/>
  <c r="I422" i="4" s="1"/>
  <c r="G416" i="4"/>
  <c r="I416" i="4" s="1"/>
  <c r="G411" i="4"/>
  <c r="I411" i="4" s="1"/>
  <c r="G406" i="4"/>
  <c r="I406" i="4" s="1"/>
  <c r="G403" i="4"/>
  <c r="I403" i="4" s="1"/>
  <c r="G396" i="4"/>
  <c r="I396" i="4" s="1"/>
  <c r="G393" i="4"/>
  <c r="I393" i="4" s="1"/>
  <c r="G385" i="4"/>
  <c r="I385" i="4" s="1"/>
  <c r="F866" i="3"/>
  <c r="H866" i="3" s="1"/>
  <c r="G651" i="5"/>
  <c r="I651" i="5" s="1"/>
  <c r="G368" i="4"/>
  <c r="I368" i="4" s="1"/>
  <c r="G361" i="4"/>
  <c r="I361" i="4" s="1"/>
  <c r="F842" i="3"/>
  <c r="H842" i="3" s="1"/>
  <c r="G334" i="4"/>
  <c r="I334" i="4" s="1"/>
  <c r="G319" i="4"/>
  <c r="I319" i="4" s="1"/>
  <c r="G298" i="4"/>
  <c r="I298" i="4" s="1"/>
  <c r="G295" i="4"/>
  <c r="I295" i="4" s="1"/>
  <c r="G291" i="4"/>
  <c r="I291" i="4" s="1"/>
  <c r="G268" i="4"/>
  <c r="I268" i="4" s="1"/>
  <c r="G264" i="4"/>
  <c r="I264" i="4" s="1"/>
  <c r="G261" i="4"/>
  <c r="I261" i="4" s="1"/>
  <c r="G257" i="4"/>
  <c r="I257" i="4" s="1"/>
  <c r="G254" i="4"/>
  <c r="I254" i="4" s="1"/>
  <c r="G246" i="4"/>
  <c r="I246" i="4" s="1"/>
  <c r="G241" i="4"/>
  <c r="I241" i="4" s="1"/>
  <c r="G238" i="4"/>
  <c r="I238" i="4" s="1"/>
  <c r="G235" i="4"/>
  <c r="I235" i="4" s="1"/>
  <c r="G232" i="4"/>
  <c r="I232" i="4" s="1"/>
  <c r="G229" i="4"/>
  <c r="I229" i="4" s="1"/>
  <c r="G224" i="4"/>
  <c r="I224" i="4" s="1"/>
  <c r="F918" i="14"/>
  <c r="F917" i="14" s="1"/>
  <c r="F914" i="14" s="1"/>
  <c r="H211" i="15"/>
  <c r="G204" i="4"/>
  <c r="I204" i="4" s="1"/>
  <c r="G198" i="4"/>
  <c r="I198" i="4" s="1"/>
  <c r="G191" i="4"/>
  <c r="I191" i="4" s="1"/>
  <c r="G175" i="4"/>
  <c r="I175" i="4" s="1"/>
  <c r="G168" i="4"/>
  <c r="I168" i="4" s="1"/>
  <c r="G161" i="4"/>
  <c r="I161" i="4" s="1"/>
  <c r="G153" i="4"/>
  <c r="I153" i="4" s="1"/>
  <c r="G142" i="4"/>
  <c r="I142" i="4" s="1"/>
  <c r="G135" i="4"/>
  <c r="I135" i="4" s="1"/>
  <c r="G130" i="4"/>
  <c r="I130" i="4" s="1"/>
  <c r="G125" i="4"/>
  <c r="I125" i="4" s="1"/>
  <c r="G121" i="4"/>
  <c r="I121" i="4" s="1"/>
  <c r="G472" i="5"/>
  <c r="I472" i="5" s="1"/>
  <c r="G116" i="4"/>
  <c r="I116" i="4" s="1"/>
  <c r="G94" i="4"/>
  <c r="I94" i="4" s="1"/>
  <c r="G91" i="4"/>
  <c r="I91" i="4" s="1"/>
  <c r="F75" i="14"/>
  <c r="F74" i="14" s="1"/>
  <c r="F73" i="14"/>
  <c r="F72" i="14" s="1"/>
  <c r="G63" i="4"/>
  <c r="F68" i="14"/>
  <c r="F67" i="14" s="1"/>
  <c r="F63" i="14"/>
  <c r="F62" i="14" s="1"/>
  <c r="F61" i="14" s="1"/>
  <c r="G47" i="4"/>
  <c r="G43" i="4"/>
  <c r="I43" i="4" s="1"/>
  <c r="G35" i="4"/>
  <c r="I35" i="4" s="1"/>
  <c r="G31" i="4"/>
  <c r="I31" i="4" s="1"/>
  <c r="G23" i="4"/>
  <c r="I23" i="4" s="1"/>
  <c r="G20" i="4"/>
  <c r="I20" i="4" s="1"/>
  <c r="G18" i="4"/>
  <c r="I18" i="4" s="1"/>
  <c r="G16" i="4"/>
  <c r="I16" i="4" s="1"/>
  <c r="F1060" i="3"/>
  <c r="H1060" i="3" s="1"/>
  <c r="F1019" i="3"/>
  <c r="F1016" i="3"/>
  <c r="H1016" i="3" s="1"/>
  <c r="F1013" i="3"/>
  <c r="H1013" i="3" s="1"/>
  <c r="F986" i="3"/>
  <c r="H986" i="3" s="1"/>
  <c r="F969" i="3"/>
  <c r="H969" i="3" s="1"/>
  <c r="F965" i="3"/>
  <c r="H965" i="3" s="1"/>
  <c r="F917" i="3"/>
  <c r="H917" i="3" s="1"/>
  <c r="F912" i="3"/>
  <c r="H912" i="3" s="1"/>
  <c r="F898" i="3"/>
  <c r="H898" i="3" s="1"/>
  <c r="F887" i="3"/>
  <c r="H887" i="3" s="1"/>
  <c r="F881" i="3"/>
  <c r="H881" i="3" s="1"/>
  <c r="F874" i="3"/>
  <c r="H874" i="3" s="1"/>
  <c r="F869" i="3"/>
  <c r="H869" i="3" s="1"/>
  <c r="F853" i="3"/>
  <c r="H853" i="3" s="1"/>
  <c r="F836" i="3"/>
  <c r="H836" i="3" s="1"/>
  <c r="F691" i="3"/>
  <c r="H691" i="3" s="1"/>
  <c r="F686" i="3"/>
  <c r="H686" i="3" s="1"/>
  <c r="F643" i="3"/>
  <c r="H643" i="3" s="1"/>
  <c r="F602" i="3"/>
  <c r="H602" i="3" s="1"/>
  <c r="F599" i="3"/>
  <c r="H599" i="3" s="1"/>
  <c r="F589" i="3"/>
  <c r="H589" i="3" s="1"/>
  <c r="F586" i="3"/>
  <c r="H586" i="3" s="1"/>
  <c r="F575" i="3"/>
  <c r="H575" i="3" s="1"/>
  <c r="F564" i="3"/>
  <c r="H564" i="3" s="1"/>
  <c r="F559" i="3"/>
  <c r="H559" i="3" s="1"/>
  <c r="F556" i="3"/>
  <c r="H556" i="3" s="1"/>
  <c r="F546" i="3"/>
  <c r="H546" i="3" s="1"/>
  <c r="F542" i="3"/>
  <c r="H542" i="3" s="1"/>
  <c r="F522" i="3"/>
  <c r="H522" i="3" s="1"/>
  <c r="F494" i="3"/>
  <c r="H494" i="3" s="1"/>
  <c r="F475" i="3"/>
  <c r="H475" i="3" s="1"/>
  <c r="F456" i="3"/>
  <c r="F453" i="3"/>
  <c r="H453" i="3" s="1"/>
  <c r="F448" i="3"/>
  <c r="H448" i="3" s="1"/>
  <c r="F445" i="3"/>
  <c r="H445" i="3" s="1"/>
  <c r="F382" i="3"/>
  <c r="H382" i="3" s="1"/>
  <c r="F365" i="3"/>
  <c r="F338" i="3"/>
  <c r="H338" i="3" s="1"/>
  <c r="F222" i="3"/>
  <c r="H222" i="3" s="1"/>
  <c r="F218" i="3"/>
  <c r="H218" i="3" s="1"/>
  <c r="F208" i="3"/>
  <c r="H208" i="3" s="1"/>
  <c r="F204" i="3"/>
  <c r="H204" i="3" s="1"/>
  <c r="F189" i="3"/>
  <c r="H189" i="3" s="1"/>
  <c r="F186" i="3"/>
  <c r="H186" i="3" s="1"/>
  <c r="F180" i="3"/>
  <c r="H180" i="3" s="1"/>
  <c r="F122" i="3"/>
  <c r="H122" i="3" s="1"/>
  <c r="F119" i="3"/>
  <c r="H119" i="3" s="1"/>
  <c r="F50" i="3"/>
  <c r="H50" i="3" s="1"/>
  <c r="F37" i="3"/>
  <c r="H37" i="3" s="1"/>
  <c r="F18" i="3"/>
  <c r="H18" i="3" s="1"/>
  <c r="C170" i="1"/>
  <c r="E170" i="1" s="1"/>
  <c r="E160" i="1"/>
  <c r="C142" i="1"/>
  <c r="E142" i="1" s="1"/>
  <c r="C127" i="1"/>
  <c r="E127" i="1" s="1"/>
  <c r="C121" i="1"/>
  <c r="E121" i="1" s="1"/>
  <c r="C108" i="1"/>
  <c r="E108" i="1" s="1"/>
  <c r="C106" i="1"/>
  <c r="E106" i="1" s="1"/>
  <c r="C94" i="1"/>
  <c r="C78" i="1"/>
  <c r="E78" i="1" s="1"/>
  <c r="C67" i="1"/>
  <c r="E67" i="1" s="1"/>
  <c r="C65" i="1"/>
  <c r="E65" i="1" s="1"/>
  <c r="C50" i="1"/>
  <c r="E50" i="1" s="1"/>
  <c r="C48" i="1"/>
  <c r="E48" i="1" s="1"/>
  <c r="C42" i="1"/>
  <c r="C28" i="1"/>
  <c r="G421" i="15" l="1"/>
  <c r="H421" i="15" s="1"/>
  <c r="I424" i="4"/>
  <c r="G917" i="15"/>
  <c r="H917" i="15" s="1"/>
  <c r="I1004" i="4"/>
  <c r="G929" i="15"/>
  <c r="H929" i="15" s="1"/>
  <c r="I1016" i="4"/>
  <c r="E42" i="1"/>
  <c r="C41" i="1"/>
  <c r="E41" i="1" s="1"/>
  <c r="G46" i="4"/>
  <c r="I46" i="4" s="1"/>
  <c r="I47" i="4"/>
  <c r="G923" i="15"/>
  <c r="H923" i="15" s="1"/>
  <c r="I1010" i="4"/>
  <c r="G987" i="15"/>
  <c r="I1076" i="4"/>
  <c r="F70" i="14"/>
  <c r="F69" i="14" s="1"/>
  <c r="I63" i="4"/>
  <c r="H921" i="15"/>
  <c r="I1008" i="4"/>
  <c r="G931" i="15"/>
  <c r="H931" i="15" s="1"/>
  <c r="I1018" i="4"/>
  <c r="G38" i="6"/>
  <c r="I39" i="6"/>
  <c r="F949" i="14"/>
  <c r="H1019" i="3"/>
  <c r="F342" i="14"/>
  <c r="G342" i="14" s="1"/>
  <c r="H365" i="3"/>
  <c r="F428" i="14"/>
  <c r="G428" i="14" s="1"/>
  <c r="H456" i="3"/>
  <c r="C22" i="1"/>
  <c r="E22" i="1" s="1"/>
  <c r="E28" i="1"/>
  <c r="C93" i="1"/>
  <c r="E93" i="1" s="1"/>
  <c r="E94" i="1"/>
  <c r="C115" i="1"/>
  <c r="C135" i="1"/>
  <c r="G158" i="11"/>
  <c r="G51" i="10"/>
  <c r="G50" i="10" s="1"/>
  <c r="G49" i="10" s="1"/>
  <c r="G48" i="10" s="1"/>
  <c r="G15" i="10"/>
  <c r="G14" i="10" s="1"/>
  <c r="G13" i="10" s="1"/>
  <c r="G12" i="10" s="1"/>
  <c r="G11" i="10" s="1"/>
  <c r="G10" i="10" s="1"/>
  <c r="G375" i="10"/>
  <c r="G374" i="10" s="1"/>
  <c r="G657" i="10"/>
  <c r="G656" i="10" s="1"/>
  <c r="G485" i="10"/>
  <c r="G479" i="10" s="1"/>
  <c r="G478" i="10" s="1"/>
  <c r="G477" i="10" s="1"/>
  <c r="G650" i="10"/>
  <c r="G646" i="10" s="1"/>
  <c r="G728" i="10"/>
  <c r="G727" i="10" s="1"/>
  <c r="G726" i="10" s="1"/>
  <c r="G43" i="10"/>
  <c r="G42" i="10" s="1"/>
  <c r="G408" i="10"/>
  <c r="G407" i="10" s="1"/>
  <c r="G299" i="10"/>
  <c r="G280" i="10" s="1"/>
  <c r="G116" i="10"/>
  <c r="G98" i="10" s="1"/>
  <c r="G139" i="10"/>
  <c r="G32" i="10"/>
  <c r="G31" i="10" s="1"/>
  <c r="G391" i="10"/>
  <c r="G792" i="10"/>
  <c r="G791" i="10" s="1"/>
  <c r="G786" i="10" s="1"/>
  <c r="G785" i="10" s="1"/>
  <c r="G215" i="10"/>
  <c r="G214" i="10" s="1"/>
  <c r="G213" i="10" s="1"/>
  <c r="G212" i="10" s="1"/>
  <c r="G913" i="10"/>
  <c r="G909" i="10" s="1"/>
  <c r="G381" i="10"/>
  <c r="G380" i="10" s="1"/>
  <c r="G879" i="10"/>
  <c r="G878" i="10" s="1"/>
  <c r="G968" i="10"/>
  <c r="G967" i="10" s="1"/>
  <c r="G966" i="10" s="1"/>
  <c r="G965" i="10" s="1"/>
  <c r="G964" i="10" s="1"/>
  <c r="G990" i="10" s="1"/>
  <c r="G190" i="10"/>
  <c r="G186" i="10" s="1"/>
  <c r="G185" i="10" s="1"/>
  <c r="G184" i="10" s="1"/>
  <c r="G177" i="10" s="1"/>
  <c r="G339" i="10"/>
  <c r="G613" i="10"/>
  <c r="G948" i="10"/>
  <c r="G947" i="10" s="1"/>
  <c r="G946" i="10" s="1"/>
  <c r="G945" i="10" s="1"/>
  <c r="G396" i="11"/>
  <c r="G376" i="11" s="1"/>
  <c r="G375" i="11" s="1"/>
  <c r="G374" i="11" s="1"/>
  <c r="G404" i="11" s="1"/>
  <c r="G633" i="10"/>
  <c r="G65" i="10"/>
  <c r="G61" i="10" s="1"/>
  <c r="G997" i="10" s="1"/>
  <c r="G147" i="10"/>
  <c r="G982" i="10" s="1"/>
  <c r="G169" i="10"/>
  <c r="G162" i="10" s="1"/>
  <c r="G161" i="10" s="1"/>
  <c r="G160" i="10" s="1"/>
  <c r="G159" i="10" s="1"/>
  <c r="G983" i="10" s="1"/>
  <c r="G310" i="10"/>
  <c r="G306" i="10" s="1"/>
  <c r="G344" i="10"/>
  <c r="G623" i="10"/>
  <c r="G622" i="10" s="1"/>
  <c r="G801" i="10"/>
  <c r="G1005" i="10" s="1"/>
  <c r="G838" i="10"/>
  <c r="G837" i="10" s="1"/>
  <c r="G464" i="10"/>
  <c r="G463" i="10" s="1"/>
  <c r="G462" i="10" s="1"/>
  <c r="G461" i="10" s="1"/>
  <c r="G460" i="10" s="1"/>
  <c r="G677" i="10"/>
  <c r="G676" i="10" s="1"/>
  <c r="G707" i="10"/>
  <c r="G706" i="10" s="1"/>
  <c r="G705" i="10" s="1"/>
  <c r="G527" i="10"/>
  <c r="G526" i="10" s="1"/>
  <c r="G694" i="10"/>
  <c r="G693" i="10" s="1"/>
  <c r="G1007" i="10"/>
  <c r="G261" i="10"/>
  <c r="G260" i="10" s="1"/>
  <c r="G236" i="10" s="1"/>
  <c r="G235" i="10" s="1"/>
  <c r="G513" i="10"/>
  <c r="G508" i="10" s="1"/>
  <c r="G99" i="10"/>
  <c r="G860" i="10"/>
  <c r="G859" i="10" s="1"/>
  <c r="G666" i="10"/>
  <c r="G662" i="10" s="1"/>
  <c r="G741" i="10"/>
  <c r="G740" i="10" s="1"/>
  <c r="G756" i="10"/>
  <c r="G755" i="10" s="1"/>
  <c r="G750" i="10" s="1"/>
  <c r="G749" i="10" s="1"/>
  <c r="G779" i="10"/>
  <c r="G778" i="10" s="1"/>
  <c r="G993" i="10" s="1"/>
  <c r="G849" i="10"/>
  <c r="G902" i="10"/>
  <c r="G901" i="10" s="1"/>
  <c r="G953" i="10"/>
  <c r="G359" i="10"/>
  <c r="G434" i="10"/>
  <c r="G421" i="10" s="1"/>
  <c r="G641" i="10"/>
  <c r="G735" i="10"/>
  <c r="G734" i="10" s="1"/>
  <c r="G827" i="10"/>
  <c r="G938" i="10"/>
  <c r="G937" i="10" s="1"/>
  <c r="G936" i="10" s="1"/>
  <c r="G935" i="10" s="1"/>
  <c r="G72" i="11"/>
  <c r="G71" i="11" s="1"/>
  <c r="G70" i="11" s="1"/>
  <c r="G69" i="11" s="1"/>
  <c r="G80" i="11" s="1"/>
  <c r="G996" i="10"/>
  <c r="G73" i="10"/>
  <c r="G999" i="10" s="1"/>
  <c r="G134" i="10"/>
  <c r="G998" i="10"/>
  <c r="G202" i="10"/>
  <c r="G581" i="10"/>
  <c r="G580" i="10" s="1"/>
  <c r="C120" i="12"/>
  <c r="G444" i="10"/>
  <c r="G443" i="10" s="1"/>
  <c r="G552" i="10"/>
  <c r="G547" i="10" s="1"/>
  <c r="H156" i="15"/>
  <c r="F237" i="14"/>
  <c r="F236" i="14" s="1"/>
  <c r="G155" i="15"/>
  <c r="F599" i="14"/>
  <c r="F598" i="14" s="1"/>
  <c r="F597" i="14" s="1"/>
  <c r="G665" i="15"/>
  <c r="G664" i="15" s="1"/>
  <c r="F734" i="14"/>
  <c r="F733" i="14" s="1"/>
  <c r="F732" i="14" s="1"/>
  <c r="G741" i="15"/>
  <c r="G740" i="15" s="1"/>
  <c r="H826" i="15"/>
  <c r="F969" i="14"/>
  <c r="F968" i="14" s="1"/>
  <c r="F967" i="14" s="1"/>
  <c r="G825" i="15"/>
  <c r="G824" i="15" s="1"/>
  <c r="F523" i="14"/>
  <c r="F522" i="14" s="1"/>
  <c r="F521" i="14" s="1"/>
  <c r="G589" i="15"/>
  <c r="G588" i="15" s="1"/>
  <c r="H751" i="15"/>
  <c r="F743" i="14"/>
  <c r="F742" i="14" s="1"/>
  <c r="G750" i="15"/>
  <c r="F992" i="14"/>
  <c r="F991" i="14" s="1"/>
  <c r="G848" i="15"/>
  <c r="H905" i="15"/>
  <c r="H904" i="15" s="1"/>
  <c r="H903" i="15" s="1"/>
  <c r="G904" i="15"/>
  <c r="G903" i="15" s="1"/>
  <c r="H1028" i="15"/>
  <c r="G1027" i="15"/>
  <c r="G1022" i="15" s="1"/>
  <c r="F453" i="14"/>
  <c r="F452" i="14" s="1"/>
  <c r="F447" i="14" s="1"/>
  <c r="F71" i="14"/>
  <c r="H154" i="15"/>
  <c r="G235" i="14" s="1"/>
  <c r="G234" i="14" s="1"/>
  <c r="F235" i="14"/>
  <c r="F234" i="14" s="1"/>
  <c r="G153" i="15"/>
  <c r="F250" i="14"/>
  <c r="F249" i="14" s="1"/>
  <c r="F248" i="14" s="1"/>
  <c r="G168" i="15"/>
  <c r="G167" i="15" s="1"/>
  <c r="F722" i="14"/>
  <c r="F721" i="14" s="1"/>
  <c r="F720" i="14" s="1"/>
  <c r="G333" i="15"/>
  <c r="G332" i="15" s="1"/>
  <c r="F620" i="14"/>
  <c r="F619" i="14" s="1"/>
  <c r="F618" i="14" s="1"/>
  <c r="G686" i="15"/>
  <c r="G685" i="15" s="1"/>
  <c r="F963" i="14"/>
  <c r="F962" i="14" s="1"/>
  <c r="F961" i="14" s="1"/>
  <c r="G819" i="15"/>
  <c r="G818" i="15" s="1"/>
  <c r="H838" i="15"/>
  <c r="G837" i="15"/>
  <c r="F981" i="14"/>
  <c r="F980" i="14" s="1"/>
  <c r="G983" i="15"/>
  <c r="G982" i="15" s="1"/>
  <c r="F409" i="14"/>
  <c r="F408" i="14" s="1"/>
  <c r="F407" i="14" s="1"/>
  <c r="H1036" i="15"/>
  <c r="F461" i="14"/>
  <c r="F460" i="14" s="1"/>
  <c r="F459" i="14" s="1"/>
  <c r="G1035" i="15"/>
  <c r="G1034" i="15" s="1"/>
  <c r="H1088" i="15"/>
  <c r="F33" i="14"/>
  <c r="F32" i="14" s="1"/>
  <c r="F31" i="14" s="1"/>
  <c r="G1087" i="15"/>
  <c r="G1086" i="15" s="1"/>
  <c r="H210" i="15"/>
  <c r="G916" i="14"/>
  <c r="G915" i="14" s="1"/>
  <c r="F654" i="14"/>
  <c r="F653" i="14" s="1"/>
  <c r="F652" i="14" s="1"/>
  <c r="G720" i="15"/>
  <c r="G719" i="15" s="1"/>
  <c r="H761" i="15"/>
  <c r="F753" i="14"/>
  <c r="F752" i="14" s="1"/>
  <c r="F751" i="14" s="1"/>
  <c r="G760" i="15"/>
  <c r="G759" i="15" s="1"/>
  <c r="H902" i="15"/>
  <c r="F327" i="14"/>
  <c r="F326" i="14" s="1"/>
  <c r="F325" i="14" s="1"/>
  <c r="G901" i="15"/>
  <c r="G900" i="15" s="1"/>
  <c r="H531" i="15"/>
  <c r="H530" i="15" s="1"/>
  <c r="H529" i="15" s="1"/>
  <c r="G530" i="15"/>
  <c r="G529" i="15" s="1"/>
  <c r="H765" i="15"/>
  <c r="G757" i="14" s="1"/>
  <c r="G756" i="14" s="1"/>
  <c r="F757" i="14"/>
  <c r="F756" i="14" s="1"/>
  <c r="G764" i="15"/>
  <c r="H878" i="15"/>
  <c r="F260" i="14"/>
  <c r="F259" i="14" s="1"/>
  <c r="F258" i="14" s="1"/>
  <c r="G877" i="15"/>
  <c r="G876" i="15" s="1"/>
  <c r="H150" i="15"/>
  <c r="G149" i="15"/>
  <c r="G148" i="15" s="1"/>
  <c r="G144" i="15" s="1"/>
  <c r="F231" i="14"/>
  <c r="F230" i="14" s="1"/>
  <c r="F229" i="14" s="1"/>
  <c r="F164" i="14"/>
  <c r="F163" i="14" s="1"/>
  <c r="F162" i="14" s="1"/>
  <c r="G221" i="15"/>
  <c r="G220" i="15" s="1"/>
  <c r="H534" i="15"/>
  <c r="F330" i="14"/>
  <c r="F329" i="14" s="1"/>
  <c r="F328" i="14" s="1"/>
  <c r="G533" i="15"/>
  <c r="G532" i="15" s="1"/>
  <c r="F663" i="14"/>
  <c r="F662" i="14" s="1"/>
  <c r="F661" i="14" s="1"/>
  <c r="G729" i="15"/>
  <c r="G728" i="15" s="1"/>
  <c r="H753" i="15"/>
  <c r="F745" i="14"/>
  <c r="F744" i="14" s="1"/>
  <c r="G752" i="15"/>
  <c r="H767" i="15"/>
  <c r="G759" i="14" s="1"/>
  <c r="G758" i="14" s="1"/>
  <c r="F759" i="14"/>
  <c r="F758" i="14" s="1"/>
  <c r="G766" i="15"/>
  <c r="F954" i="14"/>
  <c r="F953" i="14" s="1"/>
  <c r="F952" i="14" s="1"/>
  <c r="G810" i="15"/>
  <c r="G809" i="15" s="1"/>
  <c r="H834" i="15"/>
  <c r="F977" i="14"/>
  <c r="F976" i="14" s="1"/>
  <c r="G833" i="15"/>
  <c r="H1045" i="15"/>
  <c r="F470" i="14"/>
  <c r="G1044" i="15"/>
  <c r="G1041" i="15" s="1"/>
  <c r="H1099" i="15"/>
  <c r="G1098" i="15"/>
  <c r="G1097" i="15" s="1"/>
  <c r="F102" i="14"/>
  <c r="F101" i="14" s="1"/>
  <c r="F100" i="14" s="1"/>
  <c r="H516" i="15"/>
  <c r="F143" i="14"/>
  <c r="F142" i="14" s="1"/>
  <c r="F141" i="14" s="1"/>
  <c r="G515" i="15"/>
  <c r="G514" i="15" s="1"/>
  <c r="F585" i="14"/>
  <c r="F584" i="14" s="1"/>
  <c r="F583" i="14" s="1"/>
  <c r="G651" i="15"/>
  <c r="G650" i="15" s="1"/>
  <c r="F579" i="14"/>
  <c r="F578" i="14" s="1"/>
  <c r="F577" i="14" s="1"/>
  <c r="G645" i="15"/>
  <c r="G644" i="15" s="1"/>
  <c r="F505" i="14"/>
  <c r="F504" i="14" s="1"/>
  <c r="F503" i="14" s="1"/>
  <c r="G571" i="15"/>
  <c r="G570" i="15" s="1"/>
  <c r="G565" i="15"/>
  <c r="G564" i="15" s="1"/>
  <c r="F499" i="14"/>
  <c r="F498" i="14" s="1"/>
  <c r="F497" i="14" s="1"/>
  <c r="H56" i="15"/>
  <c r="G55" i="15"/>
  <c r="H66" i="15"/>
  <c r="G65" i="15"/>
  <c r="H68" i="15"/>
  <c r="G67" i="15"/>
  <c r="H61" i="15"/>
  <c r="G60" i="15"/>
  <c r="H213" i="15"/>
  <c r="G212" i="15"/>
  <c r="G209" i="15" s="1"/>
  <c r="H63" i="15"/>
  <c r="G62" i="15"/>
  <c r="H14" i="15"/>
  <c r="G14" i="15"/>
  <c r="G180" i="15"/>
  <c r="G177" i="15" s="1"/>
  <c r="G105" i="16"/>
  <c r="G913" i="16"/>
  <c r="G912" i="16" s="1"/>
  <c r="G911" i="16" s="1"/>
  <c r="G910" i="16" s="1"/>
  <c r="G915" i="16" s="1"/>
  <c r="G69" i="15"/>
  <c r="H69" i="15"/>
  <c r="H652" i="15"/>
  <c r="G241" i="16"/>
  <c r="H666" i="15"/>
  <c r="G331" i="16"/>
  <c r="H820" i="15"/>
  <c r="G908" i="16"/>
  <c r="H337" i="15"/>
  <c r="G337" i="15"/>
  <c r="H222" i="15"/>
  <c r="G154" i="16"/>
  <c r="H334" i="15"/>
  <c r="G45" i="16"/>
  <c r="H63" i="16"/>
  <c r="G63" i="16"/>
  <c r="G212" i="16"/>
  <c r="H590" i="15"/>
  <c r="G285" i="16"/>
  <c r="H687" i="15"/>
  <c r="G364" i="16"/>
  <c r="H730" i="15"/>
  <c r="G379" i="16"/>
  <c r="H984" i="15"/>
  <c r="G715" i="16"/>
  <c r="H646" i="15"/>
  <c r="G233" i="16"/>
  <c r="H811" i="15"/>
  <c r="G496" i="16"/>
  <c r="H566" i="15"/>
  <c r="G204" i="16"/>
  <c r="H721" i="15"/>
  <c r="G258" i="16"/>
  <c r="H742" i="15"/>
  <c r="G387" i="16"/>
  <c r="H849" i="15"/>
  <c r="G514" i="16"/>
  <c r="H577" i="15"/>
  <c r="H266" i="16" s="1"/>
  <c r="H265" i="16" s="1"/>
  <c r="H264" i="16" s="1"/>
  <c r="H263" i="16" s="1"/>
  <c r="H262" i="16" s="1"/>
  <c r="H261" i="16" s="1"/>
  <c r="G266" i="16"/>
  <c r="H660" i="15"/>
  <c r="H323" i="16" s="1"/>
  <c r="H324" i="16" s="1"/>
  <c r="G323" i="16"/>
  <c r="H657" i="15"/>
  <c r="H319" i="16" s="1"/>
  <c r="H320" i="16" s="1"/>
  <c r="G319" i="16"/>
  <c r="H807" i="16"/>
  <c r="H806" i="16" s="1"/>
  <c r="H805" i="16" s="1"/>
  <c r="H804" i="16" s="1"/>
  <c r="H803" i="16" s="1"/>
  <c r="H802" i="16" s="1"/>
  <c r="G807" i="16"/>
  <c r="H944" i="15"/>
  <c r="G793" i="16"/>
  <c r="H987" i="15"/>
  <c r="H721" i="16" s="1"/>
  <c r="H722" i="16" s="1"/>
  <c r="G721" i="16"/>
  <c r="G84" i="14"/>
  <c r="F84" i="14"/>
  <c r="G80" i="14"/>
  <c r="F80" i="14"/>
  <c r="H169" i="15"/>
  <c r="G771" i="16"/>
  <c r="G90" i="4"/>
  <c r="I90" i="4" s="1"/>
  <c r="G780" i="5"/>
  <c r="G115" i="4"/>
  <c r="I115" i="4" s="1"/>
  <c r="G129" i="4"/>
  <c r="G245" i="4"/>
  <c r="I245" i="4" s="1"/>
  <c r="G725" i="5"/>
  <c r="G298" i="15"/>
  <c r="G367" i="4"/>
  <c r="G410" i="4"/>
  <c r="I410" i="4" s="1"/>
  <c r="G426" i="4"/>
  <c r="I426" i="4" s="1"/>
  <c r="G473" i="4"/>
  <c r="I473" i="4" s="1"/>
  <c r="G736" i="4"/>
  <c r="I736" i="4" s="1"/>
  <c r="H695" i="15"/>
  <c r="G778" i="4"/>
  <c r="I778" i="4" s="1"/>
  <c r="F396" i="3"/>
  <c r="G948" i="15"/>
  <c r="F377" i="14" s="1"/>
  <c r="F376" i="14" s="1"/>
  <c r="F375" i="14" s="1"/>
  <c r="G1137" i="4"/>
  <c r="I1137" i="4" s="1"/>
  <c r="G134" i="4"/>
  <c r="G234" i="4"/>
  <c r="I234" i="4" s="1"/>
  <c r="G267" i="4"/>
  <c r="I267" i="4" s="1"/>
  <c r="G268" i="15"/>
  <c r="H268" i="15" s="1"/>
  <c r="G395" i="4"/>
  <c r="I395" i="4" s="1"/>
  <c r="G626" i="4"/>
  <c r="I626" i="4" s="1"/>
  <c r="G341" i="5"/>
  <c r="I341" i="5" s="1"/>
  <c r="G741" i="4"/>
  <c r="I741" i="4" s="1"/>
  <c r="F822" i="3"/>
  <c r="H822" i="3" s="1"/>
  <c r="G907" i="4"/>
  <c r="I907" i="4" s="1"/>
  <c r="F147" i="3"/>
  <c r="G1235" i="4"/>
  <c r="G22" i="4"/>
  <c r="I22" i="4" s="1"/>
  <c r="G40" i="4"/>
  <c r="I40" i="4" s="1"/>
  <c r="F163" i="3"/>
  <c r="H163" i="3" s="1"/>
  <c r="G120" i="4"/>
  <c r="I120" i="4" s="1"/>
  <c r="G160" i="4"/>
  <c r="I160" i="4" s="1"/>
  <c r="G190" i="4"/>
  <c r="I190" i="4" s="1"/>
  <c r="G188" i="15"/>
  <c r="H188" i="15" s="1"/>
  <c r="G203" i="4"/>
  <c r="G223" i="4"/>
  <c r="G224" i="15"/>
  <c r="H224" i="15" s="1"/>
  <c r="G237" i="4"/>
  <c r="G238" i="15"/>
  <c r="H238" i="15" s="1"/>
  <c r="G256" i="4"/>
  <c r="G257" i="15"/>
  <c r="H257" i="15" s="1"/>
  <c r="G290" i="4"/>
  <c r="I290" i="4" s="1"/>
  <c r="G747" i="5"/>
  <c r="G402" i="4"/>
  <c r="I402" i="4" s="1"/>
  <c r="G457" i="4"/>
  <c r="I457" i="4" s="1"/>
  <c r="G505" i="4"/>
  <c r="I505" i="4" s="1"/>
  <c r="G500" i="15"/>
  <c r="G522" i="4"/>
  <c r="G518" i="15"/>
  <c r="H518" i="15" s="1"/>
  <c r="G592" i="4"/>
  <c r="I592" i="4" s="1"/>
  <c r="G606" i="4"/>
  <c r="I606" i="4" s="1"/>
  <c r="G345" i="5"/>
  <c r="F699" i="3"/>
  <c r="G766" i="4"/>
  <c r="G725" i="15"/>
  <c r="H725" i="15" s="1"/>
  <c r="F798" i="3"/>
  <c r="H798" i="3" s="1"/>
  <c r="G815" i="4"/>
  <c r="I815" i="4" s="1"/>
  <c r="G848" i="4"/>
  <c r="G800" i="15"/>
  <c r="H800" i="15" s="1"/>
  <c r="F1031" i="3"/>
  <c r="H1031" i="3" s="1"/>
  <c r="F1079" i="3"/>
  <c r="F149" i="3"/>
  <c r="H149" i="3" s="1"/>
  <c r="G955" i="4"/>
  <c r="I955" i="4" s="1"/>
  <c r="G883" i="15"/>
  <c r="H883" i="15" s="1"/>
  <c r="G1041" i="4"/>
  <c r="I1041" i="4" s="1"/>
  <c r="G955" i="15"/>
  <c r="H955" i="15" s="1"/>
  <c r="G1082" i="4"/>
  <c r="I1082" i="4" s="1"/>
  <c r="G1097" i="4"/>
  <c r="I1097" i="4" s="1"/>
  <c r="G1009" i="15"/>
  <c r="H1009" i="15" s="1"/>
  <c r="F16" i="3"/>
  <c r="G1193" i="4"/>
  <c r="I1193" i="4" s="1"/>
  <c r="G231" i="4"/>
  <c r="I231" i="4" s="1"/>
  <c r="G232" i="15"/>
  <c r="G263" i="4"/>
  <c r="I263" i="4" s="1"/>
  <c r="G318" i="4"/>
  <c r="I318" i="4" s="1"/>
  <c r="G392" i="4"/>
  <c r="I392" i="4" s="1"/>
  <c r="G509" i="4"/>
  <c r="I509" i="4" s="1"/>
  <c r="G621" i="4"/>
  <c r="I621" i="4" s="1"/>
  <c r="G604" i="15"/>
  <c r="H604" i="15" s="1"/>
  <c r="G649" i="4"/>
  <c r="I649" i="4" s="1"/>
  <c r="G257" i="5"/>
  <c r="G855" i="4"/>
  <c r="G807" i="15"/>
  <c r="H807" i="15" s="1"/>
  <c r="G1049" i="4"/>
  <c r="I1049" i="4" s="1"/>
  <c r="G963" i="15"/>
  <c r="H963" i="15" s="1"/>
  <c r="G1163" i="4"/>
  <c r="I1163" i="4" s="1"/>
  <c r="G37" i="4"/>
  <c r="I37" i="4" s="1"/>
  <c r="G93" i="4"/>
  <c r="I93" i="4" s="1"/>
  <c r="G174" i="4"/>
  <c r="I174" i="4" s="1"/>
  <c r="G197" i="4"/>
  <c r="I197" i="4" s="1"/>
  <c r="G253" i="4"/>
  <c r="G254" i="15"/>
  <c r="H254" i="15" s="1"/>
  <c r="G743" i="5"/>
  <c r="G415" i="4"/>
  <c r="I415" i="4" s="1"/>
  <c r="G572" i="4"/>
  <c r="I572" i="4" s="1"/>
  <c r="F553" i="3"/>
  <c r="H553" i="3" s="1"/>
  <c r="G652" i="4"/>
  <c r="I652" i="4" s="1"/>
  <c r="G799" i="4"/>
  <c r="I799" i="4" s="1"/>
  <c r="G895" i="4"/>
  <c r="I895" i="4" s="1"/>
  <c r="G1090" i="4"/>
  <c r="G1002" i="15"/>
  <c r="H1002" i="15" s="1"/>
  <c r="G1128" i="4"/>
  <c r="G1038" i="15"/>
  <c r="H1038" i="15" s="1"/>
  <c r="G1150" i="4"/>
  <c r="I1150" i="4" s="1"/>
  <c r="G42" i="4"/>
  <c r="I42" i="4" s="1"/>
  <c r="F165" i="3"/>
  <c r="H165" i="3" s="1"/>
  <c r="G124" i="4"/>
  <c r="I124" i="4" s="1"/>
  <c r="G167" i="4"/>
  <c r="I167" i="4" s="1"/>
  <c r="F290" i="3"/>
  <c r="H179" i="15"/>
  <c r="G228" i="4"/>
  <c r="I228" i="4" s="1"/>
  <c r="G229" i="15"/>
  <c r="H229" i="15" s="1"/>
  <c r="G240" i="4"/>
  <c r="I240" i="4" s="1"/>
  <c r="G260" i="4"/>
  <c r="I260" i="4" s="1"/>
  <c r="G751" i="5"/>
  <c r="I751" i="5" s="1"/>
  <c r="G360" i="4"/>
  <c r="I360" i="4" s="1"/>
  <c r="G384" i="4"/>
  <c r="I384" i="4" s="1"/>
  <c r="G405" i="4"/>
  <c r="I405" i="4" s="1"/>
  <c r="G438" i="4"/>
  <c r="I438" i="4" s="1"/>
  <c r="G28" i="6"/>
  <c r="G507" i="4"/>
  <c r="I507" i="4" s="1"/>
  <c r="F214" i="3"/>
  <c r="H214" i="3" s="1"/>
  <c r="G554" i="4"/>
  <c r="G544" i="15"/>
  <c r="H544" i="15" s="1"/>
  <c r="G578" i="4"/>
  <c r="I578" i="4" s="1"/>
  <c r="G596" i="4"/>
  <c r="I596" i="4" s="1"/>
  <c r="G586" i="15"/>
  <c r="H586" i="15" s="1"/>
  <c r="G609" i="4"/>
  <c r="I609" i="4" s="1"/>
  <c r="G658" i="4"/>
  <c r="I658" i="4" s="1"/>
  <c r="G672" i="4"/>
  <c r="I672" i="4" s="1"/>
  <c r="F637" i="3"/>
  <c r="H637" i="3" s="1"/>
  <c r="G700" i="4"/>
  <c r="G755" i="4"/>
  <c r="I755" i="4" s="1"/>
  <c r="G851" i="4"/>
  <c r="I851" i="4" s="1"/>
  <c r="F1068" i="3"/>
  <c r="H1068" i="3" s="1"/>
  <c r="G923" i="4"/>
  <c r="I923" i="4" s="1"/>
  <c r="F284" i="3"/>
  <c r="G890" i="15"/>
  <c r="G1012" i="4"/>
  <c r="G926" i="15"/>
  <c r="H926" i="15" s="1"/>
  <c r="G1045" i="4"/>
  <c r="I1045" i="4" s="1"/>
  <c r="G959" i="15"/>
  <c r="H959" i="15" s="1"/>
  <c r="G817" i="5"/>
  <c r="I817" i="5" s="1"/>
  <c r="G1009" i="5"/>
  <c r="G1118" i="4"/>
  <c r="I1118" i="4" s="1"/>
  <c r="G1182" i="4"/>
  <c r="G1092" i="15"/>
  <c r="H1092" i="15" s="1"/>
  <c r="G1093" i="4"/>
  <c r="I1093" i="4" s="1"/>
  <c r="G942" i="4"/>
  <c r="I942" i="4" s="1"/>
  <c r="G551" i="4"/>
  <c r="I551" i="4" s="1"/>
  <c r="G141" i="4"/>
  <c r="I141" i="4" s="1"/>
  <c r="G139" i="15"/>
  <c r="H139" i="15" s="1"/>
  <c r="G1024" i="5"/>
  <c r="I1024" i="5" s="1"/>
  <c r="G899" i="5"/>
  <c r="I899" i="5" s="1"/>
  <c r="G471" i="5"/>
  <c r="I471" i="5" s="1"/>
  <c r="G99" i="5"/>
  <c r="I99" i="5" s="1"/>
  <c r="G768" i="5"/>
  <c r="I768" i="5" s="1"/>
  <c r="G906" i="5"/>
  <c r="I906" i="5" s="1"/>
  <c r="G928" i="5"/>
  <c r="I928" i="5" s="1"/>
  <c r="G372" i="5"/>
  <c r="G1031" i="5"/>
  <c r="I1031" i="5" s="1"/>
  <c r="G55" i="5"/>
  <c r="I55" i="5" s="1"/>
  <c r="G73" i="5"/>
  <c r="I73" i="5" s="1"/>
  <c r="G113" i="5"/>
  <c r="I113" i="5" s="1"/>
  <c r="G13" i="6"/>
  <c r="F49" i="3"/>
  <c r="H49" i="3" s="1"/>
  <c r="F447" i="3"/>
  <c r="H447" i="3" s="1"/>
  <c r="F555" i="3"/>
  <c r="H555" i="3" s="1"/>
  <c r="F642" i="3"/>
  <c r="F616" i="14"/>
  <c r="F852" i="3"/>
  <c r="F964" i="3"/>
  <c r="H964" i="3" s="1"/>
  <c r="F207" i="3"/>
  <c r="H207" i="3" s="1"/>
  <c r="F452" i="3"/>
  <c r="H452" i="3" s="1"/>
  <c r="F558" i="3"/>
  <c r="H558" i="3" s="1"/>
  <c r="F685" i="3"/>
  <c r="H685" i="3" s="1"/>
  <c r="F890" i="3"/>
  <c r="F144" i="3"/>
  <c r="H144" i="3" s="1"/>
  <c r="F17" i="3"/>
  <c r="H17" i="3" s="1"/>
  <c r="F121" i="3"/>
  <c r="H121" i="3" s="1"/>
  <c r="F192" i="3"/>
  <c r="H192" i="3" s="1"/>
  <c r="F217" i="3"/>
  <c r="H217" i="3" s="1"/>
  <c r="F381" i="3"/>
  <c r="H381" i="3" s="1"/>
  <c r="F359" i="14"/>
  <c r="G359" i="14" s="1"/>
  <c r="F541" i="3"/>
  <c r="H541" i="3" s="1"/>
  <c r="F563" i="3"/>
  <c r="H563" i="3" s="1"/>
  <c r="F544" i="14"/>
  <c r="G544" i="14" s="1"/>
  <c r="F598" i="3"/>
  <c r="H598" i="3" s="1"/>
  <c r="F690" i="3"/>
  <c r="H690" i="3" s="1"/>
  <c r="F873" i="3"/>
  <c r="H873" i="3" s="1"/>
  <c r="F911" i="3"/>
  <c r="H911" i="3" s="1"/>
  <c r="F985" i="3"/>
  <c r="H985" i="3" s="1"/>
  <c r="F1059" i="3"/>
  <c r="H1059" i="3" s="1"/>
  <c r="F203" i="3"/>
  <c r="H203" i="3" s="1"/>
  <c r="G194" i="14"/>
  <c r="G193" i="14" s="1"/>
  <c r="G192" i="14" s="1"/>
  <c r="F585" i="3"/>
  <c r="H585" i="3" s="1"/>
  <c r="F1015" i="3"/>
  <c r="H1015" i="3" s="1"/>
  <c r="F521" i="3"/>
  <c r="H521" i="3" s="1"/>
  <c r="F588" i="3"/>
  <c r="H588" i="3" s="1"/>
  <c r="F868" i="3"/>
  <c r="H868" i="3" s="1"/>
  <c r="F968" i="3"/>
  <c r="H968" i="3" s="1"/>
  <c r="F904" i="14"/>
  <c r="F1002" i="3"/>
  <c r="H1002" i="3" s="1"/>
  <c r="F36" i="3"/>
  <c r="H36" i="3" s="1"/>
  <c r="F198" i="3"/>
  <c r="H198" i="3" s="1"/>
  <c r="F221" i="3"/>
  <c r="H221" i="3" s="1"/>
  <c r="G212" i="14"/>
  <c r="G211" i="14" s="1"/>
  <c r="G210" i="14" s="1"/>
  <c r="F444" i="3"/>
  <c r="H444" i="3" s="1"/>
  <c r="F545" i="3"/>
  <c r="F519" i="14"/>
  <c r="G519" i="14" s="1"/>
  <c r="F574" i="3"/>
  <c r="H574" i="3" s="1"/>
  <c r="F601" i="3"/>
  <c r="H601" i="3" s="1"/>
  <c r="F880" i="3"/>
  <c r="H880" i="3" s="1"/>
  <c r="F1012" i="3"/>
  <c r="F943" i="14"/>
  <c r="F86" i="3"/>
  <c r="H86" i="3" s="1"/>
  <c r="C52" i="1"/>
  <c r="E52" i="1" s="1"/>
  <c r="C169" i="1"/>
  <c r="E169" i="1" s="1"/>
  <c r="C77" i="1"/>
  <c r="E77" i="1" s="1"/>
  <c r="C112" i="1"/>
  <c r="F455" i="3"/>
  <c r="G824" i="5"/>
  <c r="I824" i="5" s="1"/>
  <c r="C60" i="1"/>
  <c r="E60" i="1" s="1"/>
  <c r="C59" i="1"/>
  <c r="E59" i="1" s="1"/>
  <c r="C64" i="1"/>
  <c r="E64" i="1" s="1"/>
  <c r="C47" i="1"/>
  <c r="E47" i="1" s="1"/>
  <c r="C18" i="1"/>
  <c r="E18" i="1" s="1"/>
  <c r="G1000" i="5"/>
  <c r="I1000" i="5" s="1"/>
  <c r="G1002" i="5"/>
  <c r="I1002" i="5" s="1"/>
  <c r="G981" i="5"/>
  <c r="I981" i="5" s="1"/>
  <c r="G983" i="5"/>
  <c r="I983" i="5" s="1"/>
  <c r="G975" i="5"/>
  <c r="I975" i="5" s="1"/>
  <c r="G977" i="5"/>
  <c r="I977" i="5" s="1"/>
  <c r="G971" i="5"/>
  <c r="I971" i="5" s="1"/>
  <c r="G973" i="5"/>
  <c r="I973" i="5" s="1"/>
  <c r="G966" i="5"/>
  <c r="I966" i="5" s="1"/>
  <c r="G968" i="5"/>
  <c r="I968" i="5" s="1"/>
  <c r="G961" i="5"/>
  <c r="I961" i="5" s="1"/>
  <c r="G963" i="5"/>
  <c r="I963" i="5" s="1"/>
  <c r="G950" i="5"/>
  <c r="I950" i="5" s="1"/>
  <c r="G952" i="5"/>
  <c r="I952" i="5" s="1"/>
  <c r="G934" i="5"/>
  <c r="I934" i="5" s="1"/>
  <c r="G936" i="5"/>
  <c r="I936" i="5" s="1"/>
  <c r="G915" i="5"/>
  <c r="I915" i="5" s="1"/>
  <c r="G930" i="5"/>
  <c r="I930" i="5" s="1"/>
  <c r="G932" i="5"/>
  <c r="I932" i="5" s="1"/>
  <c r="G942" i="5"/>
  <c r="I942" i="5" s="1"/>
  <c r="G944" i="5"/>
  <c r="I944" i="5" s="1"/>
  <c r="G926" i="5"/>
  <c r="I926" i="5" s="1"/>
  <c r="G893" i="5"/>
  <c r="I893" i="5" s="1"/>
  <c r="G846" i="5"/>
  <c r="I846" i="5" s="1"/>
  <c r="G848" i="5"/>
  <c r="I848" i="5" s="1"/>
  <c r="G827" i="5"/>
  <c r="I827" i="5" s="1"/>
  <c r="G829" i="5"/>
  <c r="I829" i="5" s="1"/>
  <c r="G812" i="5"/>
  <c r="I812" i="5" s="1"/>
  <c r="G814" i="5"/>
  <c r="I814" i="5" s="1"/>
  <c r="G819" i="5"/>
  <c r="I819" i="5" s="1"/>
  <c r="G821" i="5"/>
  <c r="I821" i="5" s="1"/>
  <c r="G790" i="5"/>
  <c r="I790" i="5" s="1"/>
  <c r="G792" i="5"/>
  <c r="I792" i="5" s="1"/>
  <c r="G803" i="5"/>
  <c r="I803" i="5" s="1"/>
  <c r="G764" i="5"/>
  <c r="I764" i="5" s="1"/>
  <c r="G766" i="5"/>
  <c r="I766" i="5" s="1"/>
  <c r="G650" i="5"/>
  <c r="I650" i="5" s="1"/>
  <c r="G652" i="5"/>
  <c r="I652" i="5" s="1"/>
  <c r="G549" i="5"/>
  <c r="I549" i="5" s="1"/>
  <c r="G551" i="5"/>
  <c r="I551" i="5" s="1"/>
  <c r="G542" i="5"/>
  <c r="I542" i="5" s="1"/>
  <c r="G544" i="5"/>
  <c r="I544" i="5" s="1"/>
  <c r="G534" i="5"/>
  <c r="I534" i="5" s="1"/>
  <c r="G536" i="5"/>
  <c r="I536" i="5" s="1"/>
  <c r="G538" i="5"/>
  <c r="I538" i="5" s="1"/>
  <c r="G540" i="5"/>
  <c r="I540" i="5" s="1"/>
  <c r="G519" i="5"/>
  <c r="I519" i="5" s="1"/>
  <c r="G521" i="5"/>
  <c r="I521" i="5" s="1"/>
  <c r="G510" i="5"/>
  <c r="I510" i="5" s="1"/>
  <c r="G512" i="5"/>
  <c r="I512" i="5" s="1"/>
  <c r="G362" i="5"/>
  <c r="I362" i="5" s="1"/>
  <c r="G364" i="5"/>
  <c r="I364" i="5" s="1"/>
  <c r="G329" i="5"/>
  <c r="I329" i="5" s="1"/>
  <c r="G331" i="5"/>
  <c r="I331" i="5" s="1"/>
  <c r="G298" i="5"/>
  <c r="I298" i="5" s="1"/>
  <c r="G300" i="5"/>
  <c r="I300" i="5" s="1"/>
  <c r="G283" i="5"/>
  <c r="I283" i="5" s="1"/>
  <c r="G285" i="5"/>
  <c r="I285" i="5" s="1"/>
  <c r="G276" i="5"/>
  <c r="I276" i="5" s="1"/>
  <c r="G278" i="5"/>
  <c r="I278" i="5" s="1"/>
  <c r="G53" i="5"/>
  <c r="I53" i="5" s="1"/>
  <c r="G905" i="4"/>
  <c r="I905" i="4" s="1"/>
  <c r="F1070" i="3"/>
  <c r="H1070" i="3" s="1"/>
  <c r="G554" i="5"/>
  <c r="I554" i="5" s="1"/>
  <c r="F1024" i="3"/>
  <c r="H1024" i="3" s="1"/>
  <c r="G901" i="4"/>
  <c r="I901" i="4" s="1"/>
  <c r="F1066" i="3"/>
  <c r="H1066" i="3" s="1"/>
  <c r="G893" i="4"/>
  <c r="I893" i="4" s="1"/>
  <c r="F1058" i="3"/>
  <c r="H1058" i="3" s="1"/>
  <c r="G988" i="5"/>
  <c r="I988" i="5" s="1"/>
  <c r="F1052" i="3"/>
  <c r="H1052" i="3" s="1"/>
  <c r="G590" i="5"/>
  <c r="I590" i="5" s="1"/>
  <c r="F1081" i="3"/>
  <c r="H1081" i="3" s="1"/>
  <c r="F959" i="3"/>
  <c r="H959" i="3" s="1"/>
  <c r="F982" i="3"/>
  <c r="H982" i="3" s="1"/>
  <c r="F921" i="3"/>
  <c r="H921" i="3" s="1"/>
  <c r="F945" i="3"/>
  <c r="H945" i="3" s="1"/>
  <c r="G108" i="5"/>
  <c r="I108" i="5" s="1"/>
  <c r="F931" i="3"/>
  <c r="H931" i="3" s="1"/>
  <c r="G32" i="6"/>
  <c r="F955" i="3"/>
  <c r="H955" i="3" s="1"/>
  <c r="F984" i="3"/>
  <c r="H984" i="3" s="1"/>
  <c r="G314" i="4"/>
  <c r="I314" i="4" s="1"/>
  <c r="F761" i="3"/>
  <c r="H761" i="3" s="1"/>
  <c r="F744" i="3"/>
  <c r="H744" i="3" s="1"/>
  <c r="G308" i="4"/>
  <c r="I308" i="4" s="1"/>
  <c r="F755" i="3"/>
  <c r="H755" i="3" s="1"/>
  <c r="G311" i="4"/>
  <c r="I311" i="4" s="1"/>
  <c r="F758" i="3"/>
  <c r="H758" i="3" s="1"/>
  <c r="F783" i="3"/>
  <c r="H783" i="3" s="1"/>
  <c r="F831" i="3"/>
  <c r="H831" i="3" s="1"/>
  <c r="G786" i="4"/>
  <c r="I786" i="4" s="1"/>
  <c r="F795" i="3"/>
  <c r="H795" i="3" s="1"/>
  <c r="G811" i="4"/>
  <c r="I811" i="4" s="1"/>
  <c r="F820" i="3"/>
  <c r="H820" i="3" s="1"/>
  <c r="G582" i="4"/>
  <c r="I582" i="4" s="1"/>
  <c r="F532" i="3"/>
  <c r="H532" i="3" s="1"/>
  <c r="G288" i="5"/>
  <c r="I288" i="5" s="1"/>
  <c r="F550" i="3"/>
  <c r="H550" i="3" s="1"/>
  <c r="G322" i="5"/>
  <c r="I322" i="5" s="1"/>
  <c r="F617" i="3"/>
  <c r="H617" i="3" s="1"/>
  <c r="F630" i="3"/>
  <c r="H630" i="3" s="1"/>
  <c r="G762" i="4"/>
  <c r="I762" i="4" s="1"/>
  <c r="F712" i="3"/>
  <c r="H712" i="3" s="1"/>
  <c r="G269" i="5"/>
  <c r="I269" i="5" s="1"/>
  <c r="F537" i="3"/>
  <c r="H537" i="3" s="1"/>
  <c r="G656" i="4"/>
  <c r="I656" i="4" s="1"/>
  <c r="F606" i="3"/>
  <c r="H606" i="3" s="1"/>
  <c r="F620" i="3"/>
  <c r="H620" i="3" s="1"/>
  <c r="G683" i="4"/>
  <c r="I683" i="4" s="1"/>
  <c r="F633" i="3"/>
  <c r="H633" i="3" s="1"/>
  <c r="G367" i="5"/>
  <c r="I367" i="5" s="1"/>
  <c r="F647" i="3"/>
  <c r="H647" i="3" s="1"/>
  <c r="G805" i="4"/>
  <c r="I805" i="4" s="1"/>
  <c r="F814" i="3"/>
  <c r="H814" i="3" s="1"/>
  <c r="G1116" i="4"/>
  <c r="F478" i="3"/>
  <c r="H478" i="3" s="1"/>
  <c r="G662" i="4"/>
  <c r="I662" i="4" s="1"/>
  <c r="F612" i="3"/>
  <c r="H612" i="3" s="1"/>
  <c r="G334" i="5"/>
  <c r="I334" i="5" s="1"/>
  <c r="F626" i="3"/>
  <c r="H626" i="3" s="1"/>
  <c r="G690" i="4"/>
  <c r="I690" i="4" s="1"/>
  <c r="F640" i="3"/>
  <c r="H640" i="3" s="1"/>
  <c r="G759" i="4"/>
  <c r="I759" i="4" s="1"/>
  <c r="F709" i="3"/>
  <c r="H709" i="3" s="1"/>
  <c r="G797" i="4"/>
  <c r="I797" i="4" s="1"/>
  <c r="F806" i="3"/>
  <c r="H806" i="3" s="1"/>
  <c r="G1126" i="4"/>
  <c r="F488" i="3"/>
  <c r="H488" i="3" s="1"/>
  <c r="G576" i="4"/>
  <c r="I576" i="4" s="1"/>
  <c r="F526" i="3"/>
  <c r="H526" i="3" s="1"/>
  <c r="G441" i="5"/>
  <c r="I441" i="5" s="1"/>
  <c r="F724" i="3"/>
  <c r="H724" i="3" s="1"/>
  <c r="G795" i="4"/>
  <c r="F804" i="3"/>
  <c r="H804" i="3" s="1"/>
  <c r="G809" i="4"/>
  <c r="I809" i="4" s="1"/>
  <c r="F818" i="3"/>
  <c r="H818" i="3" s="1"/>
  <c r="G1135" i="4"/>
  <c r="I1135" i="4" s="1"/>
  <c r="F497" i="3"/>
  <c r="H497" i="3" s="1"/>
  <c r="F260" i="3"/>
  <c r="H260" i="3" s="1"/>
  <c r="G158" i="4"/>
  <c r="I158" i="4" s="1"/>
  <c r="F247" i="3"/>
  <c r="H247" i="3" s="1"/>
  <c r="G520" i="4"/>
  <c r="I520" i="4" s="1"/>
  <c r="F153" i="3"/>
  <c r="H153" i="3" s="1"/>
  <c r="F388" i="3"/>
  <c r="H388" i="3" s="1"/>
  <c r="F434" i="3"/>
  <c r="H434" i="3" s="1"/>
  <c r="F437" i="3"/>
  <c r="F248" i="3"/>
  <c r="H248" i="3" s="1"/>
  <c r="F241" i="3"/>
  <c r="H241" i="3" s="1"/>
  <c r="G979" i="4"/>
  <c r="I979" i="4" s="1"/>
  <c r="F341" i="3"/>
  <c r="H341" i="3" s="1"/>
  <c r="G535" i="4"/>
  <c r="I535" i="4" s="1"/>
  <c r="F344" i="3"/>
  <c r="H344" i="3" s="1"/>
  <c r="G985" i="4"/>
  <c r="I985" i="4" s="1"/>
  <c r="F347" i="3"/>
  <c r="H347" i="3" s="1"/>
  <c r="F392" i="3"/>
  <c r="H392" i="3" s="1"/>
  <c r="F244" i="3"/>
  <c r="H244" i="3" s="1"/>
  <c r="F245" i="3"/>
  <c r="H245" i="3" s="1"/>
  <c r="G183" i="4"/>
  <c r="I183" i="4" s="1"/>
  <c r="F292" i="3"/>
  <c r="H292" i="3" s="1"/>
  <c r="F270" i="3"/>
  <c r="H270" i="3" s="1"/>
  <c r="F400" i="3"/>
  <c r="H400" i="3" s="1"/>
  <c r="F174" i="3"/>
  <c r="H174" i="3" s="1"/>
  <c r="G55" i="4"/>
  <c r="I55" i="4" s="1"/>
  <c r="F70" i="3"/>
  <c r="H70" i="3" s="1"/>
  <c r="G57" i="4"/>
  <c r="I57" i="4" s="1"/>
  <c r="F72" i="3"/>
  <c r="H72" i="3" s="1"/>
  <c r="G65" i="4"/>
  <c r="I65" i="4" s="1"/>
  <c r="F80" i="3"/>
  <c r="H80" i="3" s="1"/>
  <c r="G60" i="4"/>
  <c r="I60" i="4" s="1"/>
  <c r="F75" i="3"/>
  <c r="H75" i="3" s="1"/>
  <c r="G62" i="4"/>
  <c r="I62" i="4" s="1"/>
  <c r="F77" i="3"/>
  <c r="H77" i="3" s="1"/>
  <c r="G1189" i="4"/>
  <c r="I1189" i="4" s="1"/>
  <c r="F109" i="3"/>
  <c r="H109" i="3" s="1"/>
  <c r="G67" i="4"/>
  <c r="I67" i="4" s="1"/>
  <c r="F82" i="3"/>
  <c r="H82" i="3" s="1"/>
  <c r="G212" i="4"/>
  <c r="I212" i="4" s="1"/>
  <c r="F704" i="3"/>
  <c r="H704" i="3" s="1"/>
  <c r="F55" i="3"/>
  <c r="H55" i="3" s="1"/>
  <c r="F363" i="3"/>
  <c r="H363" i="3" s="1"/>
  <c r="G927" i="4"/>
  <c r="I927" i="4" s="1"/>
  <c r="G1038" i="4"/>
  <c r="I1038" i="4" s="1"/>
  <c r="G1078" i="4"/>
  <c r="I1078" i="4" s="1"/>
  <c r="G287" i="4"/>
  <c r="I287" i="4" s="1"/>
  <c r="G445" i="4"/>
  <c r="I445" i="4" s="1"/>
  <c r="G774" i="4"/>
  <c r="I774" i="4" s="1"/>
  <c r="G789" i="4"/>
  <c r="I789" i="4" s="1"/>
  <c r="F246" i="3"/>
  <c r="H246" i="3" s="1"/>
  <c r="G600" i="4"/>
  <c r="I600" i="4" s="1"/>
  <c r="F1000" i="3"/>
  <c r="H1000" i="3" s="1"/>
  <c r="G156" i="4"/>
  <c r="I156" i="4" s="1"/>
  <c r="G181" i="4"/>
  <c r="I181" i="4" s="1"/>
  <c r="G463" i="4"/>
  <c r="I463" i="4" s="1"/>
  <c r="G667" i="4"/>
  <c r="I667" i="4" s="1"/>
  <c r="G931" i="4"/>
  <c r="I931" i="4" s="1"/>
  <c r="G950" i="4"/>
  <c r="I950" i="4" s="1"/>
  <c r="G421" i="4"/>
  <c r="I421" i="4" s="1"/>
  <c r="G283" i="4"/>
  <c r="I283" i="4" s="1"/>
  <c r="G1030" i="4"/>
  <c r="I1030" i="4" s="1"/>
  <c r="F468" i="3"/>
  <c r="H468" i="3" s="1"/>
  <c r="F1072" i="3"/>
  <c r="H1072" i="3" s="1"/>
  <c r="G210" i="4"/>
  <c r="I210" i="4" s="1"/>
  <c r="G221" i="4"/>
  <c r="I221" i="4" s="1"/>
  <c r="G297" i="4"/>
  <c r="I297" i="4" s="1"/>
  <c r="G379" i="4"/>
  <c r="G467" i="4"/>
  <c r="I467" i="4" s="1"/>
  <c r="G813" i="4"/>
  <c r="I813" i="4" s="1"/>
  <c r="G859" i="4"/>
  <c r="I859" i="4" s="1"/>
  <c r="G929" i="4"/>
  <c r="I929" i="4" s="1"/>
  <c r="G1159" i="4"/>
  <c r="F439" i="3"/>
  <c r="H439" i="3" s="1"/>
  <c r="F864" i="3"/>
  <c r="H864" i="3" s="1"/>
  <c r="F1022" i="3"/>
  <c r="H1022" i="3" s="1"/>
  <c r="F451" i="3"/>
  <c r="H451" i="3" s="1"/>
  <c r="F473" i="3"/>
  <c r="H473" i="3" s="1"/>
  <c r="F489" i="3"/>
  <c r="F1010" i="3"/>
  <c r="H1010" i="3" s="1"/>
  <c r="G152" i="4"/>
  <c r="I152" i="4" s="1"/>
  <c r="G432" i="4"/>
  <c r="I432" i="4" s="1"/>
  <c r="G436" i="4"/>
  <c r="I436" i="4" s="1"/>
  <c r="G676" i="4"/>
  <c r="I676" i="4" s="1"/>
  <c r="G697" i="4"/>
  <c r="I697" i="4" s="1"/>
  <c r="G836" i="4"/>
  <c r="I836" i="4" s="1"/>
  <c r="G846" i="4"/>
  <c r="I846" i="4" s="1"/>
  <c r="G1007" i="4"/>
  <c r="I1007" i="4" s="1"/>
  <c r="G1069" i="4"/>
  <c r="I1069" i="4" s="1"/>
  <c r="G50" i="5"/>
  <c r="I50" i="5" s="1"/>
  <c r="G335" i="4"/>
  <c r="G273" i="5"/>
  <c r="I273" i="5" s="1"/>
  <c r="G590" i="4"/>
  <c r="I590" i="4" s="1"/>
  <c r="F528" i="3"/>
  <c r="H528" i="3" s="1"/>
  <c r="G292" i="5"/>
  <c r="I292" i="5" s="1"/>
  <c r="F539" i="3"/>
  <c r="H539" i="3" s="1"/>
  <c r="F1006" i="3"/>
  <c r="H1006" i="3" s="1"/>
  <c r="G994" i="4"/>
  <c r="G1017" i="5"/>
  <c r="I1017" i="5" s="1"/>
  <c r="G528" i="4"/>
  <c r="I528" i="4" s="1"/>
  <c r="G749" i="4"/>
  <c r="I749" i="4" s="1"/>
  <c r="F698" i="3"/>
  <c r="H698" i="3" s="1"/>
  <c r="G903" i="4"/>
  <c r="I903" i="4" s="1"/>
  <c r="G982" i="4"/>
  <c r="I982" i="4" s="1"/>
  <c r="F46" i="3"/>
  <c r="H46" i="3" s="1"/>
  <c r="F52" i="3"/>
  <c r="H52" i="3" s="1"/>
  <c r="F621" i="3"/>
  <c r="H621" i="3" s="1"/>
  <c r="G15" i="4"/>
  <c r="I15" i="4" s="1"/>
  <c r="G602" i="5"/>
  <c r="I602" i="5" s="1"/>
  <c r="G349" i="4"/>
  <c r="I349" i="4" s="1"/>
  <c r="G66" i="5"/>
  <c r="I66" i="5" s="1"/>
  <c r="G453" i="4"/>
  <c r="I453" i="4" s="1"/>
  <c r="G169" i="5"/>
  <c r="I169" i="5" s="1"/>
  <c r="G563" i="4"/>
  <c r="I563" i="4" s="1"/>
  <c r="G603" i="4"/>
  <c r="I603" i="4" s="1"/>
  <c r="G28" i="5"/>
  <c r="I28" i="5" s="1"/>
  <c r="G111" i="4"/>
  <c r="I111" i="4" s="1"/>
  <c r="G670" i="4"/>
  <c r="I670" i="4" s="1"/>
  <c r="G326" i="5"/>
  <c r="I326" i="5" s="1"/>
  <c r="G687" i="4"/>
  <c r="I687" i="4" s="1"/>
  <c r="F608" i="3"/>
  <c r="H608" i="3" s="1"/>
  <c r="G357" i="4"/>
  <c r="I357" i="4" s="1"/>
  <c r="G680" i="4"/>
  <c r="I680" i="4" s="1"/>
  <c r="G866" i="4"/>
  <c r="I866" i="4" s="1"/>
  <c r="G1026" i="4"/>
  <c r="I1026" i="4" s="1"/>
  <c r="G1178" i="4"/>
  <c r="I1178" i="4" s="1"/>
  <c r="F35" i="3"/>
  <c r="H35" i="3" s="1"/>
  <c r="G1001" i="4"/>
  <c r="I1001" i="4" s="1"/>
  <c r="G1015" i="4"/>
  <c r="F431" i="3"/>
  <c r="H431" i="3" s="1"/>
  <c r="G113" i="4"/>
  <c r="I113" i="4" s="1"/>
  <c r="G333" i="4"/>
  <c r="I333" i="4" s="1"/>
  <c r="G605" i="5"/>
  <c r="I605" i="5" s="1"/>
  <c r="G351" i="4"/>
  <c r="I351" i="4" s="1"/>
  <c r="F844" i="3"/>
  <c r="H844" i="3" s="1"/>
  <c r="G326" i="4"/>
  <c r="I326" i="4" s="1"/>
  <c r="G648" i="5"/>
  <c r="I648" i="5" s="1"/>
  <c r="G377" i="4"/>
  <c r="I377" i="4" s="1"/>
  <c r="F862" i="3"/>
  <c r="H862" i="3" s="1"/>
  <c r="G33" i="4"/>
  <c r="I33" i="4" s="1"/>
  <c r="F48" i="3"/>
  <c r="H48" i="3" s="1"/>
  <c r="G491" i="5"/>
  <c r="I491" i="5" s="1"/>
  <c r="G149" i="4"/>
  <c r="I149" i="4" s="1"/>
  <c r="F237" i="3"/>
  <c r="H237" i="3" s="1"/>
  <c r="G285" i="4"/>
  <c r="I285" i="4" s="1"/>
  <c r="G599" i="5"/>
  <c r="I599" i="5" s="1"/>
  <c r="G347" i="4"/>
  <c r="I347" i="4" s="1"/>
  <c r="F840" i="3"/>
  <c r="H840" i="3" s="1"/>
  <c r="G355" i="4"/>
  <c r="G538" i="4"/>
  <c r="I538" i="4" s="1"/>
  <c r="G654" i="5"/>
  <c r="I654" i="5" s="1"/>
  <c r="G381" i="4"/>
  <c r="F583" i="3"/>
  <c r="H583" i="3" s="1"/>
  <c r="G449" i="5"/>
  <c r="I449" i="5" s="1"/>
  <c r="G587" i="5"/>
  <c r="I587" i="5" s="1"/>
  <c r="G914" i="4"/>
  <c r="I914" i="4" s="1"/>
  <c r="G587" i="4"/>
  <c r="I587" i="4" s="1"/>
  <c r="G634" i="4"/>
  <c r="I634" i="4" s="1"/>
  <c r="G694" i="4"/>
  <c r="I694" i="4" s="1"/>
  <c r="G25" i="5"/>
  <c r="I25" i="5" s="1"/>
  <c r="G962" i="4"/>
  <c r="I962" i="4" s="1"/>
  <c r="G1034" i="4"/>
  <c r="G1072" i="4"/>
  <c r="I1072" i="4" s="1"/>
  <c r="G795" i="5"/>
  <c r="I795" i="5" s="1"/>
  <c r="G887" i="4"/>
  <c r="I887" i="4" s="1"/>
  <c r="G916" i="4"/>
  <c r="I916" i="4" s="1"/>
  <c r="G964" i="4"/>
  <c r="G1074" i="4"/>
  <c r="G1086" i="4"/>
  <c r="I1086" i="4" s="1"/>
  <c r="G1106" i="4"/>
  <c r="I1106" i="4" s="1"/>
  <c r="F924" i="3"/>
  <c r="H924" i="3" s="1"/>
  <c r="G274" i="11"/>
  <c r="G273" i="11" s="1"/>
  <c r="G272" i="11" s="1"/>
  <c r="G293" i="11" s="1"/>
  <c r="G49" i="11"/>
  <c r="G48" i="11" s="1"/>
  <c r="G47" i="11" s="1"/>
  <c r="G46" i="11" s="1"/>
  <c r="G54" i="11" s="1"/>
  <c r="G120" i="11"/>
  <c r="G119" i="11" s="1"/>
  <c r="G118" i="11" s="1"/>
  <c r="G136" i="11" s="1"/>
  <c r="G22" i="11"/>
  <c r="G21" i="11" s="1"/>
  <c r="G20" i="11" s="1"/>
  <c r="G31" i="11" s="1"/>
  <c r="G171" i="4"/>
  <c r="I171" i="4" s="1"/>
  <c r="G230" i="11"/>
  <c r="G226" i="11" s="1"/>
  <c r="G225" i="11" s="1"/>
  <c r="G224" i="11" s="1"/>
  <c r="G241" i="11" s="1"/>
  <c r="G308" i="11"/>
  <c r="G355" i="11"/>
  <c r="G354" i="11" s="1"/>
  <c r="G353" i="11" s="1"/>
  <c r="G369" i="11" s="1"/>
  <c r="G436" i="11"/>
  <c r="G435" i="11" s="1"/>
  <c r="G434" i="11" s="1"/>
  <c r="G433" i="11" s="1"/>
  <c r="G450" i="11" s="1"/>
  <c r="G493" i="11"/>
  <c r="G489" i="11" s="1"/>
  <c r="G488" i="11" s="1"/>
  <c r="G13" i="11"/>
  <c r="G10" i="11" s="1"/>
  <c r="G163" i="11"/>
  <c r="G162" i="11" s="1"/>
  <c r="G141" i="11" s="1"/>
  <c r="G179" i="11" s="1"/>
  <c r="D18" i="2"/>
  <c r="F906" i="3"/>
  <c r="H906" i="3" s="1"/>
  <c r="G263" i="11"/>
  <c r="G249" i="11"/>
  <c r="G194" i="11"/>
  <c r="G188" i="11"/>
  <c r="G296" i="11"/>
  <c r="G295" i="11" s="1"/>
  <c r="G294" i="11" s="1"/>
  <c r="G300" i="11" s="1"/>
  <c r="G329" i="11"/>
  <c r="G328" i="11" s="1"/>
  <c r="G327" i="11" s="1"/>
  <c r="G104" i="11"/>
  <c r="G103" i="11" s="1"/>
  <c r="G219" i="11"/>
  <c r="G218" i="11" s="1"/>
  <c r="G217" i="11"/>
  <c r="G223" i="11" s="1"/>
  <c r="G460" i="11"/>
  <c r="G459" i="11" s="1"/>
  <c r="G458" i="11" s="1"/>
  <c r="G486" i="11" s="1"/>
  <c r="G521" i="11"/>
  <c r="G526" i="11"/>
  <c r="G320" i="11"/>
  <c r="G319" i="11" s="1"/>
  <c r="G318" i="11" s="1"/>
  <c r="G317" i="11" s="1"/>
  <c r="G325" i="11" s="1"/>
  <c r="G422" i="11"/>
  <c r="G421" i="11" s="1"/>
  <c r="G420" i="11" s="1"/>
  <c r="G500" i="11"/>
  <c r="G499" i="11" s="1"/>
  <c r="G510" i="11" s="1"/>
  <c r="G513" i="11"/>
  <c r="G512" i="11" s="1"/>
  <c r="G920" i="15" l="1"/>
  <c r="G12" i="6"/>
  <c r="I13" i="6"/>
  <c r="G1123" i="4"/>
  <c r="I1123" i="4" s="1"/>
  <c r="I1126" i="4"/>
  <c r="G31" i="6"/>
  <c r="I32" i="6"/>
  <c r="G27" i="6"/>
  <c r="I28" i="6"/>
  <c r="G223" i="15"/>
  <c r="I223" i="4"/>
  <c r="H355" i="15"/>
  <c r="H353" i="15" s="1"/>
  <c r="I355" i="4"/>
  <c r="G928" i="15"/>
  <c r="H928" i="15" s="1"/>
  <c r="I1015" i="4"/>
  <c r="G1158" i="4"/>
  <c r="I1158" i="4" s="1"/>
  <c r="I1159" i="4"/>
  <c r="G925" i="15"/>
  <c r="H925" i="15" s="1"/>
  <c r="I1012" i="4"/>
  <c r="G543" i="15"/>
  <c r="H543" i="15" s="1"/>
  <c r="I554" i="4"/>
  <c r="G253" i="15"/>
  <c r="H253" i="15" s="1"/>
  <c r="H252" i="15" s="1"/>
  <c r="I253" i="4"/>
  <c r="G199" i="15"/>
  <c r="G198" i="15" s="1"/>
  <c r="G197" i="15" s="1"/>
  <c r="I203" i="4"/>
  <c r="G889" i="15"/>
  <c r="H889" i="15" s="1"/>
  <c r="H885" i="15" s="1"/>
  <c r="I964" i="4"/>
  <c r="G332" i="4"/>
  <c r="I332" i="4" s="1"/>
  <c r="I335" i="4"/>
  <c r="G947" i="15"/>
  <c r="H947" i="15" s="1"/>
  <c r="I1034" i="4"/>
  <c r="G993" i="4"/>
  <c r="I993" i="4" s="1"/>
  <c r="I994" i="4"/>
  <c r="G1111" i="4"/>
  <c r="I1111" i="4" s="1"/>
  <c r="I1116" i="4"/>
  <c r="G699" i="4"/>
  <c r="I699" i="4" s="1"/>
  <c r="I700" i="4"/>
  <c r="G1001" i="15"/>
  <c r="I1090" i="4"/>
  <c r="G517" i="15"/>
  <c r="H517" i="15" s="1"/>
  <c r="I522" i="4"/>
  <c r="G256" i="15"/>
  <c r="H256" i="15" s="1"/>
  <c r="I256" i="4"/>
  <c r="G132" i="4"/>
  <c r="I132" i="4" s="1"/>
  <c r="I1249" i="4" s="1"/>
  <c r="I134" i="4"/>
  <c r="D18" i="13"/>
  <c r="F18" i="2"/>
  <c r="G985" i="15"/>
  <c r="H985" i="15" s="1"/>
  <c r="I1074" i="4"/>
  <c r="H378" i="15"/>
  <c r="I381" i="4"/>
  <c r="H376" i="15"/>
  <c r="I379" i="4"/>
  <c r="G794" i="4"/>
  <c r="I794" i="4" s="1"/>
  <c r="I795" i="4"/>
  <c r="G1091" i="15"/>
  <c r="H1091" i="15" s="1"/>
  <c r="I1182" i="4"/>
  <c r="G1037" i="15"/>
  <c r="H1037" i="15" s="1"/>
  <c r="I1128" i="4"/>
  <c r="G806" i="15"/>
  <c r="I855" i="4"/>
  <c r="G799" i="15"/>
  <c r="H799" i="15" s="1"/>
  <c r="I848" i="4"/>
  <c r="G765" i="4"/>
  <c r="I765" i="4" s="1"/>
  <c r="I766" i="4"/>
  <c r="G237" i="15"/>
  <c r="H237" i="15" s="1"/>
  <c r="I237" i="4"/>
  <c r="G363" i="4"/>
  <c r="I363" i="4" s="1"/>
  <c r="I367" i="4"/>
  <c r="G128" i="4"/>
  <c r="I128" i="4" s="1"/>
  <c r="I129" i="4"/>
  <c r="G37" i="6"/>
  <c r="I38" i="6"/>
  <c r="G748" i="5"/>
  <c r="I748" i="5" s="1"/>
  <c r="I747" i="5"/>
  <c r="G742" i="5"/>
  <c r="I742" i="5" s="1"/>
  <c r="I743" i="5"/>
  <c r="G258" i="5"/>
  <c r="I258" i="5" s="1"/>
  <c r="I257" i="5"/>
  <c r="G1008" i="5"/>
  <c r="I1008" i="5" s="1"/>
  <c r="I1009" i="5"/>
  <c r="G346" i="5"/>
  <c r="I346" i="5" s="1"/>
  <c r="I345" i="5"/>
  <c r="G726" i="5"/>
  <c r="I726" i="5" s="1"/>
  <c r="I725" i="5"/>
  <c r="G779" i="5"/>
  <c r="I779" i="5" s="1"/>
  <c r="I780" i="5"/>
  <c r="F848" i="3"/>
  <c r="H848" i="3" s="1"/>
  <c r="H852" i="3"/>
  <c r="F462" i="14"/>
  <c r="G462" i="14" s="1"/>
  <c r="H489" i="3"/>
  <c r="F427" i="14"/>
  <c r="G427" i="14" s="1"/>
  <c r="H455" i="3"/>
  <c r="F942" i="14"/>
  <c r="H1012" i="3"/>
  <c r="F146" i="3"/>
  <c r="H146" i="3" s="1"/>
  <c r="H147" i="3"/>
  <c r="F518" i="14"/>
  <c r="G518" i="14" s="1"/>
  <c r="H545" i="3"/>
  <c r="F883" i="3"/>
  <c r="H883" i="3" s="1"/>
  <c r="H890" i="3"/>
  <c r="F615" i="14"/>
  <c r="H642" i="3"/>
  <c r="F272" i="14"/>
  <c r="G272" i="14" s="1"/>
  <c r="H284" i="3"/>
  <c r="F289" i="3"/>
  <c r="H289" i="3" s="1"/>
  <c r="H290" i="3"/>
  <c r="F1078" i="3"/>
  <c r="H1078" i="3" s="1"/>
  <c r="H1079" i="3"/>
  <c r="G192" i="5"/>
  <c r="I192" i="5" s="1"/>
  <c r="H699" i="3"/>
  <c r="F373" i="14"/>
  <c r="G373" i="14" s="1"/>
  <c r="H396" i="3"/>
  <c r="F15" i="3"/>
  <c r="H15" i="3" s="1"/>
  <c r="H16" i="3"/>
  <c r="F412" i="14"/>
  <c r="H437" i="3"/>
  <c r="G371" i="5"/>
  <c r="I371" i="5" s="1"/>
  <c r="I372" i="5"/>
  <c r="C114" i="1"/>
  <c r="E114" i="1" s="1"/>
  <c r="E115" i="1"/>
  <c r="C99" i="1"/>
  <c r="E99" i="1" s="1"/>
  <c r="E112" i="1"/>
  <c r="C134" i="1"/>
  <c r="E134" i="1" s="1"/>
  <c r="E135" i="1"/>
  <c r="G631" i="15"/>
  <c r="G557" i="15"/>
  <c r="F564" i="14"/>
  <c r="G963" i="10"/>
  <c r="G121" i="10"/>
  <c r="G97" i="10" s="1"/>
  <c r="G56" i="10" s="1"/>
  <c r="G398" i="4"/>
  <c r="I398" i="4" s="1"/>
  <c r="F490" i="14"/>
  <c r="G377" i="14"/>
  <c r="G376" i="14" s="1"/>
  <c r="G375" i="14" s="1"/>
  <c r="C113" i="12"/>
  <c r="C112" i="12" s="1"/>
  <c r="C111" i="12" s="1"/>
  <c r="H793" i="16"/>
  <c r="H792" i="16" s="1"/>
  <c r="H791" i="16" s="1"/>
  <c r="H790" i="16" s="1"/>
  <c r="H789" i="16" s="1"/>
  <c r="H788" i="16" s="1"/>
  <c r="G369" i="14"/>
  <c r="G368" i="14" s="1"/>
  <c r="G367" i="14" s="1"/>
  <c r="G848" i="10"/>
  <c r="G1003" i="10" s="1"/>
  <c r="G195" i="10"/>
  <c r="G926" i="10"/>
  <c r="G925" i="10" s="1"/>
  <c r="G390" i="10"/>
  <c r="G994" i="10" s="1"/>
  <c r="G655" i="10"/>
  <c r="G645" i="10" s="1"/>
  <c r="G1000" i="10"/>
  <c r="G373" i="10"/>
  <c r="G358" i="10" s="1"/>
  <c r="G30" i="10"/>
  <c r="G29" i="10" s="1"/>
  <c r="G733" i="10"/>
  <c r="G725" i="10" s="1"/>
  <c r="G704" i="10" s="1"/>
  <c r="G989" i="10" s="1"/>
  <c r="G338" i="10"/>
  <c r="G337" i="10" s="1"/>
  <c r="G826" i="10"/>
  <c r="G800" i="10" s="1"/>
  <c r="G1006" i="10"/>
  <c r="G612" i="10"/>
  <c r="G279" i="10"/>
  <c r="G1001" i="10" s="1"/>
  <c r="G777" i="10"/>
  <c r="G770" i="10" s="1"/>
  <c r="G984" i="10" s="1"/>
  <c r="G900" i="10"/>
  <c r="G899" i="10" s="1"/>
  <c r="G675" i="10"/>
  <c r="G674" i="10" s="1"/>
  <c r="G959" i="4"/>
  <c r="I959" i="4" s="1"/>
  <c r="H232" i="15"/>
  <c r="G231" i="15"/>
  <c r="H231" i="15" s="1"/>
  <c r="D120" i="12"/>
  <c r="G546" i="10"/>
  <c r="G459" i="10"/>
  <c r="G995" i="10"/>
  <c r="G507" i="10"/>
  <c r="G252" i="4"/>
  <c r="I252" i="4" s="1"/>
  <c r="G391" i="4"/>
  <c r="I391" i="4" s="1"/>
  <c r="G133" i="4"/>
  <c r="I133" i="4" s="1"/>
  <c r="G808" i="4"/>
  <c r="G1110" i="4"/>
  <c r="I1110" i="4" s="1"/>
  <c r="G420" i="4"/>
  <c r="G30" i="4"/>
  <c r="I30" i="4" s="1"/>
  <c r="H178" i="15"/>
  <c r="G278" i="14"/>
  <c r="G277" i="14" s="1"/>
  <c r="G502" i="4"/>
  <c r="I502" i="4" s="1"/>
  <c r="F233" i="14"/>
  <c r="G585" i="15"/>
  <c r="H585" i="15" s="1"/>
  <c r="G431" i="4"/>
  <c r="I431" i="4" s="1"/>
  <c r="G155" i="4"/>
  <c r="I155" i="4" s="1"/>
  <c r="G89" i="4"/>
  <c r="I89" i="4" s="1"/>
  <c r="H374" i="15"/>
  <c r="H373" i="15" s="1"/>
  <c r="G376" i="4"/>
  <c r="I376" i="4" s="1"/>
  <c r="G926" i="4"/>
  <c r="G1157" i="4"/>
  <c r="I1157" i="4" s="1"/>
  <c r="G209" i="4"/>
  <c r="I209" i="4" s="1"/>
  <c r="G282" i="4"/>
  <c r="I282" i="4" s="1"/>
  <c r="G793" i="4"/>
  <c r="I793" i="4" s="1"/>
  <c r="G900" i="4"/>
  <c r="F204" i="14"/>
  <c r="F203" i="14" s="1"/>
  <c r="F202" i="14" s="1"/>
  <c r="G523" i="15"/>
  <c r="G522" i="15" s="1"/>
  <c r="H109" i="15"/>
  <c r="F153" i="14"/>
  <c r="F152" i="14" s="1"/>
  <c r="G108" i="15"/>
  <c r="H1098" i="15"/>
  <c r="H1097" i="15" s="1"/>
  <c r="G102" i="14"/>
  <c r="G101" i="14" s="1"/>
  <c r="G100" i="14" s="1"/>
  <c r="G99" i="14" s="1"/>
  <c r="G231" i="14"/>
  <c r="G230" i="14" s="1"/>
  <c r="G229" i="14" s="1"/>
  <c r="H149" i="15"/>
  <c r="H148" i="15" s="1"/>
  <c r="H144" i="15" s="1"/>
  <c r="G969" i="14"/>
  <c r="G968" i="14" s="1"/>
  <c r="G967" i="14" s="1"/>
  <c r="H825" i="15"/>
  <c r="H824" i="15" s="1"/>
  <c r="H1069" i="15"/>
  <c r="F14" i="14"/>
  <c r="F13" i="14" s="1"/>
  <c r="F12" i="14" s="1"/>
  <c r="G1068" i="15"/>
  <c r="G1067" i="15" s="1"/>
  <c r="H258" i="16"/>
  <c r="H259" i="16" s="1"/>
  <c r="G654" i="14"/>
  <c r="G653" i="14" s="1"/>
  <c r="G652" i="14" s="1"/>
  <c r="H720" i="15"/>
  <c r="H719" i="15" s="1"/>
  <c r="H715" i="16"/>
  <c r="H716" i="16" s="1"/>
  <c r="G409" i="14"/>
  <c r="G408" i="14" s="1"/>
  <c r="G407" i="14" s="1"/>
  <c r="H983" i="15"/>
  <c r="H982" i="15" s="1"/>
  <c r="H62" i="15"/>
  <c r="G70" i="14"/>
  <c r="G69" i="14" s="1"/>
  <c r="H60" i="15"/>
  <c r="G68" i="14"/>
  <c r="G67" i="14" s="1"/>
  <c r="H65" i="15"/>
  <c r="G73" i="14"/>
  <c r="G72" i="14" s="1"/>
  <c r="H1087" i="15"/>
  <c r="H1086" i="15" s="1"/>
  <c r="G33" i="14"/>
  <c r="G32" i="14" s="1"/>
  <c r="G31" i="14" s="1"/>
  <c r="G981" i="14"/>
  <c r="G980" i="14" s="1"/>
  <c r="H837" i="15"/>
  <c r="G749" i="15"/>
  <c r="G997" i="15"/>
  <c r="G996" i="15" s="1"/>
  <c r="F423" i="14"/>
  <c r="F422" i="14" s="1"/>
  <c r="F421" i="14" s="1"/>
  <c r="F417" i="14" s="1"/>
  <c r="F416" i="14" s="1"/>
  <c r="H503" i="15"/>
  <c r="H502" i="15" s="1"/>
  <c r="G502" i="15"/>
  <c r="G497" i="15" s="1"/>
  <c r="H43" i="15"/>
  <c r="F50" i="14"/>
  <c r="F49" i="14" s="1"/>
  <c r="G42" i="15"/>
  <c r="G35" i="15" s="1"/>
  <c r="H864" i="15"/>
  <c r="F139" i="14"/>
  <c r="F138" i="14" s="1"/>
  <c r="G863" i="15"/>
  <c r="F958" i="14"/>
  <c r="F957" i="14" s="1"/>
  <c r="F956" i="14" s="1"/>
  <c r="G814" i="15"/>
  <c r="G813" i="15" s="1"/>
  <c r="F641" i="14"/>
  <c r="F640" i="14" s="1"/>
  <c r="F639" i="14" s="1"/>
  <c r="G707" i="15"/>
  <c r="G706" i="15" s="1"/>
  <c r="H46" i="15"/>
  <c r="F53" i="14"/>
  <c r="F52" i="14" s="1"/>
  <c r="F51" i="14" s="1"/>
  <c r="H862" i="15"/>
  <c r="F137" i="14"/>
  <c r="F136" i="14" s="1"/>
  <c r="G861" i="15"/>
  <c r="F469" i="14"/>
  <c r="F466" i="14"/>
  <c r="G977" i="14"/>
  <c r="G976" i="14" s="1"/>
  <c r="H833" i="15"/>
  <c r="G745" i="14"/>
  <c r="G744" i="14" s="1"/>
  <c r="H752" i="15"/>
  <c r="G753" i="14"/>
  <c r="G752" i="14" s="1"/>
  <c r="G751" i="14" s="1"/>
  <c r="H760" i="15"/>
  <c r="H759" i="15" s="1"/>
  <c r="G152" i="15"/>
  <c r="G151" i="15" s="1"/>
  <c r="H153" i="15"/>
  <c r="F741" i="14"/>
  <c r="F443" i="14"/>
  <c r="F442" i="14" s="1"/>
  <c r="F441" i="14" s="1"/>
  <c r="G1017" i="15"/>
  <c r="G1016" i="15" s="1"/>
  <c r="F610" i="14"/>
  <c r="F609" i="14" s="1"/>
  <c r="F608" i="14" s="1"/>
  <c r="G676" i="15"/>
  <c r="G675" i="15" s="1"/>
  <c r="F891" i="14"/>
  <c r="F890" i="14" s="1"/>
  <c r="F889" i="14" s="1"/>
  <c r="G460" i="15"/>
  <c r="G459" i="15" s="1"/>
  <c r="H111" i="15"/>
  <c r="F155" i="14"/>
  <c r="F154" i="14" s="1"/>
  <c r="G110" i="15"/>
  <c r="F990" i="14"/>
  <c r="F989" i="14" s="1"/>
  <c r="F988" i="14" s="1"/>
  <c r="G846" i="15"/>
  <c r="G845" i="15" s="1"/>
  <c r="F603" i="14"/>
  <c r="F602" i="14" s="1"/>
  <c r="F601" i="14" s="1"/>
  <c r="G669" i="15"/>
  <c r="G668" i="15" s="1"/>
  <c r="H771" i="16"/>
  <c r="H770" i="16" s="1"/>
  <c r="H769" i="16" s="1"/>
  <c r="H764" i="16" s="1"/>
  <c r="H763" i="16" s="1"/>
  <c r="H762" i="16" s="1"/>
  <c r="H761" i="16" s="1"/>
  <c r="G250" i="14"/>
  <c r="G249" i="14" s="1"/>
  <c r="G248" i="14" s="1"/>
  <c r="H168" i="15"/>
  <c r="H167" i="15" s="1"/>
  <c r="H443" i="15"/>
  <c r="F867" i="14"/>
  <c r="F866" i="14" s="1"/>
  <c r="F865" i="14" s="1"/>
  <c r="G442" i="15"/>
  <c r="G441" i="15" s="1"/>
  <c r="H1035" i="15"/>
  <c r="H1034" i="15" s="1"/>
  <c r="G461" i="14"/>
  <c r="G460" i="14" s="1"/>
  <c r="G459" i="14" s="1"/>
  <c r="H1027" i="15"/>
  <c r="H1022" i="15" s="1"/>
  <c r="G453" i="14"/>
  <c r="G452" i="14" s="1"/>
  <c r="G447" i="14" s="1"/>
  <c r="H764" i="15"/>
  <c r="H769" i="15"/>
  <c r="G761" i="14" s="1"/>
  <c r="G760" i="14" s="1"/>
  <c r="G755" i="14" s="1"/>
  <c r="F761" i="14"/>
  <c r="F760" i="14" s="1"/>
  <c r="F755" i="14" s="1"/>
  <c r="G768" i="15"/>
  <c r="G763" i="15" s="1"/>
  <c r="H514" i="16"/>
  <c r="H513" i="16" s="1"/>
  <c r="G992" i="14"/>
  <c r="G991" i="14" s="1"/>
  <c r="H848" i="15"/>
  <c r="H496" i="16"/>
  <c r="H497" i="16" s="1"/>
  <c r="G954" i="14"/>
  <c r="G953" i="14" s="1"/>
  <c r="G952" i="14" s="1"/>
  <c r="G948" i="14" s="1"/>
  <c r="H810" i="15"/>
  <c r="H809" i="15" s="1"/>
  <c r="H364" i="16"/>
  <c r="H363" i="16" s="1"/>
  <c r="H362" i="16" s="1"/>
  <c r="G620" i="14"/>
  <c r="G619" i="14" s="1"/>
  <c r="G618" i="14" s="1"/>
  <c r="G614" i="14" s="1"/>
  <c r="H686" i="15"/>
  <c r="H685" i="15" s="1"/>
  <c r="H45" i="16"/>
  <c r="H46" i="16" s="1"/>
  <c r="G722" i="14"/>
  <c r="G721" i="14" s="1"/>
  <c r="G720" i="14" s="1"/>
  <c r="H333" i="15"/>
  <c r="H332" i="15" s="1"/>
  <c r="H331" i="16"/>
  <c r="H332" i="16" s="1"/>
  <c r="G599" i="14"/>
  <c r="G598" i="14" s="1"/>
  <c r="G597" i="14" s="1"/>
  <c r="G587" i="14" s="1"/>
  <c r="H665" i="15"/>
  <c r="H664" i="15" s="1"/>
  <c r="H766" i="15"/>
  <c r="H836" i="15"/>
  <c r="F979" i="14"/>
  <c r="F978" i="14" s="1"/>
  <c r="F975" i="14" s="1"/>
  <c r="G835" i="15"/>
  <c r="G832" i="15" s="1"/>
  <c r="F526" i="14"/>
  <c r="F525" i="14" s="1"/>
  <c r="F524" i="14" s="1"/>
  <c r="G592" i="15"/>
  <c r="G591" i="15" s="1"/>
  <c r="F694" i="14"/>
  <c r="F693" i="14" s="1"/>
  <c r="F692" i="14" s="1"/>
  <c r="G308" i="15"/>
  <c r="G307" i="15" s="1"/>
  <c r="G734" i="14"/>
  <c r="G733" i="14" s="1"/>
  <c r="G732" i="14" s="1"/>
  <c r="H741" i="15"/>
  <c r="H740" i="15" s="1"/>
  <c r="H379" i="16"/>
  <c r="H378" i="16" s="1"/>
  <c r="H377" i="16" s="1"/>
  <c r="H376" i="16" s="1"/>
  <c r="H375" i="16" s="1"/>
  <c r="G663" i="14"/>
  <c r="G662" i="14" s="1"/>
  <c r="G661" i="14" s="1"/>
  <c r="H729" i="15"/>
  <c r="H728" i="15" s="1"/>
  <c r="H285" i="16"/>
  <c r="H284" i="16" s="1"/>
  <c r="H283" i="16" s="1"/>
  <c r="G523" i="14"/>
  <c r="G522" i="14" s="1"/>
  <c r="G521" i="14" s="1"/>
  <c r="H589" i="15"/>
  <c r="H588" i="15" s="1"/>
  <c r="H154" i="16"/>
  <c r="H155" i="16" s="1"/>
  <c r="G164" i="14"/>
  <c r="G163" i="14" s="1"/>
  <c r="G162" i="14" s="1"/>
  <c r="H221" i="15"/>
  <c r="H220" i="15" s="1"/>
  <c r="H908" i="16"/>
  <c r="H907" i="16" s="1"/>
  <c r="H906" i="16" s="1"/>
  <c r="H905" i="16" s="1"/>
  <c r="H904" i="16" s="1"/>
  <c r="H877" i="16" s="1"/>
  <c r="H865" i="16" s="1"/>
  <c r="G963" i="14"/>
  <c r="G962" i="14" s="1"/>
  <c r="G961" i="14" s="1"/>
  <c r="H819" i="15"/>
  <c r="H818" i="15" s="1"/>
  <c r="H212" i="15"/>
  <c r="H209" i="15" s="1"/>
  <c r="G918" i="14"/>
  <c r="G917" i="14" s="1"/>
  <c r="G914" i="14" s="1"/>
  <c r="H67" i="15"/>
  <c r="G75" i="14"/>
  <c r="G74" i="14" s="1"/>
  <c r="H680" i="15"/>
  <c r="F613" i="14"/>
  <c r="F612" i="14" s="1"/>
  <c r="F611" i="14" s="1"/>
  <c r="G679" i="15"/>
  <c r="G678" i="15" s="1"/>
  <c r="H1044" i="15"/>
  <c r="H1041" i="15" s="1"/>
  <c r="G470" i="14"/>
  <c r="G330" i="14"/>
  <c r="G329" i="14" s="1"/>
  <c r="G328" i="14" s="1"/>
  <c r="H533" i="15"/>
  <c r="H532" i="15" s="1"/>
  <c r="H877" i="15"/>
  <c r="H876" i="15" s="1"/>
  <c r="G260" i="14"/>
  <c r="G259" i="14" s="1"/>
  <c r="G258" i="14" s="1"/>
  <c r="G327" i="14"/>
  <c r="G326" i="14" s="1"/>
  <c r="G325" i="14" s="1"/>
  <c r="H901" i="15"/>
  <c r="H900" i="15" s="1"/>
  <c r="H750" i="15"/>
  <c r="G743" i="14"/>
  <c r="G742" i="14" s="1"/>
  <c r="G237" i="14"/>
  <c r="G236" i="14" s="1"/>
  <c r="G233" i="14" s="1"/>
  <c r="H155" i="15"/>
  <c r="H515" i="15"/>
  <c r="H514" i="15" s="1"/>
  <c r="G143" i="14"/>
  <c r="G142" i="14" s="1"/>
  <c r="G141" i="14" s="1"/>
  <c r="H241" i="16"/>
  <c r="H242" i="16" s="1"/>
  <c r="G585" i="14"/>
  <c r="G584" i="14" s="1"/>
  <c r="G583" i="14" s="1"/>
  <c r="H651" i="15"/>
  <c r="H650" i="15" s="1"/>
  <c r="H233" i="16"/>
  <c r="H232" i="16" s="1"/>
  <c r="H231" i="16" s="1"/>
  <c r="G579" i="14"/>
  <c r="G578" i="14" s="1"/>
  <c r="G577" i="14" s="1"/>
  <c r="H645" i="15"/>
  <c r="H644" i="15" s="1"/>
  <c r="G717" i="15"/>
  <c r="G716" i="15" s="1"/>
  <c r="G709" i="15" s="1"/>
  <c r="F651" i="14"/>
  <c r="F650" i="14" s="1"/>
  <c r="F649" i="14" s="1"/>
  <c r="F642" i="14" s="1"/>
  <c r="H212" i="16"/>
  <c r="H211" i="16" s="1"/>
  <c r="H210" i="16" s="1"/>
  <c r="G505" i="14"/>
  <c r="G504" i="14" s="1"/>
  <c r="G503" i="14" s="1"/>
  <c r="H571" i="15"/>
  <c r="H570" i="15" s="1"/>
  <c r="H204" i="16"/>
  <c r="H203" i="16" s="1"/>
  <c r="H202" i="16" s="1"/>
  <c r="G499" i="14"/>
  <c r="G498" i="14" s="1"/>
  <c r="G497" i="14" s="1"/>
  <c r="H565" i="15"/>
  <c r="H564" i="15" s="1"/>
  <c r="F700" i="14"/>
  <c r="F699" i="14" s="1"/>
  <c r="F698" i="14" s="1"/>
  <c r="G314" i="15"/>
  <c r="G313" i="15" s="1"/>
  <c r="F697" i="14"/>
  <c r="F696" i="14" s="1"/>
  <c r="F695" i="14" s="1"/>
  <c r="G311" i="15"/>
  <c r="G310" i="15" s="1"/>
  <c r="H55" i="15"/>
  <c r="H54" i="15" s="1"/>
  <c r="G63" i="14"/>
  <c r="G62" i="14" s="1"/>
  <c r="G61" i="14" s="1"/>
  <c r="H387" i="16"/>
  <c r="H386" i="16" s="1"/>
  <c r="H385" i="16" s="1"/>
  <c r="G228" i="15"/>
  <c r="H228" i="15" s="1"/>
  <c r="G227" i="4"/>
  <c r="G353" i="16"/>
  <c r="G352" i="16" s="1"/>
  <c r="G351" i="16" s="1"/>
  <c r="G127" i="4"/>
  <c r="G64" i="15"/>
  <c r="G54" i="15"/>
  <c r="H501" i="15"/>
  <c r="F46" i="14"/>
  <c r="F45" i="14" s="1"/>
  <c r="G59" i="15"/>
  <c r="F109" i="14"/>
  <c r="G624" i="4"/>
  <c r="I624" i="4" s="1"/>
  <c r="G456" i="4"/>
  <c r="I456" i="4" s="1"/>
  <c r="H181" i="15"/>
  <c r="G317" i="4"/>
  <c r="I317" i="4" s="1"/>
  <c r="G201" i="4"/>
  <c r="G625" i="4"/>
  <c r="I625" i="4" s="1"/>
  <c r="G724" i="5"/>
  <c r="F164" i="3"/>
  <c r="H164" i="3" s="1"/>
  <c r="F395" i="3"/>
  <c r="G352" i="5"/>
  <c r="F552" i="3"/>
  <c r="G79" i="14"/>
  <c r="G605" i="4"/>
  <c r="I605" i="4" s="1"/>
  <c r="G346" i="4"/>
  <c r="I346" i="4" s="1"/>
  <c r="G256" i="5"/>
  <c r="F148" i="3"/>
  <c r="H148" i="3" s="1"/>
  <c r="F79" i="14"/>
  <c r="G104" i="16"/>
  <c r="G103" i="16" s="1"/>
  <c r="G102" i="16" s="1"/>
  <c r="G101" i="16" s="1"/>
  <c r="G106" i="16"/>
  <c r="G777" i="4"/>
  <c r="I777" i="4" s="1"/>
  <c r="G455" i="4"/>
  <c r="I455" i="4" s="1"/>
  <c r="G550" i="4"/>
  <c r="F636" i="3"/>
  <c r="H322" i="16"/>
  <c r="H321" i="16" s="1"/>
  <c r="H267" i="16"/>
  <c r="G880" i="5"/>
  <c r="H199" i="15"/>
  <c r="H198" i="15" s="1"/>
  <c r="H197" i="15" s="1"/>
  <c r="G714" i="16"/>
  <c r="G716" i="16"/>
  <c r="G213" i="16"/>
  <c r="G211" i="16"/>
  <c r="G210" i="16" s="1"/>
  <c r="G46" i="16"/>
  <c r="G44" i="16"/>
  <c r="G43" i="16" s="1"/>
  <c r="G42" i="16" s="1"/>
  <c r="G41" i="16" s="1"/>
  <c r="G40" i="16" s="1"/>
  <c r="G28" i="16" s="1"/>
  <c r="G317" i="15"/>
  <c r="G316" i="15"/>
  <c r="G614" i="15"/>
  <c r="G613" i="15"/>
  <c r="G244" i="15"/>
  <c r="G243" i="15"/>
  <c r="G386" i="16"/>
  <c r="G385" i="16" s="1"/>
  <c r="G388" i="16"/>
  <c r="G495" i="16"/>
  <c r="G494" i="16" s="1"/>
  <c r="G489" i="16" s="1"/>
  <c r="G488" i="16" s="1"/>
  <c r="G487" i="16" s="1"/>
  <c r="G497" i="16"/>
  <c r="G365" i="16"/>
  <c r="G363" i="16"/>
  <c r="G362" i="16" s="1"/>
  <c r="G330" i="16"/>
  <c r="G329" i="16" s="1"/>
  <c r="G332" i="16"/>
  <c r="H1018" i="15"/>
  <c r="G929" i="16"/>
  <c r="H890" i="15"/>
  <c r="H25" i="16" s="1"/>
  <c r="H24" i="16" s="1"/>
  <c r="H20" i="16" s="1"/>
  <c r="H19" i="16" s="1"/>
  <c r="H18" i="16" s="1"/>
  <c r="H17" i="16" s="1"/>
  <c r="H9" i="16" s="1"/>
  <c r="G25" i="16"/>
  <c r="H677" i="15"/>
  <c r="G349" i="16"/>
  <c r="G937" i="16"/>
  <c r="H461" i="15"/>
  <c r="G26" i="17"/>
  <c r="G25" i="17" s="1"/>
  <c r="G24" i="17" s="1"/>
  <c r="G23" i="17" s="1"/>
  <c r="G22" i="17" s="1"/>
  <c r="G21" i="17" s="1"/>
  <c r="G39" i="17" s="1"/>
  <c r="G79" i="16"/>
  <c r="H593" i="15"/>
  <c r="G289" i="16"/>
  <c r="H718" i="15"/>
  <c r="G254" i="16"/>
  <c r="H815" i="15"/>
  <c r="G503" i="16"/>
  <c r="H342" i="16"/>
  <c r="G342" i="16"/>
  <c r="H312" i="15"/>
  <c r="G667" i="16"/>
  <c r="H670" i="15"/>
  <c r="G338" i="16"/>
  <c r="G732" i="15"/>
  <c r="G731" i="15"/>
  <c r="H539" i="15"/>
  <c r="H538" i="15" s="1"/>
  <c r="H537" i="15" s="1"/>
  <c r="H536" i="15" s="1"/>
  <c r="G539" i="15"/>
  <c r="G538" i="15" s="1"/>
  <c r="G537" i="15" s="1"/>
  <c r="G536" i="15" s="1"/>
  <c r="H388" i="15"/>
  <c r="G388" i="15"/>
  <c r="G453" i="15"/>
  <c r="G452" i="15"/>
  <c r="H720" i="16"/>
  <c r="G513" i="16"/>
  <c r="G515" i="16"/>
  <c r="G257" i="16"/>
  <c r="G256" i="16" s="1"/>
  <c r="G259" i="16"/>
  <c r="G203" i="16"/>
  <c r="G202" i="16" s="1"/>
  <c r="G193" i="16" s="1"/>
  <c r="G205" i="16"/>
  <c r="G232" i="16"/>
  <c r="G231" i="16" s="1"/>
  <c r="G234" i="16"/>
  <c r="G378" i="16"/>
  <c r="G377" i="16" s="1"/>
  <c r="G376" i="16" s="1"/>
  <c r="G375" i="16" s="1"/>
  <c r="G380" i="16"/>
  <c r="G284" i="16"/>
  <c r="G283" i="16" s="1"/>
  <c r="G286" i="16"/>
  <c r="G62" i="16"/>
  <c r="G61" i="16" s="1"/>
  <c r="G60" i="16" s="1"/>
  <c r="G59" i="16" s="1"/>
  <c r="G58" i="16" s="1"/>
  <c r="G57" i="16" s="1"/>
  <c r="G64" i="16"/>
  <c r="G155" i="16"/>
  <c r="G153" i="16"/>
  <c r="G152" i="16" s="1"/>
  <c r="G151" i="16" s="1"/>
  <c r="G150" i="16" s="1"/>
  <c r="G149" i="16" s="1"/>
  <c r="G148" i="16" s="1"/>
  <c r="G909" i="16"/>
  <c r="G907" i="16"/>
  <c r="G906" i="16" s="1"/>
  <c r="G905" i="16" s="1"/>
  <c r="G904" i="16" s="1"/>
  <c r="G877" i="16" s="1"/>
  <c r="G865" i="16" s="1"/>
  <c r="G240" i="16"/>
  <c r="G239" i="16" s="1"/>
  <c r="G242" i="16"/>
  <c r="G885" i="15"/>
  <c r="G560" i="5"/>
  <c r="I560" i="5" s="1"/>
  <c r="F821" i="3"/>
  <c r="H821" i="3" s="1"/>
  <c r="H998" i="15"/>
  <c r="G737" i="16"/>
  <c r="H315" i="15"/>
  <c r="G671" i="16"/>
  <c r="H309" i="15"/>
  <c r="G663" i="16"/>
  <c r="H847" i="15"/>
  <c r="G511" i="16"/>
  <c r="H745" i="15"/>
  <c r="G391" i="16"/>
  <c r="H64" i="16"/>
  <c r="H62" i="16"/>
  <c r="H61" i="16" s="1"/>
  <c r="H60" i="16" s="1"/>
  <c r="H59" i="16" s="1"/>
  <c r="H58" i="16" s="1"/>
  <c r="H57" i="16" s="1"/>
  <c r="H298" i="15"/>
  <c r="H645" i="16" s="1"/>
  <c r="H644" i="16" s="1"/>
  <c r="H640" i="16" s="1"/>
  <c r="G645" i="16"/>
  <c r="H223" i="15"/>
  <c r="G252" i="15"/>
  <c r="H259" i="15"/>
  <c r="G259" i="15"/>
  <c r="G259" i="4"/>
  <c r="I259" i="4" s="1"/>
  <c r="G265" i="16"/>
  <c r="G264" i="16" s="1"/>
  <c r="G263" i="16" s="1"/>
  <c r="G262" i="16" s="1"/>
  <c r="G261" i="16" s="1"/>
  <c r="G267" i="16"/>
  <c r="H318" i="16"/>
  <c r="H317" i="16" s="1"/>
  <c r="G320" i="16"/>
  <c r="G318" i="16"/>
  <c r="G317" i="16" s="1"/>
  <c r="G324" i="16"/>
  <c r="G322" i="16"/>
  <c r="G321" i="16" s="1"/>
  <c r="H806" i="15"/>
  <c r="H948" i="15"/>
  <c r="H800" i="16" s="1"/>
  <c r="H799" i="16" s="1"/>
  <c r="H798" i="16" s="1"/>
  <c r="H797" i="16" s="1"/>
  <c r="H796" i="16" s="1"/>
  <c r="H795" i="16" s="1"/>
  <c r="G800" i="16"/>
  <c r="H808" i="16"/>
  <c r="G794" i="16"/>
  <c r="G792" i="16"/>
  <c r="G791" i="16" s="1"/>
  <c r="G790" i="16" s="1"/>
  <c r="G789" i="16" s="1"/>
  <c r="G788" i="16" s="1"/>
  <c r="H920" i="15"/>
  <c r="H919" i="15" s="1"/>
  <c r="G806" i="16"/>
  <c r="G805" i="16" s="1"/>
  <c r="G804" i="16" s="1"/>
  <c r="G803" i="16" s="1"/>
  <c r="G802" i="16" s="1"/>
  <c r="G808" i="16"/>
  <c r="H1001" i="15"/>
  <c r="G722" i="16"/>
  <c r="G720" i="16"/>
  <c r="G547" i="14"/>
  <c r="G546" i="14" s="1"/>
  <c r="F547" i="14"/>
  <c r="F546" i="14" s="1"/>
  <c r="G804" i="14"/>
  <c r="F804" i="14"/>
  <c r="G808" i="14"/>
  <c r="F808" i="14"/>
  <c r="F903" i="14"/>
  <c r="G527" i="14"/>
  <c r="F527" i="14"/>
  <c r="G169" i="14"/>
  <c r="G168" i="14" s="1"/>
  <c r="F169" i="14"/>
  <c r="F168" i="14" s="1"/>
  <c r="H708" i="15"/>
  <c r="G189" i="16"/>
  <c r="G770" i="16"/>
  <c r="G769" i="16" s="1"/>
  <c r="G764" i="16" s="1"/>
  <c r="G763" i="16" s="1"/>
  <c r="G762" i="16" s="1"/>
  <c r="G761" i="16" s="1"/>
  <c r="G772" i="16"/>
  <c r="F213" i="3"/>
  <c r="G744" i="5"/>
  <c r="I744" i="5" s="1"/>
  <c r="G914" i="5"/>
  <c r="I914" i="5" s="1"/>
  <c r="F283" i="3"/>
  <c r="H283" i="3" s="1"/>
  <c r="G816" i="5"/>
  <c r="F162" i="3"/>
  <c r="H162" i="3" s="1"/>
  <c r="G776" i="4"/>
  <c r="I776" i="4" s="1"/>
  <c r="G342" i="5"/>
  <c r="I342" i="5" s="1"/>
  <c r="G243" i="4"/>
  <c r="I243" i="4" s="1"/>
  <c r="G244" i="4"/>
  <c r="I244" i="4" s="1"/>
  <c r="G316" i="4"/>
  <c r="I316" i="4" s="1"/>
  <c r="G202" i="4"/>
  <c r="I202" i="4" s="1"/>
  <c r="G818" i="5"/>
  <c r="I818" i="5" s="1"/>
  <c r="G340" i="5"/>
  <c r="G453" i="5"/>
  <c r="I453" i="5" s="1"/>
  <c r="F116" i="3"/>
  <c r="H116" i="3" s="1"/>
  <c r="F797" i="3"/>
  <c r="H797" i="3" s="1"/>
  <c r="G752" i="5"/>
  <c r="I752" i="5" s="1"/>
  <c r="G750" i="5"/>
  <c r="G746" i="5"/>
  <c r="G112" i="5"/>
  <c r="I112" i="5" s="1"/>
  <c r="G54" i="5"/>
  <c r="I54" i="5" s="1"/>
  <c r="G1085" i="4"/>
  <c r="I1085" i="4" s="1"/>
  <c r="G586" i="4"/>
  <c r="G576" i="15"/>
  <c r="H576" i="15" s="1"/>
  <c r="G693" i="4"/>
  <c r="G683" i="15"/>
  <c r="H683" i="15" s="1"/>
  <c r="G1249" i="4"/>
  <c r="G148" i="4"/>
  <c r="I148" i="4" s="1"/>
  <c r="G679" i="4"/>
  <c r="I679" i="4" s="1"/>
  <c r="G562" i="4"/>
  <c r="H909" i="15"/>
  <c r="H910" i="15"/>
  <c r="G675" i="4"/>
  <c r="I675" i="4" s="1"/>
  <c r="G220" i="4"/>
  <c r="I220" i="4" s="1"/>
  <c r="G1029" i="4"/>
  <c r="I1029" i="4" s="1"/>
  <c r="H943" i="15"/>
  <c r="G444" i="4"/>
  <c r="I444" i="4" s="1"/>
  <c r="G984" i="4"/>
  <c r="I984" i="4" s="1"/>
  <c r="G976" i="4"/>
  <c r="I976" i="4" s="1"/>
  <c r="G898" i="15"/>
  <c r="H898" i="15" s="1"/>
  <c r="G519" i="4"/>
  <c r="I519" i="4" s="1"/>
  <c r="H1144" i="15"/>
  <c r="G1144" i="15"/>
  <c r="G1105" i="4"/>
  <c r="I1105" i="4" s="1"/>
  <c r="G633" i="4"/>
  <c r="G325" i="4"/>
  <c r="I325" i="4" s="1"/>
  <c r="G1177" i="4"/>
  <c r="I1177" i="4" s="1"/>
  <c r="G686" i="4"/>
  <c r="I686" i="4" s="1"/>
  <c r="G748" i="4"/>
  <c r="I748" i="4" s="1"/>
  <c r="G589" i="4"/>
  <c r="G579" i="15"/>
  <c r="H579" i="15" s="1"/>
  <c r="G845" i="4"/>
  <c r="I845" i="4" s="1"/>
  <c r="G797" i="15"/>
  <c r="H797" i="15" s="1"/>
  <c r="G666" i="4"/>
  <c r="G656" i="15"/>
  <c r="H656" i="15" s="1"/>
  <c r="F554" i="3"/>
  <c r="H554" i="3" s="1"/>
  <c r="G758" i="4"/>
  <c r="I758" i="4" s="1"/>
  <c r="G581" i="4"/>
  <c r="I581" i="4" s="1"/>
  <c r="G310" i="4"/>
  <c r="I310" i="4" s="1"/>
  <c r="G892" i="4"/>
  <c r="G1044" i="4"/>
  <c r="I1044" i="4" s="1"/>
  <c r="G958" i="15"/>
  <c r="G359" i="4"/>
  <c r="I359" i="4" s="1"/>
  <c r="G1149" i="4"/>
  <c r="I1149" i="4" s="1"/>
  <c r="G414" i="4"/>
  <c r="I414" i="4" s="1"/>
  <c r="G173" i="4"/>
  <c r="I173" i="4" s="1"/>
  <c r="G1048" i="4"/>
  <c r="I1048" i="4" s="1"/>
  <c r="G962" i="15"/>
  <c r="G620" i="4"/>
  <c r="I620" i="4" s="1"/>
  <c r="G603" i="15"/>
  <c r="G1096" i="4"/>
  <c r="I1096" i="4" s="1"/>
  <c r="G1008" i="15"/>
  <c r="G1040" i="4"/>
  <c r="I1040" i="4" s="1"/>
  <c r="G954" i="15"/>
  <c r="G724" i="15"/>
  <c r="G186" i="4"/>
  <c r="I186" i="4" s="1"/>
  <c r="G187" i="15"/>
  <c r="G119" i="4"/>
  <c r="I119" i="4" s="1"/>
  <c r="G39" i="4"/>
  <c r="G740" i="4"/>
  <c r="I740" i="4" s="1"/>
  <c r="G266" i="4"/>
  <c r="I266" i="4" s="1"/>
  <c r="G267" i="15"/>
  <c r="G735" i="4"/>
  <c r="I735" i="4" s="1"/>
  <c r="G472" i="4"/>
  <c r="I472" i="4" s="1"/>
  <c r="G408" i="4"/>
  <c r="I408" i="4" s="1"/>
  <c r="G886" i="4"/>
  <c r="I886" i="4" s="1"/>
  <c r="G1025" i="4"/>
  <c r="I1025" i="4" s="1"/>
  <c r="G452" i="4"/>
  <c r="I452" i="4" s="1"/>
  <c r="G14" i="4"/>
  <c r="I14" i="4" s="1"/>
  <c r="G981" i="4"/>
  <c r="I981" i="4" s="1"/>
  <c r="G527" i="4"/>
  <c r="I527" i="4" s="1"/>
  <c r="G835" i="4"/>
  <c r="G462" i="4"/>
  <c r="I462" i="4" s="1"/>
  <c r="G599" i="4"/>
  <c r="I599" i="4" s="1"/>
  <c r="G773" i="4"/>
  <c r="G1077" i="4"/>
  <c r="I1077" i="4" s="1"/>
  <c r="G1188" i="4"/>
  <c r="I1188" i="4" s="1"/>
  <c r="G534" i="4"/>
  <c r="I534" i="4" s="1"/>
  <c r="G655" i="4"/>
  <c r="I655" i="4" s="1"/>
  <c r="G313" i="4"/>
  <c r="I313" i="4" s="1"/>
  <c r="G537" i="4"/>
  <c r="I537" i="4" s="1"/>
  <c r="G865" i="4"/>
  <c r="G669" i="4"/>
  <c r="G659" i="15"/>
  <c r="H659" i="15" s="1"/>
  <c r="G602" i="4"/>
  <c r="I602" i="4" s="1"/>
  <c r="G1068" i="4"/>
  <c r="I1068" i="4" s="1"/>
  <c r="G696" i="4"/>
  <c r="I696" i="4" s="1"/>
  <c r="G151" i="4"/>
  <c r="I151" i="4" s="1"/>
  <c r="G858" i="4"/>
  <c r="I858" i="4" s="1"/>
  <c r="G294" i="4"/>
  <c r="I294" i="4" s="1"/>
  <c r="G297" i="15"/>
  <c r="H297" i="15" s="1"/>
  <c r="G949" i="4"/>
  <c r="I949" i="4" s="1"/>
  <c r="G1037" i="4"/>
  <c r="I1037" i="4" s="1"/>
  <c r="G1132" i="4"/>
  <c r="G575" i="4"/>
  <c r="I575" i="4" s="1"/>
  <c r="G689" i="4"/>
  <c r="I689" i="4" s="1"/>
  <c r="G661" i="4"/>
  <c r="I661" i="4" s="1"/>
  <c r="G804" i="4"/>
  <c r="I804" i="4" s="1"/>
  <c r="G682" i="4"/>
  <c r="I682" i="4" s="1"/>
  <c r="G307" i="4"/>
  <c r="I307" i="4" s="1"/>
  <c r="G191" i="5"/>
  <c r="I191" i="5" s="1"/>
  <c r="G383" i="4"/>
  <c r="I383" i="4" s="1"/>
  <c r="G123" i="4"/>
  <c r="G196" i="4"/>
  <c r="I196" i="4" s="1"/>
  <c r="G954" i="4"/>
  <c r="I954" i="4" s="1"/>
  <c r="G882" i="15"/>
  <c r="G289" i="4"/>
  <c r="I289" i="4" s="1"/>
  <c r="F179" i="3"/>
  <c r="G785" i="4"/>
  <c r="I785" i="4" s="1"/>
  <c r="G767" i="5"/>
  <c r="I767" i="5" s="1"/>
  <c r="G941" i="4"/>
  <c r="I941" i="4" s="1"/>
  <c r="G788" i="4"/>
  <c r="I788" i="4" s="1"/>
  <c r="G466" i="4"/>
  <c r="G65" i="5"/>
  <c r="I65" i="5" s="1"/>
  <c r="G1016" i="5"/>
  <c r="I1016" i="5" s="1"/>
  <c r="G282" i="5"/>
  <c r="I282" i="5" s="1"/>
  <c r="G763" i="5"/>
  <c r="I763" i="5" s="1"/>
  <c r="G789" i="5"/>
  <c r="I789" i="5" s="1"/>
  <c r="G892" i="5"/>
  <c r="I892" i="5" s="1"/>
  <c r="G974" i="5"/>
  <c r="I974" i="5" s="1"/>
  <c r="G960" i="5"/>
  <c r="I960" i="5" s="1"/>
  <c r="G970" i="5"/>
  <c r="I970" i="5" s="1"/>
  <c r="G980" i="5"/>
  <c r="I980" i="5" s="1"/>
  <c r="G993" i="5"/>
  <c r="I993" i="5" s="1"/>
  <c r="G361" i="5"/>
  <c r="I361" i="5" s="1"/>
  <c r="G518" i="5"/>
  <c r="I518" i="5" s="1"/>
  <c r="G533" i="5"/>
  <c r="I533" i="5" s="1"/>
  <c r="G548" i="5"/>
  <c r="I548" i="5" s="1"/>
  <c r="G949" i="5"/>
  <c r="I949" i="5" s="1"/>
  <c r="G965" i="5"/>
  <c r="I965" i="5" s="1"/>
  <c r="G999" i="5"/>
  <c r="I999" i="5" s="1"/>
  <c r="G845" i="5"/>
  <c r="I845" i="5" s="1"/>
  <c r="G925" i="5"/>
  <c r="I925" i="5" s="1"/>
  <c r="G941" i="5"/>
  <c r="I941" i="5" s="1"/>
  <c r="G1030" i="5"/>
  <c r="I1030" i="5" s="1"/>
  <c r="G905" i="5"/>
  <c r="I905" i="5" s="1"/>
  <c r="G98" i="5"/>
  <c r="I98" i="5" s="1"/>
  <c r="G470" i="5"/>
  <c r="I470" i="5" s="1"/>
  <c r="G1023" i="5"/>
  <c r="I1023" i="5" s="1"/>
  <c r="G168" i="5"/>
  <c r="I168" i="5" s="1"/>
  <c r="G107" i="5"/>
  <c r="I107" i="5" s="1"/>
  <c r="G297" i="5"/>
  <c r="I297" i="5" s="1"/>
  <c r="G328" i="5"/>
  <c r="I328" i="5" s="1"/>
  <c r="G509" i="5"/>
  <c r="I509" i="5" s="1"/>
  <c r="G537" i="5"/>
  <c r="I537" i="5" s="1"/>
  <c r="G541" i="5"/>
  <c r="I541" i="5" s="1"/>
  <c r="F872" i="3"/>
  <c r="H872" i="3" s="1"/>
  <c r="G275" i="5"/>
  <c r="I275" i="5" s="1"/>
  <c r="G811" i="5"/>
  <c r="I811" i="5" s="1"/>
  <c r="G826" i="5"/>
  <c r="I826" i="5" s="1"/>
  <c r="G929" i="5"/>
  <c r="I929" i="5" s="1"/>
  <c r="G933" i="5"/>
  <c r="I933" i="5" s="1"/>
  <c r="G72" i="5"/>
  <c r="I72" i="5" s="1"/>
  <c r="G898" i="5"/>
  <c r="I898" i="5" s="1"/>
  <c r="G140" i="4"/>
  <c r="I140" i="4" s="1"/>
  <c r="G138" i="15"/>
  <c r="F236" i="3"/>
  <c r="H236" i="3" s="1"/>
  <c r="F538" i="3"/>
  <c r="F512" i="14"/>
  <c r="G512" i="14" s="1"/>
  <c r="F1020" i="3"/>
  <c r="F74" i="3"/>
  <c r="H74" i="3" s="1"/>
  <c r="F536" i="3"/>
  <c r="H536" i="3" s="1"/>
  <c r="F510" i="14"/>
  <c r="G510" i="14" s="1"/>
  <c r="F983" i="3"/>
  <c r="H983" i="3" s="1"/>
  <c r="F450" i="3"/>
  <c r="H450" i="3" s="1"/>
  <c r="F723" i="3"/>
  <c r="H723" i="3" s="1"/>
  <c r="F708" i="3"/>
  <c r="H708" i="3" s="1"/>
  <c r="F646" i="3"/>
  <c r="H646" i="3" s="1"/>
  <c r="F757" i="3"/>
  <c r="H757" i="3" s="1"/>
  <c r="F1080" i="3"/>
  <c r="H1080" i="3" s="1"/>
  <c r="F202" i="3"/>
  <c r="H202" i="3" s="1"/>
  <c r="F684" i="3"/>
  <c r="H684" i="3" s="1"/>
  <c r="F963" i="3"/>
  <c r="H963" i="3" s="1"/>
  <c r="F446" i="3"/>
  <c r="H446" i="3" s="1"/>
  <c r="F905" i="3"/>
  <c r="H905" i="3" s="1"/>
  <c r="F923" i="3"/>
  <c r="H923" i="3" s="1"/>
  <c r="F582" i="3"/>
  <c r="H582" i="3" s="1"/>
  <c r="F839" i="3"/>
  <c r="H839" i="3" s="1"/>
  <c r="F779" i="14"/>
  <c r="F430" i="3"/>
  <c r="H430" i="3" s="1"/>
  <c r="F51" i="3"/>
  <c r="H51" i="3" s="1"/>
  <c r="F697" i="3"/>
  <c r="H697" i="3" s="1"/>
  <c r="F527" i="3"/>
  <c r="H527" i="3" s="1"/>
  <c r="F1009" i="3"/>
  <c r="H1009" i="3" s="1"/>
  <c r="F940" i="14"/>
  <c r="F438" i="3"/>
  <c r="H438" i="3" s="1"/>
  <c r="F81" i="3"/>
  <c r="H81" i="3" s="1"/>
  <c r="F76" i="3"/>
  <c r="H76" i="3" s="1"/>
  <c r="F79" i="3"/>
  <c r="H79" i="3" s="1"/>
  <c r="F69" i="3"/>
  <c r="H69" i="3" s="1"/>
  <c r="F343" i="3"/>
  <c r="H343" i="3" s="1"/>
  <c r="F240" i="3"/>
  <c r="H240" i="3" s="1"/>
  <c r="F711" i="3"/>
  <c r="H711" i="3" s="1"/>
  <c r="F760" i="3"/>
  <c r="H760" i="3" s="1"/>
  <c r="F919" i="3"/>
  <c r="H919" i="3" s="1"/>
  <c r="F454" i="3"/>
  <c r="F108" i="3"/>
  <c r="H108" i="3" s="1"/>
  <c r="F71" i="3"/>
  <c r="H71" i="3" s="1"/>
  <c r="G157" i="5"/>
  <c r="I157" i="5" s="1"/>
  <c r="F346" i="3"/>
  <c r="H346" i="3" s="1"/>
  <c r="F340" i="3"/>
  <c r="H340" i="3" s="1"/>
  <c r="F324" i="14"/>
  <c r="G324" i="14" s="1"/>
  <c r="F152" i="3"/>
  <c r="H152" i="3" s="1"/>
  <c r="F629" i="3"/>
  <c r="H629" i="3" s="1"/>
  <c r="F47" i="3"/>
  <c r="H47" i="3" s="1"/>
  <c r="F34" i="3"/>
  <c r="H34" i="3" s="1"/>
  <c r="F607" i="3"/>
  <c r="H607" i="3" s="1"/>
  <c r="F467" i="3"/>
  <c r="H467" i="3" s="1"/>
  <c r="F54" i="3"/>
  <c r="H54" i="3" s="1"/>
  <c r="F269" i="3"/>
  <c r="H269" i="3" s="1"/>
  <c r="F433" i="3"/>
  <c r="H433" i="3" s="1"/>
  <c r="F817" i="3"/>
  <c r="H817" i="3" s="1"/>
  <c r="F487" i="3"/>
  <c r="F625" i="3"/>
  <c r="H625" i="3" s="1"/>
  <c r="F477" i="3"/>
  <c r="H477" i="3" s="1"/>
  <c r="F619" i="3"/>
  <c r="H619" i="3" s="1"/>
  <c r="F593" i="14"/>
  <c r="F616" i="3"/>
  <c r="H616" i="3" s="1"/>
  <c r="F590" i="14"/>
  <c r="F794" i="3"/>
  <c r="H794" i="3" s="1"/>
  <c r="F743" i="3"/>
  <c r="H743" i="3" s="1"/>
  <c r="F683" i="14"/>
  <c r="G683" i="14" s="1"/>
  <c r="F944" i="3"/>
  <c r="H944" i="3" s="1"/>
  <c r="F1101" i="3"/>
  <c r="H1101" i="3" s="1"/>
  <c r="F1057" i="3"/>
  <c r="H1057" i="3" s="1"/>
  <c r="F1069" i="3"/>
  <c r="H1069" i="3" s="1"/>
  <c r="F220" i="3"/>
  <c r="H220" i="3" s="1"/>
  <c r="F967" i="3"/>
  <c r="H967" i="3" s="1"/>
  <c r="F216" i="3"/>
  <c r="H216" i="3" s="1"/>
  <c r="F45" i="3"/>
  <c r="H45" i="3" s="1"/>
  <c r="F1005" i="3"/>
  <c r="H1005" i="3" s="1"/>
  <c r="F999" i="3"/>
  <c r="H999" i="3" s="1"/>
  <c r="F362" i="3"/>
  <c r="H362" i="3" s="1"/>
  <c r="F291" i="3"/>
  <c r="H291" i="3" s="1"/>
  <c r="G337" i="14"/>
  <c r="F496" i="3"/>
  <c r="H496" i="3" s="1"/>
  <c r="F803" i="3"/>
  <c r="H803" i="3" s="1"/>
  <c r="F805" i="3"/>
  <c r="H805" i="3" s="1"/>
  <c r="F813" i="3"/>
  <c r="H813" i="3" s="1"/>
  <c r="F549" i="3"/>
  <c r="H549" i="3" s="1"/>
  <c r="F819" i="3"/>
  <c r="H819" i="3" s="1"/>
  <c r="F830" i="3"/>
  <c r="H830" i="3" s="1"/>
  <c r="F754" i="3"/>
  <c r="H754" i="3" s="1"/>
  <c r="F930" i="3"/>
  <c r="H930" i="3" s="1"/>
  <c r="F981" i="3"/>
  <c r="H981" i="3" s="1"/>
  <c r="F1051" i="3"/>
  <c r="H1051" i="3" s="1"/>
  <c r="F1065" i="3"/>
  <c r="H1065" i="3" s="1"/>
  <c r="F1093" i="3"/>
  <c r="H1093" i="3" s="1"/>
  <c r="F876" i="3"/>
  <c r="H876" i="3" s="1"/>
  <c r="F573" i="3"/>
  <c r="H573" i="3" s="1"/>
  <c r="F443" i="3"/>
  <c r="H443" i="3" s="1"/>
  <c r="F689" i="3"/>
  <c r="H689" i="3" s="1"/>
  <c r="F562" i="3"/>
  <c r="H562" i="3" s="1"/>
  <c r="F543" i="14"/>
  <c r="F367" i="3"/>
  <c r="H367" i="3" s="1"/>
  <c r="F358" i="14"/>
  <c r="F206" i="3"/>
  <c r="H206" i="3" s="1"/>
  <c r="C133" i="1"/>
  <c r="E133" i="1" s="1"/>
  <c r="G170" i="4"/>
  <c r="I170" i="4" s="1"/>
  <c r="C17" i="1"/>
  <c r="E17" i="1" s="1"/>
  <c r="C168" i="1"/>
  <c r="E168" i="1" s="1"/>
  <c r="C46" i="1"/>
  <c r="E46" i="1" s="1"/>
  <c r="F399" i="3"/>
  <c r="H399" i="3" s="1"/>
  <c r="G887" i="5"/>
  <c r="I887" i="5" s="1"/>
  <c r="F391" i="3"/>
  <c r="H391" i="3" s="1"/>
  <c r="G873" i="5"/>
  <c r="I873" i="5" s="1"/>
  <c r="F387" i="3"/>
  <c r="H387" i="3" s="1"/>
  <c r="G866" i="5"/>
  <c r="I866" i="5" s="1"/>
  <c r="G825" i="5"/>
  <c r="I825" i="5" s="1"/>
  <c r="G823" i="5"/>
  <c r="I823" i="5" s="1"/>
  <c r="F435" i="3"/>
  <c r="G801" i="5"/>
  <c r="I801" i="5" s="1"/>
  <c r="F259" i="3"/>
  <c r="H259" i="3" s="1"/>
  <c r="G851" i="5"/>
  <c r="I851" i="5" s="1"/>
  <c r="G987" i="5"/>
  <c r="I987" i="5" s="1"/>
  <c r="G989" i="5"/>
  <c r="I989" i="5" s="1"/>
  <c r="G794" i="5"/>
  <c r="I794" i="5" s="1"/>
  <c r="G796" i="5"/>
  <c r="I796" i="5" s="1"/>
  <c r="G711" i="5"/>
  <c r="I711" i="5" s="1"/>
  <c r="G653" i="5"/>
  <c r="I653" i="5" s="1"/>
  <c r="G655" i="5"/>
  <c r="I655" i="5" s="1"/>
  <c r="G647" i="5"/>
  <c r="I647" i="5" s="1"/>
  <c r="G649" i="5"/>
  <c r="I649" i="5" s="1"/>
  <c r="G598" i="5"/>
  <c r="I598" i="5" s="1"/>
  <c r="G600" i="5"/>
  <c r="I600" i="5" s="1"/>
  <c r="G601" i="5"/>
  <c r="I601" i="5" s="1"/>
  <c r="G603" i="5"/>
  <c r="I603" i="5" s="1"/>
  <c r="G604" i="5"/>
  <c r="I604" i="5" s="1"/>
  <c r="G606" i="5"/>
  <c r="I606" i="5" s="1"/>
  <c r="G589" i="5"/>
  <c r="I589" i="5" s="1"/>
  <c r="G591" i="5"/>
  <c r="I591" i="5" s="1"/>
  <c r="G586" i="5"/>
  <c r="I586" i="5" s="1"/>
  <c r="G588" i="5"/>
  <c r="I588" i="5" s="1"/>
  <c r="G553" i="5"/>
  <c r="I553" i="5" s="1"/>
  <c r="G555" i="5"/>
  <c r="I555" i="5" s="1"/>
  <c r="G527" i="5"/>
  <c r="I527" i="5" s="1"/>
  <c r="G523" i="5"/>
  <c r="I523" i="5" s="1"/>
  <c r="G487" i="5"/>
  <c r="I487" i="5" s="1"/>
  <c r="G448" i="5"/>
  <c r="I448" i="5" s="1"/>
  <c r="G450" i="5"/>
  <c r="I450" i="5" s="1"/>
  <c r="G440" i="5"/>
  <c r="I440" i="5" s="1"/>
  <c r="G442" i="5"/>
  <c r="I442" i="5" s="1"/>
  <c r="G366" i="5"/>
  <c r="I366" i="5" s="1"/>
  <c r="G368" i="5"/>
  <c r="I368" i="5" s="1"/>
  <c r="G333" i="5"/>
  <c r="I333" i="5" s="1"/>
  <c r="G335" i="5"/>
  <c r="I335" i="5" s="1"/>
  <c r="G321" i="5"/>
  <c r="I321" i="5" s="1"/>
  <c r="G323" i="5"/>
  <c r="I323" i="5" s="1"/>
  <c r="G325" i="5"/>
  <c r="I325" i="5" s="1"/>
  <c r="G327" i="5"/>
  <c r="I327" i="5" s="1"/>
  <c r="G287" i="5"/>
  <c r="I287" i="5" s="1"/>
  <c r="G289" i="5"/>
  <c r="I289" i="5" s="1"/>
  <c r="G291" i="5"/>
  <c r="I291" i="5" s="1"/>
  <c r="G293" i="5"/>
  <c r="I293" i="5" s="1"/>
  <c r="G268" i="5"/>
  <c r="I268" i="5" s="1"/>
  <c r="G270" i="5"/>
  <c r="I270" i="5" s="1"/>
  <c r="G272" i="5"/>
  <c r="I272" i="5" s="1"/>
  <c r="G274" i="5"/>
  <c r="I274" i="5" s="1"/>
  <c r="G24" i="5"/>
  <c r="I24" i="5" s="1"/>
  <c r="G26" i="5"/>
  <c r="I26" i="5" s="1"/>
  <c r="G27" i="5"/>
  <c r="I27" i="5" s="1"/>
  <c r="G29" i="5"/>
  <c r="I29" i="5" s="1"/>
  <c r="G761" i="4"/>
  <c r="I761" i="4" s="1"/>
  <c r="G261" i="5"/>
  <c r="I261" i="5" s="1"/>
  <c r="F639" i="3"/>
  <c r="H639" i="3" s="1"/>
  <c r="G356" i="5"/>
  <c r="I356" i="5" s="1"/>
  <c r="F611" i="3"/>
  <c r="H611" i="3" s="1"/>
  <c r="G244" i="5"/>
  <c r="I244" i="5" s="1"/>
  <c r="F632" i="3"/>
  <c r="H632" i="3" s="1"/>
  <c r="G344" i="5"/>
  <c r="I344" i="5" s="1"/>
  <c r="F531" i="3"/>
  <c r="H531" i="3" s="1"/>
  <c r="G215" i="5"/>
  <c r="I215" i="5" s="1"/>
  <c r="F525" i="3"/>
  <c r="H525" i="3" s="1"/>
  <c r="G207" i="5"/>
  <c r="I207" i="5" s="1"/>
  <c r="F605" i="3"/>
  <c r="H605" i="3" s="1"/>
  <c r="G236" i="5"/>
  <c r="I236" i="5" s="1"/>
  <c r="F782" i="3"/>
  <c r="H782" i="3" s="1"/>
  <c r="G48" i="5"/>
  <c r="I48" i="5" s="1"/>
  <c r="F954" i="3"/>
  <c r="H954" i="3" s="1"/>
  <c r="G82" i="5"/>
  <c r="F958" i="3"/>
  <c r="H958" i="3" s="1"/>
  <c r="G89" i="5"/>
  <c r="I89" i="5" s="1"/>
  <c r="F1018" i="3"/>
  <c r="H1018" i="3" s="1"/>
  <c r="F947" i="3"/>
  <c r="H947" i="3" s="1"/>
  <c r="F1067" i="3"/>
  <c r="H1067" i="3" s="1"/>
  <c r="F1071" i="3"/>
  <c r="H1071" i="3" s="1"/>
  <c r="F861" i="3"/>
  <c r="H861" i="3" s="1"/>
  <c r="F243" i="3"/>
  <c r="H243" i="3" s="1"/>
  <c r="G180" i="4"/>
  <c r="I180" i="4" s="1"/>
  <c r="G64" i="4"/>
  <c r="I64" i="4" s="1"/>
  <c r="G54" i="4"/>
  <c r="I54" i="4" s="1"/>
  <c r="G1006" i="4"/>
  <c r="I1006" i="4" s="1"/>
  <c r="G59" i="4"/>
  <c r="I59" i="4" s="1"/>
  <c r="I985" i="10"/>
  <c r="F173" i="3"/>
  <c r="H173" i="3" s="1"/>
  <c r="F1089" i="3"/>
  <c r="H1089" i="3" s="1"/>
  <c r="G1033" i="4"/>
  <c r="I1033" i="4" s="1"/>
  <c r="G354" i="4"/>
  <c r="I354" i="4" s="1"/>
  <c r="G110" i="4"/>
  <c r="I110" i="4" s="1"/>
  <c r="G1071" i="4"/>
  <c r="I1071" i="4" s="1"/>
  <c r="G913" i="4"/>
  <c r="I913" i="4" s="1"/>
  <c r="I983" i="10"/>
  <c r="G19" i="11"/>
  <c r="G12" i="11"/>
  <c r="G11" i="11" s="1"/>
  <c r="G498" i="11"/>
  <c r="G18" i="11"/>
  <c r="G511" i="11"/>
  <c r="G520" i="11" s="1"/>
  <c r="G271" i="11"/>
  <c r="I986" i="10"/>
  <c r="G419" i="11"/>
  <c r="G432" i="11"/>
  <c r="G348" i="11"/>
  <c r="G326" i="11"/>
  <c r="G117" i="11"/>
  <c r="G102" i="11"/>
  <c r="G487" i="11"/>
  <c r="I990" i="10"/>
  <c r="I984" i="10"/>
  <c r="G778" i="5" l="1"/>
  <c r="I778" i="5" s="1"/>
  <c r="G919" i="15"/>
  <c r="G992" i="15"/>
  <c r="G834" i="4"/>
  <c r="I834" i="4" s="1"/>
  <c r="I835" i="4"/>
  <c r="G226" i="4"/>
  <c r="I226" i="4" s="1"/>
  <c r="I227" i="4"/>
  <c r="H44" i="15"/>
  <c r="I39" i="4"/>
  <c r="G465" i="4"/>
  <c r="I465" i="4" s="1"/>
  <c r="I466" i="4"/>
  <c r="G1131" i="4"/>
  <c r="I1131" i="4" s="1"/>
  <c r="I1132" i="4"/>
  <c r="G861" i="4"/>
  <c r="I861" i="4" s="1"/>
  <c r="I1225" i="4" s="1"/>
  <c r="I865" i="4"/>
  <c r="G655" i="15"/>
  <c r="H655" i="15" s="1"/>
  <c r="I666" i="4"/>
  <c r="G578" i="15"/>
  <c r="H578" i="15" s="1"/>
  <c r="I589" i="4"/>
  <c r="G561" i="4"/>
  <c r="I561" i="4" s="1"/>
  <c r="I562" i="4"/>
  <c r="G549" i="4"/>
  <c r="I549" i="4" s="1"/>
  <c r="I550" i="4"/>
  <c r="G1248" i="4"/>
  <c r="I127" i="4"/>
  <c r="I1248" i="4" s="1"/>
  <c r="G922" i="4"/>
  <c r="I926" i="4"/>
  <c r="G419" i="4"/>
  <c r="I419" i="4" s="1"/>
  <c r="I420" i="4"/>
  <c r="I1219" i="4"/>
  <c r="G891" i="4"/>
  <c r="I891" i="4" s="1"/>
  <c r="I892" i="4"/>
  <c r="G807" i="4"/>
  <c r="I807" i="4" s="1"/>
  <c r="I808" i="4"/>
  <c r="G115" i="15"/>
  <c r="I123" i="4"/>
  <c r="G658" i="15"/>
  <c r="H658" i="15" s="1"/>
  <c r="I669" i="4"/>
  <c r="G769" i="4"/>
  <c r="I769" i="4" s="1"/>
  <c r="I773" i="4"/>
  <c r="I1213" i="4"/>
  <c r="G575" i="15"/>
  <c r="G574" i="15" s="1"/>
  <c r="I586" i="4"/>
  <c r="G899" i="4"/>
  <c r="I900" i="4"/>
  <c r="G36" i="6"/>
  <c r="I37" i="6"/>
  <c r="G26" i="6"/>
  <c r="I27" i="6"/>
  <c r="G632" i="4"/>
  <c r="I632" i="4" s="1"/>
  <c r="I633" i="4"/>
  <c r="G682" i="15"/>
  <c r="G681" i="15" s="1"/>
  <c r="I693" i="4"/>
  <c r="G1236" i="4"/>
  <c r="I201" i="4"/>
  <c r="I1236" i="4" s="1"/>
  <c r="G30" i="6"/>
  <c r="I31" i="6"/>
  <c r="G11" i="6"/>
  <c r="I12" i="6"/>
  <c r="G745" i="5"/>
  <c r="I745" i="5" s="1"/>
  <c r="I746" i="5"/>
  <c r="G255" i="5"/>
  <c r="I255" i="5" s="1"/>
  <c r="I256" i="5"/>
  <c r="G720" i="5"/>
  <c r="I720" i="5" s="1"/>
  <c r="I724" i="5"/>
  <c r="G1007" i="5"/>
  <c r="I1007" i="5" s="1"/>
  <c r="G815" i="5"/>
  <c r="I815" i="5" s="1"/>
  <c r="I816" i="5"/>
  <c r="G741" i="5"/>
  <c r="I741" i="5" s="1"/>
  <c r="G749" i="5"/>
  <c r="I749" i="5" s="1"/>
  <c r="I750" i="5"/>
  <c r="G339" i="5"/>
  <c r="I339" i="5" s="1"/>
  <c r="I340" i="5"/>
  <c r="G193" i="5"/>
  <c r="I193" i="5" s="1"/>
  <c r="G83" i="5"/>
  <c r="I83" i="5" s="1"/>
  <c r="I82" i="5"/>
  <c r="F484" i="3"/>
  <c r="H484" i="3" s="1"/>
  <c r="H487" i="3"/>
  <c r="G351" i="5"/>
  <c r="I351" i="5" s="1"/>
  <c r="I352" i="5"/>
  <c r="F950" i="14"/>
  <c r="H1020" i="3"/>
  <c r="F410" i="14"/>
  <c r="H435" i="3"/>
  <c r="F14" i="3"/>
  <c r="H14" i="3" s="1"/>
  <c r="G881" i="5"/>
  <c r="I881" i="5" s="1"/>
  <c r="I880" i="5"/>
  <c r="F426" i="14"/>
  <c r="G426" i="14" s="1"/>
  <c r="H454" i="3"/>
  <c r="F372" i="14"/>
  <c r="G372" i="14" s="1"/>
  <c r="H395" i="3"/>
  <c r="F511" i="14"/>
  <c r="G511" i="14" s="1"/>
  <c r="H538" i="3"/>
  <c r="F635" i="3"/>
  <c r="H635" i="3" s="1"/>
  <c r="H636" i="3"/>
  <c r="F551" i="3"/>
  <c r="H551" i="3" s="1"/>
  <c r="H552" i="3"/>
  <c r="F212" i="3"/>
  <c r="H212" i="3" s="1"/>
  <c r="H213" i="3"/>
  <c r="F178" i="3"/>
  <c r="H178" i="3" s="1"/>
  <c r="H179" i="3"/>
  <c r="G389" i="10"/>
  <c r="G388" i="10" s="1"/>
  <c r="G988" i="10" s="1"/>
  <c r="G847" i="10"/>
  <c r="G784" i="10" s="1"/>
  <c r="G985" i="10" s="1"/>
  <c r="G303" i="15"/>
  <c r="G29" i="4"/>
  <c r="I29" i="4" s="1"/>
  <c r="F1086" i="3"/>
  <c r="H1086" i="3" s="1"/>
  <c r="G564" i="14"/>
  <c r="G978" i="10"/>
  <c r="G642" i="4"/>
  <c r="I642" i="4" s="1"/>
  <c r="G303" i="4"/>
  <c r="I303" i="4" s="1"/>
  <c r="G214" i="16"/>
  <c r="G28" i="10"/>
  <c r="G27" i="10" s="1"/>
  <c r="G975" i="4"/>
  <c r="I975" i="4" s="1"/>
  <c r="H557" i="15"/>
  <c r="H631" i="15"/>
  <c r="G1213" i="4"/>
  <c r="H794" i="16"/>
  <c r="H193" i="16"/>
  <c r="G490" i="14"/>
  <c r="F688" i="14"/>
  <c r="H780" i="16"/>
  <c r="D113" i="12"/>
  <c r="D112" i="12" s="1"/>
  <c r="D111" i="12" s="1"/>
  <c r="G751" i="4"/>
  <c r="I751" i="4" s="1"/>
  <c r="C92" i="1"/>
  <c r="G568" i="4"/>
  <c r="I568" i="4" s="1"/>
  <c r="G1219" i="4"/>
  <c r="G278" i="10"/>
  <c r="G277" i="10" s="1"/>
  <c r="G1009" i="10"/>
  <c r="G506" i="10"/>
  <c r="G498" i="10" s="1"/>
  <c r="G21" i="5"/>
  <c r="I21" i="5" s="1"/>
  <c r="H64" i="15"/>
  <c r="G673" i="10"/>
  <c r="F271" i="14"/>
  <c r="G271" i="14" s="1"/>
  <c r="F278" i="3"/>
  <c r="C10" i="1"/>
  <c r="E10" i="1" s="1"/>
  <c r="G858" i="15"/>
  <c r="H772" i="16"/>
  <c r="H153" i="16"/>
  <c r="H152" i="16" s="1"/>
  <c r="H151" i="16" s="1"/>
  <c r="H150" i="16" s="1"/>
  <c r="H149" i="16" s="1"/>
  <c r="H148" i="16" s="1"/>
  <c r="H213" i="16"/>
  <c r="H286" i="16"/>
  <c r="H515" i="16"/>
  <c r="H257" i="16"/>
  <c r="H256" i="16" s="1"/>
  <c r="G667" i="15"/>
  <c r="H234" i="16"/>
  <c r="H744" i="15"/>
  <c r="H743" i="15" s="1"/>
  <c r="G737" i="14"/>
  <c r="G736" i="14" s="1"/>
  <c r="G735" i="14" s="1"/>
  <c r="H330" i="16"/>
  <c r="H329" i="16" s="1"/>
  <c r="H316" i="16" s="1"/>
  <c r="H315" i="16" s="1"/>
  <c r="H314" i="16" s="1"/>
  <c r="G280" i="14"/>
  <c r="G279" i="14" s="1"/>
  <c r="G276" i="14" s="1"/>
  <c r="H180" i="15"/>
  <c r="H177" i="15" s="1"/>
  <c r="H495" i="16"/>
  <c r="H494" i="16" s="1"/>
  <c r="H489" i="16" s="1"/>
  <c r="H488" i="16" s="1"/>
  <c r="H487" i="16" s="1"/>
  <c r="G45" i="4"/>
  <c r="I45" i="4" s="1"/>
  <c r="G595" i="4"/>
  <c r="I595" i="4" s="1"/>
  <c r="G227" i="15"/>
  <c r="G226" i="15" s="1"/>
  <c r="G1153" i="15" s="1"/>
  <c r="H714" i="16"/>
  <c r="H713" i="16" s="1"/>
  <c r="H708" i="16" s="1"/>
  <c r="H707" i="16" s="1"/>
  <c r="H705" i="16" s="1"/>
  <c r="H749" i="15"/>
  <c r="H227" i="15"/>
  <c r="H226" i="15" s="1"/>
  <c r="H1153" i="15" s="1"/>
  <c r="H768" i="15"/>
  <c r="H763" i="15" s="1"/>
  <c r="F151" i="14"/>
  <c r="G118" i="4"/>
  <c r="I118" i="4" s="1"/>
  <c r="G741" i="14"/>
  <c r="H152" i="15"/>
  <c r="H151" i="15" s="1"/>
  <c r="G71" i="14"/>
  <c r="H240" i="16"/>
  <c r="H239" i="16" s="1"/>
  <c r="H214" i="16" s="1"/>
  <c r="H59" i="15"/>
  <c r="H663" i="16"/>
  <c r="H664" i="16" s="1"/>
  <c r="G694" i="14"/>
  <c r="G693" i="14" s="1"/>
  <c r="G692" i="14" s="1"/>
  <c r="H308" i="15"/>
  <c r="H307" i="15" s="1"/>
  <c r="H737" i="16"/>
  <c r="H738" i="16" s="1"/>
  <c r="G423" i="14"/>
  <c r="G422" i="14" s="1"/>
  <c r="G421" i="14" s="1"/>
  <c r="H997" i="15"/>
  <c r="H996" i="15" s="1"/>
  <c r="G50" i="14"/>
  <c r="G49" i="14" s="1"/>
  <c r="H42" i="15"/>
  <c r="H35" i="15" s="1"/>
  <c r="H338" i="16"/>
  <c r="H337" i="16" s="1"/>
  <c r="H336" i="16" s="1"/>
  <c r="G603" i="14"/>
  <c r="G602" i="14" s="1"/>
  <c r="G601" i="14" s="1"/>
  <c r="G600" i="14" s="1"/>
  <c r="H669" i="15"/>
  <c r="H668" i="15" s="1"/>
  <c r="H667" i="15" s="1"/>
  <c r="G469" i="14"/>
  <c r="G466" i="14"/>
  <c r="H353" i="16"/>
  <c r="G613" i="14"/>
  <c r="G612" i="14" s="1"/>
  <c r="G611" i="14" s="1"/>
  <c r="H679" i="15"/>
  <c r="H678" i="15" s="1"/>
  <c r="G155" i="14"/>
  <c r="G154" i="14" s="1"/>
  <c r="H110" i="15"/>
  <c r="F133" i="14"/>
  <c r="G53" i="14"/>
  <c r="G52" i="14" s="1"/>
  <c r="G51" i="14" s="1"/>
  <c r="H45" i="15"/>
  <c r="G139" i="14"/>
  <c r="G138" i="14" s="1"/>
  <c r="H863" i="15"/>
  <c r="G153" i="14"/>
  <c r="G152" i="14" s="1"/>
  <c r="H108" i="15"/>
  <c r="H189" i="16"/>
  <c r="H190" i="16" s="1"/>
  <c r="G641" i="14"/>
  <c r="G640" i="14" s="1"/>
  <c r="G639" i="14" s="1"/>
  <c r="H707" i="15"/>
  <c r="H706" i="15" s="1"/>
  <c r="H909" i="16"/>
  <c r="H380" i="16"/>
  <c r="H205" i="16"/>
  <c r="H511" i="16"/>
  <c r="H512" i="16" s="1"/>
  <c r="G990" i="14"/>
  <c r="G989" i="14" s="1"/>
  <c r="G988" i="14" s="1"/>
  <c r="H846" i="15"/>
  <c r="H845" i="15" s="1"/>
  <c r="H44" i="16"/>
  <c r="H43" i="16" s="1"/>
  <c r="H42" i="16" s="1"/>
  <c r="H41" i="16" s="1"/>
  <c r="H40" i="16" s="1"/>
  <c r="H28" i="16" s="1"/>
  <c r="H365" i="16"/>
  <c r="G891" i="14"/>
  <c r="G890" i="14" s="1"/>
  <c r="G889" i="14" s="1"/>
  <c r="H460" i="15"/>
  <c r="H459" i="15" s="1"/>
  <c r="H349" i="16"/>
  <c r="H348" i="16" s="1"/>
  <c r="H347" i="16" s="1"/>
  <c r="G610" i="14"/>
  <c r="G609" i="14" s="1"/>
  <c r="G608" i="14" s="1"/>
  <c r="H676" i="15"/>
  <c r="H675" i="15" s="1"/>
  <c r="H929" i="16"/>
  <c r="H928" i="16" s="1"/>
  <c r="H927" i="16" s="1"/>
  <c r="H926" i="16" s="1"/>
  <c r="H925" i="16" s="1"/>
  <c r="H924" i="16" s="1"/>
  <c r="H923" i="16" s="1"/>
  <c r="H1017" i="15"/>
  <c r="H1016" i="15" s="1"/>
  <c r="H1015" i="15" s="1"/>
  <c r="H1014" i="15" s="1"/>
  <c r="G443" i="14"/>
  <c r="G442" i="14" s="1"/>
  <c r="G441" i="14" s="1"/>
  <c r="G46" i="14"/>
  <c r="G45" i="14" s="1"/>
  <c r="H500" i="15"/>
  <c r="H497" i="15" s="1"/>
  <c r="H496" i="15" s="1"/>
  <c r="G979" i="14"/>
  <c r="G978" i="14" s="1"/>
  <c r="G975" i="14" s="1"/>
  <c r="H835" i="15"/>
  <c r="H832" i="15" s="1"/>
  <c r="G137" i="14"/>
  <c r="G136" i="14" s="1"/>
  <c r="H861" i="15"/>
  <c r="H937" i="16"/>
  <c r="H938" i="16" s="1"/>
  <c r="G204" i="14"/>
  <c r="G203" i="14" s="1"/>
  <c r="G202" i="14" s="1"/>
  <c r="H523" i="15"/>
  <c r="H522" i="15" s="1"/>
  <c r="H503" i="16"/>
  <c r="H504" i="16" s="1"/>
  <c r="G958" i="14"/>
  <c r="G957" i="14" s="1"/>
  <c r="G956" i="14" s="1"/>
  <c r="H814" i="15"/>
  <c r="H813" i="15" s="1"/>
  <c r="H289" i="16"/>
  <c r="H290" i="16" s="1"/>
  <c r="G526" i="14"/>
  <c r="G525" i="14" s="1"/>
  <c r="G524" i="14" s="1"/>
  <c r="H592" i="15"/>
  <c r="H591" i="15" s="1"/>
  <c r="H584" i="15" s="1"/>
  <c r="G867" i="14"/>
  <c r="G866" i="14" s="1"/>
  <c r="G865" i="14" s="1"/>
  <c r="H442" i="15"/>
  <c r="H441" i="15" s="1"/>
  <c r="H1068" i="15"/>
  <c r="H1067" i="15" s="1"/>
  <c r="G14" i="14"/>
  <c r="G13" i="14" s="1"/>
  <c r="G12" i="14" s="1"/>
  <c r="G11" i="14" s="1"/>
  <c r="G10" i="14" s="1"/>
  <c r="G9" i="14" s="1"/>
  <c r="E12" i="13" s="1"/>
  <c r="G107" i="15"/>
  <c r="H254" i="16"/>
  <c r="H253" i="16" s="1"/>
  <c r="H252" i="16" s="1"/>
  <c r="H717" i="15"/>
  <c r="H716" i="15" s="1"/>
  <c r="H709" i="15" s="1"/>
  <c r="G651" i="14"/>
  <c r="G650" i="14" s="1"/>
  <c r="G649" i="14" s="1"/>
  <c r="G642" i="14" s="1"/>
  <c r="H671" i="16"/>
  <c r="H672" i="16" s="1"/>
  <c r="G700" i="14"/>
  <c r="G699" i="14" s="1"/>
  <c r="G698" i="14" s="1"/>
  <c r="H314" i="15"/>
  <c r="H313" i="15" s="1"/>
  <c r="H310" i="15"/>
  <c r="H667" i="16"/>
  <c r="H668" i="16" s="1"/>
  <c r="G697" i="14"/>
  <c r="G696" i="14" s="1"/>
  <c r="G695" i="14" s="1"/>
  <c r="H311" i="15"/>
  <c r="G904" i="14"/>
  <c r="G903" i="14" s="1"/>
  <c r="H388" i="16"/>
  <c r="F42" i="14"/>
  <c r="G50" i="15"/>
  <c r="G354" i="16"/>
  <c r="G200" i="4"/>
  <c r="I200" i="4" s="1"/>
  <c r="H391" i="16"/>
  <c r="H390" i="16" s="1"/>
  <c r="H389" i="16" s="1"/>
  <c r="H384" i="16" s="1"/>
  <c r="H383" i="16" s="1"/>
  <c r="H382" i="16" s="1"/>
  <c r="H381" i="16" s="1"/>
  <c r="G147" i="4"/>
  <c r="I147" i="4" s="1"/>
  <c r="H26" i="16"/>
  <c r="G594" i="15"/>
  <c r="H594" i="15"/>
  <c r="G997" i="14"/>
  <c r="F997" i="14"/>
  <c r="F394" i="3"/>
  <c r="F161" i="3"/>
  <c r="F143" i="3"/>
  <c r="H143" i="3" s="1"/>
  <c r="G879" i="5"/>
  <c r="G353" i="5"/>
  <c r="I353" i="5" s="1"/>
  <c r="G562" i="5"/>
  <c r="I562" i="5" s="1"/>
  <c r="F115" i="3"/>
  <c r="H115" i="3" s="1"/>
  <c r="G992" i="4"/>
  <c r="G1104" i="4"/>
  <c r="G99" i="16"/>
  <c r="G100" i="16"/>
  <c r="G501" i="4"/>
  <c r="G713" i="16"/>
  <c r="G708" i="16" s="1"/>
  <c r="G707" i="16" s="1"/>
  <c r="G706" i="16" s="1"/>
  <c r="G685" i="4"/>
  <c r="I685" i="4" s="1"/>
  <c r="G251" i="4"/>
  <c r="G584" i="15"/>
  <c r="G316" i="16"/>
  <c r="G315" i="16" s="1"/>
  <c r="G314" i="16" s="1"/>
  <c r="H908" i="15"/>
  <c r="H907" i="15" s="1"/>
  <c r="H170" i="15"/>
  <c r="G170" i="15"/>
  <c r="G373" i="16"/>
  <c r="G374" i="16"/>
  <c r="G26" i="16"/>
  <c r="G24" i="16"/>
  <c r="G20" i="16" s="1"/>
  <c r="G19" i="16" s="1"/>
  <c r="G18" i="16" s="1"/>
  <c r="G17" i="16" s="1"/>
  <c r="G9" i="16" s="1"/>
  <c r="H316" i="15"/>
  <c r="H317" i="15"/>
  <c r="G191" i="15"/>
  <c r="G339" i="16"/>
  <c r="G337" i="16"/>
  <c r="G336" i="16" s="1"/>
  <c r="G255" i="16"/>
  <c r="G253" i="16"/>
  <c r="G252" i="16" s="1"/>
  <c r="G243" i="16" s="1"/>
  <c r="G78" i="16"/>
  <c r="G77" i="16" s="1"/>
  <c r="G76" i="16" s="1"/>
  <c r="G75" i="16" s="1"/>
  <c r="G80" i="16"/>
  <c r="H868" i="15"/>
  <c r="H867" i="15" s="1"/>
  <c r="H866" i="15" s="1"/>
  <c r="H865" i="15" s="1"/>
  <c r="G868" i="15"/>
  <c r="G867" i="15" s="1"/>
  <c r="G866" i="15" s="1"/>
  <c r="G865" i="15" s="1"/>
  <c r="G739" i="15"/>
  <c r="G738" i="15" s="1"/>
  <c r="G737" i="15" s="1"/>
  <c r="G736" i="15" s="1"/>
  <c r="H1008" i="15"/>
  <c r="H1007" i="15" s="1"/>
  <c r="G1007" i="15"/>
  <c r="G1122" i="15" s="1"/>
  <c r="H411" i="15"/>
  <c r="H410" i="15" s="1"/>
  <c r="G411" i="15"/>
  <c r="G410" i="15" s="1"/>
  <c r="H359" i="15"/>
  <c r="G359" i="15"/>
  <c r="H646" i="16"/>
  <c r="H373" i="16"/>
  <c r="H374" i="16"/>
  <c r="H341" i="16"/>
  <c r="H340" i="16" s="1"/>
  <c r="H343" i="16"/>
  <c r="G350" i="16"/>
  <c r="G348" i="16"/>
  <c r="G347" i="16" s="1"/>
  <c r="G930" i="16"/>
  <c r="G928" i="16"/>
  <c r="G927" i="16" s="1"/>
  <c r="G926" i="16" s="1"/>
  <c r="G925" i="16" s="1"/>
  <c r="G924" i="16" s="1"/>
  <c r="G923" i="16" s="1"/>
  <c r="G357" i="16"/>
  <c r="G356" i="16" s="1"/>
  <c r="G355" i="16"/>
  <c r="H243" i="15"/>
  <c r="H244" i="15"/>
  <c r="H1058" i="15"/>
  <c r="H1057" i="15" s="1"/>
  <c r="H1056" i="15" s="1"/>
  <c r="H1055" i="15" s="1"/>
  <c r="H1054" i="15" s="1"/>
  <c r="G1058" i="15"/>
  <c r="G1057" i="15" s="1"/>
  <c r="G1056" i="15" s="1"/>
  <c r="G1055" i="15" s="1"/>
  <c r="G1054" i="15" s="1"/>
  <c r="G674" i="15"/>
  <c r="H732" i="15"/>
  <c r="H731" i="15"/>
  <c r="G938" i="16"/>
  <c r="G936" i="16"/>
  <c r="G935" i="16" s="1"/>
  <c r="G934" i="16" s="1"/>
  <c r="G933" i="16" s="1"/>
  <c r="H289" i="15"/>
  <c r="G289" i="15"/>
  <c r="H380" i="15"/>
  <c r="G380" i="15"/>
  <c r="H469" i="15"/>
  <c r="H468" i="15" s="1"/>
  <c r="G469" i="15"/>
  <c r="G468" i="15" s="1"/>
  <c r="H801" i="16"/>
  <c r="G512" i="16"/>
  <c r="G510" i="16"/>
  <c r="G509" i="16" s="1"/>
  <c r="G508" i="16" s="1"/>
  <c r="G507" i="16" s="1"/>
  <c r="G506" i="16" s="1"/>
  <c r="G505" i="16" s="1"/>
  <c r="G672" i="16"/>
  <c r="G670" i="16"/>
  <c r="G669" i="16" s="1"/>
  <c r="H453" i="15"/>
  <c r="H452" i="15"/>
  <c r="H355" i="16"/>
  <c r="H357" i="16"/>
  <c r="H356" i="16" s="1"/>
  <c r="G343" i="16"/>
  <c r="G341" i="16"/>
  <c r="G340" i="16" s="1"/>
  <c r="H614" i="15"/>
  <c r="H613" i="15"/>
  <c r="H688" i="15"/>
  <c r="G688" i="15"/>
  <c r="H528" i="15"/>
  <c r="H527" i="15" s="1"/>
  <c r="H526" i="15" s="1"/>
  <c r="H525" i="15" s="1"/>
  <c r="G528" i="15"/>
  <c r="G527" i="15" s="1"/>
  <c r="G526" i="15" s="1"/>
  <c r="G525" i="15" s="1"/>
  <c r="H698" i="15"/>
  <c r="H697" i="15" s="1"/>
  <c r="G698" i="15"/>
  <c r="G697" i="15" s="1"/>
  <c r="G1015" i="15"/>
  <c r="G1014" i="15" s="1"/>
  <c r="G390" i="16"/>
  <c r="G389" i="16" s="1"/>
  <c r="G384" i="16" s="1"/>
  <c r="G383" i="16" s="1"/>
  <c r="G382" i="16" s="1"/>
  <c r="G381" i="16" s="1"/>
  <c r="G392" i="16"/>
  <c r="G664" i="16"/>
  <c r="G662" i="16"/>
  <c r="G661" i="16" s="1"/>
  <c r="G738" i="16"/>
  <c r="G736" i="16"/>
  <c r="G735" i="16" s="1"/>
  <c r="G730" i="16" s="1"/>
  <c r="G729" i="16" s="1"/>
  <c r="G668" i="16"/>
  <c r="G666" i="16"/>
  <c r="G665" i="16" s="1"/>
  <c r="G504" i="16"/>
  <c r="G502" i="16"/>
  <c r="G501" i="16" s="1"/>
  <c r="G500" i="16" s="1"/>
  <c r="G499" i="16" s="1"/>
  <c r="G498" i="16" s="1"/>
  <c r="G456" i="16" s="1"/>
  <c r="G288" i="16"/>
  <c r="G287" i="16" s="1"/>
  <c r="G278" i="16" s="1"/>
  <c r="G277" i="16" s="1"/>
  <c r="G276" i="16" s="1"/>
  <c r="G260" i="16" s="1"/>
  <c r="G290" i="16"/>
  <c r="H26" i="17"/>
  <c r="H25" i="17" s="1"/>
  <c r="H24" i="17" s="1"/>
  <c r="H23" i="17" s="1"/>
  <c r="H22" i="17" s="1"/>
  <c r="H21" i="17" s="1"/>
  <c r="H39" i="17" s="1"/>
  <c r="H79" i="16"/>
  <c r="G646" i="16"/>
  <c r="G644" i="16"/>
  <c r="G640" i="16" s="1"/>
  <c r="H138" i="15"/>
  <c r="H137" i="15" s="1"/>
  <c r="H136" i="15" s="1"/>
  <c r="H135" i="15" s="1"/>
  <c r="H134" i="15" s="1"/>
  <c r="G137" i="15"/>
  <c r="G136" i="15" s="1"/>
  <c r="G135" i="15" s="1"/>
  <c r="G134" i="15" s="1"/>
  <c r="H187" i="15"/>
  <c r="H183" i="15" s="1"/>
  <c r="H182" i="15" s="1"/>
  <c r="G183" i="15"/>
  <c r="G182" i="15" s="1"/>
  <c r="H267" i="15"/>
  <c r="H266" i="15" s="1"/>
  <c r="H251" i="15" s="1"/>
  <c r="H250" i="15" s="1"/>
  <c r="H249" i="15" s="1"/>
  <c r="H248" i="15" s="1"/>
  <c r="G266" i="15"/>
  <c r="G251" i="15" s="1"/>
  <c r="G250" i="15" s="1"/>
  <c r="G249" i="15" s="1"/>
  <c r="G248" i="15" s="1"/>
  <c r="H575" i="15"/>
  <c r="H574" i="15" s="1"/>
  <c r="G585" i="4"/>
  <c r="I585" i="4" s="1"/>
  <c r="H603" i="15"/>
  <c r="H602" i="15" s="1"/>
  <c r="H601" i="15" s="1"/>
  <c r="G602" i="15"/>
  <c r="G601" i="15" s="1"/>
  <c r="H682" i="15"/>
  <c r="H681" i="15" s="1"/>
  <c r="H694" i="15"/>
  <c r="H693" i="15" s="1"/>
  <c r="H692" i="15" s="1"/>
  <c r="G693" i="15"/>
  <c r="G692" i="15" s="1"/>
  <c r="H724" i="15"/>
  <c r="H723" i="15" s="1"/>
  <c r="G723" i="15"/>
  <c r="H882" i="15"/>
  <c r="H881" i="15" s="1"/>
  <c r="H880" i="15" s="1"/>
  <c r="H879" i="15" s="1"/>
  <c r="G881" i="15"/>
  <c r="G880" i="15" s="1"/>
  <c r="G879" i="15" s="1"/>
  <c r="H895" i="15"/>
  <c r="H894" i="15" s="1"/>
  <c r="H893" i="15" s="1"/>
  <c r="H892" i="15" s="1"/>
  <c r="G894" i="15"/>
  <c r="G893" i="15" s="1"/>
  <c r="G892" i="15" s="1"/>
  <c r="G908" i="15"/>
  <c r="G907" i="15" s="1"/>
  <c r="H962" i="15"/>
  <c r="H961" i="15" s="1"/>
  <c r="G961" i="15"/>
  <c r="H954" i="15"/>
  <c r="H953" i="15" s="1"/>
  <c r="G953" i="15"/>
  <c r="H958" i="15"/>
  <c r="H957" i="15" s="1"/>
  <c r="G957" i="15"/>
  <c r="G801" i="16"/>
  <c r="G799" i="16"/>
  <c r="G798" i="16" s="1"/>
  <c r="G797" i="16" s="1"/>
  <c r="G796" i="16" s="1"/>
  <c r="G795" i="16" s="1"/>
  <c r="G780" i="16" s="1"/>
  <c r="H363" i="15"/>
  <c r="G363" i="15"/>
  <c r="H637" i="16"/>
  <c r="H639" i="16"/>
  <c r="H638" i="16" s="1"/>
  <c r="C136" i="12"/>
  <c r="C137" i="12"/>
  <c r="D136" i="12"/>
  <c r="D137" i="12"/>
  <c r="G787" i="14"/>
  <c r="F787" i="14"/>
  <c r="G196" i="14"/>
  <c r="G191" i="14" s="1"/>
  <c r="F196" i="14"/>
  <c r="F191" i="14" s="1"/>
  <c r="G543" i="14"/>
  <c r="G542" i="14" s="1"/>
  <c r="G541" i="14" s="1"/>
  <c r="F542" i="14"/>
  <c r="F541" i="14" s="1"/>
  <c r="F948" i="14"/>
  <c r="G899" i="14"/>
  <c r="G898" i="14" s="1"/>
  <c r="F899" i="14"/>
  <c r="F898" i="14" s="1"/>
  <c r="G625" i="14"/>
  <c r="F625" i="14"/>
  <c r="G812" i="14"/>
  <c r="F812" i="14"/>
  <c r="G358" i="14"/>
  <c r="G344" i="14" s="1"/>
  <c r="F344" i="14"/>
  <c r="G631" i="14"/>
  <c r="G630" i="14" s="1"/>
  <c r="F631" i="14"/>
  <c r="F630" i="14" s="1"/>
  <c r="G334" i="14"/>
  <c r="G333" i="14" s="1"/>
  <c r="F333" i="14"/>
  <c r="G554" i="14"/>
  <c r="F554" i="14"/>
  <c r="G928" i="14"/>
  <c r="F928" i="14"/>
  <c r="G190" i="16"/>
  <c r="G188" i="16"/>
  <c r="G187" i="16" s="1"/>
  <c r="G186" i="16" s="1"/>
  <c r="G163" i="16" s="1"/>
  <c r="G162" i="16" s="1"/>
  <c r="H1085" i="15"/>
  <c r="H1084" i="15" s="1"/>
  <c r="H1083" i="15" s="1"/>
  <c r="G1085" i="15"/>
  <c r="G1084" i="15" s="1"/>
  <c r="G1083" i="15" s="1"/>
  <c r="F11" i="14"/>
  <c r="F10" i="14" s="1"/>
  <c r="F9" i="14" s="1"/>
  <c r="D12" i="13" s="1"/>
  <c r="G496" i="15"/>
  <c r="G841" i="14"/>
  <c r="G840" i="14" s="1"/>
  <c r="F841" i="14"/>
  <c r="F840" i="14" s="1"/>
  <c r="H417" i="15"/>
  <c r="H416" i="15" s="1"/>
  <c r="G417" i="15"/>
  <c r="G416" i="15" s="1"/>
  <c r="G769" i="14"/>
  <c r="F769" i="14"/>
  <c r="H89" i="15"/>
  <c r="H88" i="15" s="1"/>
  <c r="H87" i="15" s="1"/>
  <c r="G89" i="15"/>
  <c r="G88" i="15" s="1"/>
  <c r="G87" i="15" s="1"/>
  <c r="H13" i="15"/>
  <c r="H12" i="15" s="1"/>
  <c r="H11" i="15" s="1"/>
  <c r="H10" i="15" s="1"/>
  <c r="H9" i="15" s="1"/>
  <c r="G13" i="15"/>
  <c r="G12" i="15" s="1"/>
  <c r="G11" i="15" s="1"/>
  <c r="G10" i="15" s="1"/>
  <c r="G9" i="15" s="1"/>
  <c r="G108" i="14"/>
  <c r="F108" i="14"/>
  <c r="G913" i="5"/>
  <c r="I913" i="5" s="1"/>
  <c r="H115" i="15"/>
  <c r="F1064" i="3"/>
  <c r="G1176" i="4"/>
  <c r="G454" i="5"/>
  <c r="I454" i="5" s="1"/>
  <c r="G452" i="5"/>
  <c r="I452" i="5" s="1"/>
  <c r="G533" i="4"/>
  <c r="F802" i="3"/>
  <c r="G665" i="4"/>
  <c r="I665" i="4" s="1"/>
  <c r="F78" i="3"/>
  <c r="H78" i="3" s="1"/>
  <c r="F796" i="3"/>
  <c r="H796" i="3" s="1"/>
  <c r="F581" i="3"/>
  <c r="H581" i="3" s="1"/>
  <c r="G111" i="5"/>
  <c r="G190" i="5"/>
  <c r="G167" i="5"/>
  <c r="I167" i="5" s="1"/>
  <c r="G469" i="5"/>
  <c r="I469" i="5" s="1"/>
  <c r="G158" i="5"/>
  <c r="I158" i="5" s="1"/>
  <c r="G156" i="5"/>
  <c r="G803" i="4"/>
  <c r="G1036" i="4"/>
  <c r="I1036" i="4" s="1"/>
  <c r="G293" i="4"/>
  <c r="I293" i="4" s="1"/>
  <c r="H1157" i="15"/>
  <c r="G1157" i="15"/>
  <c r="H1158" i="15"/>
  <c r="G1158" i="15"/>
  <c r="G1067" i="4"/>
  <c r="I1067" i="4" s="1"/>
  <c r="G353" i="4"/>
  <c r="I353" i="4" s="1"/>
  <c r="G281" i="4"/>
  <c r="I281" i="4" s="1"/>
  <c r="G166" i="4"/>
  <c r="I166" i="4" s="1"/>
  <c r="G1225" i="4"/>
  <c r="G451" i="4"/>
  <c r="I451" i="4" s="1"/>
  <c r="G885" i="4"/>
  <c r="I885" i="4" s="1"/>
  <c r="G471" i="4"/>
  <c r="I471" i="4" s="1"/>
  <c r="G185" i="4"/>
  <c r="I185" i="4" s="1"/>
  <c r="I1234" i="4" s="1"/>
  <c r="G619" i="4"/>
  <c r="I619" i="4" s="1"/>
  <c r="G1148" i="4"/>
  <c r="I1148" i="4" s="1"/>
  <c r="G324" i="4"/>
  <c r="I324" i="4" s="1"/>
  <c r="G518" i="4"/>
  <c r="I518" i="4" s="1"/>
  <c r="G219" i="4"/>
  <c r="I219" i="4" s="1"/>
  <c r="G912" i="4"/>
  <c r="I912" i="4" s="1"/>
  <c r="G208" i="4"/>
  <c r="I208" i="4" s="1"/>
  <c r="I1222" i="4" s="1"/>
  <c r="G109" i="4"/>
  <c r="I109" i="4" s="1"/>
  <c r="G1032" i="4"/>
  <c r="I1032" i="4" s="1"/>
  <c r="G946" i="15"/>
  <c r="G345" i="4"/>
  <c r="I345" i="4" s="1"/>
  <c r="G331" i="4"/>
  <c r="I331" i="4" s="1"/>
  <c r="G179" i="4"/>
  <c r="G948" i="4"/>
  <c r="I948" i="4" s="1"/>
  <c r="G854" i="4"/>
  <c r="I854" i="4" s="1"/>
  <c r="G1145" i="15"/>
  <c r="G844" i="4"/>
  <c r="I844" i="4" s="1"/>
  <c r="G796" i="15"/>
  <c r="G747" i="4"/>
  <c r="I747" i="4" s="1"/>
  <c r="G375" i="4"/>
  <c r="G692" i="4"/>
  <c r="I692" i="4" s="1"/>
  <c r="G430" i="4"/>
  <c r="I430" i="4" s="1"/>
  <c r="G678" i="4"/>
  <c r="I678" i="4" s="1"/>
  <c r="F353" i="3"/>
  <c r="G154" i="4"/>
  <c r="I154" i="4" s="1"/>
  <c r="G195" i="4"/>
  <c r="I195" i="4" s="1"/>
  <c r="G1187" i="4"/>
  <c r="I1187" i="4" s="1"/>
  <c r="G461" i="4"/>
  <c r="I461" i="4" s="1"/>
  <c r="G526" i="4"/>
  <c r="I526" i="4" s="1"/>
  <c r="G13" i="4"/>
  <c r="I13" i="4" s="1"/>
  <c r="G1024" i="4"/>
  <c r="I1024" i="4" s="1"/>
  <c r="H937" i="15"/>
  <c r="G734" i="4"/>
  <c r="I734" i="4" s="1"/>
  <c r="I1240" i="4" s="1"/>
  <c r="G739" i="4"/>
  <c r="I739" i="4" s="1"/>
  <c r="G413" i="4"/>
  <c r="I413" i="4" s="1"/>
  <c r="G1122" i="4"/>
  <c r="I1122" i="4" s="1"/>
  <c r="G443" i="4"/>
  <c r="I443" i="4" s="1"/>
  <c r="G1028" i="4"/>
  <c r="I1028" i="4" s="1"/>
  <c r="G88" i="4"/>
  <c r="I88" i="4" s="1"/>
  <c r="G1081" i="4"/>
  <c r="I1081" i="4" s="1"/>
  <c r="G940" i="4"/>
  <c r="I940" i="4" s="1"/>
  <c r="G784" i="4"/>
  <c r="I784" i="4" s="1"/>
  <c r="G969" i="5"/>
  <c r="I969" i="5" s="1"/>
  <c r="G522" i="5"/>
  <c r="G986" i="5"/>
  <c r="I986" i="5" s="1"/>
  <c r="G71" i="5"/>
  <c r="I71" i="5" s="1"/>
  <c r="G1022" i="5"/>
  <c r="I1022" i="5" s="1"/>
  <c r="G370" i="5"/>
  <c r="G320" i="5"/>
  <c r="I320" i="5" s="1"/>
  <c r="G552" i="5"/>
  <c r="I552" i="5" s="1"/>
  <c r="G81" i="5"/>
  <c r="I81" i="5" s="1"/>
  <c r="G271" i="5"/>
  <c r="I271" i="5" s="1"/>
  <c r="G439" i="5"/>
  <c r="G526" i="5"/>
  <c r="G139" i="4"/>
  <c r="I139" i="4" s="1"/>
  <c r="G296" i="5"/>
  <c r="I296" i="5" s="1"/>
  <c r="G904" i="5"/>
  <c r="I904" i="5" s="1"/>
  <c r="G1029" i="5"/>
  <c r="I1029" i="5" s="1"/>
  <c r="G267" i="5"/>
  <c r="I267" i="5" s="1"/>
  <c r="G447" i="5"/>
  <c r="I447" i="5" s="1"/>
  <c r="G106" i="5"/>
  <c r="I106" i="5" s="1"/>
  <c r="G97" i="5"/>
  <c r="I97" i="5" s="1"/>
  <c r="G286" i="5"/>
  <c r="I286" i="5" s="1"/>
  <c r="G964" i="5"/>
  <c r="I964" i="5" s="1"/>
  <c r="G1015" i="5"/>
  <c r="I1015" i="5" s="1"/>
  <c r="F44" i="3"/>
  <c r="H44" i="3" s="1"/>
  <c r="F68" i="3"/>
  <c r="H68" i="3" s="1"/>
  <c r="F998" i="3"/>
  <c r="H998" i="3" s="1"/>
  <c r="G290" i="5"/>
  <c r="I290" i="5" s="1"/>
  <c r="G324" i="5"/>
  <c r="I324" i="5" s="1"/>
  <c r="G332" i="5"/>
  <c r="I332" i="5" s="1"/>
  <c r="G365" i="5"/>
  <c r="G486" i="5"/>
  <c r="I486" i="5" s="1"/>
  <c r="G532" i="5"/>
  <c r="I532" i="5" s="1"/>
  <c r="G822" i="5"/>
  <c r="I822" i="5" s="1"/>
  <c r="G508" i="5"/>
  <c r="I508" i="5" s="1"/>
  <c r="G559" i="5"/>
  <c r="I559" i="5" s="1"/>
  <c r="G998" i="5"/>
  <c r="I998" i="5" s="1"/>
  <c r="G948" i="5"/>
  <c r="I948" i="5" s="1"/>
  <c r="G992" i="5"/>
  <c r="I992" i="5" s="1"/>
  <c r="G979" i="5"/>
  <c r="I979" i="5" s="1"/>
  <c r="G959" i="5"/>
  <c r="I959" i="5" s="1"/>
  <c r="G891" i="5"/>
  <c r="I891" i="5" s="1"/>
  <c r="G762" i="5"/>
  <c r="I762" i="5" s="1"/>
  <c r="G64" i="5"/>
  <c r="I64" i="5" s="1"/>
  <c r="F860" i="3"/>
  <c r="H860" i="3" s="1"/>
  <c r="F946" i="3"/>
  <c r="H946" i="3" s="1"/>
  <c r="F781" i="3"/>
  <c r="H781" i="3" s="1"/>
  <c r="F631" i="3"/>
  <c r="H631" i="3" s="1"/>
  <c r="F390" i="3"/>
  <c r="H390" i="3" s="1"/>
  <c r="F688" i="3"/>
  <c r="H688" i="3" s="1"/>
  <c r="F740" i="3"/>
  <c r="H740" i="3" s="1"/>
  <c r="F682" i="14"/>
  <c r="G682" i="14" s="1"/>
  <c r="F615" i="3"/>
  <c r="H615" i="3" s="1"/>
  <c r="F589" i="14"/>
  <c r="F151" i="3"/>
  <c r="F239" i="3"/>
  <c r="H239" i="3" s="1"/>
  <c r="F201" i="3"/>
  <c r="H201" i="3" s="1"/>
  <c r="F756" i="3"/>
  <c r="H756" i="3" s="1"/>
  <c r="F707" i="3"/>
  <c r="H707" i="3" s="1"/>
  <c r="F449" i="3"/>
  <c r="H449" i="3" s="1"/>
  <c r="F432" i="3"/>
  <c r="H432" i="3" s="1"/>
  <c r="F816" i="3"/>
  <c r="H816" i="3" s="1"/>
  <c r="F980" i="3"/>
  <c r="H980" i="3" s="1"/>
  <c r="F953" i="3"/>
  <c r="H953" i="3" s="1"/>
  <c r="F604" i="3"/>
  <c r="H604" i="3" s="1"/>
  <c r="F530" i="3"/>
  <c r="H530" i="3" s="1"/>
  <c r="F610" i="3"/>
  <c r="H610" i="3" s="1"/>
  <c r="F386" i="3"/>
  <c r="H386" i="3" s="1"/>
  <c r="F398" i="3"/>
  <c r="H398" i="3" s="1"/>
  <c r="F524" i="3"/>
  <c r="H524" i="3" s="1"/>
  <c r="F638" i="3"/>
  <c r="H638" i="3" s="1"/>
  <c r="F242" i="3"/>
  <c r="H242" i="3" s="1"/>
  <c r="F258" i="3"/>
  <c r="H258" i="3" s="1"/>
  <c r="F753" i="3"/>
  <c r="H753" i="3" s="1"/>
  <c r="F812" i="3"/>
  <c r="H812" i="3" s="1"/>
  <c r="F1100" i="3"/>
  <c r="H1100" i="3" s="1"/>
  <c r="F345" i="3"/>
  <c r="H345" i="3" s="1"/>
  <c r="F759" i="3"/>
  <c r="H759" i="3" s="1"/>
  <c r="F838" i="3"/>
  <c r="G267" i="14"/>
  <c r="G262" i="14" s="1"/>
  <c r="G261" i="14" s="1"/>
  <c r="F472" i="3"/>
  <c r="H472" i="3" s="1"/>
  <c r="F73" i="3"/>
  <c r="F957" i="3"/>
  <c r="F561" i="3"/>
  <c r="H561" i="3" s="1"/>
  <c r="F1050" i="3"/>
  <c r="H1050" i="3" s="1"/>
  <c r="F929" i="3"/>
  <c r="H929" i="3" s="1"/>
  <c r="F548" i="3"/>
  <c r="H548" i="3" s="1"/>
  <c r="F493" i="3"/>
  <c r="H493" i="3" s="1"/>
  <c r="F288" i="3"/>
  <c r="H288" i="3" s="1"/>
  <c r="F215" i="3"/>
  <c r="H215" i="3" s="1"/>
  <c r="F1056" i="3"/>
  <c r="H1056" i="3" s="1"/>
  <c r="F943" i="3"/>
  <c r="H943" i="3" s="1"/>
  <c r="F793" i="3"/>
  <c r="H793" i="3" s="1"/>
  <c r="F618" i="3"/>
  <c r="F592" i="14"/>
  <c r="F624" i="3"/>
  <c r="H624" i="3" s="1"/>
  <c r="F268" i="3"/>
  <c r="H268" i="3" s="1"/>
  <c r="F53" i="3"/>
  <c r="H53" i="3" s="1"/>
  <c r="F466" i="3"/>
  <c r="H466" i="3" s="1"/>
  <c r="F33" i="3"/>
  <c r="H33" i="3" s="1"/>
  <c r="F628" i="3"/>
  <c r="H628" i="3" s="1"/>
  <c r="F337" i="3"/>
  <c r="H337" i="3" s="1"/>
  <c r="F323" i="14"/>
  <c r="G323" i="14" s="1"/>
  <c r="F107" i="3"/>
  <c r="H107" i="3" s="1"/>
  <c r="F916" i="3"/>
  <c r="H916" i="3" s="1"/>
  <c r="F710" i="3"/>
  <c r="H710" i="3" s="1"/>
  <c r="F342" i="3"/>
  <c r="H342" i="3" s="1"/>
  <c r="F1008" i="3"/>
  <c r="H1008" i="3" s="1"/>
  <c r="F939" i="14"/>
  <c r="F696" i="3"/>
  <c r="H696" i="3" s="1"/>
  <c r="F429" i="3"/>
  <c r="H429" i="3" s="1"/>
  <c r="F904" i="3"/>
  <c r="H904" i="3" s="1"/>
  <c r="F962" i="3"/>
  <c r="H962" i="3" s="1"/>
  <c r="F683" i="3"/>
  <c r="H683" i="3" s="1"/>
  <c r="F1077" i="3"/>
  <c r="H1077" i="3" s="1"/>
  <c r="F645" i="3"/>
  <c r="H645" i="3" s="1"/>
  <c r="F722" i="3"/>
  <c r="F535" i="3"/>
  <c r="H535" i="3" s="1"/>
  <c r="F509" i="14"/>
  <c r="G509" i="14" s="1"/>
  <c r="G646" i="5"/>
  <c r="I646" i="5" s="1"/>
  <c r="G874" i="5"/>
  <c r="I874" i="5" s="1"/>
  <c r="G872" i="5"/>
  <c r="I872" i="5" s="1"/>
  <c r="G802" i="5"/>
  <c r="I802" i="5" s="1"/>
  <c r="G800" i="5"/>
  <c r="I800" i="5" s="1"/>
  <c r="G867" i="5"/>
  <c r="I867" i="5" s="1"/>
  <c r="G865" i="5"/>
  <c r="I865" i="5" s="1"/>
  <c r="G888" i="5"/>
  <c r="I888" i="5" s="1"/>
  <c r="G886" i="5"/>
  <c r="I886" i="5" s="1"/>
  <c r="G548" i="4"/>
  <c r="I548" i="4" s="1"/>
  <c r="G852" i="5"/>
  <c r="I852" i="5" s="1"/>
  <c r="G850" i="5"/>
  <c r="I850" i="5" s="1"/>
  <c r="G585" i="5"/>
  <c r="I585" i="5" s="1"/>
  <c r="G597" i="5"/>
  <c r="I597" i="5" s="1"/>
  <c r="G468" i="5"/>
  <c r="I468" i="5" s="1"/>
  <c r="G355" i="5"/>
  <c r="I355" i="5" s="1"/>
  <c r="G357" i="5"/>
  <c r="I357" i="5" s="1"/>
  <c r="G343" i="5"/>
  <c r="I343" i="5" s="1"/>
  <c r="G260" i="5"/>
  <c r="I260" i="5" s="1"/>
  <c r="G262" i="5"/>
  <c r="I262" i="5" s="1"/>
  <c r="G243" i="5"/>
  <c r="I243" i="5" s="1"/>
  <c r="G245" i="5"/>
  <c r="I245" i="5" s="1"/>
  <c r="G235" i="5"/>
  <c r="I235" i="5" s="1"/>
  <c r="G237" i="5"/>
  <c r="I237" i="5" s="1"/>
  <c r="G206" i="5"/>
  <c r="I206" i="5" s="1"/>
  <c r="G208" i="5"/>
  <c r="I208" i="5" s="1"/>
  <c r="G214" i="5"/>
  <c r="I214" i="5" s="1"/>
  <c r="G216" i="5"/>
  <c r="I216" i="5" s="1"/>
  <c r="G88" i="5"/>
  <c r="I88" i="5" s="1"/>
  <c r="G90" i="5"/>
  <c r="I90" i="5" s="1"/>
  <c r="G47" i="5"/>
  <c r="I47" i="5" s="1"/>
  <c r="G49" i="5"/>
  <c r="I49" i="5" s="1"/>
  <c r="G897" i="5"/>
  <c r="I897" i="5" s="1"/>
  <c r="G33" i="5"/>
  <c r="I33" i="5" s="1"/>
  <c r="F172" i="3"/>
  <c r="H172" i="3" s="1"/>
  <c r="G958" i="4"/>
  <c r="I958" i="4" s="1"/>
  <c r="G953" i="4"/>
  <c r="I953" i="4" s="1"/>
  <c r="I1231" i="4" s="1"/>
  <c r="I988" i="10"/>
  <c r="I989" i="10"/>
  <c r="I987" i="10"/>
  <c r="G534" i="11"/>
  <c r="I1216" i="4" l="1"/>
  <c r="G734" i="5"/>
  <c r="I734" i="5" s="1"/>
  <c r="G717" i="5"/>
  <c r="I717" i="5" s="1"/>
  <c r="G719" i="5"/>
  <c r="I719" i="5" s="1"/>
  <c r="G374" i="4"/>
  <c r="I374" i="4" s="1"/>
  <c r="I375" i="4"/>
  <c r="G500" i="4"/>
  <c r="I500" i="4" s="1"/>
  <c r="I501" i="4"/>
  <c r="G35" i="6"/>
  <c r="I35" i="6" s="1"/>
  <c r="I36" i="6"/>
  <c r="G220" i="10"/>
  <c r="G921" i="4"/>
  <c r="I921" i="4" s="1"/>
  <c r="I922" i="4"/>
  <c r="I1244" i="4"/>
  <c r="G1175" i="4"/>
  <c r="I1175" i="4" s="1"/>
  <c r="I1176" i="4"/>
  <c r="G654" i="15"/>
  <c r="G29" i="6"/>
  <c r="I29" i="6" s="1"/>
  <c r="I30" i="6"/>
  <c r="G25" i="6"/>
  <c r="I26" i="6"/>
  <c r="G898" i="4"/>
  <c r="I898" i="4" s="1"/>
  <c r="I899" i="4"/>
  <c r="G250" i="4"/>
  <c r="I250" i="4" s="1"/>
  <c r="I251" i="4"/>
  <c r="G991" i="4"/>
  <c r="I991" i="4" s="1"/>
  <c r="I992" i="4"/>
  <c r="I1205" i="4"/>
  <c r="I11" i="6"/>
  <c r="G1210" i="4"/>
  <c r="I179" i="4"/>
  <c r="I1210" i="4" s="1"/>
  <c r="G802" i="4"/>
  <c r="I802" i="4" s="1"/>
  <c r="I803" i="4"/>
  <c r="G532" i="4"/>
  <c r="I532" i="4" s="1"/>
  <c r="I533" i="4"/>
  <c r="H654" i="15"/>
  <c r="G1244" i="4"/>
  <c r="G1103" i="4"/>
  <c r="I1103" i="4" s="1"/>
  <c r="I1246" i="4" s="1"/>
  <c r="I1104" i="4"/>
  <c r="G1006" i="5"/>
  <c r="I1006" i="5" s="1"/>
  <c r="G736" i="5"/>
  <c r="G735" i="5" s="1"/>
  <c r="I735" i="5" s="1"/>
  <c r="G360" i="5"/>
  <c r="I360" i="5" s="1"/>
  <c r="I365" i="5"/>
  <c r="G529" i="5"/>
  <c r="I529" i="5" s="1"/>
  <c r="I526" i="5"/>
  <c r="G525" i="5"/>
  <c r="I525" i="5" s="1"/>
  <c r="I522" i="5"/>
  <c r="G350" i="5"/>
  <c r="I350" i="5" s="1"/>
  <c r="G434" i="5"/>
  <c r="I434" i="5" s="1"/>
  <c r="I439" i="5"/>
  <c r="F13" i="3"/>
  <c r="F12" i="3" s="1"/>
  <c r="H12" i="3" s="1"/>
  <c r="F956" i="3"/>
  <c r="H956" i="3" s="1"/>
  <c r="H957" i="3"/>
  <c r="F829" i="3"/>
  <c r="H829" i="3" s="1"/>
  <c r="H838" i="3"/>
  <c r="F150" i="3"/>
  <c r="H150" i="3" s="1"/>
  <c r="H151" i="3"/>
  <c r="F801" i="3"/>
  <c r="H801" i="3" s="1"/>
  <c r="H802" i="3"/>
  <c r="F66" i="14"/>
  <c r="F57" i="14" s="1"/>
  <c r="H73" i="3"/>
  <c r="F1063" i="3"/>
  <c r="H1064" i="3"/>
  <c r="F718" i="3"/>
  <c r="H718" i="3" s="1"/>
  <c r="H722" i="3"/>
  <c r="F210" i="3"/>
  <c r="H210" i="3" s="1"/>
  <c r="G369" i="5"/>
  <c r="I369" i="5" s="1"/>
  <c r="I370" i="5"/>
  <c r="F352" i="3"/>
  <c r="H352" i="3" s="1"/>
  <c r="H353" i="3"/>
  <c r="G155" i="5"/>
  <c r="I155" i="5" s="1"/>
  <c r="I156" i="5"/>
  <c r="G189" i="5"/>
  <c r="I189" i="5" s="1"/>
  <c r="I190" i="5"/>
  <c r="F393" i="3"/>
  <c r="H393" i="3" s="1"/>
  <c r="H394" i="3"/>
  <c r="F591" i="14"/>
  <c r="H618" i="3"/>
  <c r="F160" i="3"/>
  <c r="H160" i="3" s="1"/>
  <c r="H161" i="3"/>
  <c r="F211" i="3"/>
  <c r="H211" i="3" s="1"/>
  <c r="G110" i="5"/>
  <c r="I110" i="5" s="1"/>
  <c r="I111" i="5"/>
  <c r="G878" i="5"/>
  <c r="I878" i="5" s="1"/>
  <c r="I879" i="5"/>
  <c r="C91" i="1"/>
  <c r="E92" i="1"/>
  <c r="F277" i="3"/>
  <c r="H277" i="3" s="1"/>
  <c r="H278" i="3"/>
  <c r="G1216" i="4"/>
  <c r="G1199" i="4"/>
  <c r="G664" i="4"/>
  <c r="I664" i="4" s="1"/>
  <c r="G1240" i="4"/>
  <c r="G986" i="10"/>
  <c r="G981" i="10"/>
  <c r="F591" i="3"/>
  <c r="H591" i="3" s="1"/>
  <c r="G654" i="16"/>
  <c r="G656" i="16"/>
  <c r="G655" i="16" s="1"/>
  <c r="H243" i="16"/>
  <c r="H192" i="16" s="1"/>
  <c r="H191" i="16" s="1"/>
  <c r="F336" i="3"/>
  <c r="H336" i="3" s="1"/>
  <c r="H303" i="15"/>
  <c r="G688" i="14"/>
  <c r="D75" i="12"/>
  <c r="D74" i="12" s="1"/>
  <c r="G987" i="10"/>
  <c r="G833" i="4"/>
  <c r="F749" i="3"/>
  <c r="H749" i="3" s="1"/>
  <c r="F517" i="3"/>
  <c r="F700" i="3"/>
  <c r="H700" i="3" s="1"/>
  <c r="G1205" i="4"/>
  <c r="G748" i="10"/>
  <c r="H50" i="15"/>
  <c r="G28" i="4"/>
  <c r="H858" i="15"/>
  <c r="H854" i="15" s="1"/>
  <c r="H853" i="15" s="1"/>
  <c r="H852" i="15" s="1"/>
  <c r="H851" i="15" s="1"/>
  <c r="C75" i="12"/>
  <c r="C74" i="12" s="1"/>
  <c r="C149" i="12" s="1"/>
  <c r="C152" i="12" s="1"/>
  <c r="H502" i="16"/>
  <c r="H501" i="16" s="1"/>
  <c r="H500" i="16" s="1"/>
  <c r="H499" i="16" s="1"/>
  <c r="H498" i="16" s="1"/>
  <c r="H456" i="16" s="1"/>
  <c r="H666" i="16"/>
  <c r="H665" i="16" s="1"/>
  <c r="H670" i="16"/>
  <c r="H669" i="16" s="1"/>
  <c r="G323" i="4"/>
  <c r="G455" i="16"/>
  <c r="H936" i="16"/>
  <c r="H935" i="16" s="1"/>
  <c r="H934" i="16" s="1"/>
  <c r="H933" i="16" s="1"/>
  <c r="H932" i="16" s="1"/>
  <c r="H736" i="16"/>
  <c r="H735" i="16" s="1"/>
  <c r="H730" i="16" s="1"/>
  <c r="H729" i="16" s="1"/>
  <c r="H727" i="16" s="1"/>
  <c r="H704" i="16" s="1"/>
  <c r="F129" i="14"/>
  <c r="G133" i="14"/>
  <c r="G129" i="14" s="1"/>
  <c r="H674" i="15"/>
  <c r="H653" i="15" s="1"/>
  <c r="H188" i="16"/>
  <c r="H187" i="16" s="1"/>
  <c r="H186" i="16" s="1"/>
  <c r="H163" i="16" s="1"/>
  <c r="H162" i="16" s="1"/>
  <c r="G344" i="4"/>
  <c r="I344" i="4" s="1"/>
  <c r="H930" i="16"/>
  <c r="G207" i="4"/>
  <c r="G1222" i="4"/>
  <c r="H510" i="16"/>
  <c r="H509" i="16" s="1"/>
  <c r="H508" i="16" s="1"/>
  <c r="H507" i="16" s="1"/>
  <c r="H506" i="16" s="1"/>
  <c r="H505" i="16" s="1"/>
  <c r="G146" i="4"/>
  <c r="G165" i="4"/>
  <c r="H255" i="16"/>
  <c r="H339" i="16"/>
  <c r="H662" i="16"/>
  <c r="H661" i="16" s="1"/>
  <c r="G151" i="14"/>
  <c r="G42" i="14"/>
  <c r="G41" i="14" s="1"/>
  <c r="H350" i="16"/>
  <c r="H288" i="16"/>
  <c r="H287" i="16" s="1"/>
  <c r="H278" i="16" s="1"/>
  <c r="H277" i="16" s="1"/>
  <c r="H276" i="16" s="1"/>
  <c r="H260" i="16" s="1"/>
  <c r="H107" i="15"/>
  <c r="H106" i="15" s="1"/>
  <c r="H105" i="15" s="1"/>
  <c r="H104" i="15" s="1"/>
  <c r="H352" i="16"/>
  <c r="H351" i="16" s="1"/>
  <c r="H346" i="16" s="1"/>
  <c r="H345" i="16" s="1"/>
  <c r="H354" i="16"/>
  <c r="G607" i="14"/>
  <c r="G586" i="14" s="1"/>
  <c r="G280" i="4"/>
  <c r="I280" i="4" s="1"/>
  <c r="H1128" i="15"/>
  <c r="G1128" i="15"/>
  <c r="H573" i="15"/>
  <c r="G573" i="15"/>
  <c r="H495" i="15"/>
  <c r="H494" i="15" s="1"/>
  <c r="G495" i="15"/>
  <c r="G494" i="15" s="1"/>
  <c r="F59" i="3"/>
  <c r="H59" i="3" s="1"/>
  <c r="H392" i="16"/>
  <c r="G178" i="4"/>
  <c r="G584" i="4"/>
  <c r="I584" i="4" s="1"/>
  <c r="H706" i="16"/>
  <c r="F371" i="14"/>
  <c r="F370" i="14" s="1"/>
  <c r="F41" i="14"/>
  <c r="H785" i="15"/>
  <c r="F139" i="3"/>
  <c r="H139" i="3" s="1"/>
  <c r="F150" i="14"/>
  <c r="E25" i="13"/>
  <c r="F332" i="14"/>
  <c r="G705" i="16"/>
  <c r="G192" i="16"/>
  <c r="G191" i="16" s="1"/>
  <c r="G161" i="16" s="1"/>
  <c r="F740" i="14"/>
  <c r="F739" i="14" s="1"/>
  <c r="H1149" i="15"/>
  <c r="F974" i="14"/>
  <c r="F973" i="14" s="1"/>
  <c r="H458" i="15"/>
  <c r="G458" i="15"/>
  <c r="H513" i="15"/>
  <c r="H512" i="15" s="1"/>
  <c r="G513" i="15"/>
  <c r="G512" i="15" s="1"/>
  <c r="H812" i="15"/>
  <c r="G812" i="15"/>
  <c r="H758" i="15"/>
  <c r="G758" i="15"/>
  <c r="G727" i="16"/>
  <c r="G728" i="16"/>
  <c r="H1033" i="15"/>
  <c r="G1033" i="15"/>
  <c r="H875" i="15"/>
  <c r="H874" i="15" s="1"/>
  <c r="H873" i="15" s="1"/>
  <c r="H872" i="15" s="1"/>
  <c r="G875" i="15"/>
  <c r="G874" i="15" s="1"/>
  <c r="G873" i="15" s="1"/>
  <c r="G872" i="15" s="1"/>
  <c r="H448" i="15"/>
  <c r="G448" i="15"/>
  <c r="G332" i="14"/>
  <c r="H462" i="15"/>
  <c r="G462" i="15"/>
  <c r="H521" i="15"/>
  <c r="G521" i="15"/>
  <c r="H727" i="15"/>
  <c r="H722" i="15" s="1"/>
  <c r="G727" i="15"/>
  <c r="G722" i="15" s="1"/>
  <c r="H1145" i="15"/>
  <c r="H331" i="15"/>
  <c r="G331" i="15"/>
  <c r="H208" i="15"/>
  <c r="H1131" i="15" s="1"/>
  <c r="G208" i="15"/>
  <c r="G1131" i="15" s="1"/>
  <c r="H219" i="15"/>
  <c r="H218" i="15" s="1"/>
  <c r="H217" i="15" s="1"/>
  <c r="H216" i="15" s="1"/>
  <c r="H215" i="15" s="1"/>
  <c r="G219" i="15"/>
  <c r="G218" i="15" s="1"/>
  <c r="G217" i="15" s="1"/>
  <c r="G216" i="15" s="1"/>
  <c r="G215" i="15" s="1"/>
  <c r="H324" i="15"/>
  <c r="G324" i="15"/>
  <c r="G653" i="15"/>
  <c r="G932" i="16"/>
  <c r="G931" i="16"/>
  <c r="H335" i="16"/>
  <c r="H334" i="16" s="1"/>
  <c r="H333" i="16"/>
  <c r="H739" i="15"/>
  <c r="H738" i="15" s="1"/>
  <c r="H737" i="15" s="1"/>
  <c r="H736" i="15" s="1"/>
  <c r="H992" i="15"/>
  <c r="H991" i="15" s="1"/>
  <c r="G991" i="15"/>
  <c r="H844" i="15"/>
  <c r="H843" i="15" s="1"/>
  <c r="H842" i="15" s="1"/>
  <c r="G844" i="15"/>
  <c r="G843" i="15" s="1"/>
  <c r="G842" i="15" s="1"/>
  <c r="H1122" i="15"/>
  <c r="G74" i="16"/>
  <c r="G73" i="16"/>
  <c r="G27" i="16" s="1"/>
  <c r="H440" i="15"/>
  <c r="H439" i="15" s="1"/>
  <c r="H438" i="15" s="1"/>
  <c r="G440" i="15"/>
  <c r="G439" i="15" s="1"/>
  <c r="G438" i="15" s="1"/>
  <c r="G854" i="15"/>
  <c r="G853" i="15" s="1"/>
  <c r="G852" i="15" s="1"/>
  <c r="G851" i="15" s="1"/>
  <c r="H805" i="15"/>
  <c r="G805" i="15"/>
  <c r="H817" i="15"/>
  <c r="H816" i="15" s="1"/>
  <c r="H1154" i="15" s="1"/>
  <c r="G817" i="15"/>
  <c r="G816" i="15" s="1"/>
  <c r="G1154" i="15" s="1"/>
  <c r="H78" i="16"/>
  <c r="H77" i="16" s="1"/>
  <c r="H76" i="16" s="1"/>
  <c r="H75" i="16" s="1"/>
  <c r="H80" i="16"/>
  <c r="G346" i="16"/>
  <c r="G345" i="16" s="1"/>
  <c r="G344" i="16"/>
  <c r="G333" i="16"/>
  <c r="G335" i="16"/>
  <c r="G334" i="16" s="1"/>
  <c r="H293" i="15"/>
  <c r="G293" i="15"/>
  <c r="G639" i="16"/>
  <c r="G638" i="16" s="1"/>
  <c r="G637" i="16"/>
  <c r="G1149" i="15"/>
  <c r="H796" i="15"/>
  <c r="H795" i="15" s="1"/>
  <c r="G795" i="15"/>
  <c r="H946" i="15"/>
  <c r="H945" i="15" s="1"/>
  <c r="G945" i="15"/>
  <c r="H942" i="15"/>
  <c r="H941" i="15" s="1"/>
  <c r="G941" i="15"/>
  <c r="H949" i="15"/>
  <c r="G949" i="15"/>
  <c r="H978" i="15"/>
  <c r="H977" i="15" s="1"/>
  <c r="G978" i="15"/>
  <c r="G977" i="15" s="1"/>
  <c r="H621" i="15"/>
  <c r="H620" i="15" s="1"/>
  <c r="G621" i="15"/>
  <c r="G620" i="15" s="1"/>
  <c r="F938" i="14"/>
  <c r="F482" i="14"/>
  <c r="G482" i="14"/>
  <c r="G996" i="14"/>
  <c r="G995" i="14" s="1"/>
  <c r="F996" i="14"/>
  <c r="F995" i="14" s="1"/>
  <c r="F201" i="14"/>
  <c r="F200" i="14"/>
  <c r="G638" i="14"/>
  <c r="F638" i="14"/>
  <c r="G705" i="15"/>
  <c r="H176" i="15"/>
  <c r="H175" i="15" s="1"/>
  <c r="H174" i="15" s="1"/>
  <c r="G176" i="15"/>
  <c r="G175" i="15" s="1"/>
  <c r="G174" i="15" s="1"/>
  <c r="H163" i="15"/>
  <c r="H162" i="15" s="1"/>
  <c r="H161" i="15" s="1"/>
  <c r="G163" i="15"/>
  <c r="G162" i="15" s="1"/>
  <c r="G161" i="15" s="1"/>
  <c r="H1096" i="15"/>
  <c r="H1095" i="15" s="1"/>
  <c r="H1094" i="15" s="1"/>
  <c r="G1096" i="15"/>
  <c r="G1095" i="15" s="1"/>
  <c r="G1094" i="15" s="1"/>
  <c r="H1066" i="15"/>
  <c r="H1065" i="15" s="1"/>
  <c r="H1064" i="15" s="1"/>
  <c r="G1066" i="15"/>
  <c r="G1065" i="15" s="1"/>
  <c r="G1064" i="15" s="1"/>
  <c r="H1040" i="15"/>
  <c r="G1040" i="15"/>
  <c r="H1021" i="15"/>
  <c r="H1020" i="15" s="1"/>
  <c r="G1021" i="15"/>
  <c r="G1020" i="15" s="1"/>
  <c r="H831" i="15"/>
  <c r="H830" i="15" s="1"/>
  <c r="G831" i="15"/>
  <c r="G830" i="15" s="1"/>
  <c r="H823" i="15"/>
  <c r="H822" i="15" s="1"/>
  <c r="G823" i="15"/>
  <c r="G822" i="15" s="1"/>
  <c r="H762" i="15"/>
  <c r="G762" i="15"/>
  <c r="H748" i="15"/>
  <c r="H747" i="15" s="1"/>
  <c r="G748" i="15"/>
  <c r="G747" i="15" s="1"/>
  <c r="H427" i="15"/>
  <c r="H426" i="15" s="1"/>
  <c r="G427" i="15"/>
  <c r="G426" i="15" s="1"/>
  <c r="G796" i="14"/>
  <c r="G795" i="14" s="1"/>
  <c r="F796" i="14"/>
  <c r="F795" i="14" s="1"/>
  <c r="H372" i="15"/>
  <c r="H371" i="15" s="1"/>
  <c r="G372" i="15"/>
  <c r="G371" i="15" s="1"/>
  <c r="G777" i="14"/>
  <c r="G768" i="14" s="1"/>
  <c r="F777" i="14"/>
  <c r="F768" i="14" s="1"/>
  <c r="H345" i="15"/>
  <c r="G345" i="15"/>
  <c r="H281" i="15"/>
  <c r="G281" i="15"/>
  <c r="H143" i="15"/>
  <c r="H142" i="15" s="1"/>
  <c r="H141" i="15" s="1"/>
  <c r="G143" i="15"/>
  <c r="G142" i="15" s="1"/>
  <c r="G141" i="15" s="1"/>
  <c r="G232" i="14"/>
  <c r="F232" i="14"/>
  <c r="G106" i="15"/>
  <c r="G105" i="15" s="1"/>
  <c r="G104" i="15" s="1"/>
  <c r="H34" i="15"/>
  <c r="G34" i="15"/>
  <c r="G33" i="15" s="1"/>
  <c r="G32" i="15" s="1"/>
  <c r="G974" i="4"/>
  <c r="G451" i="5"/>
  <c r="G890" i="4"/>
  <c r="I890" i="4" s="1"/>
  <c r="G912" i="5"/>
  <c r="G266" i="5"/>
  <c r="I266" i="5" s="1"/>
  <c r="G645" i="5"/>
  <c r="I645" i="5" s="1"/>
  <c r="G87" i="4"/>
  <c r="I87" i="4" s="1"/>
  <c r="G764" i="4"/>
  <c r="I764" i="4" s="1"/>
  <c r="G194" i="4"/>
  <c r="I194" i="4" s="1"/>
  <c r="G1023" i="4"/>
  <c r="G218" i="4"/>
  <c r="I218" i="4" s="1"/>
  <c r="G429" i="4"/>
  <c r="I429" i="4" s="1"/>
  <c r="G249" i="4"/>
  <c r="I249" i="4" s="1"/>
  <c r="H1140" i="15"/>
  <c r="G1140" i="15"/>
  <c r="G1080" i="4"/>
  <c r="I1080" i="4" s="1"/>
  <c r="G442" i="4"/>
  <c r="I442" i="4" s="1"/>
  <c r="G1121" i="4"/>
  <c r="I1121" i="4" s="1"/>
  <c r="G12" i="4"/>
  <c r="I12" i="4" s="1"/>
  <c r="G1186" i="4"/>
  <c r="I1186" i="4" s="1"/>
  <c r="G499" i="4"/>
  <c r="I499" i="4" s="1"/>
  <c r="G108" i="4"/>
  <c r="I108" i="4" s="1"/>
  <c r="G911" i="4"/>
  <c r="G517" i="4"/>
  <c r="I517" i="4" s="1"/>
  <c r="G1147" i="4"/>
  <c r="I1147" i="4" s="1"/>
  <c r="G1234" i="4"/>
  <c r="G884" i="4"/>
  <c r="G1156" i="4"/>
  <c r="I1156" i="4" s="1"/>
  <c r="G560" i="4"/>
  <c r="I560" i="4" s="1"/>
  <c r="G531" i="4"/>
  <c r="I531" i="4" s="1"/>
  <c r="G1109" i="4"/>
  <c r="I1109" i="4" s="1"/>
  <c r="G525" i="4"/>
  <c r="I525" i="4" s="1"/>
  <c r="I1247" i="4" s="1"/>
  <c r="G947" i="4"/>
  <c r="I947" i="4" s="1"/>
  <c r="G746" i="4"/>
  <c r="I746" i="4" s="1"/>
  <c r="G450" i="4"/>
  <c r="I450" i="4" s="1"/>
  <c r="G1066" i="4"/>
  <c r="I1066" i="4" s="1"/>
  <c r="G792" i="4"/>
  <c r="I792" i="4" s="1"/>
  <c r="G1246" i="4"/>
  <c r="G631" i="4"/>
  <c r="I631" i="4" s="1"/>
  <c r="G890" i="5"/>
  <c r="G547" i="4"/>
  <c r="I547" i="4" s="1"/>
  <c r="G939" i="4"/>
  <c r="I939" i="4" s="1"/>
  <c r="G783" i="4"/>
  <c r="I783" i="4" s="1"/>
  <c r="G319" i="5"/>
  <c r="I319" i="5" s="1"/>
  <c r="G810" i="5"/>
  <c r="G460" i="4"/>
  <c r="I460" i="4" s="1"/>
  <c r="G896" i="5"/>
  <c r="I896" i="5" s="1"/>
  <c r="G213" i="5"/>
  <c r="I213" i="5" s="1"/>
  <c r="G234" i="5"/>
  <c r="I234" i="5" s="1"/>
  <c r="G259" i="5"/>
  <c r="G584" i="5"/>
  <c r="I584" i="5" s="1"/>
  <c r="G997" i="5"/>
  <c r="I997" i="5" s="1"/>
  <c r="G476" i="5"/>
  <c r="I476" i="5" s="1"/>
  <c r="G985" i="5"/>
  <c r="I985" i="5" s="1"/>
  <c r="G338" i="5"/>
  <c r="I338" i="5" s="1"/>
  <c r="G864" i="5"/>
  <c r="I864" i="5" s="1"/>
  <c r="G871" i="5"/>
  <c r="I871" i="5" s="1"/>
  <c r="G958" i="5"/>
  <c r="I958" i="5" s="1"/>
  <c r="G105" i="5"/>
  <c r="I105" i="5" s="1"/>
  <c r="G903" i="5"/>
  <c r="I903" i="5" s="1"/>
  <c r="G354" i="5"/>
  <c r="G596" i="5"/>
  <c r="I596" i="5" s="1"/>
  <c r="G849" i="5"/>
  <c r="I849" i="5" s="1"/>
  <c r="G885" i="5"/>
  <c r="I885" i="5" s="1"/>
  <c r="G793" i="5"/>
  <c r="I793" i="5" s="1"/>
  <c r="G1014" i="5"/>
  <c r="I1014" i="5" s="1"/>
  <c r="G96" i="5"/>
  <c r="I96" i="5" s="1"/>
  <c r="G1027" i="5"/>
  <c r="I1027" i="5" s="1"/>
  <c r="G1028" i="5"/>
  <c r="I1028" i="5" s="1"/>
  <c r="G295" i="5"/>
  <c r="I295" i="5" s="1"/>
  <c r="G138" i="4"/>
  <c r="I138" i="4" s="1"/>
  <c r="G761" i="5"/>
  <c r="G995" i="5"/>
  <c r="I995" i="5" s="1"/>
  <c r="G991" i="5"/>
  <c r="I991" i="5" s="1"/>
  <c r="G507" i="5"/>
  <c r="I507" i="5" s="1"/>
  <c r="G80" i="5"/>
  <c r="I80" i="5" s="1"/>
  <c r="G1021" i="5"/>
  <c r="I1021" i="5" s="1"/>
  <c r="G20" i="5"/>
  <c r="I20" i="5" s="1"/>
  <c r="G359" i="5"/>
  <c r="I359" i="5" s="1"/>
  <c r="G70" i="5"/>
  <c r="I70" i="5" s="1"/>
  <c r="G87" i="5"/>
  <c r="I87" i="5" s="1"/>
  <c r="G205" i="5"/>
  <c r="I205" i="5" s="1"/>
  <c r="G242" i="5"/>
  <c r="I242" i="5" s="1"/>
  <c r="G281" i="5"/>
  <c r="I281" i="5" s="1"/>
  <c r="G517" i="5"/>
  <c r="I517" i="5" s="1"/>
  <c r="G63" i="5"/>
  <c r="I63" i="5" s="1"/>
  <c r="G978" i="5"/>
  <c r="I978" i="5" s="1"/>
  <c r="G947" i="5"/>
  <c r="I947" i="5" s="1"/>
  <c r="G558" i="5"/>
  <c r="I558" i="5" s="1"/>
  <c r="G531" i="5"/>
  <c r="I531" i="5" s="1"/>
  <c r="G358" i="5"/>
  <c r="I358" i="5" s="1"/>
  <c r="G698" i="5"/>
  <c r="I698" i="5" s="1"/>
  <c r="G547" i="5"/>
  <c r="I547" i="5" s="1"/>
  <c r="F979" i="3"/>
  <c r="H979" i="3" s="1"/>
  <c r="F483" i="3"/>
  <c r="H483" i="3" s="1"/>
  <c r="F739" i="3"/>
  <c r="H739" i="3" s="1"/>
  <c r="F1076" i="3"/>
  <c r="H1076" i="3" s="1"/>
  <c r="F32" i="3"/>
  <c r="H32" i="3" s="1"/>
  <c r="F792" i="3"/>
  <c r="H792" i="3" s="1"/>
  <c r="F1055" i="3"/>
  <c r="H1055" i="3" s="1"/>
  <c r="F287" i="3"/>
  <c r="H287" i="3" s="1"/>
  <c r="F1049" i="3"/>
  <c r="H1049" i="3" s="1"/>
  <c r="F1099" i="3"/>
  <c r="H1099" i="3" s="1"/>
  <c r="F634" i="3"/>
  <c r="H634" i="3" s="1"/>
  <c r="F397" i="3"/>
  <c r="H397" i="3" s="1"/>
  <c r="F815" i="3"/>
  <c r="H815" i="3" s="1"/>
  <c r="F389" i="3"/>
  <c r="H389" i="3" s="1"/>
  <c r="F780" i="3"/>
  <c r="H780" i="3" s="1"/>
  <c r="F859" i="3"/>
  <c r="H859" i="3" s="1"/>
  <c r="F428" i="3"/>
  <c r="H428" i="3" s="1"/>
  <c r="F588" i="14"/>
  <c r="F614" i="3"/>
  <c r="H614" i="3" s="1"/>
  <c r="F171" i="3"/>
  <c r="H171" i="3" s="1"/>
  <c r="F442" i="3"/>
  <c r="H442" i="3" s="1"/>
  <c r="F235" i="3"/>
  <c r="H235" i="3" s="1"/>
  <c r="F544" i="3"/>
  <c r="H544" i="3" s="1"/>
  <c r="F508" i="14"/>
  <c r="F534" i="3"/>
  <c r="H534" i="3" s="1"/>
  <c r="F641" i="3"/>
  <c r="H641" i="3" s="1"/>
  <c r="F650" i="3"/>
  <c r="H650" i="3" s="1"/>
  <c r="F915" i="3"/>
  <c r="H915" i="3" s="1"/>
  <c r="F106" i="3"/>
  <c r="H106" i="3" s="1"/>
  <c r="F99" i="14"/>
  <c r="F465" i="3"/>
  <c r="H465" i="3" s="1"/>
  <c r="F464" i="3"/>
  <c r="H464" i="3" s="1"/>
  <c r="F267" i="3"/>
  <c r="H267" i="3" s="1"/>
  <c r="F942" i="3"/>
  <c r="H942" i="3" s="1"/>
  <c r="F492" i="3"/>
  <c r="H492" i="3" s="1"/>
  <c r="F928" i="3"/>
  <c r="H928" i="3" s="1"/>
  <c r="F471" i="3"/>
  <c r="H471" i="3" s="1"/>
  <c r="F811" i="3"/>
  <c r="H811" i="3" s="1"/>
  <c r="F254" i="3"/>
  <c r="H254" i="3" s="1"/>
  <c r="F43" i="3"/>
  <c r="H43" i="3" s="1"/>
  <c r="F385" i="3"/>
  <c r="H385" i="3" s="1"/>
  <c r="F952" i="3"/>
  <c r="H952" i="3" s="1"/>
  <c r="F627" i="3"/>
  <c r="H627" i="3" s="1"/>
  <c r="G32" i="5"/>
  <c r="I32" i="5" s="1"/>
  <c r="G336" i="5"/>
  <c r="I336" i="5" s="1"/>
  <c r="G46" i="5"/>
  <c r="I46" i="5" s="1"/>
  <c r="G12" i="5"/>
  <c r="F1085" i="3"/>
  <c r="H1085" i="3" s="1"/>
  <c r="I981" i="10"/>
  <c r="G1231" i="4"/>
  <c r="G952" i="4"/>
  <c r="I952" i="4" s="1"/>
  <c r="G718" i="5" l="1"/>
  <c r="I718" i="5" s="1"/>
  <c r="G973" i="4"/>
  <c r="I973" i="4" s="1"/>
  <c r="I974" i="4"/>
  <c r="G177" i="4"/>
  <c r="I177" i="4" s="1"/>
  <c r="I178" i="4"/>
  <c r="G206" i="4"/>
  <c r="I206" i="4" s="1"/>
  <c r="I207" i="4"/>
  <c r="G1005" i="5"/>
  <c r="I1005" i="5" s="1"/>
  <c r="G1174" i="4"/>
  <c r="I1174" i="4" s="1"/>
  <c r="G1245" i="4"/>
  <c r="I884" i="4"/>
  <c r="I1245" i="4" s="1"/>
  <c r="G910" i="4"/>
  <c r="I910" i="4" s="1"/>
  <c r="I911" i="4"/>
  <c r="G145" i="4"/>
  <c r="I145" i="4" s="1"/>
  <c r="I146" i="4"/>
  <c r="I1199" i="4"/>
  <c r="G832" i="4"/>
  <c r="I832" i="4" s="1"/>
  <c r="I833" i="4"/>
  <c r="G164" i="4"/>
  <c r="I164" i="4" s="1"/>
  <c r="I165" i="4"/>
  <c r="I1242" i="4" s="1"/>
  <c r="G166" i="5"/>
  <c r="I166" i="5" s="1"/>
  <c r="G990" i="4"/>
  <c r="I990" i="4" s="1"/>
  <c r="I1023" i="4"/>
  <c r="I1243" i="4" s="1"/>
  <c r="G322" i="4"/>
  <c r="I322" i="4" s="1"/>
  <c r="I323" i="4"/>
  <c r="G975" i="10"/>
  <c r="G977" i="10" s="1"/>
  <c r="G24" i="6"/>
  <c r="I25" i="6"/>
  <c r="I736" i="5"/>
  <c r="G66" i="14"/>
  <c r="H13" i="3"/>
  <c r="G754" i="5"/>
  <c r="I761" i="5"/>
  <c r="G246" i="5"/>
  <c r="I246" i="5" s="1"/>
  <c r="I259" i="5"/>
  <c r="F272" i="3"/>
  <c r="H272" i="3" s="1"/>
  <c r="G877" i="5"/>
  <c r="I877" i="5" s="1"/>
  <c r="F11" i="3"/>
  <c r="D12" i="2" s="1"/>
  <c r="F12" i="2" s="1"/>
  <c r="G154" i="5"/>
  <c r="I154" i="5" s="1"/>
  <c r="G889" i="5"/>
  <c r="I889" i="5" s="1"/>
  <c r="I890" i="5"/>
  <c r="F509" i="3"/>
  <c r="H509" i="3" s="1"/>
  <c r="H517" i="3"/>
  <c r="G446" i="5"/>
  <c r="I451" i="5"/>
  <c r="F1062" i="3"/>
  <c r="H1062" i="3" s="1"/>
  <c r="H1063" i="3"/>
  <c r="F800" i="3"/>
  <c r="H800" i="3" s="1"/>
  <c r="G349" i="5"/>
  <c r="I349" i="5" s="1"/>
  <c r="I354" i="5"/>
  <c r="P1199" i="4"/>
  <c r="E91" i="1"/>
  <c r="G911" i="5"/>
  <c r="I911" i="5" s="1"/>
  <c r="I912" i="5"/>
  <c r="G27" i="4"/>
  <c r="I27" i="4" s="1"/>
  <c r="I28" i="4"/>
  <c r="G809" i="5"/>
  <c r="G807" i="5" s="1"/>
  <c r="I807" i="5" s="1"/>
  <c r="I810" i="5"/>
  <c r="G991" i="10"/>
  <c r="G217" i="5"/>
  <c r="I217" i="5" s="1"/>
  <c r="H654" i="16"/>
  <c r="H616" i="16" s="1"/>
  <c r="H516" i="16" s="1"/>
  <c r="H656" i="16"/>
  <c r="H655" i="16" s="1"/>
  <c r="H33" i="15"/>
  <c r="H32" i="15" s="1"/>
  <c r="H31" i="15" s="1"/>
  <c r="D149" i="12"/>
  <c r="E52" i="13" s="1"/>
  <c r="F74" i="12"/>
  <c r="G196" i="5"/>
  <c r="I196" i="5" s="1"/>
  <c r="E74" i="12"/>
  <c r="E76" i="12" s="1"/>
  <c r="D52" i="13"/>
  <c r="H728" i="16"/>
  <c r="H931" i="16"/>
  <c r="H161" i="16"/>
  <c r="H455" i="16"/>
  <c r="H344" i="16"/>
  <c r="H313" i="16" s="1"/>
  <c r="G1242" i="4"/>
  <c r="G976" i="15"/>
  <c r="G970" i="15" s="1"/>
  <c r="H1125" i="15"/>
  <c r="G704" i="15"/>
  <c r="G703" i="15" s="1"/>
  <c r="G702" i="15" s="1"/>
  <c r="G1125" i="15"/>
  <c r="G344" i="15"/>
  <c r="G343" i="15" s="1"/>
  <c r="G342" i="15" s="1"/>
  <c r="G520" i="15"/>
  <c r="G511" i="15" s="1"/>
  <c r="G493" i="15" s="1"/>
  <c r="G492" i="15" s="1"/>
  <c r="G1114" i="15"/>
  <c r="H1108" i="15"/>
  <c r="J1109" i="15" s="1"/>
  <c r="H344" i="15"/>
  <c r="H520" i="15"/>
  <c r="H511" i="15" s="1"/>
  <c r="H493" i="15" s="1"/>
  <c r="H492" i="15" s="1"/>
  <c r="H1114" i="15"/>
  <c r="G1108" i="15"/>
  <c r="I1109" i="15" s="1"/>
  <c r="G57" i="14"/>
  <c r="G40" i="14" s="1"/>
  <c r="G39" i="14" s="1"/>
  <c r="E14" i="13" s="1"/>
  <c r="H447" i="15"/>
  <c r="G447" i="15"/>
  <c r="F533" i="3"/>
  <c r="H533" i="3" s="1"/>
  <c r="G516" i="4"/>
  <c r="I516" i="4" s="1"/>
  <c r="G371" i="14"/>
  <c r="G370" i="14" s="1"/>
  <c r="G616" i="16"/>
  <c r="G516" i="16" s="1"/>
  <c r="G343" i="4"/>
  <c r="G150" i="14"/>
  <c r="G207" i="15"/>
  <c r="G206" i="15" s="1"/>
  <c r="G190" i="15" s="1"/>
  <c r="H207" i="15"/>
  <c r="H206" i="15" s="1"/>
  <c r="H190" i="15" s="1"/>
  <c r="G31" i="15"/>
  <c r="G704" i="16"/>
  <c r="G740" i="14"/>
  <c r="G739" i="14" s="1"/>
  <c r="G280" i="15"/>
  <c r="G279" i="15" s="1"/>
  <c r="G278" i="15" s="1"/>
  <c r="H784" i="15"/>
  <c r="H783" i="15" s="1"/>
  <c r="H782" i="15" s="1"/>
  <c r="G457" i="15"/>
  <c r="G1119" i="15"/>
  <c r="G784" i="15"/>
  <c r="G783" i="15" s="1"/>
  <c r="G782" i="15" s="1"/>
  <c r="G140" i="14"/>
  <c r="F140" i="14"/>
  <c r="G974" i="14"/>
  <c r="G973" i="14" s="1"/>
  <c r="H757" i="15"/>
  <c r="H746" i="15" s="1"/>
  <c r="G1032" i="15"/>
  <c r="G1019" i="15" s="1"/>
  <c r="H280" i="15"/>
  <c r="H279" i="15" s="1"/>
  <c r="H278" i="15" s="1"/>
  <c r="G549" i="15"/>
  <c r="G548" i="15" s="1"/>
  <c r="G547" i="15" s="1"/>
  <c r="H549" i="15"/>
  <c r="H548" i="15" s="1"/>
  <c r="H547" i="15" s="1"/>
  <c r="H323" i="15"/>
  <c r="H322" i="15" s="1"/>
  <c r="H321" i="15" s="1"/>
  <c r="H457" i="15"/>
  <c r="H1119" i="15"/>
  <c r="H1063" i="15"/>
  <c r="H1062" i="15" s="1"/>
  <c r="H160" i="15"/>
  <c r="H976" i="15"/>
  <c r="H970" i="15" s="1"/>
  <c r="H415" i="15"/>
  <c r="H1032" i="15"/>
  <c r="H1019" i="15" s="1"/>
  <c r="G619" i="15"/>
  <c r="G618" i="15" s="1"/>
  <c r="H936" i="15"/>
  <c r="H906" i="15" s="1"/>
  <c r="H74" i="16"/>
  <c r="H73" i="16"/>
  <c r="H27" i="16" s="1"/>
  <c r="F40" i="14"/>
  <c r="F39" i="14" s="1"/>
  <c r="D14" i="13" s="1"/>
  <c r="G415" i="15"/>
  <c r="G821" i="15"/>
  <c r="G757" i="15"/>
  <c r="G746" i="15" s="1"/>
  <c r="G1063" i="15"/>
  <c r="G160" i="15"/>
  <c r="G313" i="16"/>
  <c r="G160" i="16" s="1"/>
  <c r="G323" i="15"/>
  <c r="G322" i="15" s="1"/>
  <c r="G321" i="15" s="1"/>
  <c r="H619" i="15"/>
  <c r="H618" i="15" s="1"/>
  <c r="G936" i="15"/>
  <c r="G906" i="15" s="1"/>
  <c r="G767" i="14"/>
  <c r="G766" i="14" s="1"/>
  <c r="E39" i="13" s="1"/>
  <c r="F767" i="14"/>
  <c r="F766" i="14" s="1"/>
  <c r="D39" i="13" s="1"/>
  <c r="G750" i="14"/>
  <c r="F750" i="14"/>
  <c r="G864" i="14"/>
  <c r="G863" i="14" s="1"/>
  <c r="G862" i="14" s="1"/>
  <c r="F864" i="14"/>
  <c r="F863" i="14" s="1"/>
  <c r="F862" i="14" s="1"/>
  <c r="G878" i="14"/>
  <c r="G877" i="14" s="1"/>
  <c r="F878" i="14"/>
  <c r="F877" i="14" s="1"/>
  <c r="F614" i="14"/>
  <c r="G225" i="14"/>
  <c r="G224" i="14" s="1"/>
  <c r="G223" i="14" s="1"/>
  <c r="F225" i="14"/>
  <c r="F224" i="14" s="1"/>
  <c r="F223" i="14" s="1"/>
  <c r="G366" i="14"/>
  <c r="F366" i="14"/>
  <c r="G553" i="14"/>
  <c r="F553" i="14"/>
  <c r="F607" i="14"/>
  <c r="G731" i="14"/>
  <c r="G730" i="14" s="1"/>
  <c r="G729" i="14" s="1"/>
  <c r="F731" i="14"/>
  <c r="F730" i="14" s="1"/>
  <c r="F729" i="14" s="1"/>
  <c r="G319" i="14"/>
  <c r="G318" i="14" s="1"/>
  <c r="G317" i="14" s="1"/>
  <c r="E28" i="13" s="1"/>
  <c r="F319" i="14"/>
  <c r="F318" i="14" s="1"/>
  <c r="F317" i="14" s="1"/>
  <c r="D28" i="13" s="1"/>
  <c r="G458" i="14"/>
  <c r="F458" i="14"/>
  <c r="G960" i="14"/>
  <c r="G959" i="14" s="1"/>
  <c r="F960" i="14"/>
  <c r="F959" i="14" s="1"/>
  <c r="G987" i="14"/>
  <c r="G986" i="14" s="1"/>
  <c r="G985" i="14" s="1"/>
  <c r="F987" i="14"/>
  <c r="F986" i="14" s="1"/>
  <c r="F985" i="14" s="1"/>
  <c r="G913" i="14"/>
  <c r="G912" i="14" s="1"/>
  <c r="G911" i="14" s="1"/>
  <c r="E44" i="13" s="1"/>
  <c r="F913" i="14"/>
  <c r="F912" i="14" s="1"/>
  <c r="F911" i="14" s="1"/>
  <c r="D44" i="13" s="1"/>
  <c r="G200" i="14"/>
  <c r="G201" i="14"/>
  <c r="G517" i="14"/>
  <c r="F517" i="14"/>
  <c r="G1008" i="14"/>
  <c r="G1007" i="14" s="1"/>
  <c r="G994" i="14" s="1"/>
  <c r="F1008" i="14"/>
  <c r="F1007" i="14" s="1"/>
  <c r="F994" i="14" s="1"/>
  <c r="G678" i="14"/>
  <c r="F678" i="14"/>
  <c r="G257" i="14"/>
  <c r="G256" i="14" s="1"/>
  <c r="G255" i="14" s="1"/>
  <c r="F257" i="14"/>
  <c r="F256" i="14" s="1"/>
  <c r="F255" i="14" s="1"/>
  <c r="D24" i="13" s="1"/>
  <c r="F439" i="14"/>
  <c r="F440" i="14"/>
  <c r="F587" i="14"/>
  <c r="G637" i="14"/>
  <c r="F637" i="14"/>
  <c r="G719" i="14"/>
  <c r="G711" i="14" s="1"/>
  <c r="G710" i="14" s="1"/>
  <c r="F719" i="14"/>
  <c r="F711" i="14" s="1"/>
  <c r="F710" i="14" s="1"/>
  <c r="G374" i="14"/>
  <c r="F374" i="14"/>
  <c r="F600" i="14"/>
  <c r="F403" i="14"/>
  <c r="F402" i="14" s="1"/>
  <c r="G888" i="14"/>
  <c r="F888" i="14"/>
  <c r="G508" i="14"/>
  <c r="G507" i="14" s="1"/>
  <c r="F507" i="14"/>
  <c r="G161" i="14"/>
  <c r="G160" i="14" s="1"/>
  <c r="G159" i="14" s="1"/>
  <c r="F161" i="14"/>
  <c r="F160" i="14" s="1"/>
  <c r="F159" i="14" s="1"/>
  <c r="G660" i="14"/>
  <c r="G655" i="14" s="1"/>
  <c r="F660" i="14"/>
  <c r="F655" i="14" s="1"/>
  <c r="G403" i="14"/>
  <c r="G402" i="14" s="1"/>
  <c r="H704" i="15"/>
  <c r="H703" i="15" s="1"/>
  <c r="H702" i="15" s="1"/>
  <c r="H705" i="15"/>
  <c r="G275" i="14"/>
  <c r="G274" i="14" s="1"/>
  <c r="G273" i="14" s="1"/>
  <c r="E26" i="13" s="1"/>
  <c r="F275" i="14"/>
  <c r="F274" i="14" s="1"/>
  <c r="G244" i="14"/>
  <c r="G243" i="14" s="1"/>
  <c r="G242" i="14" s="1"/>
  <c r="F244" i="14"/>
  <c r="F243" i="14" s="1"/>
  <c r="F242" i="14" s="1"/>
  <c r="G98" i="14"/>
  <c r="G97" i="14" s="1"/>
  <c r="E15" i="13" s="1"/>
  <c r="F98" i="14"/>
  <c r="F97" i="14" s="1"/>
  <c r="D15" i="13" s="1"/>
  <c r="G30" i="14"/>
  <c r="G29" i="14" s="1"/>
  <c r="G28" i="14" s="1"/>
  <c r="E13" i="13" s="1"/>
  <c r="F30" i="14"/>
  <c r="F29" i="14" s="1"/>
  <c r="F28" i="14" s="1"/>
  <c r="G465" i="14"/>
  <c r="F465" i="14"/>
  <c r="G1108" i="4"/>
  <c r="I1108" i="4" s="1"/>
  <c r="G446" i="14"/>
  <c r="G445" i="14" s="1"/>
  <c r="F446" i="14"/>
  <c r="F445" i="14" s="1"/>
  <c r="H821" i="15"/>
  <c r="G966" i="14"/>
  <c r="G965" i="14" s="1"/>
  <c r="F966" i="14"/>
  <c r="F965" i="14" s="1"/>
  <c r="G754" i="14"/>
  <c r="F754" i="14"/>
  <c r="G851" i="14"/>
  <c r="G850" i="14" s="1"/>
  <c r="F851" i="14"/>
  <c r="F850" i="14" s="1"/>
  <c r="G644" i="5"/>
  <c r="G84" i="5"/>
  <c r="I84" i="5" s="1"/>
  <c r="G265" i="5"/>
  <c r="G788" i="5"/>
  <c r="G318" i="5"/>
  <c r="G745" i="4"/>
  <c r="I745" i="4" s="1"/>
  <c r="G530" i="4"/>
  <c r="I530" i="4" s="1"/>
  <c r="G1146" i="4"/>
  <c r="I1146" i="4" s="1"/>
  <c r="G11" i="4"/>
  <c r="G441" i="4"/>
  <c r="I441" i="4" s="1"/>
  <c r="G791" i="4"/>
  <c r="I791" i="4" s="1"/>
  <c r="G920" i="4"/>
  <c r="I920" i="4" s="1"/>
  <c r="G1065" i="4"/>
  <c r="I1065" i="4" s="1"/>
  <c r="I1241" i="4" s="1"/>
  <c r="G217" i="4"/>
  <c r="G193" i="4"/>
  <c r="I193" i="4" s="1"/>
  <c r="G630" i="4"/>
  <c r="I630" i="4" s="1"/>
  <c r="G144" i="4"/>
  <c r="I144" i="4" s="1"/>
  <c r="H1134" i="15"/>
  <c r="G1134" i="15"/>
  <c r="G1247" i="4"/>
  <c r="G1155" i="4"/>
  <c r="I1155" i="4" s="1"/>
  <c r="G1243" i="4"/>
  <c r="G107" i="4"/>
  <c r="G279" i="4"/>
  <c r="I279" i="4" s="1"/>
  <c r="I1239" i="4" s="1"/>
  <c r="H1155" i="15"/>
  <c r="G1155" i="15"/>
  <c r="G946" i="4"/>
  <c r="H1143" i="15"/>
  <c r="G1143" i="15"/>
  <c r="G1185" i="4"/>
  <c r="I1185" i="4" s="1"/>
  <c r="G559" i="4"/>
  <c r="I559" i="4" s="1"/>
  <c r="G248" i="4"/>
  <c r="I248" i="4" s="1"/>
  <c r="G337" i="5"/>
  <c r="I337" i="5" s="1"/>
  <c r="G938" i="4"/>
  <c r="I938" i="4" s="1"/>
  <c r="G782" i="4"/>
  <c r="I782" i="4" s="1"/>
  <c r="G449" i="4"/>
  <c r="I449" i="4" s="1"/>
  <c r="G86" i="5"/>
  <c r="G280" i="5"/>
  <c r="I280" i="5" s="1"/>
  <c r="G45" i="5"/>
  <c r="I45" i="5" s="1"/>
  <c r="G946" i="5"/>
  <c r="I946" i="5" s="1"/>
  <c r="G137" i="4"/>
  <c r="I137" i="4" s="1"/>
  <c r="I1206" i="4" s="1"/>
  <c r="G1034" i="5"/>
  <c r="I1034" i="5" s="1"/>
  <c r="G863" i="5"/>
  <c r="I863" i="5" s="1"/>
  <c r="G984" i="5"/>
  <c r="I984" i="5" s="1"/>
  <c r="G996" i="5"/>
  <c r="I996" i="5" s="1"/>
  <c r="G583" i="5"/>
  <c r="I583" i="5" s="1"/>
  <c r="G557" i="5"/>
  <c r="I557" i="5" s="1"/>
  <c r="G697" i="5"/>
  <c r="I697" i="5" s="1"/>
  <c r="G62" i="5"/>
  <c r="I62" i="5" s="1"/>
  <c r="G79" i="5"/>
  <c r="I79" i="5" s="1"/>
  <c r="G505" i="5"/>
  <c r="I505" i="5" s="1"/>
  <c r="G506" i="5"/>
  <c r="I506" i="5" s="1"/>
  <c r="G294" i="5"/>
  <c r="I294" i="5" s="1"/>
  <c r="G844" i="5"/>
  <c r="I844" i="5" s="1"/>
  <c r="G546" i="5"/>
  <c r="I546" i="5" s="1"/>
  <c r="G530" i="5"/>
  <c r="I530" i="5" s="1"/>
  <c r="G68" i="5"/>
  <c r="I68" i="5" s="1"/>
  <c r="G69" i="5"/>
  <c r="I69" i="5" s="1"/>
  <c r="G19" i="5"/>
  <c r="I19" i="5" s="1"/>
  <c r="G1019" i="5"/>
  <c r="I1019" i="5" s="1"/>
  <c r="G1020" i="5"/>
  <c r="I1020" i="5" s="1"/>
  <c r="G433" i="5"/>
  <c r="G1013" i="5"/>
  <c r="I1013" i="5" s="1"/>
  <c r="G884" i="5"/>
  <c r="I884" i="5" s="1"/>
  <c r="G595" i="5"/>
  <c r="I595" i="5" s="1"/>
  <c r="G347" i="5"/>
  <c r="I347" i="5" s="1"/>
  <c r="G104" i="5"/>
  <c r="I104" i="5" s="1"/>
  <c r="G516" i="5"/>
  <c r="I516" i="5" s="1"/>
  <c r="G990" i="5"/>
  <c r="I990" i="5" s="1"/>
  <c r="G94" i="5"/>
  <c r="I94" i="5" s="1"/>
  <c r="G95" i="5"/>
  <c r="I95" i="5" s="1"/>
  <c r="G870" i="5"/>
  <c r="I870" i="5" s="1"/>
  <c r="G475" i="5"/>
  <c r="I475" i="5" s="1"/>
  <c r="F726" i="3"/>
  <c r="H726" i="3" s="1"/>
  <c r="F31" i="3"/>
  <c r="H31" i="3" s="1"/>
  <c r="F384" i="3"/>
  <c r="F441" i="3"/>
  <c r="H441" i="3" s="1"/>
  <c r="F580" i="3"/>
  <c r="H580" i="3" s="1"/>
  <c r="F1054" i="3"/>
  <c r="H1054" i="3" s="1"/>
  <c r="F1075" i="3"/>
  <c r="H1075" i="3" s="1"/>
  <c r="F978" i="3"/>
  <c r="H978" i="3" s="1"/>
  <c r="F1084" i="3"/>
  <c r="H1084" i="3" s="1"/>
  <c r="F470" i="3"/>
  <c r="H470" i="3" s="1"/>
  <c r="F266" i="3"/>
  <c r="H266" i="3" s="1"/>
  <c r="F234" i="3"/>
  <c r="H234" i="3" s="1"/>
  <c r="F791" i="3"/>
  <c r="H791" i="3" s="1"/>
  <c r="F335" i="3"/>
  <c r="H335" i="3" s="1"/>
  <c r="F482" i="3"/>
  <c r="H482" i="3" s="1"/>
  <c r="F253" i="3"/>
  <c r="H253" i="3" s="1"/>
  <c r="F927" i="3"/>
  <c r="H927" i="3" s="1"/>
  <c r="F941" i="3"/>
  <c r="H941" i="3" s="1"/>
  <c r="F914" i="3"/>
  <c r="H914" i="3" s="1"/>
  <c r="F695" i="3"/>
  <c r="H695" i="3" s="1"/>
  <c r="F1048" i="3"/>
  <c r="H1048" i="3" s="1"/>
  <c r="F951" i="3"/>
  <c r="H951" i="3" s="1"/>
  <c r="F828" i="3"/>
  <c r="H828" i="3" s="1"/>
  <c r="F105" i="3"/>
  <c r="H105" i="3" s="1"/>
  <c r="F649" i="3"/>
  <c r="F170" i="3"/>
  <c r="H170" i="3" s="1"/>
  <c r="F138" i="3"/>
  <c r="H138" i="3" s="1"/>
  <c r="F427" i="3"/>
  <c r="H427" i="3" s="1"/>
  <c r="F772" i="3"/>
  <c r="H772" i="3" s="1"/>
  <c r="F810" i="3"/>
  <c r="H810" i="3" s="1"/>
  <c r="F1098" i="3"/>
  <c r="H1098" i="3" s="1"/>
  <c r="F286" i="3"/>
  <c r="F713" i="3"/>
  <c r="H713" i="3" s="1"/>
  <c r="F42" i="3"/>
  <c r="H42" i="3" s="1"/>
  <c r="H1151" i="15"/>
  <c r="G1151" i="15"/>
  <c r="G625" i="5"/>
  <c r="I625" i="5" s="1"/>
  <c r="G889" i="4" l="1"/>
  <c r="I889" i="4" s="1"/>
  <c r="I1238" i="4"/>
  <c r="G945" i="4"/>
  <c r="I945" i="4" s="1"/>
  <c r="I946" i="4"/>
  <c r="I1207" i="4"/>
  <c r="G10" i="4"/>
  <c r="I10" i="4" s="1"/>
  <c r="I11" i="4"/>
  <c r="G165" i="5"/>
  <c r="I165" i="5" s="1"/>
  <c r="G342" i="4"/>
  <c r="I342" i="4" s="1"/>
  <c r="I343" i="4"/>
  <c r="G827" i="4"/>
  <c r="I827" i="4" s="1"/>
  <c r="G23" i="6"/>
  <c r="I24" i="6"/>
  <c r="G26" i="4"/>
  <c r="I26" i="4" s="1"/>
  <c r="I107" i="4"/>
  <c r="G348" i="5"/>
  <c r="I348" i="5" s="1"/>
  <c r="G876" i="5"/>
  <c r="I876" i="5" s="1"/>
  <c r="G216" i="4"/>
  <c r="I216" i="4" s="1"/>
  <c r="I217" i="4"/>
  <c r="I1232" i="4" s="1"/>
  <c r="G1004" i="5"/>
  <c r="I1004" i="5" s="1"/>
  <c r="I1233" i="4"/>
  <c r="G163" i="4"/>
  <c r="I163" i="4" s="1"/>
  <c r="G153" i="5"/>
  <c r="I153" i="5" s="1"/>
  <c r="F271" i="3"/>
  <c r="H271" i="3" s="1"/>
  <c r="G317" i="5"/>
  <c r="I317" i="5" s="1"/>
  <c r="I318" i="5"/>
  <c r="G424" i="5"/>
  <c r="I424" i="5" s="1"/>
  <c r="I433" i="5"/>
  <c r="G643" i="5"/>
  <c r="I643" i="5" s="1"/>
  <c r="I644" i="5"/>
  <c r="G264" i="5"/>
  <c r="I264" i="5" s="1"/>
  <c r="I265" i="5"/>
  <c r="G753" i="5"/>
  <c r="I753" i="5" s="1"/>
  <c r="I754" i="5"/>
  <c r="G910" i="5"/>
  <c r="I910" i="5" s="1"/>
  <c r="H11" i="3"/>
  <c r="F351" i="3"/>
  <c r="H351" i="3" s="1"/>
  <c r="H384" i="3"/>
  <c r="F285" i="3"/>
  <c r="H285" i="3" s="1"/>
  <c r="H286" i="3"/>
  <c r="G85" i="5"/>
  <c r="I85" i="5" s="1"/>
  <c r="I86" i="5"/>
  <c r="G445" i="5"/>
  <c r="I446" i="5"/>
  <c r="F648" i="3"/>
  <c r="H649" i="3"/>
  <c r="G787" i="5"/>
  <c r="I787" i="5" s="1"/>
  <c r="I788" i="5"/>
  <c r="G808" i="5"/>
  <c r="I808" i="5" s="1"/>
  <c r="I809" i="5"/>
  <c r="F273" i="14"/>
  <c r="D26" i="13" s="1"/>
  <c r="D17" i="18"/>
  <c r="D152" i="12"/>
  <c r="C17" i="18"/>
  <c r="H160" i="16"/>
  <c r="H963" i="16" s="1"/>
  <c r="H446" i="15"/>
  <c r="H445" i="15" s="1"/>
  <c r="H444" i="15" s="1"/>
  <c r="G665" i="14"/>
  <c r="G664" i="14" s="1"/>
  <c r="G417" i="14"/>
  <c r="G416" i="14" s="1"/>
  <c r="G401" i="14" s="1"/>
  <c r="F506" i="14"/>
  <c r="F481" i="14" s="1"/>
  <c r="F480" i="14" s="1"/>
  <c r="D33" i="13" s="1"/>
  <c r="G446" i="15"/>
  <c r="G445" i="15" s="1"/>
  <c r="G444" i="15" s="1"/>
  <c r="G1062" i="15"/>
  <c r="G1112" i="15"/>
  <c r="G506" i="14"/>
  <c r="G481" i="14" s="1"/>
  <c r="G480" i="14" s="1"/>
  <c r="E33" i="13" s="1"/>
  <c r="G963" i="16"/>
  <c r="G30" i="15"/>
  <c r="H30" i="15"/>
  <c r="E24" i="13"/>
  <c r="G241" i="14"/>
  <c r="G277" i="15"/>
  <c r="H277" i="15"/>
  <c r="G546" i="15"/>
  <c r="G535" i="15" s="1"/>
  <c r="G341" i="15"/>
  <c r="H1112" i="15"/>
  <c r="F887" i="14"/>
  <c r="F876" i="14" s="1"/>
  <c r="F875" i="14" s="1"/>
  <c r="F709" i="14"/>
  <c r="D36" i="13" s="1"/>
  <c r="G222" i="14"/>
  <c r="E21" i="13"/>
  <c r="E20" i="13" s="1"/>
  <c r="G749" i="14"/>
  <c r="G738" i="14" s="1"/>
  <c r="E37" i="13" s="1"/>
  <c r="G709" i="14"/>
  <c r="E36" i="13" s="1"/>
  <c r="F839" i="14"/>
  <c r="D40" i="13" s="1"/>
  <c r="D38" i="13" s="1"/>
  <c r="F964" i="14"/>
  <c r="D47" i="13" s="1"/>
  <c r="H891" i="15"/>
  <c r="H850" i="15" s="1"/>
  <c r="H546" i="15"/>
  <c r="H535" i="15" s="1"/>
  <c r="G781" i="15"/>
  <c r="G773" i="15" s="1"/>
  <c r="D21" i="13"/>
  <c r="D20" i="13" s="1"/>
  <c r="F222" i="14"/>
  <c r="F749" i="14"/>
  <c r="F738" i="14" s="1"/>
  <c r="D37" i="13" s="1"/>
  <c r="H781" i="15"/>
  <c r="H773" i="15" s="1"/>
  <c r="F665" i="14"/>
  <c r="F664" i="14" s="1"/>
  <c r="H343" i="15"/>
  <c r="H342" i="15" s="1"/>
  <c r="H341" i="15" s="1"/>
  <c r="G839" i="14"/>
  <c r="E40" i="13" s="1"/>
  <c r="E38" i="13" s="1"/>
  <c r="G964" i="14"/>
  <c r="E47" i="13" s="1"/>
  <c r="G887" i="14"/>
  <c r="G876" i="14" s="1"/>
  <c r="G875" i="14" s="1"/>
  <c r="E43" i="13" s="1"/>
  <c r="E41" i="13" s="1"/>
  <c r="F636" i="14"/>
  <c r="G636" i="14"/>
  <c r="G457" i="14"/>
  <c r="G444" i="14" s="1"/>
  <c r="E31" i="13" s="1"/>
  <c r="G891" i="15"/>
  <c r="F457" i="14"/>
  <c r="F444" i="14" s="1"/>
  <c r="D31" i="13" s="1"/>
  <c r="F993" i="14"/>
  <c r="D49" i="13"/>
  <c r="D48" i="13" s="1"/>
  <c r="G993" i="14"/>
  <c r="E49" i="13"/>
  <c r="E48" i="13" s="1"/>
  <c r="G439" i="14"/>
  <c r="G440" i="14"/>
  <c r="F361" i="14"/>
  <c r="F401" i="14"/>
  <c r="F395" i="14" s="1"/>
  <c r="D30" i="13" s="1"/>
  <c r="G361" i="14"/>
  <c r="G128" i="14"/>
  <c r="G127" i="14" s="1"/>
  <c r="G8" i="14" s="1"/>
  <c r="K8" i="14" s="1"/>
  <c r="F128" i="14"/>
  <c r="F127" i="14" s="1"/>
  <c r="D23" i="13"/>
  <c r="E23" i="13"/>
  <c r="D13" i="13"/>
  <c r="F469" i="3"/>
  <c r="H469" i="3" s="1"/>
  <c r="G321" i="4"/>
  <c r="I321" i="4" s="1"/>
  <c r="G278" i="4"/>
  <c r="I278" i="4" s="1"/>
  <c r="G1239" i="4"/>
  <c r="H1152" i="15"/>
  <c r="G1152" i="15"/>
  <c r="G629" i="4"/>
  <c r="I629" i="4" s="1"/>
  <c r="G1057" i="4"/>
  <c r="G1241" i="4"/>
  <c r="G919" i="4"/>
  <c r="I919" i="4" s="1"/>
  <c r="G558" i="4"/>
  <c r="I558" i="4" s="1"/>
  <c r="G418" i="4"/>
  <c r="I418" i="4" s="1"/>
  <c r="G744" i="4"/>
  <c r="I744" i="4" s="1"/>
  <c r="H1156" i="15"/>
  <c r="G1156" i="15"/>
  <c r="G498" i="4"/>
  <c r="G1154" i="4"/>
  <c r="I1154" i="4" s="1"/>
  <c r="G1145" i="4"/>
  <c r="I1145" i="4" s="1"/>
  <c r="G195" i="5"/>
  <c r="I195" i="5" s="1"/>
  <c r="G785" i="5"/>
  <c r="F508" i="3"/>
  <c r="H508" i="3" s="1"/>
  <c r="G1207" i="4"/>
  <c r="G781" i="4"/>
  <c r="I781" i="4" s="1"/>
  <c r="G1233" i="4"/>
  <c r="G448" i="4"/>
  <c r="I448" i="4" s="1"/>
  <c r="G1232" i="4"/>
  <c r="G869" i="5"/>
  <c r="I869" i="5" s="1"/>
  <c r="G18" i="5"/>
  <c r="I18" i="5" s="1"/>
  <c r="G556" i="5"/>
  <c r="I556" i="5" s="1"/>
  <c r="G515" i="5"/>
  <c r="I515" i="5" s="1"/>
  <c r="G594" i="5"/>
  <c r="G1011" i="5"/>
  <c r="I1011" i="5" s="1"/>
  <c r="G1012" i="5"/>
  <c r="I1012" i="5" s="1"/>
  <c r="G1026" i="5"/>
  <c r="I1026" i="5" s="1"/>
  <c r="G843" i="5"/>
  <c r="I843" i="5" s="1"/>
  <c r="G862" i="5"/>
  <c r="I862" i="5" s="1"/>
  <c r="G44" i="5"/>
  <c r="I44" i="5" s="1"/>
  <c r="G467" i="5"/>
  <c r="I467" i="5" s="1"/>
  <c r="G101" i="5"/>
  <c r="I101" i="5" s="1"/>
  <c r="G75" i="5"/>
  <c r="I75" i="5" s="1"/>
  <c r="G61" i="5"/>
  <c r="I61" i="5" s="1"/>
  <c r="G957" i="5"/>
  <c r="I957" i="5" s="1"/>
  <c r="G103" i="5"/>
  <c r="I103" i="5" s="1"/>
  <c r="G102" i="5"/>
  <c r="I102" i="5" s="1"/>
  <c r="G883" i="5"/>
  <c r="I883" i="5" s="1"/>
  <c r="G432" i="5"/>
  <c r="I432" i="5" s="1"/>
  <c r="G545" i="5"/>
  <c r="I545" i="5" s="1"/>
  <c r="G78" i="5"/>
  <c r="I78" i="5" s="1"/>
  <c r="G696" i="5"/>
  <c r="I696" i="5" s="1"/>
  <c r="G582" i="5"/>
  <c r="I582" i="5" s="1"/>
  <c r="G1206" i="4"/>
  <c r="G279" i="5"/>
  <c r="I279" i="5" s="1"/>
  <c r="F940" i="3"/>
  <c r="F233" i="3"/>
  <c r="H233" i="3" s="1"/>
  <c r="F169" i="3"/>
  <c r="H169" i="3" s="1"/>
  <c r="F694" i="3"/>
  <c r="H694" i="3" s="1"/>
  <c r="F252" i="3"/>
  <c r="H252" i="3" s="1"/>
  <c r="F334" i="3"/>
  <c r="H334" i="3" s="1"/>
  <c r="F265" i="3"/>
  <c r="H265" i="3" s="1"/>
  <c r="F1083" i="3"/>
  <c r="H1083" i="3" s="1"/>
  <c r="F1074" i="3"/>
  <c r="F799" i="3"/>
  <c r="H799" i="3" s="1"/>
  <c r="F827" i="3"/>
  <c r="H827" i="3" s="1"/>
  <c r="F104" i="3"/>
  <c r="H104" i="3" s="1"/>
  <c r="F426" i="3"/>
  <c r="H426" i="3" s="1"/>
  <c r="F725" i="3"/>
  <c r="H725" i="3" s="1"/>
  <c r="F41" i="3"/>
  <c r="H41" i="3" s="1"/>
  <c r="F771" i="3"/>
  <c r="H771" i="3" s="1"/>
  <c r="F1030" i="3"/>
  <c r="H1030" i="3" s="1"/>
  <c r="F926" i="3"/>
  <c r="H926" i="3" s="1"/>
  <c r="F790" i="3"/>
  <c r="H790" i="3" s="1"/>
  <c r="F977" i="3"/>
  <c r="H977" i="3" s="1"/>
  <c r="F30" i="3"/>
  <c r="H30" i="3" s="1"/>
  <c r="C176" i="1"/>
  <c r="E176" i="1" s="1"/>
  <c r="I991" i="10"/>
  <c r="I1208" i="4" l="1"/>
  <c r="I1209" i="4" s="1"/>
  <c r="G1003" i="5"/>
  <c r="I1003" i="5" s="1"/>
  <c r="G875" i="5"/>
  <c r="I875" i="5" s="1"/>
  <c r="G316" i="5"/>
  <c r="I316" i="5" s="1"/>
  <c r="I1251" i="4"/>
  <c r="I1045" i="5" s="1"/>
  <c r="G497" i="4"/>
  <c r="I497" i="4" s="1"/>
  <c r="I498" i="4"/>
  <c r="G972" i="4"/>
  <c r="I972" i="4" s="1"/>
  <c r="I1211" i="4" s="1"/>
  <c r="I1212" i="4" s="1"/>
  <c r="I1057" i="4"/>
  <c r="I23" i="6"/>
  <c r="G41" i="6"/>
  <c r="I41" i="6" s="1"/>
  <c r="G152" i="5"/>
  <c r="I152" i="5" s="1"/>
  <c r="F54" i="2"/>
  <c r="E22" i="7"/>
  <c r="D25" i="2"/>
  <c r="F25" i="2" s="1"/>
  <c r="G642" i="5"/>
  <c r="I642" i="5" s="1"/>
  <c r="G593" i="5"/>
  <c r="I593" i="5" s="1"/>
  <c r="I594" i="5"/>
  <c r="G784" i="5"/>
  <c r="I784" i="5" s="1"/>
  <c r="I785" i="5"/>
  <c r="F1053" i="3"/>
  <c r="H1053" i="3" s="1"/>
  <c r="H1074" i="3"/>
  <c r="F939" i="3"/>
  <c r="H939" i="3" s="1"/>
  <c r="H940" i="3"/>
  <c r="I445" i="5"/>
  <c r="G444" i="5"/>
  <c r="G786" i="5"/>
  <c r="I786" i="5" s="1"/>
  <c r="F613" i="3"/>
  <c r="H613" i="3" s="1"/>
  <c r="H648" i="3"/>
  <c r="F241" i="14"/>
  <c r="D22" i="13"/>
  <c r="G850" i="15"/>
  <c r="G514" i="5"/>
  <c r="I514" i="5" s="1"/>
  <c r="D54" i="2"/>
  <c r="G341" i="4"/>
  <c r="G557" i="4"/>
  <c r="G635" i="14"/>
  <c r="E35" i="13" s="1"/>
  <c r="G214" i="15"/>
  <c r="H214" i="15"/>
  <c r="H1105" i="15" s="1"/>
  <c r="D17" i="13"/>
  <c r="D11" i="13" s="1"/>
  <c r="F8" i="14"/>
  <c r="J8" i="14" s="1"/>
  <c r="E22" i="13"/>
  <c r="F331" i="14"/>
  <c r="D29" i="13" s="1"/>
  <c r="D27" i="13" s="1"/>
  <c r="G331" i="14"/>
  <c r="E29" i="13" s="1"/>
  <c r="F765" i="14"/>
  <c r="G765" i="14"/>
  <c r="F635" i="14"/>
  <c r="D35" i="13" s="1"/>
  <c r="G868" i="14"/>
  <c r="G395" i="14"/>
  <c r="E30" i="13" s="1"/>
  <c r="E17" i="13"/>
  <c r="E11" i="13" s="1"/>
  <c r="G552" i="14"/>
  <c r="G551" i="14" s="1"/>
  <c r="F621" i="14"/>
  <c r="F586" i="14" s="1"/>
  <c r="F552" i="14" s="1"/>
  <c r="F551" i="14" s="1"/>
  <c r="F868" i="14"/>
  <c r="J868" i="14" s="1"/>
  <c r="D43" i="13"/>
  <c r="D41" i="13" s="1"/>
  <c r="F507" i="3"/>
  <c r="G194" i="5"/>
  <c r="I194" i="5" s="1"/>
  <c r="G1238" i="4"/>
  <c r="G1251" i="4" s="1"/>
  <c r="G1045" i="5" s="1"/>
  <c r="G277" i="4"/>
  <c r="I277" i="4" s="1"/>
  <c r="G1208" i="4"/>
  <c r="G1209" i="4" s="1"/>
  <c r="G1150" i="15"/>
  <c r="H1150" i="15"/>
  <c r="G25" i="4"/>
  <c r="I25" i="4" s="1"/>
  <c r="G1153" i="4"/>
  <c r="I1153" i="4" s="1"/>
  <c r="G215" i="4"/>
  <c r="H1148" i="15"/>
  <c r="G1148" i="15"/>
  <c r="H1142" i="15"/>
  <c r="G1142" i="15"/>
  <c r="H1116" i="15"/>
  <c r="G1116" i="15"/>
  <c r="G447" i="4"/>
  <c r="H1141" i="15"/>
  <c r="G1141" i="15"/>
  <c r="G1010" i="5"/>
  <c r="I1010" i="5" s="1"/>
  <c r="G43" i="5"/>
  <c r="I43" i="5" s="1"/>
  <c r="F903" i="3"/>
  <c r="H1115" i="15"/>
  <c r="G1115" i="15"/>
  <c r="G882" i="5"/>
  <c r="I882" i="5" s="1"/>
  <c r="G945" i="5"/>
  <c r="I945" i="5" s="1"/>
  <c r="G861" i="5"/>
  <c r="I861" i="5" s="1"/>
  <c r="G868" i="5"/>
  <c r="I868" i="5" s="1"/>
  <c r="G77" i="5"/>
  <c r="I77" i="5" s="1"/>
  <c r="G76" i="5"/>
  <c r="I76" i="5" s="1"/>
  <c r="G60" i="5"/>
  <c r="I60" i="5" s="1"/>
  <c r="G842" i="5"/>
  <c r="I842" i="5" s="1"/>
  <c r="G1018" i="5"/>
  <c r="I1018" i="5" s="1"/>
  <c r="G581" i="5"/>
  <c r="I581" i="5" s="1"/>
  <c r="G109" i="5"/>
  <c r="I109" i="5" s="1"/>
  <c r="G10" i="5"/>
  <c r="I10" i="5" s="1"/>
  <c r="D45" i="2"/>
  <c r="F45" i="2" s="1"/>
  <c r="D26" i="2"/>
  <c r="F26" i="2" s="1"/>
  <c r="D29" i="2"/>
  <c r="F29" i="2" s="1"/>
  <c r="D24" i="2"/>
  <c r="F24" i="2" s="1"/>
  <c r="F251" i="3"/>
  <c r="H251" i="3" s="1"/>
  <c r="D23" i="2"/>
  <c r="F23" i="2" s="1"/>
  <c r="F232" i="3"/>
  <c r="H232" i="3" s="1"/>
  <c r="D21" i="2"/>
  <c r="F21" i="2" s="1"/>
  <c r="D31" i="2"/>
  <c r="F31" i="2" s="1"/>
  <c r="F418" i="3"/>
  <c r="D39" i="2"/>
  <c r="F39" i="2" s="1"/>
  <c r="F137" i="3"/>
  <c r="D13" i="2"/>
  <c r="F13" i="2" s="1"/>
  <c r="F1029" i="3"/>
  <c r="F770" i="3"/>
  <c r="H770" i="3" s="1"/>
  <c r="D14" i="2"/>
  <c r="F14" i="2" s="1"/>
  <c r="D15" i="2"/>
  <c r="F15" i="2" s="1"/>
  <c r="D37" i="2"/>
  <c r="F37" i="2" s="1"/>
  <c r="F1082" i="3"/>
  <c r="H1082" i="3" s="1"/>
  <c r="D50" i="2"/>
  <c r="F50" i="2" s="1"/>
  <c r="D28" i="2"/>
  <c r="F28" i="2" s="1"/>
  <c r="F693" i="3"/>
  <c r="H693" i="3" s="1"/>
  <c r="C22" i="7"/>
  <c r="G151" i="5" l="1"/>
  <c r="I151" i="5" s="1"/>
  <c r="G1203" i="4"/>
  <c r="I215" i="4"/>
  <c r="I1203" i="4" s="1"/>
  <c r="G546" i="4"/>
  <c r="I546" i="4" s="1"/>
  <c r="I557" i="4"/>
  <c r="I1214" i="4" s="1"/>
  <c r="I1215" i="4" s="1"/>
  <c r="G1220" i="4"/>
  <c r="I447" i="4"/>
  <c r="I1220" i="4" s="1"/>
  <c r="I1221" i="4" s="1"/>
  <c r="G1217" i="4"/>
  <c r="G1218" i="4" s="1"/>
  <c r="I341" i="4"/>
  <c r="I1217" i="4" s="1"/>
  <c r="I1218" i="4" s="1"/>
  <c r="F932" i="3"/>
  <c r="H932" i="3" s="1"/>
  <c r="F1025" i="3"/>
  <c r="H1025" i="3" s="1"/>
  <c r="H1029" i="3"/>
  <c r="D33" i="2"/>
  <c r="F33" i="2" s="1"/>
  <c r="H507" i="3"/>
  <c r="I444" i="5"/>
  <c r="G443" i="5"/>
  <c r="I443" i="5" s="1"/>
  <c r="D40" i="2"/>
  <c r="F40" i="2" s="1"/>
  <c r="H903" i="3"/>
  <c r="F333" i="3"/>
  <c r="H333" i="3" s="1"/>
  <c r="H418" i="3"/>
  <c r="F10" i="3"/>
  <c r="H10" i="3" s="1"/>
  <c r="H137" i="3"/>
  <c r="G1105" i="15"/>
  <c r="F1016" i="14" s="1"/>
  <c r="G214" i="4"/>
  <c r="I214" i="4" s="1"/>
  <c r="E27" i="13"/>
  <c r="F316" i="14"/>
  <c r="D18" i="18"/>
  <c r="G1016" i="14"/>
  <c r="G316" i="14"/>
  <c r="D34" i="13"/>
  <c r="D32" i="13" s="1"/>
  <c r="F479" i="14"/>
  <c r="J479" i="14" s="1"/>
  <c r="E34" i="13"/>
  <c r="E32" i="13" s="1"/>
  <c r="G479" i="14"/>
  <c r="K479" i="14" s="1"/>
  <c r="G164" i="5"/>
  <c r="I164" i="5" s="1"/>
  <c r="G826" i="4"/>
  <c r="G1211" i="4"/>
  <c r="G1212" i="4" s="1"/>
  <c r="G918" i="4"/>
  <c r="I918" i="4" s="1"/>
  <c r="G1204" i="4"/>
  <c r="H1117" i="15"/>
  <c r="H1118" i="15" s="1"/>
  <c r="G1117" i="15"/>
  <c r="G1118" i="15" s="1"/>
  <c r="H1113" i="15"/>
  <c r="G1113" i="15"/>
  <c r="H1147" i="15"/>
  <c r="H1160" i="15" s="1"/>
  <c r="G1147" i="15"/>
  <c r="G1214" i="4"/>
  <c r="G1215" i="4" s="1"/>
  <c r="G841" i="5"/>
  <c r="I841" i="5" s="1"/>
  <c r="F826" i="3"/>
  <c r="H826" i="3" s="1"/>
  <c r="G860" i="5"/>
  <c r="I860" i="5" s="1"/>
  <c r="G31" i="5"/>
  <c r="I31" i="5" s="1"/>
  <c r="G592" i="5"/>
  <c r="I592" i="5" s="1"/>
  <c r="G513" i="5"/>
  <c r="I513" i="5" s="1"/>
  <c r="G67" i="5"/>
  <c r="I67" i="5" s="1"/>
  <c r="D36" i="2"/>
  <c r="F36" i="2" s="1"/>
  <c r="D17" i="2"/>
  <c r="D35" i="2"/>
  <c r="F35" i="2" s="1"/>
  <c r="D48" i="2"/>
  <c r="F48" i="2" s="1"/>
  <c r="F579" i="3"/>
  <c r="H579" i="3" s="1"/>
  <c r="D43" i="2"/>
  <c r="D49" i="2"/>
  <c r="F49" i="2" s="1"/>
  <c r="D30" i="2"/>
  <c r="F30" i="2" s="1"/>
  <c r="D20" i="2"/>
  <c r="F20" i="2" s="1"/>
  <c r="D22" i="2"/>
  <c r="F22" i="2" s="1"/>
  <c r="G1223" i="4" l="1"/>
  <c r="G1224" i="4" s="1"/>
  <c r="I826" i="4"/>
  <c r="I1223" i="4" s="1"/>
  <c r="I1224" i="4" s="1"/>
  <c r="I1204" i="4"/>
  <c r="I1228" i="4" s="1"/>
  <c r="I1227" i="4"/>
  <c r="I1229" i="4" s="1"/>
  <c r="C18" i="18"/>
  <c r="F997" i="3"/>
  <c r="H997" i="3" s="1"/>
  <c r="D38" i="2"/>
  <c r="F38" i="2" s="1"/>
  <c r="D41" i="2"/>
  <c r="F41" i="2" s="1"/>
  <c r="F43" i="2"/>
  <c r="D11" i="2"/>
  <c r="F11" i="2" s="1"/>
  <c r="F17" i="2"/>
  <c r="G818" i="4"/>
  <c r="H965" i="16"/>
  <c r="H967" i="16" s="1"/>
  <c r="G1160" i="15"/>
  <c r="G965" i="16" s="1"/>
  <c r="G967" i="16" s="1"/>
  <c r="G955" i="14"/>
  <c r="G927" i="14" s="1"/>
  <c r="G926" i="14" s="1"/>
  <c r="G925" i="14" s="1"/>
  <c r="F955" i="14"/>
  <c r="F927" i="14" s="1"/>
  <c r="F926" i="14" s="1"/>
  <c r="F925" i="14" s="1"/>
  <c r="H1132" i="15"/>
  <c r="H1133" i="15" s="1"/>
  <c r="H1126" i="15"/>
  <c r="H1127" i="15" s="1"/>
  <c r="G1126" i="15"/>
  <c r="G1127" i="15" s="1"/>
  <c r="H1120" i="15"/>
  <c r="H1121" i="15" s="1"/>
  <c r="G1120" i="15"/>
  <c r="G1121" i="15" s="1"/>
  <c r="H1123" i="15"/>
  <c r="H1124" i="15" s="1"/>
  <c r="G1123" i="15"/>
  <c r="G1124" i="15" s="1"/>
  <c r="H1129" i="15"/>
  <c r="G1129" i="15"/>
  <c r="G1221" i="4"/>
  <c r="G1227" i="4"/>
  <c r="G30" i="5"/>
  <c r="I30" i="5" s="1"/>
  <c r="D27" i="2"/>
  <c r="F27" i="2" s="1"/>
  <c r="F578" i="3"/>
  <c r="H578" i="3" s="1"/>
  <c r="F1023" i="3"/>
  <c r="H1023" i="3" s="1"/>
  <c r="G1196" i="4" l="1"/>
  <c r="I1196" i="4" s="1"/>
  <c r="F52" i="2" s="1"/>
  <c r="I818" i="4"/>
  <c r="H1104" i="3"/>
  <c r="G1228" i="4"/>
  <c r="G1229" i="4" s="1"/>
  <c r="D46" i="13"/>
  <c r="D45" i="13" s="1"/>
  <c r="D50" i="13" s="1"/>
  <c r="D54" i="13" s="1"/>
  <c r="F924" i="14"/>
  <c r="F1012" i="14" s="1"/>
  <c r="F1018" i="14" s="1"/>
  <c r="E46" i="13"/>
  <c r="E45" i="13" s="1"/>
  <c r="E50" i="13" s="1"/>
  <c r="E54" i="13" s="1"/>
  <c r="G924" i="14"/>
  <c r="G1012" i="14" s="1"/>
  <c r="G1018" i="14" s="1"/>
  <c r="G1132" i="15"/>
  <c r="G1133" i="15" s="1"/>
  <c r="D52" i="2"/>
  <c r="G1130" i="15"/>
  <c r="H1130" i="15"/>
  <c r="H1137" i="15" s="1"/>
  <c r="H1136" i="15"/>
  <c r="D34" i="2"/>
  <c r="F34" i="2" s="1"/>
  <c r="F506" i="3"/>
  <c r="H506" i="3" s="1"/>
  <c r="F996" i="3"/>
  <c r="H996" i="3" s="1"/>
  <c r="I1198" i="4" l="1"/>
  <c r="F991" i="3"/>
  <c r="G1136" i="15"/>
  <c r="G1137" i="15"/>
  <c r="G1198" i="4"/>
  <c r="F1104" i="3"/>
  <c r="H1138" i="15"/>
  <c r="D32" i="2"/>
  <c r="F32" i="2" s="1"/>
  <c r="F990" i="3" l="1"/>
  <c r="H990" i="3" s="1"/>
  <c r="H991" i="3"/>
  <c r="G1138" i="15"/>
  <c r="G1107" i="15"/>
  <c r="F1013" i="14"/>
  <c r="D47" i="2"/>
  <c r="F47" i="2" s="1"/>
  <c r="H1107" i="15" l="1"/>
  <c r="G1013" i="14"/>
  <c r="D46" i="2"/>
  <c r="F1103" i="3"/>
  <c r="H1103" i="3" s="1"/>
  <c r="H1105" i="3" s="1"/>
  <c r="D51" i="2" l="1"/>
  <c r="F51" i="2" s="1"/>
  <c r="E23" i="7" s="1"/>
  <c r="E24" i="7" s="1"/>
  <c r="F46" i="2"/>
  <c r="D55" i="2"/>
  <c r="F1105" i="3"/>
  <c r="F1014" i="14" s="1"/>
  <c r="G1014" i="14" s="1"/>
  <c r="C23" i="7" l="1"/>
  <c r="C24" i="7" s="1"/>
  <c r="F53" i="2"/>
  <c r="F55" i="2"/>
  <c r="D19" i="18"/>
  <c r="D11" i="18" s="1"/>
  <c r="C19" i="18"/>
  <c r="C11" i="18" s="1"/>
  <c r="D53" i="2"/>
  <c r="C13" i="18" l="1"/>
  <c r="C12" i="18" s="1"/>
  <c r="C10" i="18"/>
  <c r="C15" i="7"/>
  <c r="C16" i="7" s="1"/>
  <c r="C14" i="18" l="1"/>
  <c r="C9" i="18"/>
  <c r="D10" i="18"/>
  <c r="C14" i="7" l="1"/>
  <c r="C11" i="7" s="1"/>
  <c r="D9" i="18" s="1"/>
  <c r="D13" i="18"/>
  <c r="G263" i="5"/>
  <c r="G163" i="5" l="1"/>
  <c r="I163" i="5" s="1"/>
  <c r="I263" i="5"/>
  <c r="D12" i="18"/>
  <c r="D14" i="18"/>
  <c r="G1043" i="5"/>
  <c r="G1046" i="5" l="1"/>
  <c r="I1043" i="5"/>
  <c r="I1046" i="5" s="1"/>
</calcChain>
</file>

<file path=xl/comments1.xml><?xml version="1.0" encoding="utf-8"?>
<comments xmlns="http://schemas.openxmlformats.org/spreadsheetml/2006/main">
  <authors>
    <author>Автор</author>
  </authors>
  <commentList>
    <comment ref="B103" authorId="0">
      <text>
        <r>
          <rPr>
            <b/>
            <sz val="9"/>
            <color indexed="81"/>
            <rFont val="Tahoma"/>
            <family val="2"/>
            <charset val="204"/>
          </rPr>
          <t>измен Приказ 206н от 29.11.19 в 85н</t>
        </r>
        <r>
          <rPr>
            <sz val="9"/>
            <color indexed="81"/>
            <rFont val="Tahoma"/>
            <family val="2"/>
            <charset val="204"/>
          </rPr>
          <t xml:space="preserve">
стр. 454</t>
        </r>
      </text>
    </comment>
  </commentList>
</comments>
</file>

<file path=xl/sharedStrings.xml><?xml version="1.0" encoding="utf-8"?>
<sst xmlns="http://schemas.openxmlformats.org/spreadsheetml/2006/main" count="35545" uniqueCount="1628">
  <si>
    <t>Приложение № 1</t>
  </si>
  <si>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</si>
  <si>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</si>
  <si>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</si>
  <si>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</si>
  <si>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</si>
  <si>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</si>
  <si>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</si>
  <si>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</si>
  <si>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</si>
  <si>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</si>
  <si>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</si>
  <si>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</si>
  <si>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</si>
  <si>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</si>
  <si>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</si>
  <si>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</si>
  <si>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</si>
  <si>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</si>
  <si>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</si>
  <si>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</si>
  <si>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</si>
  <si>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</si>
  <si>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</si>
  <si>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</si>
  <si>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</si>
  <si>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</si>
  <si>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</si>
  <si>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</si>
  <si>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</si>
  <si>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</si>
  <si>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</si>
  <si>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</si>
  <si>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</si>
  <si>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</si>
  <si>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</si>
  <si>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</si>
  <si>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</si>
  <si>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</si>
  <si>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</si>
  <si>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</si>
  <si>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</si>
  <si>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</si>
  <si>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</si>
  <si>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</si>
  <si>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</si>
  <si>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</si>
  <si>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</si>
  <si>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</si>
  <si>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</si>
  <si>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</si>
  <si>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</si>
  <si>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</si>
  <si>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</si>
  <si>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</si>
  <si>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</si>
  <si>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</si>
  <si>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</si>
  <si>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</si>
  <si>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</si>
  <si>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</si>
  <si>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</si>
  <si>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</si>
  <si>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</si>
  <si>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</si>
  <si>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</si>
  <si>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</si>
  <si>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</si>
  <si>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</si>
  <si>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</si>
  <si>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</si>
  <si>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</si>
  <si>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</si>
  <si>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</si>
  <si>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</si>
  <si>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</si>
  <si>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</si>
  <si>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</si>
  <si>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</si>
  <si>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</si>
  <si>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</si>
  <si>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</si>
  <si>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</si>
  <si>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</si>
  <si>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</si>
  <si>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</si>
  <si>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</si>
  <si>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</si>
  <si>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</si>
  <si>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</si>
  <si>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</si>
  <si>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</si>
  <si>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</si>
  <si>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</si>
  <si>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</si>
  <si>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</si>
  <si>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</si>
  <si>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</si>
  <si>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</si>
  <si>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</si>
  <si>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</si>
  <si>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</si>
  <si>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</si>
  <si>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</si>
  <si>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</si>
  <si>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</si>
  <si>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</si>
  <si>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</si>
  <si>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</si>
  <si>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</si>
  <si>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</si>
  <si>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</si>
  <si>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</si>
  <si>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</si>
  <si>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</si>
  <si>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</si>
  <si>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</si>
  <si>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</si>
  <si>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</si>
  <si>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</si>
  <si>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</si>
  <si>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</si>
  <si>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</si>
  <si>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</si>
  <si>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</si>
  <si>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</si>
  <si>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</si>
  <si>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</si>
  <si>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</si>
  <si>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</si>
  <si>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</si>
  <si>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</si>
  <si>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</si>
  <si>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</si>
  <si>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</si>
  <si>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</si>
  <si>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</si>
  <si>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</si>
  <si>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</si>
  <si>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</si>
  <si>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</si>
  <si>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</si>
  <si>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</si>
  <si>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</si>
  <si>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</si>
  <si>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</si>
  <si>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</si>
  <si>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</si>
  <si>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</si>
  <si>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</si>
  <si>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</si>
  <si>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</si>
  <si>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</si>
  <si>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</si>
  <si>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</si>
  <si>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</si>
  <si>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</si>
  <si>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</si>
  <si>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</si>
  <si>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</si>
  <si>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</si>
  <si>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</si>
  <si>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</si>
  <si>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</si>
  <si>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</si>
  <si>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</si>
  <si>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</si>
  <si>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</si>
  <si>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</si>
  <si>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</si>
  <si>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</si>
  <si>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</si>
  <si>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</si>
  <si>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</si>
  <si>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</si>
  <si>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</si>
  <si>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</si>
  <si>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</si>
  <si>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</si>
  <si>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</si>
  <si>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</si>
  <si>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</si>
  <si>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</si>
  <si>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</si>
  <si>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</si>
  <si>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</si>
  <si>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</si>
  <si>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</si>
  <si>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</si>
  <si>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</si>
  <si>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</si>
  <si>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</si>
  <si>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</si>
  <si>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</si>
  <si>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</si>
  <si>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</si>
  <si>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</si>
  <si>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</si>
  <si>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</si>
  <si>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</si>
  <si>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</si>
  <si>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</si>
  <si>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</si>
  <si>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</si>
  <si>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</si>
  <si>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</si>
  <si>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</si>
  <si>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</si>
  <si>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</si>
  <si>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</si>
  <si>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</si>
  <si>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</si>
  <si>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</si>
  <si>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</si>
  <si>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</si>
  <si>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</si>
  <si>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</si>
  <si>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</si>
  <si>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</si>
  <si>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</si>
  <si>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</si>
  <si>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</si>
  <si>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</si>
  <si>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</si>
  <si>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</si>
  <si>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</si>
  <si>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</si>
  <si>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</si>
  <si>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</si>
  <si>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</si>
  <si>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</si>
  <si>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</si>
  <si>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</si>
  <si>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</si>
  <si>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</si>
  <si>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</si>
  <si>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</si>
  <si>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</si>
  <si>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</si>
  <si>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</si>
  <si>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</si>
  <si>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</si>
  <si>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</si>
  <si>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</si>
  <si>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</si>
  <si>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</si>
  <si>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</si>
  <si>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</si>
  <si>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</si>
  <si>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</si>
  <si>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</si>
  <si>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</si>
  <si>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</si>
  <si>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</si>
  <si>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</si>
  <si>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</si>
  <si>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</si>
  <si>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</si>
  <si>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</si>
  <si>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</si>
  <si>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</si>
  <si>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</si>
  <si>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</si>
  <si>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</si>
  <si>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</si>
  <si>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</si>
  <si>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</si>
  <si>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</si>
  <si>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</si>
  <si>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</si>
  <si>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</si>
  <si>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</si>
  <si>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</si>
  <si>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</si>
  <si>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</si>
  <si>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</si>
  <si>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</si>
  <si>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</si>
  <si>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</si>
  <si>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</si>
  <si>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</si>
  <si>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</si>
  <si>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</si>
  <si>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</si>
  <si>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</si>
  <si>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</si>
  <si>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</si>
  <si>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</si>
  <si>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</si>
  <si>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</si>
  <si>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</si>
  <si>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</si>
  <si>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</si>
  <si>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</si>
  <si>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</si>
  <si>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</si>
  <si>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</si>
  <si>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</si>
  <si>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</si>
  <si>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</si>
  <si>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</si>
  <si>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</si>
  <si>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</si>
  <si>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</si>
  <si>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</si>
  <si>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</si>
  <si>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</si>
  <si>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</si>
  <si>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</si>
  <si>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</si>
  <si>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</si>
  <si>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</si>
  <si>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</si>
  <si>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</si>
  <si>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</si>
  <si>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</si>
  <si>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</si>
  <si>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</si>
  <si>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</si>
  <si>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</si>
  <si>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</si>
  <si>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</si>
  <si>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</si>
  <si>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</si>
  <si>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</si>
  <si>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</si>
  <si>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</si>
  <si>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</si>
  <si>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</si>
  <si>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</si>
  <si>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</si>
  <si>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</si>
  <si>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</si>
  <si>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</si>
  <si>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</si>
  <si>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</si>
  <si>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</si>
  <si>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</si>
  <si>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</si>
  <si>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</si>
  <si>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</si>
  <si>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</si>
  <si>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</si>
  <si>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</si>
  <si>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</si>
  <si>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</si>
  <si>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</si>
  <si>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</si>
  <si>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</si>
  <si>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</si>
  <si>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</si>
  <si>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</si>
  <si>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</si>
  <si>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</si>
  <si>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</si>
  <si>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</si>
  <si>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</si>
  <si>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</si>
  <si>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</si>
  <si>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</si>
  <si>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</si>
  <si>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</si>
  <si>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</si>
  <si>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</si>
  <si>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</si>
  <si>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</si>
  <si>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</si>
  <si>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</si>
  <si>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</si>
  <si>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</si>
  <si>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</si>
  <si>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</si>
  <si>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</si>
  <si>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</si>
  <si>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</si>
  <si>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</si>
  <si>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</si>
  <si>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</si>
  <si>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</si>
  <si>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</si>
  <si>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</si>
  <si>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</si>
  <si>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</si>
  <si>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</si>
  <si>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</si>
  <si>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</si>
  <si>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</si>
  <si>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</si>
  <si>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</si>
  <si>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</si>
  <si>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</si>
  <si>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</si>
  <si>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</si>
  <si>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</si>
  <si>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</si>
  <si>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</si>
  <si>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</si>
  <si>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</si>
  <si>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</si>
  <si>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</si>
  <si>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</si>
  <si>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</si>
  <si>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</si>
  <si>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</si>
  <si>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</si>
  <si>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</si>
  <si>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</si>
  <si>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</si>
  <si>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</si>
  <si>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</si>
  <si>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</si>
  <si>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</si>
  <si>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</si>
  <si>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</si>
  <si>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</si>
  <si>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</si>
  <si>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</si>
  <si>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</si>
  <si>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</si>
  <si>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</si>
  <si>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</si>
  <si>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</si>
  <si>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</si>
  <si>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</si>
  <si>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</si>
  <si>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</si>
  <si>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</si>
  <si>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</si>
  <si>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</si>
  <si>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</si>
  <si>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</si>
  <si>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</si>
  <si>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</si>
  <si>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</si>
  <si>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</si>
  <si>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</si>
  <si>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</si>
  <si>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</si>
  <si>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</si>
  <si>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</si>
  <si>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</si>
  <si>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</si>
  <si>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</si>
  <si>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</si>
  <si>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</si>
  <si>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</si>
  <si>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</si>
  <si>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</si>
  <si>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</si>
  <si>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</si>
  <si>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</si>
  <si>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</si>
  <si>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</si>
  <si>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</si>
  <si>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</si>
  <si>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</si>
  <si>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</si>
  <si>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</si>
  <si>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</si>
  <si>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</si>
  <si>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</si>
  <si>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</si>
  <si>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</si>
  <si>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</si>
  <si>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</si>
  <si>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</si>
  <si>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</si>
  <si>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</si>
  <si>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</si>
  <si>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</si>
  <si>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</si>
  <si>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</si>
  <si>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</si>
  <si>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</si>
  <si>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</si>
  <si>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</si>
  <si>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</si>
  <si>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</si>
  <si>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</si>
  <si>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</si>
  <si>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</si>
  <si>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</si>
  <si>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</si>
  <si>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</si>
  <si>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</si>
  <si>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</si>
  <si>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</si>
  <si>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</si>
  <si>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</si>
  <si>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</si>
  <si>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</si>
  <si>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</si>
  <si>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</si>
  <si>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</si>
  <si>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</si>
  <si>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</si>
  <si>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</si>
  <si>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</si>
  <si>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</si>
  <si>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</si>
  <si>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</si>
  <si>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</si>
  <si>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</si>
  <si>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</si>
  <si>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</si>
  <si>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</si>
  <si>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</si>
  <si>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</si>
  <si>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</si>
  <si>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</si>
  <si>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</si>
  <si>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</si>
  <si>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</si>
  <si>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</si>
  <si>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</si>
  <si>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</si>
  <si>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</si>
  <si>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</si>
  <si>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</si>
  <si>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</si>
  <si>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</si>
  <si>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</si>
  <si>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</si>
  <si>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</si>
  <si>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</si>
  <si>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</si>
  <si>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</si>
  <si>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</si>
  <si>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</si>
  <si>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</si>
  <si>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</si>
  <si>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</si>
  <si>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</si>
  <si>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</si>
  <si>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</si>
  <si>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</si>
  <si>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</si>
  <si>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</si>
  <si>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</si>
  <si>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</si>
  <si>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</si>
  <si>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</si>
  <si>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</si>
  <si>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</si>
  <si>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</si>
  <si>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</si>
  <si>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</si>
  <si>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</si>
  <si>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</si>
  <si>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</si>
  <si>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</si>
  <si>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</si>
  <si>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</si>
  <si>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</si>
  <si>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</si>
  <si>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</si>
  <si>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</si>
  <si>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</si>
  <si>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</si>
  <si>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</si>
  <si>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</si>
  <si>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</si>
  <si>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</si>
  <si>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</si>
  <si>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</si>
  <si>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</si>
  <si>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</si>
  <si>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</si>
  <si>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</si>
  <si>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</si>
  <si>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</si>
  <si>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</si>
  <si>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</si>
  <si>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</si>
  <si>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</si>
  <si>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</si>
  <si>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</si>
  <si>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</si>
  <si>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</si>
  <si>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</si>
  <si>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</si>
  <si>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</si>
  <si>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</si>
  <si>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</si>
  <si>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</si>
  <si>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</si>
  <si>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</si>
  <si>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</si>
  <si>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</si>
  <si>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</si>
  <si>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</si>
  <si>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</si>
  <si>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</si>
  <si>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</si>
  <si>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</si>
  <si>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</si>
  <si>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</si>
  <si>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</si>
  <si>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</si>
  <si>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</si>
  <si>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</si>
  <si>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</si>
  <si>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</si>
  <si>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</si>
  <si>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</si>
  <si>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</si>
  <si>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</si>
  <si>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</si>
  <si>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</si>
  <si>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</si>
  <si>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</si>
  <si>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</si>
  <si>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</si>
  <si>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</si>
  <si>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</si>
  <si>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</si>
  <si>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</si>
  <si>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</si>
  <si>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</si>
  <si>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</si>
  <si>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</si>
  <si>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</si>
  <si>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</si>
  <si>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</si>
  <si>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</si>
  <si>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</si>
  <si>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Организация  отдыха и оздоровление детей в лагерях дневного пребывания</t>
  </si>
  <si>
    <t>58 1 2002</t>
  </si>
  <si>
    <t>58 1 2007</t>
  </si>
  <si>
    <t>Целевые субсидии на проведение ремонта недвижимого имущества</t>
  </si>
  <si>
    <t>58 2 2007</t>
  </si>
  <si>
    <t>Осуществление социальных выплат  молодым семьям</t>
  </si>
  <si>
    <t>51 2 00 S6030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</si>
  <si>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</si>
  <si>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</si>
  <si>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</si>
  <si>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</si>
  <si>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</si>
  <si>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</si>
  <si>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</si>
  <si>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</si>
  <si>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</si>
  <si>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</si>
  <si>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</si>
  <si>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</si>
  <si>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</si>
  <si>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</si>
  <si>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</si>
  <si>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</si>
  <si>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</si>
  <si>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</si>
  <si>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</si>
  <si>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</si>
  <si>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</si>
  <si>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</si>
  <si>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</si>
  <si>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</si>
  <si>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</si>
  <si>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</si>
  <si>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</si>
  <si>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</si>
  <si>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</si>
  <si>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</si>
  <si>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</si>
  <si>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</si>
  <si>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</si>
  <si>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</si>
  <si>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</si>
  <si>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</si>
  <si>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</si>
  <si>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</si>
  <si>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</si>
  <si>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</si>
  <si>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</si>
  <si>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</si>
  <si>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</si>
  <si>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</si>
  <si>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</si>
  <si>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</si>
  <si>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</si>
  <si>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</si>
  <si>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</si>
  <si>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</si>
  <si>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</si>
  <si>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</si>
  <si>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</si>
  <si>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</si>
  <si>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</si>
  <si>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</si>
  <si>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</si>
  <si>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</si>
  <si>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</si>
  <si>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</si>
  <si>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</si>
  <si>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</si>
  <si>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</si>
  <si>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</si>
  <si>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</si>
  <si>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</si>
  <si>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</si>
  <si>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</si>
  <si>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</si>
  <si>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</si>
  <si>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</si>
  <si>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</si>
  <si>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</si>
  <si>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</si>
  <si>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</si>
  <si>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</si>
  <si>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</si>
  <si>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</si>
  <si>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</si>
  <si>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</si>
  <si>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</si>
  <si>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</si>
  <si>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</si>
  <si>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</si>
  <si>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</si>
  <si>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</si>
  <si>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</si>
  <si>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</si>
  <si>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</si>
  <si>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</si>
  <si>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</si>
  <si>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</si>
  <si>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</si>
  <si>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</si>
  <si>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</si>
  <si>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</si>
  <si>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</si>
  <si>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</si>
  <si>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</si>
  <si>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</si>
  <si>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</si>
  <si>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</si>
  <si>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</si>
  <si>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</si>
  <si>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</si>
  <si>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</si>
  <si>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</si>
  <si>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</si>
  <si>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</si>
  <si>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</si>
  <si>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</si>
  <si>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</si>
  <si>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</si>
  <si>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</si>
  <si>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</si>
  <si>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</si>
  <si>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</si>
  <si>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</si>
  <si>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</si>
  <si>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</si>
  <si>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</si>
  <si>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</si>
  <si>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</si>
  <si>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</si>
  <si>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</si>
  <si>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</si>
  <si>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</si>
  <si>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</si>
  <si>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</si>
  <si>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</si>
  <si>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</si>
  <si>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</si>
  <si>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</si>
  <si>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</si>
  <si>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</si>
  <si>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</si>
  <si>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</si>
  <si>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</si>
  <si>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</si>
  <si>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</si>
  <si>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</si>
  <si>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</si>
  <si>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</si>
  <si>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</si>
  <si>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</si>
  <si>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</si>
  <si>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</si>
  <si>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</si>
  <si>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</si>
  <si>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</si>
  <si>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</si>
  <si>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</si>
  <si>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</si>
  <si>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</si>
  <si>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</si>
  <si>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</si>
  <si>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</si>
  <si>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</si>
  <si>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</si>
  <si>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</si>
  <si>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</si>
  <si>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</si>
  <si>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</si>
  <si>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</si>
  <si>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</si>
  <si>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</si>
  <si>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</si>
  <si>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</si>
  <si>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</si>
  <si>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</si>
  <si>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</si>
  <si>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</si>
  <si>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</si>
  <si>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</si>
  <si>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</si>
  <si>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</si>
  <si>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</si>
  <si>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</si>
  <si>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</si>
  <si>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</si>
  <si>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</si>
  <si>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</si>
  <si>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</si>
  <si>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</si>
  <si>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</si>
  <si>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</si>
  <si>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</si>
  <si>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</si>
  <si>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</si>
  <si>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</si>
  <si>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</si>
  <si>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</si>
  <si>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</si>
  <si>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</si>
  <si>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</si>
  <si>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</si>
  <si>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</si>
  <si>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</si>
  <si>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</si>
  <si>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</si>
  <si>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</si>
  <si>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</si>
  <si>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Субсидии муниципальным учреждениям спорта на выполнение муниципального задания ( МБУ ФОК "Жемчужина" п. Омсукчан)</t>
  </si>
  <si>
    <t>Субсидии муниципальным учреждениям спорта на выполнение муниципального задания ( МБУ "ОСОК")</t>
  </si>
  <si>
    <t>Субсидии муниципальным учреждениям спорта на выполнение муниципального задания ( МБУ "Спортивная школа п.Омсукчан")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</si>
  <si>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</si>
  <si>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 xml:space="preserve"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</si>
  <si>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</si>
  <si>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</si>
  <si>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</si>
  <si>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</si>
  <si>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 xml:space="preserve"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</si>
  <si>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</si>
  <si>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</si>
  <si>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</si>
  <si>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</si>
  <si>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</si>
  <si>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</si>
  <si>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</si>
  <si>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</si>
  <si>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</si>
  <si>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</si>
  <si>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</si>
  <si>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</si>
  <si>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</si>
  <si>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Субсидии муниципальным учреждениям спорта на выполнение муниципального задания ( МБУ "ОСОК п.Омсукчан")</t>
  </si>
  <si>
    <t>Субсидии муниципальным учреждениям спорта на выполнение муниципального задания ( МБУ "ФОК "Жемчужина" п. Омсукчан")</t>
  </si>
  <si>
    <t>Проведение казенными учреждениями  мероприятий в области культуры и искусства</t>
  </si>
  <si>
    <t>67 0 00 00000</t>
  </si>
  <si>
    <t>69 0 00 00000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</si>
  <si>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2019-2021 годы"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</si>
  <si>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</si>
  <si>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</si>
  <si>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</si>
  <si>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</si>
  <si>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Формирование и увеличение уставного фонда муниципальных унитарных предприятий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</si>
  <si>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</si>
  <si>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</si>
  <si>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</si>
  <si>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2019 год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</si>
  <si>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</si>
  <si>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</si>
  <si>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</si>
  <si>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</si>
  <si>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</si>
  <si>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</si>
  <si>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</si>
  <si>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</si>
  <si>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</si>
  <si>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</si>
  <si>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</si>
  <si>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</si>
  <si>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</si>
  <si>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</si>
  <si>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</si>
  <si>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</si>
  <si>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</si>
  <si>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</si>
  <si>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54 0 03 73270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</si>
  <si>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</si>
  <si>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</si>
  <si>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</si>
  <si>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</si>
  <si>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</si>
  <si>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</si>
  <si>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</si>
  <si>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</si>
  <si>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</si>
  <si>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</si>
  <si>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</si>
  <si>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</si>
  <si>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</si>
  <si>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</si>
  <si>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</si>
  <si>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</si>
  <si>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</si>
  <si>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</si>
  <si>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</si>
  <si>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</si>
  <si>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</si>
  <si>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</si>
  <si>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</si>
  <si>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</si>
  <si>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</si>
  <si>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</si>
  <si>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</si>
  <si>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</si>
  <si>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</si>
  <si>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</si>
  <si>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</si>
  <si>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</si>
  <si>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Организация и проведение ярмарок</t>
  </si>
  <si>
    <t>Поддержка социальных магазинов</t>
  </si>
  <si>
    <t>61 0 02 00000</t>
  </si>
  <si>
    <t>61 0 01 73900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</si>
  <si>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</si>
  <si>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</si>
  <si>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</si>
  <si>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</si>
  <si>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</si>
  <si>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51 8 01 00000</t>
  </si>
  <si>
    <t>51 8 01 S3240</t>
  </si>
  <si>
    <t>51 8 01 73240</t>
  </si>
  <si>
    <t>Укрепление гражданского единства, гармонизация межнациональных отношений, профилактика экстремизма</t>
  </si>
  <si>
    <t>51 7 01 00000</t>
  </si>
  <si>
    <t>51 7 02 00000</t>
  </si>
  <si>
    <t>51 7 03 00000</t>
  </si>
  <si>
    <t>58 3 01 40000</t>
  </si>
  <si>
    <t>Основное мероприятие "Обеспечение деятельности подведомственных образовательных учреждений"</t>
  </si>
  <si>
    <t>58 3 01 00000</t>
  </si>
  <si>
    <t>58 3 02 01710</t>
  </si>
  <si>
    <t>58 3 02 00000</t>
  </si>
  <si>
    <t>58 3 03 00000</t>
  </si>
  <si>
    <t>58 3 03 01720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</si>
  <si>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</si>
  <si>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</si>
  <si>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</si>
  <si>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</si>
  <si>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58 3 04 00000</t>
  </si>
  <si>
    <t>51 1 01 00000</t>
  </si>
  <si>
    <t>51 1 01 01730</t>
  </si>
  <si>
    <t>51 1 02 00000</t>
  </si>
  <si>
    <t>58 1 01 40000</t>
  </si>
  <si>
    <t>Основное мероприятие "Обеспечение деятельности подведомственных  учреждений культуры"</t>
  </si>
  <si>
    <t>58 1 01 00000</t>
  </si>
  <si>
    <t>58 1 02 00000</t>
  </si>
  <si>
    <t>58 1 02 01720</t>
  </si>
  <si>
    <t>58 2 01 00000</t>
  </si>
  <si>
    <t>58 2 01 40000</t>
  </si>
  <si>
    <t>58 2 02 00000</t>
  </si>
  <si>
    <t>58 2 02 01740</t>
  </si>
  <si>
    <t>58 2 03 00000</t>
  </si>
  <si>
    <t>58 2 04 00000</t>
  </si>
  <si>
    <t>51 6 01 00000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</si>
  <si>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</si>
  <si>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</si>
  <si>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</si>
  <si>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"Проведение мероприятий в области культуры и искусства"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</si>
  <si>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</si>
  <si>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</si>
  <si>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</si>
  <si>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</si>
  <si>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</si>
  <si>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</si>
  <si>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</si>
  <si>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</si>
  <si>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</si>
  <si>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Основное мероприятие "Поддержка граждан старшего поколения"</t>
  </si>
  <si>
    <t>51 4 01 00000</t>
  </si>
  <si>
    <t>51 4 01 01860</t>
  </si>
  <si>
    <t>51 4 02 00000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</si>
  <si>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</si>
  <si>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</si>
  <si>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</si>
  <si>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</si>
  <si>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</si>
  <si>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</si>
  <si>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</si>
  <si>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</si>
  <si>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</si>
  <si>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</si>
  <si>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</si>
  <si>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</si>
  <si>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</si>
  <si>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</si>
  <si>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</si>
  <si>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</si>
  <si>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</si>
  <si>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</si>
  <si>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</si>
  <si>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</si>
  <si>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</si>
  <si>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</si>
  <si>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52 1 01 00000</t>
  </si>
  <si>
    <t>Основное мероприятие "Развитие учреждений дошкольного образования"</t>
  </si>
  <si>
    <t>52 2 01 00000</t>
  </si>
  <si>
    <t>52 2 01 20030</t>
  </si>
  <si>
    <t>52 2 01 20040</t>
  </si>
  <si>
    <t>52 2 01 20050</t>
  </si>
  <si>
    <t>52 2 02 00000</t>
  </si>
  <si>
    <t>52 2 02 20070</t>
  </si>
  <si>
    <t>52 2 02 20140</t>
  </si>
  <si>
    <t>52 2 02 20150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</si>
  <si>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</si>
  <si>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52 2 03 00000</t>
  </si>
  <si>
    <t>52 2 03 S3С20</t>
  </si>
  <si>
    <t>52 2 03 73С20</t>
  </si>
  <si>
    <t>52 1 02 74060</t>
  </si>
  <si>
    <t>52 1 02 00000</t>
  </si>
  <si>
    <t>52 1 02 74120</t>
  </si>
  <si>
    <t>52 1 02 74070</t>
  </si>
  <si>
    <t>52 1 02 75010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</si>
  <si>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</si>
  <si>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</si>
  <si>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</si>
  <si>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</si>
  <si>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"Развитие учреждений основного образования"</t>
  </si>
  <si>
    <t>52 3 01 00000</t>
  </si>
  <si>
    <t>Основное мероприятие "Совершенствование питания учащихся"</t>
  </si>
  <si>
    <t>52 3 02 00000</t>
  </si>
  <si>
    <t>Основное мероприятие "Питание детей из многодетных семей"</t>
  </si>
  <si>
    <t>52 3 01 20010</t>
  </si>
  <si>
    <t>52 3 01 20030</t>
  </si>
  <si>
    <t>52 3 01 20040</t>
  </si>
  <si>
    <t>52 3 01 20060</t>
  </si>
  <si>
    <t>52 3 02 S3440</t>
  </si>
  <si>
    <t>52 3 02 73440</t>
  </si>
  <si>
    <t>52 3 03 00000</t>
  </si>
  <si>
    <t>52 3 03 S3950</t>
  </si>
  <si>
    <t>52 3 03 73950</t>
  </si>
  <si>
    <t>52 3 04 00000</t>
  </si>
  <si>
    <t>52 3 05 00000</t>
  </si>
  <si>
    <t>52 3 04 20070</t>
  </si>
  <si>
    <t>52 3 04 20140</t>
  </si>
  <si>
    <t>52 3 05 20170</t>
  </si>
  <si>
    <t>Основное мероприятие "Питание детей с ограниченными возможностями здоровья"</t>
  </si>
  <si>
    <t>52 1 02 74050</t>
  </si>
  <si>
    <t>52 1 02 74130</t>
  </si>
  <si>
    <t>52 1 01 13000</t>
  </si>
  <si>
    <t>Основное мероприятие "Развитие учреждений дополнительного образования"</t>
  </si>
  <si>
    <t>52 4 02 00000</t>
  </si>
  <si>
    <t>52 4 02 20140</t>
  </si>
  <si>
    <t xml:space="preserve">03 </t>
  </si>
  <si>
    <t>Основное мероприятие "Оздоровление детей и подростков"</t>
  </si>
  <si>
    <t>52 5 01 00000</t>
  </si>
  <si>
    <t>52 5 01 S3210</t>
  </si>
  <si>
    <t>52 5 01 73210</t>
  </si>
  <si>
    <t>02 0 02 01190</t>
  </si>
  <si>
    <t>57 1 01 00000</t>
  </si>
  <si>
    <t>52 1 01 11010</t>
  </si>
  <si>
    <t>Субсидии муниципальным учреждениям дошкольного образования на выполнение муниципального задания (МБДОУ "Детский сад п.Омсукчан")</t>
  </si>
  <si>
    <t>52 1 01 11020</t>
  </si>
  <si>
    <t>52 1 01 12010</t>
  </si>
  <si>
    <t>52 1 01 12020</t>
  </si>
  <si>
    <t>52 1 01 12030</t>
  </si>
  <si>
    <t>Субсидии муниципальным учреждениям общего образования на выполнение муниципального задания (МБОУ "СОШ п.Омсукчан"</t>
  </si>
  <si>
    <t>Субсидии муниципальным учреждениям общего образования на выполнение муниципального задания (МБОУ "СОШ п.Дукат")</t>
  </si>
  <si>
    <t>Субсидии муниципальным учреждениям общего образования на выполнение муниципального задания (МБОУ "ООШ п.Омсукчан")</t>
  </si>
  <si>
    <t>57 1 01 14010</t>
  </si>
  <si>
    <t>57 1 01 14020</t>
  </si>
  <si>
    <t>57 1 01 14030</t>
  </si>
  <si>
    <t>Основное мероприятие "Развитие учреждений спорта"</t>
  </si>
  <si>
    <t>57 1 02 00000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</si>
  <si>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</si>
  <si>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</si>
  <si>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57 1 03 00000</t>
  </si>
  <si>
    <t>57 1 02 20030</t>
  </si>
  <si>
    <t>57 1 02 20040</t>
  </si>
  <si>
    <t>57 1 02 20060</t>
  </si>
  <si>
    <t>57 1 03 20070</t>
  </si>
  <si>
    <t>57 1 03 20140</t>
  </si>
  <si>
    <t>57 1 04 00000</t>
  </si>
  <si>
    <t>57 1 04 75010</t>
  </si>
  <si>
    <t>Основное мероприятие "Проведение физкультурно-спортивных мероприятий"</t>
  </si>
  <si>
    <t>57 3 01 00000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</si>
  <si>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</si>
  <si>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</si>
  <si>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</si>
  <si>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</si>
  <si>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</si>
  <si>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</si>
  <si>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</si>
  <si>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</si>
  <si>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</si>
  <si>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</si>
  <si>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</si>
  <si>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</si>
  <si>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</si>
  <si>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</si>
  <si>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</si>
  <si>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</si>
  <si>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</si>
  <si>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</si>
  <si>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</si>
  <si>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</si>
  <si>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</si>
  <si>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</si>
  <si>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</si>
  <si>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</si>
  <si>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</si>
  <si>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</si>
  <si>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</si>
  <si>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</si>
  <si>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</si>
  <si>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</si>
  <si>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</si>
  <si>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</si>
  <si>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60 1 01 00000</t>
  </si>
  <si>
    <t>60 1 01 01280</t>
  </si>
  <si>
    <t>Основное мероприятие "Создание комфортных условий для проживания населения"</t>
  </si>
  <si>
    <t>60 1 01 01390</t>
  </si>
  <si>
    <t>60 1 01 01400</t>
  </si>
  <si>
    <t>60 2 01 00000</t>
  </si>
  <si>
    <t>60 2 01 01400</t>
  </si>
  <si>
    <t>60 2 01 01410</t>
  </si>
  <si>
    <t>60 2 01 01420</t>
  </si>
  <si>
    <t>60 2 01 01430</t>
  </si>
  <si>
    <t>60 2 02 00000</t>
  </si>
  <si>
    <t>60 2 02 74170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</si>
  <si>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</si>
  <si>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</si>
  <si>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</si>
  <si>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</si>
  <si>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01 0 01 01010</t>
  </si>
  <si>
    <t>01 0 01 01790</t>
  </si>
  <si>
    <t>Расходы на обеспечение деятельности муниципальных служащих</t>
  </si>
  <si>
    <t>01 0 01 01030</t>
  </si>
  <si>
    <t>Основное мероприятие "Санитарное содержание территории"</t>
  </si>
  <si>
    <t>54 0 02 73260</t>
  </si>
  <si>
    <t>54 0 02 S3260</t>
  </si>
  <si>
    <t>Муниципальная программа "Развитие муниципальной службы Омсукчанского городского округа на 2018-2020 годы"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</si>
  <si>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</si>
  <si>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</si>
  <si>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</si>
  <si>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</si>
  <si>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Основное мероприятие "Повышение рождаемости в Омсукчанском городском округе"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</si>
  <si>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</si>
  <si>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</si>
  <si>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</si>
  <si>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</si>
  <si>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</si>
  <si>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Приобретение и использование справочно-правовых систем, автоматизация кадровых процедур</t>
  </si>
  <si>
    <t>Основное мероприятие "Правовое и информационное обеспечение деятельности органов местного самоуправления Омсукчанского городского округа"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</si>
  <si>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</si>
  <si>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</si>
  <si>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</si>
  <si>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</si>
  <si>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</si>
  <si>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</si>
  <si>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</si>
  <si>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</si>
  <si>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58 1 03 00000</t>
  </si>
  <si>
    <t>58 1 03 01790</t>
  </si>
  <si>
    <t>58 1 04 00000</t>
  </si>
  <si>
    <t>58 1 04 75010</t>
  </si>
  <si>
    <t>Основное мероприятие "Культурно-массовые мероприятия в   учреждениях дополнительного образования детей"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</si>
  <si>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</si>
  <si>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</si>
  <si>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</si>
  <si>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</si>
  <si>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</si>
  <si>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</si>
  <si>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</si>
  <si>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</si>
  <si>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</si>
  <si>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Муниципальная программа "Комплексное развитие  систем коммунальной инфраструктуры Омсукчанского городского округа на 2019-2020 годы"</t>
  </si>
  <si>
    <t>Муниципальная программа "Профилактика экстеремизма и терроризма на территории Омсукчанского городского округа на 2017-2020 годы"</t>
  </si>
  <si>
    <t>Муниципальная программа "Развитие транспортной инфраструктуры  Омсукчанского городского округа" на 2018-2020 годы"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</si>
  <si>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2017-2020 годы</t>
  </si>
  <si>
    <t>66 0 01 00000</t>
  </si>
  <si>
    <t>66 0 01 L5110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</si>
  <si>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2019-2020 годы"</t>
  </si>
  <si>
    <t>Муниципальная программа "Профилактика экстремизма и терроризма на территории Омсукчанского городского округа на 2017-2020 годы"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</si>
  <si>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2019-2020 годы"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</si>
  <si>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</si>
  <si>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</si>
  <si>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"Поощрение лучших учеников учреждений дополнительного образования детей"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</si>
  <si>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</si>
  <si>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</si>
  <si>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</si>
  <si>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>План на 2021 год</t>
  </si>
  <si>
    <t>План на 2022 год</t>
  </si>
  <si>
    <t>01 0 03 74020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</si>
  <si>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</si>
  <si>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</si>
  <si>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</si>
  <si>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</si>
  <si>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</si>
  <si>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</si>
  <si>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</si>
  <si>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</si>
  <si>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</si>
  <si>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</si>
  <si>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</si>
  <si>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</si>
  <si>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 "Поддержка отдельных категорий граждан Омсукчанского городского округа"</t>
  </si>
  <si>
    <t>Основное мероприятие "Улучшение материально-технической базы родовых общин"</t>
  </si>
  <si>
    <t>Улучшение материально-технической базы родовых общин</t>
  </si>
  <si>
    <t>Основное мероприятие "Улучшение условий проживания семей коренных малочисленных народов Севера"</t>
  </si>
  <si>
    <t>51 7 01 S3310</t>
  </si>
  <si>
    <t>51 7 01 73310</t>
  </si>
  <si>
    <t>51 7 02 S3290</t>
  </si>
  <si>
    <t>51 7 02 73290</t>
  </si>
  <si>
    <t>51 7 03 S3470</t>
  </si>
  <si>
    <t>51 7 03 73470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</si>
  <si>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</si>
  <si>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</si>
  <si>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Мероприятия, направленные на гармонизацию межнациональных отнолшений</t>
  </si>
  <si>
    <t>51 1 01 01820</t>
  </si>
  <si>
    <t>51 1 03 01840</t>
  </si>
  <si>
    <t>51 6 01 01890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</si>
  <si>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</si>
  <si>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</si>
  <si>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</si>
  <si>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</si>
  <si>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</si>
  <si>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</si>
  <si>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</si>
  <si>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</si>
  <si>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63 0 01 01580</t>
  </si>
  <si>
    <t>52 4 01 00000</t>
  </si>
  <si>
    <t>52 4 01 20130</t>
  </si>
  <si>
    <t>Мероприятия по организации отдыха и оздоровления детей в лагерях дневного пребывания</t>
  </si>
  <si>
    <t>57 3 01 01910</t>
  </si>
  <si>
    <t>Основное мероприятие "Содержание и ремонт автомобильных дорог общего пользования"</t>
  </si>
  <si>
    <t>Субсидии муниципальным учреждениям дошкольного образования на выполнение муниципального задания (МБДОУ "Детский сад п.Дукат")</t>
  </si>
  <si>
    <t>Муниципальная программа "Развитие малого и среднего предпринимательства в Омсукчанском городском округе" на 2018-2020 г.г."</t>
  </si>
  <si>
    <t>53 0 01 00000</t>
  </si>
  <si>
    <t>53 0 01 S3360</t>
  </si>
  <si>
    <t>53 0 01 73360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</si>
  <si>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</si>
  <si>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</si>
  <si>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</si>
  <si>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</si>
  <si>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</si>
  <si>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</si>
  <si>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</si>
  <si>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60 2 02 74190</t>
  </si>
  <si>
    <t>02 0 02 01750</t>
  </si>
  <si>
    <t>58 2 03 01790</t>
  </si>
  <si>
    <t>58 2 04 S3160</t>
  </si>
  <si>
    <t>58 2 04 73160</t>
  </si>
  <si>
    <t>58 2 05 00000</t>
  </si>
  <si>
    <t>58 2 05 74110</t>
  </si>
  <si>
    <t>58 2 05 75010</t>
  </si>
  <si>
    <t xml:space="preserve">01 0 03 51200 </t>
  </si>
  <si>
    <t>Создание условий для образования детей инвалидов</t>
  </si>
  <si>
    <t>63 0 01 01620</t>
  </si>
  <si>
    <t>02 0 02 01110</t>
  </si>
  <si>
    <t>67 0 01 00000</t>
  </si>
  <si>
    <t>58 3 04 01790</t>
  </si>
  <si>
    <t>58 3 05 00000</t>
  </si>
  <si>
    <t>58 3 05 74060</t>
  </si>
  <si>
    <t>58 3 05 74070</t>
  </si>
  <si>
    <t>58 3 05 75010</t>
  </si>
  <si>
    <t>Основное мероприятие "Развитие учреждений общего образования"</t>
  </si>
  <si>
    <t xml:space="preserve">Управление культуры, соиальной и молодежной политики администрации Омсукчанского городского округа 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</si>
  <si>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</si>
  <si>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</si>
  <si>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</si>
  <si>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</si>
  <si>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</si>
  <si>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>Приложение № 1.1</t>
  </si>
  <si>
    <t>Приложение № 4.1.</t>
  </si>
  <si>
    <t>Приложение № 5.1.</t>
  </si>
  <si>
    <t xml:space="preserve">План на 2021 год </t>
  </si>
  <si>
    <t xml:space="preserve">План на 2022 год </t>
  </si>
  <si>
    <t>Расходы на обеспечение деятельности централизованной бухгалтерии</t>
  </si>
  <si>
    <t>Социальная политики</t>
  </si>
  <si>
    <t>Приложение № 8.1.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</si>
  <si>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</si>
  <si>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</si>
  <si>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бюджета Омсукчанского городского округа  на 2021-2022 годы</t>
  </si>
  <si>
    <t>Приложение № 9.1.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</si>
  <si>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</si>
  <si>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</si>
  <si>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</si>
  <si>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60 2 01 01770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</si>
  <si>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</si>
  <si>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</si>
  <si>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</si>
  <si>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</si>
  <si>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Мероприятия по развитию библиотечного дела</t>
  </si>
  <si>
    <t>Подготовка участников резерва управленческих кадров из числа муниципальных служащих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</si>
  <si>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</si>
  <si>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</si>
  <si>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</si>
  <si>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</si>
  <si>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</si>
  <si>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</si>
  <si>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</si>
  <si>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</si>
  <si>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</si>
  <si>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 xml:space="preserve"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</t>
  </si>
  <si>
    <t>Управление жилищно-коммунальногохозяйства и градостроительства администрации Омсукчанского городского округа</t>
  </si>
  <si>
    <t>51 7 04 00000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</si>
  <si>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</si>
  <si>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</si>
  <si>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</si>
  <si>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</si>
  <si>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</si>
  <si>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</si>
  <si>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</si>
  <si>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</si>
  <si>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</si>
  <si>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</si>
  <si>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</si>
  <si>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</si>
  <si>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</si>
  <si>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</si>
  <si>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</si>
  <si>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1 12 01 040 01 00000 120</t>
  </si>
  <si>
    <t>Плата за размещение отходов производства и потребления</t>
  </si>
  <si>
    <t>2 02 25497 00 0000 151</t>
  </si>
  <si>
    <t>Субсидии бюджетам на реализацию мероприятий по обеспечению жильем молодых семей</t>
  </si>
  <si>
    <t>2 02 25511 00 0000 150</t>
  </si>
  <si>
    <t>2 02 25555 00 0000 150</t>
  </si>
  <si>
    <t>Субсидии бюджетам на поддержку  программ формирования современной городской среды</t>
  </si>
  <si>
    <t>Субсидии бюджетам  городских округов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</si>
  <si>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</si>
  <si>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</si>
  <si>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</si>
  <si>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</si>
  <si>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</si>
  <si>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</si>
  <si>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</si>
  <si>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</si>
  <si>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</si>
  <si>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2 02 15002 00 0000 150</t>
  </si>
  <si>
    <t>Дотации бюджетам  на поддержку мер по обеспечению сбалансированности бюджетов</t>
  </si>
  <si>
    <t>2 02 15001 00 0000 150</t>
  </si>
  <si>
    <t>Субсидии бюджетам  на реализацию мероприятий по обеспечению жильем молодых семей</t>
  </si>
  <si>
    <t xml:space="preserve">Поступления доходов в </t>
  </si>
  <si>
    <t>бюджет Омсукчанского городского огруга</t>
  </si>
  <si>
    <t>на плановый период 2021-2022 годов</t>
  </si>
  <si>
    <t>Распределение бюджетных ассигнований</t>
  </si>
  <si>
    <t xml:space="preserve"> по разделам и подразделам классификации</t>
  </si>
  <si>
    <t xml:space="preserve"> расходов бюджетов Российской Федерации на  плановый период 2021-2022 годов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</si>
  <si>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плановый период 2021-2022 годов</t>
  </si>
  <si>
    <t>Ведомственная  структура расходов бюджета Омсукчанского городского округа на плановый период 2021-2022 годов</t>
  </si>
  <si>
    <t xml:space="preserve"> Распределение бюджетных ассигнований, направляемых на реализацию муниципальных программ   Омсукчанского городского округа  на  плановый период 2021-2022 годов</t>
  </si>
  <si>
    <t>Распределения ассигнований, направляемых на исполнение публичных нормативных обязательств на плановый период 2021-2022 годов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</si>
  <si>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</si>
  <si>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Резервные средства</t>
  </si>
  <si>
    <t>02 0 02 99999</t>
  </si>
  <si>
    <t>870</t>
  </si>
  <si>
    <t>51 7 04 01920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</si>
  <si>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</si>
  <si>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</si>
  <si>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Муниципальная программа "Чистая вода Омсукчанского городского округа" на 2020-2024 годы"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</si>
  <si>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</si>
  <si>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</si>
  <si>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</si>
  <si>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</si>
  <si>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</si>
  <si>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</si>
  <si>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</si>
  <si>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 без владельцев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</si>
  <si>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</si>
  <si>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>2 02 25519 04 0000 150</t>
  </si>
  <si>
    <t>Субсидия бюджетам городских округов на поддержку отрасли культуры</t>
  </si>
  <si>
    <t>2 02 25519 00 0000 150</t>
  </si>
  <si>
    <t>2 02 25497 04 0000 150</t>
  </si>
  <si>
    <t>2 02 25497 00 0000 150</t>
  </si>
  <si>
    <t>Субсидия бюджетам  на поддержку отрасли культуры</t>
  </si>
  <si>
    <t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в рамках государственной программы  Магаданской области "Социально-экономическое и культурное развитие коренных малочисленных народов Севера, проживающих на территории Магаданской области"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</si>
  <si>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</si>
  <si>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</si>
  <si>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</si>
  <si>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</si>
  <si>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</si>
  <si>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</si>
  <si>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</si>
  <si>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</si>
  <si>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</si>
  <si>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городских округов   на 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Магаданской области"  государственной программы Магаданской области "Развитие образования в Магаданской области"  </t>
  </si>
  <si>
    <t>Субвенции бюджетам городских округов на проведение Всероссийской переписи населения 2020 года</t>
  </si>
  <si>
    <t>2 02 35469 00 0000 150</t>
  </si>
  <si>
    <t>2 02 35469 04 0000 150</t>
  </si>
  <si>
    <t>Субвенции бюджетам на проведение Всероссийской переписи населения 2020 года</t>
  </si>
  <si>
    <t xml:space="preserve"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государственной программы Магаданской области "Развитие образования в Магаданской области"  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</si>
  <si>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</si>
  <si>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</si>
  <si>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</si>
  <si>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</si>
  <si>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52 2 04 00000</t>
  </si>
  <si>
    <t xml:space="preserve">Частичное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</si>
  <si>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</si>
  <si>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52 2 04 73420</t>
  </si>
  <si>
    <t>52 2 04 S3420</t>
  </si>
  <si>
    <t>Основное мероприятие "Развитие и укрепление материально-технической базы домов культуры"</t>
  </si>
  <si>
    <t>58 1 05 00000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</si>
  <si>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</si>
  <si>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58 1 05 L4670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</si>
  <si>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</si>
  <si>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</si>
  <si>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</si>
  <si>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</si>
  <si>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52 3 E1 00000</t>
  </si>
  <si>
    <t>52 3 E1 51690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</si>
  <si>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</si>
  <si>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</si>
  <si>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</si>
  <si>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55 0 01 61070</t>
  </si>
  <si>
    <t>Расходы на расселение неблагоприятных для проживания населенных пунктов Магаанской области, на территории которых отсутствуют общеобразовательные учреждения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</si>
  <si>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2021-2030 годы"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</si>
  <si>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2021-2030 годы"</t>
  </si>
  <si>
    <t>Муниципальная программа "Профилактика экстремизма и терроризма на территории Омсукчанского городского округа на 2021-2030 годы"</t>
  </si>
  <si>
    <t>Муниципальная программа "Развитие муниципальной службы в Омсукчанском городском округе на 2021-2030 годы"</t>
  </si>
  <si>
    <t>Муниципальная программа "Проведение социальной политики в Омсукчанском городском округе" на 2021-2030 г.г.</t>
  </si>
  <si>
    <t>Муниципальная программа "Формирование доступной среды в Омсукчанском городском округе" на 2021-2030 годы"</t>
  </si>
  <si>
    <t>Муниципальная программа "Профилактика экстеремизма и терроризма на территории Омсукчанского городского округа на 2021-2030 годы"</t>
  </si>
  <si>
    <t>Муниципальная программа "Развитие культуры в Омсукчанском городском округе на 2021-2030 г.г."</t>
  </si>
  <si>
    <t>Подпрограмма "Развитие народного творчества и проведение культурного досуга населения в Омсукчанском городском округе на 2021-2030 г.г."</t>
  </si>
  <si>
    <t>Подпрограмма "Развитие библиотечного дела в Омсукчанском городском округе на 2021-2030 г.г."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</si>
  <si>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2021-2025 годы</t>
  </si>
  <si>
    <t>Муниципальная программа "Развитие системы образования в Омсукчанском городском округе  на 2021-2030 г.г."</t>
  </si>
  <si>
    <t>Муниципальная программа "Развитие системы образования в Омсукчанском городском округе на 2021-2030 г.г."</t>
  </si>
  <si>
    <t>Подпрограмма "Развитие массовой физической культуры и спорта в Омсукчанском городском округе на 2021-2030 г.г."</t>
  </si>
  <si>
    <t>Муниципальная программа "Развитие физической культуры и спорта в Омсукчанском городском округе на 2021-2030 г.г."</t>
  </si>
  <si>
    <t>Подпрограмма "Физкультурно-спортивные мероприятия окружного и областного уровней на 2021-2030 годы"</t>
  </si>
  <si>
    <t>Муниципальная программа "Развитие транспортной инфраструктуры  Омсукчанского городского округа" на 2021-2030 годы"</t>
  </si>
  <si>
    <t>Муниципальная программа "Благоустройство территории Омсукчанского городского округа на 2021-2030 годы"</t>
  </si>
  <si>
    <t>Подпрограмма "Санитарное содержание территорий поселений Омсукчанского городского округа на 2021-2030 годы"</t>
  </si>
  <si>
    <t>Муниципальная программа "Развитие муниципальной службы Омсукчанского городского округа на 2021-2030 годы"</t>
  </si>
  <si>
    <t>Муниципальная программа "Развитие торговли на территории Омсукчанского городского округа" на 2021-2030 годы"</t>
  </si>
  <si>
    <t>Муниципальная программа "Развитие малого и среднего предпринимательства в Омсукчанском городском округе" на 2021-2030 г.г."</t>
  </si>
  <si>
    <t>58 1 A1 00000</t>
  </si>
  <si>
    <t>58 1 A1 55190</t>
  </si>
  <si>
    <t>58 1 А1 00000</t>
  </si>
  <si>
    <t>Основное мероприятие "Государственная поддержка отрасли культуры"</t>
  </si>
  <si>
    <t>Подпрограмма "Развитие дополнительного образования детей в области культуры в Омсукчанском городском округе"</t>
  </si>
  <si>
    <t>Подпрограмма "Развитие народного творчества и проведение культурного досуга населения в Омсукчанском городском округе"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</si>
  <si>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2021-2030 годах"</t>
  </si>
  <si>
    <t>Подпрограмма "Развитие массовой физической культуры и спорта в Омсукчанском городском округе"</t>
  </si>
  <si>
    <t>Подпрограмма "Физкультурно-спортивные мероприятия окружного и областного уровней"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</si>
  <si>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</t>
  </si>
  <si>
    <t>Подпрограмма "Санитарное содержание территорий поселений Омсукчанского городского округа"</t>
  </si>
  <si>
    <t>Подпрограмма "Развитие библиотечного дела в Омсукчанском городском округе"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</si>
  <si>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</si>
  <si>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</si>
  <si>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Организации отдыха и оздоровление детей в лагерях дневного пребывания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</si>
  <si>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</si>
  <si>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</si>
  <si>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Субсидии муниципальным учреждениям общего образования на выполнение муниципального задания (МБОУ "СОШ п.Омсукчан")</t>
  </si>
  <si>
    <t>Субсидии муниципальным учреждениям общего образования на выполнение муниципального задания ("МБОУ "СОШ п.Дукат")</t>
  </si>
  <si>
    <t>Субсидии муниципальным учреждениям общего образования на выполнение муниципального задания ("МБОУ "ООШ п.Омсукчан")</t>
  </si>
  <si>
    <t>Субсидии муниципальным учреждениям спорта на выполнение муниципального задания ("МБУ "ОСОК п.Омсукчан")</t>
  </si>
  <si>
    <t>Субсидии муниципальным учреждениям спорта на выполнение муниципального задания ("МБУ ФОК "Жемчужина" п.Омсукчан")</t>
  </si>
  <si>
    <t>Субсидии муниципальным учреждениям спорта на выполнение муниципального задания ("МБУ "Спортивная школа п.Омсукчан")</t>
  </si>
  <si>
    <t>Целевые субсидии на присмотр и уход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</si>
  <si>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 xml:space="preserve">Целевые субсидии на 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</si>
  <si>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</si>
  <si>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от 16.12.2019 года № 39</t>
  </si>
  <si>
    <t>Приложение № 3</t>
  </si>
  <si>
    <t>Расходы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</si>
  <si>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55 0 01 S1070</t>
  </si>
  <si>
    <t>Приложение № 3.1.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</si>
  <si>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</si>
  <si>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2 02 25511 04 0000 150
</t>
  </si>
  <si>
    <t xml:space="preserve">Субсидии бюджетам городских округов на проведение комплексных кадастровых работ в отношении земельных участков, находящихся в государственной и (или) муниципальной собственности, в рамках реализации подпрограммы "Совершенствование системы управления в сфере имущественно-земельных отношений Магаданской области"
на 2019-2024 годы" государственной программы Магаданской
области "Управление государственным имуществом Магаданской
области" на 2019-2024 годы" на плановый период 2021 и 2022 годов
</t>
  </si>
  <si>
    <t>Субсидии бюджетам городских округов субсидий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2020 год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</si>
  <si>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</si>
  <si>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 xml:space="preserve">2 02 25081 00 0000 150
</t>
  </si>
  <si>
    <t xml:space="preserve">2 02 25081 04 0000 150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</si>
  <si>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</si>
  <si>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</si>
  <si>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>57 1 P5 50810</t>
  </si>
  <si>
    <t>57 1 P5 00000</t>
  </si>
  <si>
    <t>Социальные выплаты для приобретения (строительства) жилья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</si>
  <si>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</si>
  <si>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</si>
  <si>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</si>
  <si>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</si>
  <si>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330</t>
  </si>
  <si>
    <t>Публичные нормативные выплаты гражданам несоциального характера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</si>
  <si>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</si>
  <si>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2014-2024 годы" государственной программы Магаданской области" Развитие образования в Магаданской области" на 2014-2024 годы" 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</si>
  <si>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2014-2024 годы"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</si>
  <si>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</si>
  <si>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2014-2024 годы" государственной программы Магаданской области "Развитие образования в Магаданской области" на 2014-2024 годы"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</si>
  <si>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</si>
  <si>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</si>
  <si>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</si>
  <si>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</si>
  <si>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2015-2024 годы" государственной программы Магаданской области "Развитие физической культуры и спорта в Магаданской области" на 2014-2024 годы"</t>
  </si>
  <si>
    <t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</t>
  </si>
  <si>
    <t>Субвенции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</si>
  <si>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Субвенции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</si>
  <si>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 xml:space="preserve">Субсидии бюджетам городских округов на питание детей-инвалидов,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</si>
  <si>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02 0 06 01930</t>
  </si>
  <si>
    <t>Модернизация и укрепление материально-технической базы в области физической культуры и спорта</t>
  </si>
  <si>
    <t>Основное мероприятие " Модернизация и укрепление материально-технической базы в области физической культуры и спорта"</t>
  </si>
  <si>
    <t>Целевые субсидии муниципальным учреждениям на модернизацию и укрепление материально-технической базы в области физической культуры и спорта</t>
  </si>
  <si>
    <t xml:space="preserve">57 1 06 00000 </t>
  </si>
  <si>
    <t>57 1 06 S2150</t>
  </si>
  <si>
    <t>57 1 06 Z2150</t>
  </si>
  <si>
    <t>Прочие мероприятия в области национальной экономики</t>
  </si>
  <si>
    <t>02 0 02 01210</t>
  </si>
  <si>
    <t>Целевые субсидии муниципальным учреждениям на мероприятия по модернизации и укреплению материально-технической базы в области физической культуры и спорта</t>
  </si>
  <si>
    <t>Основное мероприятие "Модернизация и укрепление материально-технической базы в области физической культуры и спорта"</t>
  </si>
  <si>
    <t>Питание детей-инвалидов, обучающихся в общеобразовательных организациях</t>
  </si>
  <si>
    <t>52 3 05 S3443</t>
  </si>
  <si>
    <t>52 3 05 73433</t>
  </si>
  <si>
    <t>52 1 02 74010</t>
  </si>
  <si>
    <t>58 3 05 74010</t>
  </si>
  <si>
    <t>57 1 04 74010</t>
  </si>
  <si>
    <t xml:space="preserve">Субсидии бюджетам городских округов на реализацию мероприятий модернизации и укрепления материально-технической базы в области физической культуры и спорта в рамках подпрограммы "Обеспечение процесса физической подготовки и спорта"  государственной программы Магаданской области "Развитие физической культуры и спорта в Магаданской области"
</t>
  </si>
  <si>
    <t>58 1 04 74010</t>
  </si>
  <si>
    <t>58 2 05 74010</t>
  </si>
  <si>
    <t>Мероприятия, направленные на профилактику и устранение последствие распространения короновирусной инфекции</t>
  </si>
  <si>
    <t>02 0 02 01940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</si>
  <si>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</si>
  <si>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52 1 02 53030</t>
  </si>
  <si>
    <t>классное руководство</t>
  </si>
  <si>
    <t>2 02 45303 04 0000150</t>
  </si>
  <si>
    <t xml:space="preserve">
2 02 45303 00 0000 150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</si>
  <si>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</si>
  <si>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</si>
  <si>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2020 год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</si>
  <si>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2020 год</t>
  </si>
  <si>
    <t>52 3 E1 51691</t>
  </si>
  <si>
    <t>Обновление материально- технической базы для формирования  у обучающихся общеобразовательных организаций  современных технологических и гуманитарных навыков</t>
  </si>
  <si>
    <t xml:space="preserve">от  15.06.2020 года № </t>
  </si>
  <si>
    <t xml:space="preserve">от 15.06.2020 года №  </t>
  </si>
  <si>
    <t xml:space="preserve">от 15.06.2020 года № </t>
  </si>
  <si>
    <t>Обновление материально- технической базы для формирования у обучающихся общеобразовательных организаций современных технологических и гуманитарных навыков</t>
  </si>
  <si>
    <t xml:space="preserve">Целевые субсидии на 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 </t>
  </si>
  <si>
    <t>Приложение № 6.1.</t>
  </si>
  <si>
    <t>Приложение № 7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</si>
  <si>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</si>
  <si>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Специальные расходы</t>
  </si>
  <si>
    <t>880</t>
  </si>
  <si>
    <t xml:space="preserve">Мероприятия, связанные с обеспечением санитарно-эпидимеологической безопасности при подготовке к проведению общероссийского голосования </t>
  </si>
  <si>
    <t>2 03 04099 04 0000 150</t>
  </si>
  <si>
    <t>Прочие безвозмездные поступления от государственных (муниципальных) организаций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2020 год</t>
  </si>
  <si>
    <t>Прочие безвозмездные поступления от государственных (муниципальных) организаций в бюджеты городских округов</t>
  </si>
  <si>
    <t>02 0 02 01950</t>
  </si>
  <si>
    <t xml:space="preserve"> Бюджетные инвестиции в объекты капитального строительства государственной (муниципальной) собственности</t>
  </si>
  <si>
    <t>52 4 01 20030</t>
  </si>
  <si>
    <t>Целевые субсидии на оплату контейнера</t>
  </si>
  <si>
    <t>52 4 02 20070</t>
  </si>
  <si>
    <t>52 3 06 00000</t>
  </si>
  <si>
    <t>52 3 06 S2110</t>
  </si>
  <si>
    <t>52 3 06 22110</t>
  </si>
  <si>
    <t>Основное мероприятие " Мероприятия по предупреждению и борьбе с короновирусом"</t>
  </si>
  <si>
    <t>Целевые субсидии на осуществление мероприятий по предупреждению и борьбе с короновирусом в общеобразовательных учреждениях</t>
  </si>
  <si>
    <t>Мероприятия по предупреждению и борьбе с короновирусом в общеобразовательных учреждениях</t>
  </si>
  <si>
    <t>52 3 07 00000</t>
  </si>
  <si>
    <t>52 3 07 S2050</t>
  </si>
  <si>
    <t>52 3 07 92050</t>
  </si>
  <si>
    <t>Основное мероприятие " Модернизация пищеблоков общеобразовательных организаций"</t>
  </si>
  <si>
    <t>Целевые субсидии на модернизацию пищеблоков общеобразовательных организаций</t>
  </si>
  <si>
    <t>Модернизация пищеблоков общеобразовательных организаций</t>
  </si>
  <si>
    <t>Основное мероприятие " Организация бесплатного горячего питания обучающихся"</t>
  </si>
  <si>
    <t>52 3 08 00000</t>
  </si>
  <si>
    <t>Целевые субсидии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</si>
  <si>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52 3 08 S3040 </t>
  </si>
  <si>
    <t xml:space="preserve">52 3 08 53040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</si>
  <si>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</si>
  <si>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 3 08 S3040</t>
  </si>
  <si>
    <t>52 3 08 53040</t>
  </si>
  <si>
    <t xml:space="preserve">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</si>
  <si>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</si>
  <si>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</si>
  <si>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</si>
  <si>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2 02 25304 00 0000 150
</t>
  </si>
  <si>
    <t>Субсидии бюджетам городских округов на реализацию мероприятий по предупреждению и борьбе с коронавирусом на территории Магаданской области в общеобразовательных учреждениях в рамках подпрограммы "Развитие общего образования в Магаданской области"государственной программы Магаданской области" Развитие образования в Магаданской области"</t>
  </si>
  <si>
    <t xml:space="preserve">Субсидии бюджетам городских округов на  модернизацию пищеблоков общеобразовательных учреждений Магаданской области в рамках подпрограммы "Развитие общего образования в Магаданской области" государственной программы Магаданской области" Развитие образования в Магаданской области" </t>
  </si>
  <si>
    <t>Исполнено за 9 месяцев 2020года, тыс.руб.</t>
  </si>
  <si>
    <t>Процент исполнения, %</t>
  </si>
  <si>
    <t>План на 2020 год, тыс.руб.</t>
  </si>
  <si>
    <t>к постановлению</t>
  </si>
  <si>
    <t>администрации</t>
  </si>
  <si>
    <t>городского округа</t>
  </si>
  <si>
    <t>Исполнение поступления доходов в бюджет Омсукчанского городского огруга за 9 месяцев 2020 года</t>
  </si>
  <si>
    <t>Приложение № 2</t>
  </si>
  <si>
    <t xml:space="preserve">Исполнение распределения бюджетных ассигнований по разделам и подразделам классификации </t>
  </si>
  <si>
    <t xml:space="preserve">  расходов бюджетов Российской Федерации за 9 месяцев 2020 года</t>
  </si>
  <si>
    <t>Исполнение распределения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за 9 месяцев 2020 года</t>
  </si>
  <si>
    <t xml:space="preserve">Исполнение ведомственной структуры расходов бюджета Омсукчанского городского округа за 9 месяцев 2020 года </t>
  </si>
  <si>
    <t>Исполнение распределения бюджетных ассигнований, направляемых на реализацию муниципальных программ  Омсукчанского городского округа за 9 месяцев 2020 года</t>
  </si>
  <si>
    <t>Исполнение распределения ассигнований, направляемых на исполнение публичных нормативных обязательств                                   за 9 месяцев 2020 года</t>
  </si>
  <si>
    <t>Исполнение по источникам внутреннего финансирования дефицита</t>
  </si>
  <si>
    <t>бюджета Омсукчанского городского округа  за 9 месяцев 2020 года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</si>
  <si>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</si>
  <si>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</si>
  <si>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</si>
  <si>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2 19 04000 04 0000 151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</si>
  <si>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</si>
  <si>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1 16  01153 01 9000 140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</si>
  <si>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</si>
  <si>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</si>
  <si>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</si>
  <si>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1 16 101230010000140</t>
  </si>
  <si>
    <t>Доходы от денежных взысканий (штрафов), поступающие в счет погашения задолженности, образовавшейся до 1 января 2020 года</t>
  </si>
  <si>
    <t>1 16 101290010000140</t>
  </si>
  <si>
    <t>Штрафы поступающие в счет погашения задолженности, образовавшейся до 1 января 2020 года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</si>
  <si>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</si>
  <si>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</si>
  <si>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</si>
  <si>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</si>
  <si>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</si>
  <si>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1 08 07000 01 0000 110</t>
  </si>
  <si>
    <t>1 08 07150 01 0000 110</t>
  </si>
  <si>
    <t>Государственная пошлина за выдачу разрешения на установку рекламной конструкции,</t>
  </si>
  <si>
    <t xml:space="preserve">Доходы от компенсации затрат государства
</t>
  </si>
  <si>
    <t>1 13 02000 00 0000 130</t>
  </si>
  <si>
    <t>1 13 02994 04 0000 130</t>
  </si>
  <si>
    <t>Прочие доходы от компенсации затрат бюджетов городских округов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</si>
  <si>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</si>
  <si>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1 16 01150 01 0000 140
</t>
  </si>
  <si>
    <t>от 23.10.2020г. № 472</t>
  </si>
  <si>
    <t xml:space="preserve">от 23.10.2020г. № 472 </t>
  </si>
  <si>
    <t xml:space="preserve">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</si>
</sst>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164" fontId="16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15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3" fillId="0" borderId="0" xfId="1" applyFont="1" applyFill="1" applyAlignment="1">
      <alignment horizont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2" fillId="0" borderId="2" xfId="1" applyFont="1" applyFill="1" applyBorder="1" applyAlignment="1">
      <alignment horizontal="justify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horizontal="left" vertical="center"/>
    </xf>
    <xf numFmtId="165" fontId="3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vertical="center" wrapText="1"/>
    </xf>
    <xf numFmtId="165" fontId="13" fillId="0" borderId="2" xfId="1" applyNumberFormat="1" applyFont="1" applyFill="1" applyBorder="1" applyAlignment="1">
      <alignment horizontal="center"/>
    </xf>
    <xf numFmtId="0" fontId="10" fillId="0" borderId="0" xfId="1" applyFill="1"/>
    <xf numFmtId="0" fontId="9" fillId="0" borderId="0" xfId="1" applyFont="1" applyFill="1"/>
    <xf numFmtId="4" fontId="14" fillId="0" borderId="0" xfId="1" applyNumberFormat="1" applyFont="1" applyFill="1" applyAlignment="1">
      <alignment horizontal="center"/>
    </xf>
    <xf numFmtId="0" fontId="9" fillId="0" borderId="0" xfId="1" applyFont="1" applyFill="1" applyAlignment="1"/>
    <xf numFmtId="1" fontId="9" fillId="0" borderId="0" xfId="1" applyNumberFormat="1" applyFont="1" applyFill="1"/>
    <xf numFmtId="2" fontId="9" fillId="0" borderId="0" xfId="1" applyNumberFormat="1" applyFont="1" applyFill="1"/>
    <xf numFmtId="0" fontId="10" fillId="0" borderId="0" xfId="0" applyFont="1" applyFill="1"/>
    <xf numFmtId="0" fontId="2" fillId="0" borderId="0" xfId="1" applyFont="1" applyFill="1"/>
    <xf numFmtId="0" fontId="3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5" fillId="0" borderId="2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2" fontId="2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/>
    <xf numFmtId="0" fontId="3" fillId="0" borderId="2" xfId="0" applyFont="1" applyBorder="1"/>
    <xf numFmtId="0" fontId="18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0" fillId="0" borderId="1" xfId="0" applyFont="1" applyBorder="1" applyAlignment="1">
      <alignment horizontal="right"/>
    </xf>
    <xf numFmtId="0" fontId="21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165" fontId="3" fillId="4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4" borderId="2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165" fontId="9" fillId="0" borderId="0" xfId="1" applyNumberFormat="1" applyFont="1" applyFill="1"/>
    <xf numFmtId="2" fontId="15" fillId="0" borderId="0" xfId="1" applyNumberFormat="1" applyFont="1" applyFill="1"/>
    <xf numFmtId="2" fontId="0" fillId="0" borderId="0" xfId="0" applyNumberFormat="1" applyFill="1"/>
    <xf numFmtId="49" fontId="2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2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3" fillId="0" borderId="2" xfId="1" applyNumberFormat="1" applyFont="1" applyFill="1" applyBorder="1" applyAlignment="1">
      <alignment horizontal="center" vertical="center"/>
    </xf>
    <xf numFmtId="49" fontId="22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2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0" fillId="0" borderId="0" xfId="0" applyFont="1" applyFill="1" applyBorder="1"/>
    <xf numFmtId="165" fontId="0" fillId="0" borderId="0" xfId="0" applyNumberFormat="1" applyFill="1"/>
    <xf numFmtId="0" fontId="22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2" fillId="0" borderId="15" xfId="1" applyNumberFormat="1" applyFont="1" applyFill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10" fillId="5" borderId="0" xfId="0" applyFont="1" applyFill="1" applyBorder="1"/>
    <xf numFmtId="0" fontId="26" fillId="5" borderId="0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justify" vertical="top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2" fillId="0" borderId="0" xfId="0" applyNumberFormat="1" applyFont="1" applyFill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4" fillId="0" borderId="0" xfId="0" applyNumberFormat="1" applyFont="1" applyFill="1"/>
    <xf numFmtId="0" fontId="8" fillId="0" borderId="3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Alignment="1">
      <alignment horizontal="left"/>
    </xf>
    <xf numFmtId="165" fontId="2" fillId="6" borderId="2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 wrapText="1"/>
    </xf>
    <xf numFmtId="165" fontId="2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2" fillId="6" borderId="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65" fontId="2" fillId="7" borderId="2" xfId="1" applyNumberFormat="1" applyFont="1" applyFill="1" applyBorder="1" applyAlignment="1">
      <alignment horizontal="center" vertical="center" wrapText="1"/>
    </xf>
    <xf numFmtId="165" fontId="2" fillId="8" borderId="2" xfId="1" applyNumberFormat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vertical="center" wrapText="1"/>
    </xf>
    <xf numFmtId="49" fontId="2" fillId="0" borderId="9" xfId="1" applyNumberFormat="1" applyFont="1" applyFill="1" applyBorder="1" applyAlignment="1">
      <alignment horizontal="left" vertical="center"/>
    </xf>
    <xf numFmtId="165" fontId="2" fillId="7" borderId="2" xfId="1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right" vertical="top" wrapText="1"/>
    </xf>
    <xf numFmtId="49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49" fontId="27" fillId="0" borderId="0" xfId="1" applyNumberFormat="1" applyFont="1" applyFill="1" applyBorder="1" applyAlignment="1">
      <alignment horizontal="center" vertical="center"/>
    </xf>
    <xf numFmtId="49" fontId="27" fillId="0" borderId="15" xfId="1" applyNumberFormat="1" applyFont="1" applyFill="1" applyBorder="1" applyAlignment="1">
      <alignment horizontal="center" vertical="center"/>
    </xf>
    <xf numFmtId="0" fontId="28" fillId="9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2" fillId="0" borderId="2" xfId="0" applyFont="1" applyFill="1" applyBorder="1" applyAlignment="1">
      <alignment horizontal="left" vertical="top" wrapText="1"/>
    </xf>
    <xf numFmtId="165" fontId="29" fillId="0" borderId="0" xfId="0" applyNumberFormat="1" applyFont="1" applyFill="1"/>
    <xf numFmtId="0" fontId="22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165" fontId="13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165" fontId="1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3" fillId="0" borderId="2" xfId="0" applyNumberFormat="1" applyFont="1" applyFill="1" applyBorder="1" applyAlignment="1">
      <alignment vertical="top" wrapText="1"/>
    </xf>
    <xf numFmtId="0" fontId="33" fillId="0" borderId="0" xfId="0" applyFont="1"/>
    <xf numFmtId="0" fontId="14" fillId="0" borderId="0" xfId="0" applyNumberFormat="1" applyFont="1" applyFill="1" applyAlignment="1">
      <alignment horizontal="right"/>
    </xf>
    <xf numFmtId="0" fontId="2" fillId="0" borderId="3" xfId="1" applyNumberFormat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left" vertical="center" wrapText="1"/>
    </xf>
    <xf numFmtId="165" fontId="13" fillId="0" borderId="11" xfId="0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left" vertical="top" wrapText="1"/>
    </xf>
    <xf numFmtId="0" fontId="10" fillId="0" borderId="0" xfId="1" applyNumberFormat="1" applyFill="1"/>
    <xf numFmtId="49" fontId="2" fillId="0" borderId="2" xfId="1" applyNumberFormat="1" applyFont="1" applyFill="1" applyBorder="1" applyAlignment="1">
      <alignment horizontal="left" vertical="center" wrapText="1"/>
    </xf>
    <xf numFmtId="0" fontId="33" fillId="0" borderId="0" xfId="0" applyNumberFormat="1" applyFont="1" applyFill="1"/>
    <xf numFmtId="165" fontId="33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165" fontId="0" fillId="0" borderId="0" xfId="0" applyNumberFormat="1" applyFont="1" applyFill="1"/>
    <xf numFmtId="0" fontId="11" fillId="0" borderId="2" xfId="0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4" fontId="14" fillId="2" borderId="0" xfId="1" applyNumberFormat="1" applyFont="1" applyFill="1" applyAlignment="1">
      <alignment horizontal="center"/>
    </xf>
    <xf numFmtId="165" fontId="12" fillId="0" borderId="2" xfId="1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vertical="top" wrapText="1"/>
    </xf>
    <xf numFmtId="0" fontId="34" fillId="0" borderId="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17" fillId="0" borderId="2" xfId="0" applyFont="1" applyFill="1" applyBorder="1"/>
    <xf numFmtId="0" fontId="12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2" fillId="3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 wrapText="1"/>
    </xf>
    <xf numFmtId="165" fontId="2" fillId="4" borderId="2" xfId="1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0" fillId="0" borderId="0" xfId="0" applyNumberFormat="1" applyFill="1"/>
    <xf numFmtId="165" fontId="14" fillId="10" borderId="0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4" fontId="0" fillId="0" borderId="0" xfId="0" applyNumberFormat="1"/>
    <xf numFmtId="4" fontId="17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horizontal="center" wrapText="1"/>
    </xf>
    <xf numFmtId="0" fontId="19" fillId="0" borderId="2" xfId="0" applyFont="1" applyFill="1" applyBorder="1"/>
    <xf numFmtId="0" fontId="3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3" fillId="0" borderId="0" xfId="3" applyFont="1" applyFill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2" fillId="0" borderId="0" xfId="3" applyFont="1" applyFill="1" applyAlignment="1">
      <alignment horizontal="left" vertical="center" wrapText="1"/>
    </xf>
    <xf numFmtId="0" fontId="35" fillId="0" borderId="3" xfId="0" applyFont="1" applyFill="1" applyBorder="1" applyAlignment="1">
      <alignment horizontal="right" wrapText="1"/>
    </xf>
    <xf numFmtId="0" fontId="3" fillId="0" borderId="0" xfId="1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wrapText="1"/>
    </xf>
    <xf numFmtId="165" fontId="2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0" fillId="7" borderId="0" xfId="0" applyFill="1"/>
    <xf numFmtId="0" fontId="3" fillId="0" borderId="8" xfId="0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vertical="center" wrapText="1"/>
    </xf>
    <xf numFmtId="165" fontId="13" fillId="0" borderId="8" xfId="0" applyNumberFormat="1" applyFont="1" applyFill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165" fontId="14" fillId="0" borderId="8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165" fontId="3" fillId="0" borderId="2" xfId="1" applyNumberFormat="1" applyFont="1" applyFill="1" applyBorder="1" applyAlignment="1">
      <alignment horizontal="center"/>
    </xf>
    <xf numFmtId="165" fontId="14" fillId="0" borderId="2" xfId="1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32" fillId="0" borderId="2" xfId="0" applyNumberFormat="1" applyFont="1" applyFill="1" applyBorder="1" applyAlignment="1">
      <alignment horizontal="center" vertical="center" wrapText="1"/>
    </xf>
    <xf numFmtId="165" fontId="32" fillId="0" borderId="2" xfId="0" applyNumberFormat="1" applyFont="1" applyFill="1" applyBorder="1" applyAlignment="1">
      <alignment horizontal="center" vertical="center"/>
    </xf>
    <xf numFmtId="165" fontId="39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horizontal="center" vertical="center"/>
    </xf>
    <xf numFmtId="165" fontId="37" fillId="0" borderId="2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165" fontId="30" fillId="0" borderId="0" xfId="0" applyNumberFormat="1" applyFont="1" applyFill="1" applyAlignment="1">
      <alignment horizontal="center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2" xfId="1" applyNumberFormat="1" applyFont="1" applyFill="1" applyBorder="1" applyAlignment="1" applyProtection="1">
      <alignment horizontal="center" vertical="center" shrinkToFit="1"/>
      <protection locked="0"/>
    </xf>
    <xf numFmtId="165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2" xfId="2" applyNumberFormat="1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center" vertical="center" wrapText="1"/>
    </xf>
    <xf numFmtId="165" fontId="31" fillId="0" borderId="2" xfId="0" applyNumberFormat="1" applyFont="1" applyBorder="1" applyAlignment="1">
      <alignment horizontal="center" vertical="center"/>
    </xf>
    <xf numFmtId="165" fontId="31" fillId="0" borderId="2" xfId="0" applyNumberFormat="1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165" fontId="13" fillId="0" borderId="9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center"/>
    </xf>
    <xf numFmtId="4" fontId="9" fillId="0" borderId="0" xfId="1" applyNumberFormat="1" applyFont="1" applyFill="1"/>
    <xf numFmtId="165" fontId="10" fillId="0" borderId="0" xfId="1" applyNumberFormat="1" applyFill="1"/>
    <xf numFmtId="0" fontId="14" fillId="0" borderId="0" xfId="1" applyFont="1" applyFill="1" applyAlignment="1">
      <alignment horizontal="right"/>
    </xf>
    <xf numFmtId="165" fontId="14" fillId="7" borderId="1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" fillId="0" borderId="0" xfId="0" applyFont="1" applyFill="1"/>
    <xf numFmtId="0" fontId="2" fillId="0" borderId="8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0" fillId="0" borderId="0" xfId="0" applyNumberFormat="1" applyFill="1"/>
    <xf numFmtId="0" fontId="2" fillId="0" borderId="2" xfId="1" applyFont="1" applyFill="1" applyBorder="1" applyAlignment="1">
      <alignment wrapText="1"/>
    </xf>
    <xf numFmtId="0" fontId="2" fillId="0" borderId="13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0" fillId="0" borderId="0" xfId="0"/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165" fontId="0" fillId="0" borderId="0" xfId="0" applyNumberFormat="1" applyFill="1"/>
    <xf numFmtId="0" fontId="2" fillId="0" borderId="11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/>
    <xf numFmtId="0" fontId="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49" fontId="2" fillId="0" borderId="8" xfId="1" applyNumberFormat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42" fillId="0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NumberFormat="1" applyFill="1"/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5" fontId="13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0" fontId="33" fillId="0" borderId="0" xfId="0" applyNumberFormat="1" applyFont="1" applyFill="1"/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5" fontId="17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8"/>
  <sheetViews>
    <sheetView view="pageBreakPreview" zoomScale="75" zoomScaleNormal="95" zoomScaleSheetLayoutView="75" workbookViewId="0">
      <selection activeCell="B9" sqref="B9"/>
    </sheetView>
  </sheetViews>
  <sheetFormatPr defaultRowHeight="15" x14ac:dyDescent="0.25"/>
  <cols>
    <col min="1" max="1" width="25.140625" style="129" customWidth="1"/>
    <col min="2" max="2" width="77.5703125" style="129" customWidth="1"/>
    <col min="3" max="3" width="14.28515625" style="129" customWidth="1"/>
    <col min="4" max="4" width="17.28515625" style="129" customWidth="1"/>
    <col min="5" max="5" width="12.85546875" style="129" customWidth="1"/>
    <col min="6" max="6" width="15" style="129" customWidth="1"/>
    <col min="7" max="7" width="15.85546875" style="129" customWidth="1"/>
    <col min="8" max="8" width="9.140625" style="129"/>
    <col min="9" max="9" width="17" style="129" customWidth="1"/>
    <col min="10" max="16384" width="9.140625" style="129"/>
  </cols>
  <sheetData>
    <row r="1" spans="1:7" ht="15.75" x14ac:dyDescent="0.25">
      <c r="C1" s="130"/>
      <c r="D1" s="372" t="s">
        <v>0</v>
      </c>
    </row>
    <row r="2" spans="1:7" ht="15.75" x14ac:dyDescent="0.25">
      <c r="C2" s="130"/>
      <c r="D2" s="373" t="s">
        <v>1585</v>
      </c>
    </row>
    <row r="3" spans="1:7" ht="15.75" x14ac:dyDescent="0.25">
      <c r="B3" s="131"/>
      <c r="C3" s="130"/>
      <c r="D3" s="373" t="s">
        <v>1586</v>
      </c>
    </row>
    <row r="4" spans="1:7" ht="15.75" x14ac:dyDescent="0.25">
      <c r="B4" s="131"/>
      <c r="C4" s="130"/>
      <c r="D4" s="373" t="s">
        <v>1587</v>
      </c>
    </row>
    <row r="5" spans="1:7" ht="15.75" x14ac:dyDescent="0.25">
      <c r="A5" s="397"/>
      <c r="B5" s="397"/>
      <c r="C5" s="397"/>
      <c r="D5" s="373" t="s">
        <v>1625</v>
      </c>
    </row>
    <row r="6" spans="1:7" ht="15.75" x14ac:dyDescent="0.25">
      <c r="A6" s="367"/>
      <c r="B6" s="367"/>
      <c r="C6" s="367"/>
      <c r="D6" s="373"/>
    </row>
    <row r="7" spans="1:7" ht="15.75" x14ac:dyDescent="0.25">
      <c r="A7" s="397" t="s">
        <v>1588</v>
      </c>
      <c r="B7" s="397"/>
      <c r="C7" s="397"/>
      <c r="D7" s="397"/>
      <c r="E7" s="397"/>
    </row>
    <row r="8" spans="1:7" ht="15.75" x14ac:dyDescent="0.25">
      <c r="A8" s="132"/>
      <c r="B8" s="132"/>
      <c r="C8" s="241"/>
      <c r="D8" s="241"/>
      <c r="E8" s="241"/>
    </row>
    <row r="9" spans="1:7" ht="60" x14ac:dyDescent="0.25">
      <c r="A9" s="133" t="s">
        <v>3</v>
      </c>
      <c r="B9" s="134" t="s">
        <v>4</v>
      </c>
      <c r="C9" s="180" t="s">
        <v>1584</v>
      </c>
      <c r="D9" s="180" t="s">
        <v>1582</v>
      </c>
      <c r="E9" s="180" t="s">
        <v>1583</v>
      </c>
    </row>
    <row r="10" spans="1:7" ht="18.75" x14ac:dyDescent="0.25">
      <c r="A10" s="135" t="s">
        <v>6</v>
      </c>
      <c r="B10" s="136" t="s">
        <v>7</v>
      </c>
      <c r="C10" s="189">
        <f>C11+C17+C22+C33+C41+C46+C52+C59+C64+C69+C77</f>
        <v>299982.8</v>
      </c>
      <c r="D10" s="189">
        <f>D11+D17+D22+D33+D41+D46+D52+D59+D64+D69+D77+D85</f>
        <v>226857.16006000002</v>
      </c>
      <c r="E10" s="189">
        <f>D10/C10*100</f>
        <v>75.623389094308081</v>
      </c>
      <c r="G10" s="116"/>
    </row>
    <row r="11" spans="1:7" ht="18.75" x14ac:dyDescent="0.25">
      <c r="A11" s="137" t="s">
        <v>8</v>
      </c>
      <c r="B11" s="136" t="s">
        <v>9</v>
      </c>
      <c r="C11" s="189">
        <f>C12</f>
        <v>216383.8</v>
      </c>
      <c r="D11" s="189">
        <f t="shared" ref="D11" si="0">D12</f>
        <v>159860.78500000003</v>
      </c>
      <c r="E11" s="189">
        <f t="shared" ref="E11:E79" si="1">D11/C11*100</f>
        <v>73.878351798979423</v>
      </c>
      <c r="F11" s="116"/>
      <c r="G11" s="116"/>
    </row>
    <row r="12" spans="1:7" ht="18.75" x14ac:dyDescent="0.25">
      <c r="A12" s="138" t="s">
        <v>10</v>
      </c>
      <c r="B12" s="139" t="s">
        <v>11</v>
      </c>
      <c r="C12" s="189">
        <f>SUM(C13:C16)</f>
        <v>216383.8</v>
      </c>
      <c r="D12" s="189">
        <f t="shared" ref="D12" si="2">SUM(D13:D16)</f>
        <v>159860.78500000003</v>
      </c>
      <c r="E12" s="189">
        <f t="shared" si="1"/>
        <v>73.878351798979423</v>
      </c>
      <c r="F12" s="116"/>
      <c r="G12" s="116"/>
    </row>
    <row r="13" spans="1:7" ht="63" x14ac:dyDescent="0.25">
      <c r="A13" s="212" t="s">
        <v>12</v>
      </c>
      <c r="B13" s="140" t="s">
        <v>13</v>
      </c>
      <c r="C13" s="190">
        <f>217809-2062</f>
        <v>215747</v>
      </c>
      <c r="D13" s="190">
        <v>153693</v>
      </c>
      <c r="E13" s="190">
        <f t="shared" si="1"/>
        <v>71.237607011916737</v>
      </c>
    </row>
    <row r="14" spans="1:7" ht="94.5" x14ac:dyDescent="0.25">
      <c r="A14" s="212" t="s">
        <v>14</v>
      </c>
      <c r="B14" s="141" t="s">
        <v>15</v>
      </c>
      <c r="C14" s="190">
        <v>18.3</v>
      </c>
      <c r="D14" s="190">
        <v>-15.115</v>
      </c>
      <c r="E14" s="190">
        <f t="shared" si="1"/>
        <v>-82.595628415300553</v>
      </c>
    </row>
    <row r="15" spans="1:7" ht="36.75" customHeight="1" x14ac:dyDescent="0.25">
      <c r="A15" s="212" t="s">
        <v>16</v>
      </c>
      <c r="B15" s="141" t="s">
        <v>17</v>
      </c>
      <c r="C15" s="190">
        <v>595.9</v>
      </c>
      <c r="D15" s="190">
        <v>5972.2</v>
      </c>
      <c r="E15" s="190">
        <f t="shared" si="1"/>
        <v>1002.2151367679141</v>
      </c>
    </row>
    <row r="16" spans="1:7" ht="78.75" x14ac:dyDescent="0.25">
      <c r="A16" s="212" t="s">
        <v>18</v>
      </c>
      <c r="B16" s="141" t="s">
        <v>19</v>
      </c>
      <c r="C16" s="190">
        <v>22.6</v>
      </c>
      <c r="D16" s="190">
        <v>210.7</v>
      </c>
      <c r="E16" s="190">
        <f t="shared" si="1"/>
        <v>932.30088495575205</v>
      </c>
    </row>
    <row r="17" spans="1:5" ht="31.5" x14ac:dyDescent="0.25">
      <c r="A17" s="142" t="s">
        <v>20</v>
      </c>
      <c r="B17" s="143" t="s">
        <v>21</v>
      </c>
      <c r="C17" s="189">
        <f t="shared" ref="C17:D17" si="3">C18</f>
        <v>3446</v>
      </c>
      <c r="D17" s="189">
        <f t="shared" si="3"/>
        <v>2274.1030000000001</v>
      </c>
      <c r="E17" s="189">
        <f t="shared" si="1"/>
        <v>65.992542077771333</v>
      </c>
    </row>
    <row r="18" spans="1:5" ht="31.5" x14ac:dyDescent="0.25">
      <c r="A18" s="187" t="s">
        <v>22</v>
      </c>
      <c r="B18" s="188" t="s">
        <v>23</v>
      </c>
      <c r="C18" s="189">
        <f t="shared" ref="C18:D18" si="4">SUM(C19:C21)</f>
        <v>3446</v>
      </c>
      <c r="D18" s="189">
        <f t="shared" si="4"/>
        <v>2274.1030000000001</v>
      </c>
      <c r="E18" s="189">
        <f t="shared" si="1"/>
        <v>65.992542077771333</v>
      </c>
    </row>
    <row r="19" spans="1:5" ht="63" x14ac:dyDescent="0.25">
      <c r="A19" s="144" t="s">
        <v>24</v>
      </c>
      <c r="B19" s="141" t="s">
        <v>25</v>
      </c>
      <c r="C19" s="190">
        <v>1579</v>
      </c>
      <c r="D19" s="190">
        <v>1060.204</v>
      </c>
      <c r="E19" s="190">
        <f t="shared" si="1"/>
        <v>67.144015199493339</v>
      </c>
    </row>
    <row r="20" spans="1:5" ht="78.75" x14ac:dyDescent="0.25">
      <c r="A20" s="368" t="s">
        <v>26</v>
      </c>
      <c r="B20" s="141" t="s">
        <v>27</v>
      </c>
      <c r="C20" s="190">
        <v>9</v>
      </c>
      <c r="D20" s="190">
        <v>7.319</v>
      </c>
      <c r="E20" s="190">
        <f t="shared" si="1"/>
        <v>81.322222222222223</v>
      </c>
    </row>
    <row r="21" spans="1:5" ht="63" x14ac:dyDescent="0.25">
      <c r="A21" s="368" t="s">
        <v>28</v>
      </c>
      <c r="B21" s="141" t="s">
        <v>29</v>
      </c>
      <c r="C21" s="298">
        <v>1858</v>
      </c>
      <c r="D21" s="298">
        <f>1413.667-207.087</f>
        <v>1206.58</v>
      </c>
      <c r="E21" s="190">
        <f t="shared" si="1"/>
        <v>64.93972012917115</v>
      </c>
    </row>
    <row r="22" spans="1:5" ht="18.75" x14ac:dyDescent="0.25">
      <c r="A22" s="138" t="s">
        <v>30</v>
      </c>
      <c r="B22" s="139" t="s">
        <v>31</v>
      </c>
      <c r="C22" s="189">
        <f>SUM(C23+C28+C31)</f>
        <v>24666</v>
      </c>
      <c r="D22" s="189">
        <f t="shared" ref="D22" si="5">SUM(D23+D28+D31)</f>
        <v>15944.981810000001</v>
      </c>
      <c r="E22" s="189">
        <f t="shared" si="1"/>
        <v>64.64356527203438</v>
      </c>
    </row>
    <row r="23" spans="1:5" ht="31.5" x14ac:dyDescent="0.25">
      <c r="A23" s="135" t="s">
        <v>32</v>
      </c>
      <c r="B23" s="139" t="s">
        <v>33</v>
      </c>
      <c r="C23" s="189">
        <f>C24+C26</f>
        <v>14478</v>
      </c>
      <c r="D23" s="189">
        <f t="shared" ref="D23" si="6">D24+D26</f>
        <v>9762.8610000000008</v>
      </c>
      <c r="E23" s="189">
        <f t="shared" si="1"/>
        <v>67.432387070037308</v>
      </c>
    </row>
    <row r="24" spans="1:5" ht="31.5" x14ac:dyDescent="0.25">
      <c r="A24" s="135" t="s">
        <v>1322</v>
      </c>
      <c r="B24" s="219" t="s">
        <v>35</v>
      </c>
      <c r="C24" s="189">
        <f>C25</f>
        <v>7239</v>
      </c>
      <c r="D24" s="189">
        <f t="shared" ref="D24" si="7">D25</f>
        <v>6514.5150000000003</v>
      </c>
      <c r="E24" s="189">
        <f t="shared" si="1"/>
        <v>89.991918773311227</v>
      </c>
    </row>
    <row r="25" spans="1:5" ht="31.5" x14ac:dyDescent="0.25">
      <c r="A25" s="133" t="s">
        <v>34</v>
      </c>
      <c r="B25" s="99" t="s">
        <v>35</v>
      </c>
      <c r="C25" s="190">
        <f>14478/2</f>
        <v>7239</v>
      </c>
      <c r="D25" s="190">
        <v>6514.5150000000003</v>
      </c>
      <c r="E25" s="190">
        <f t="shared" si="1"/>
        <v>89.991918773311227</v>
      </c>
    </row>
    <row r="26" spans="1:5" ht="36.75" customHeight="1" x14ac:dyDescent="0.25">
      <c r="A26" s="135" t="s">
        <v>1321</v>
      </c>
      <c r="B26" s="259" t="s">
        <v>1320</v>
      </c>
      <c r="C26" s="189">
        <f>C27</f>
        <v>7239</v>
      </c>
      <c r="D26" s="189">
        <f t="shared" ref="D26" si="8">D27</f>
        <v>3248.346</v>
      </c>
      <c r="E26" s="189">
        <f t="shared" si="1"/>
        <v>44.872855366763368</v>
      </c>
    </row>
    <row r="27" spans="1:5" ht="63" x14ac:dyDescent="0.25">
      <c r="A27" s="133" t="s">
        <v>36</v>
      </c>
      <c r="B27" s="145" t="s">
        <v>37</v>
      </c>
      <c r="C27" s="190">
        <v>7239</v>
      </c>
      <c r="D27" s="190">
        <v>3248.346</v>
      </c>
      <c r="E27" s="190">
        <f t="shared" si="1"/>
        <v>44.872855366763368</v>
      </c>
    </row>
    <row r="28" spans="1:5" ht="18.75" x14ac:dyDescent="0.25">
      <c r="A28" s="135" t="s">
        <v>38</v>
      </c>
      <c r="B28" s="148" t="s">
        <v>39</v>
      </c>
      <c r="C28" s="189">
        <f t="shared" ref="C28" si="9">SUM(C29:C29)</f>
        <v>9841</v>
      </c>
      <c r="D28" s="189">
        <f>SUM(D29:D30)</f>
        <v>5782.6738100000002</v>
      </c>
      <c r="E28" s="189">
        <f t="shared" si="1"/>
        <v>58.761038613962</v>
      </c>
    </row>
    <row r="29" spans="1:5" ht="18.75" x14ac:dyDescent="0.25">
      <c r="A29" s="212" t="s">
        <v>40</v>
      </c>
      <c r="B29" s="140" t="s">
        <v>39</v>
      </c>
      <c r="C29" s="190">
        <v>9841</v>
      </c>
      <c r="D29" s="190">
        <v>5783.1</v>
      </c>
      <c r="E29" s="190">
        <f t="shared" si="1"/>
        <v>58.765369373031199</v>
      </c>
    </row>
    <row r="30" spans="1:5" s="382" customFormat="1" ht="18.75" x14ac:dyDescent="0.25">
      <c r="A30" s="392"/>
      <c r="B30" s="378"/>
      <c r="C30" s="390">
        <v>0</v>
      </c>
      <c r="D30" s="390">
        <v>-0.42619000000000001</v>
      </c>
      <c r="E30" s="390"/>
    </row>
    <row r="31" spans="1:5" ht="31.5" x14ac:dyDescent="0.25">
      <c r="A31" s="135" t="s">
        <v>1335</v>
      </c>
      <c r="B31" s="146" t="s">
        <v>1323</v>
      </c>
      <c r="C31" s="189">
        <f>C32</f>
        <v>347</v>
      </c>
      <c r="D31" s="189">
        <f t="shared" ref="D31" si="10">D32</f>
        <v>399.447</v>
      </c>
      <c r="E31" s="189">
        <f t="shared" si="1"/>
        <v>115.11440922190201</v>
      </c>
    </row>
    <row r="32" spans="1:5" ht="31.5" x14ac:dyDescent="0.25">
      <c r="A32" s="133" t="s">
        <v>41</v>
      </c>
      <c r="B32" s="250" t="s">
        <v>42</v>
      </c>
      <c r="C32" s="190">
        <v>347</v>
      </c>
      <c r="D32" s="190">
        <v>399.447</v>
      </c>
      <c r="E32" s="190">
        <f t="shared" si="1"/>
        <v>115.11440922190201</v>
      </c>
    </row>
    <row r="33" spans="1:5" ht="18.75" x14ac:dyDescent="0.25">
      <c r="A33" s="138" t="s">
        <v>43</v>
      </c>
      <c r="B33" s="139" t="s">
        <v>44</v>
      </c>
      <c r="C33" s="189">
        <f t="shared" ref="C33:D33" si="11">C34+C36</f>
        <v>1144</v>
      </c>
      <c r="D33" s="189">
        <f t="shared" si="11"/>
        <v>696.91599999999994</v>
      </c>
      <c r="E33" s="189">
        <f t="shared" si="1"/>
        <v>60.919230769230758</v>
      </c>
    </row>
    <row r="34" spans="1:5" ht="18.75" x14ac:dyDescent="0.25">
      <c r="A34" s="138" t="s">
        <v>45</v>
      </c>
      <c r="B34" s="139" t="s">
        <v>46</v>
      </c>
      <c r="C34" s="189">
        <f t="shared" ref="C34:D34" si="12">C35</f>
        <v>811</v>
      </c>
      <c r="D34" s="189">
        <f t="shared" si="12"/>
        <v>235.50299999999999</v>
      </c>
      <c r="E34" s="189">
        <f t="shared" si="1"/>
        <v>29.038594327990136</v>
      </c>
    </row>
    <row r="35" spans="1:5" ht="38.25" customHeight="1" x14ac:dyDescent="0.25">
      <c r="A35" s="212" t="s">
        <v>47</v>
      </c>
      <c r="B35" s="145" t="s">
        <v>48</v>
      </c>
      <c r="C35" s="190">
        <v>811</v>
      </c>
      <c r="D35" s="190">
        <v>235.50299999999999</v>
      </c>
      <c r="E35" s="190">
        <f t="shared" si="1"/>
        <v>29.038594327990136</v>
      </c>
    </row>
    <row r="36" spans="1:5" ht="18.75" x14ac:dyDescent="0.25">
      <c r="A36" s="138" t="s">
        <v>49</v>
      </c>
      <c r="B36" s="139" t="s">
        <v>50</v>
      </c>
      <c r="C36" s="189">
        <f>C37+C39</f>
        <v>333</v>
      </c>
      <c r="D36" s="189">
        <f t="shared" ref="D36" si="13">D37+D39</f>
        <v>461.41299999999995</v>
      </c>
      <c r="E36" s="189">
        <f t="shared" si="1"/>
        <v>138.56246246246243</v>
      </c>
    </row>
    <row r="37" spans="1:5" ht="18.75" x14ac:dyDescent="0.25">
      <c r="A37" s="138" t="s">
        <v>1337</v>
      </c>
      <c r="B37" s="139" t="s">
        <v>1336</v>
      </c>
      <c r="C37" s="189">
        <f>C38</f>
        <v>178</v>
      </c>
      <c r="D37" s="189">
        <f t="shared" ref="D37" si="14">D38</f>
        <v>431.01299999999998</v>
      </c>
      <c r="E37" s="189">
        <f t="shared" si="1"/>
        <v>242.14213483146065</v>
      </c>
    </row>
    <row r="38" spans="1:5" ht="31.5" x14ac:dyDescent="0.25">
      <c r="A38" s="212" t="s">
        <v>51</v>
      </c>
      <c r="B38" s="145" t="s">
        <v>52</v>
      </c>
      <c r="C38" s="190">
        <v>178</v>
      </c>
      <c r="D38" s="190">
        <v>431.01299999999998</v>
      </c>
      <c r="E38" s="190">
        <f t="shared" si="1"/>
        <v>242.14213483146065</v>
      </c>
    </row>
    <row r="39" spans="1:5" ht="18.75" x14ac:dyDescent="0.25">
      <c r="A39" s="138" t="s">
        <v>1339</v>
      </c>
      <c r="B39" s="139" t="s">
        <v>1338</v>
      </c>
      <c r="C39" s="189">
        <f>C40</f>
        <v>155</v>
      </c>
      <c r="D39" s="189">
        <f t="shared" ref="D39" si="15">D40</f>
        <v>30.4</v>
      </c>
      <c r="E39" s="189">
        <f t="shared" si="1"/>
        <v>19.612903225806448</v>
      </c>
    </row>
    <row r="40" spans="1:5" ht="31.5" x14ac:dyDescent="0.25">
      <c r="A40" s="212" t="s">
        <v>53</v>
      </c>
      <c r="B40" s="145" t="s">
        <v>54</v>
      </c>
      <c r="C40" s="190">
        <v>155</v>
      </c>
      <c r="D40" s="190">
        <v>30.4</v>
      </c>
      <c r="E40" s="190">
        <f t="shared" si="1"/>
        <v>19.612903225806448</v>
      </c>
    </row>
    <row r="41" spans="1:5" ht="18.75" x14ac:dyDescent="0.25">
      <c r="A41" s="138" t="s">
        <v>55</v>
      </c>
      <c r="B41" s="139" t="s">
        <v>56</v>
      </c>
      <c r="C41" s="189">
        <f>C42+C44</f>
        <v>1474</v>
      </c>
      <c r="D41" s="189">
        <f>D42+D44</f>
        <v>892.2</v>
      </c>
      <c r="E41" s="189">
        <f t="shared" si="1"/>
        <v>60.529172320217093</v>
      </c>
    </row>
    <row r="42" spans="1:5" ht="31.5" x14ac:dyDescent="0.25">
      <c r="A42" s="138" t="s">
        <v>57</v>
      </c>
      <c r="B42" s="139" t="s">
        <v>58</v>
      </c>
      <c r="C42" s="189">
        <f t="shared" ref="C42" si="16">C43</f>
        <v>1474</v>
      </c>
      <c r="D42" s="189">
        <f>D43</f>
        <v>882.2</v>
      </c>
      <c r="E42" s="189">
        <f t="shared" si="1"/>
        <v>59.850746268656721</v>
      </c>
    </row>
    <row r="43" spans="1:5" ht="47.25" x14ac:dyDescent="0.25">
      <c r="A43" s="212" t="s">
        <v>59</v>
      </c>
      <c r="B43" s="140" t="s">
        <v>60</v>
      </c>
      <c r="C43" s="190">
        <v>1474</v>
      </c>
      <c r="D43" s="190">
        <v>882.2</v>
      </c>
      <c r="E43" s="190">
        <f t="shared" si="1"/>
        <v>59.850746268656721</v>
      </c>
    </row>
    <row r="44" spans="1:5" s="391" customFormat="1" ht="33.75" customHeight="1" x14ac:dyDescent="0.25">
      <c r="A44" s="383" t="s">
        <v>1616</v>
      </c>
      <c r="B44" s="385" t="s">
        <v>1615</v>
      </c>
      <c r="C44" s="389">
        <f>C45</f>
        <v>0</v>
      </c>
      <c r="D44" s="389">
        <f>D45</f>
        <v>10</v>
      </c>
      <c r="E44" s="390" t="s">
        <v>1600</v>
      </c>
    </row>
    <row r="45" spans="1:5" s="382" customFormat="1" ht="31.5" x14ac:dyDescent="0.25">
      <c r="A45" s="392" t="s">
        <v>1617</v>
      </c>
      <c r="B45" s="384" t="s">
        <v>1618</v>
      </c>
      <c r="C45" s="390">
        <v>0</v>
      </c>
      <c r="D45" s="390">
        <v>10</v>
      </c>
      <c r="E45" s="390" t="s">
        <v>1600</v>
      </c>
    </row>
    <row r="46" spans="1:5" ht="31.5" x14ac:dyDescent="0.25">
      <c r="A46" s="138" t="s">
        <v>61</v>
      </c>
      <c r="B46" s="147" t="s">
        <v>62</v>
      </c>
      <c r="C46" s="189">
        <f t="shared" ref="C46:D46" si="17">C47</f>
        <v>43000</v>
      </c>
      <c r="D46" s="189">
        <f t="shared" si="17"/>
        <v>32846.604999999996</v>
      </c>
      <c r="E46" s="189">
        <f t="shared" si="1"/>
        <v>76.387453488372074</v>
      </c>
    </row>
    <row r="47" spans="1:5" ht="78.75" x14ac:dyDescent="0.25">
      <c r="A47" s="138" t="s">
        <v>63</v>
      </c>
      <c r="B47" s="147" t="s">
        <v>64</v>
      </c>
      <c r="C47" s="189">
        <f t="shared" ref="C47:D47" si="18">C48+C50</f>
        <v>43000</v>
      </c>
      <c r="D47" s="189">
        <f t="shared" si="18"/>
        <v>32846.604999999996</v>
      </c>
      <c r="E47" s="189">
        <f t="shared" si="1"/>
        <v>76.387453488372074</v>
      </c>
    </row>
    <row r="48" spans="1:5" ht="63" x14ac:dyDescent="0.25">
      <c r="A48" s="138" t="s">
        <v>65</v>
      </c>
      <c r="B48" s="139" t="s">
        <v>66</v>
      </c>
      <c r="C48" s="189">
        <f t="shared" ref="C48:D48" si="19">C49</f>
        <v>38000</v>
      </c>
      <c r="D48" s="189">
        <f t="shared" si="19"/>
        <v>30429.1</v>
      </c>
      <c r="E48" s="189">
        <f t="shared" si="1"/>
        <v>80.076578947368418</v>
      </c>
    </row>
    <row r="49" spans="1:5" ht="63" x14ac:dyDescent="0.25">
      <c r="A49" s="212" t="s">
        <v>67</v>
      </c>
      <c r="B49" s="145" t="s">
        <v>68</v>
      </c>
      <c r="C49" s="190">
        <v>38000</v>
      </c>
      <c r="D49" s="190">
        <v>30429.1</v>
      </c>
      <c r="E49" s="190">
        <f t="shared" si="1"/>
        <v>80.076578947368418</v>
      </c>
    </row>
    <row r="50" spans="1:5" ht="31.5" x14ac:dyDescent="0.25">
      <c r="A50" s="138" t="s">
        <v>69</v>
      </c>
      <c r="B50" s="139" t="s">
        <v>70</v>
      </c>
      <c r="C50" s="189">
        <f t="shared" ref="C50:D50" si="20">C51</f>
        <v>5000</v>
      </c>
      <c r="D50" s="189">
        <f t="shared" si="20"/>
        <v>2417.5050000000001</v>
      </c>
      <c r="E50" s="189">
        <f t="shared" si="1"/>
        <v>48.350100000000005</v>
      </c>
    </row>
    <row r="51" spans="1:5" ht="31.5" x14ac:dyDescent="0.25">
      <c r="A51" s="212" t="s">
        <v>71</v>
      </c>
      <c r="B51" s="145" t="s">
        <v>72</v>
      </c>
      <c r="C51" s="190">
        <v>5000</v>
      </c>
      <c r="D51" s="190">
        <v>2417.5050000000001</v>
      </c>
      <c r="E51" s="190">
        <f t="shared" si="1"/>
        <v>48.350100000000005</v>
      </c>
    </row>
    <row r="52" spans="1:5" ht="18.75" x14ac:dyDescent="0.25">
      <c r="A52" s="138" t="s">
        <v>73</v>
      </c>
      <c r="B52" s="147" t="s">
        <v>74</v>
      </c>
      <c r="C52" s="189">
        <f t="shared" ref="C52:D52" si="21">SUM(C53)</f>
        <v>3826</v>
      </c>
      <c r="D52" s="189">
        <f t="shared" si="21"/>
        <v>3930.3532500000001</v>
      </c>
      <c r="E52" s="189">
        <f t="shared" si="1"/>
        <v>102.7274764767381</v>
      </c>
    </row>
    <row r="53" spans="1:5" ht="18.75" x14ac:dyDescent="0.25">
      <c r="A53" s="138" t="s">
        <v>75</v>
      </c>
      <c r="B53" s="147" t="s">
        <v>76</v>
      </c>
      <c r="C53" s="189">
        <f>C54+C55+C56</f>
        <v>3826</v>
      </c>
      <c r="D53" s="189">
        <f t="shared" ref="D53" si="22">D54+D55+D56</f>
        <v>3930.3532500000001</v>
      </c>
      <c r="E53" s="189">
        <f t="shared" si="1"/>
        <v>102.7274764767381</v>
      </c>
    </row>
    <row r="54" spans="1:5" ht="31.5" x14ac:dyDescent="0.25">
      <c r="A54" s="138" t="s">
        <v>77</v>
      </c>
      <c r="B54" s="147" t="s">
        <v>78</v>
      </c>
      <c r="C54" s="189">
        <f>517.9-487.9</f>
        <v>30</v>
      </c>
      <c r="D54" s="189">
        <v>30.632999999999999</v>
      </c>
      <c r="E54" s="190">
        <f t="shared" si="1"/>
        <v>102.10999999999999</v>
      </c>
    </row>
    <row r="55" spans="1:5" ht="18.75" x14ac:dyDescent="0.25">
      <c r="A55" s="138" t="s">
        <v>79</v>
      </c>
      <c r="B55" s="147" t="s">
        <v>80</v>
      </c>
      <c r="C55" s="189">
        <f>1.1+218.9</f>
        <v>220</v>
      </c>
      <c r="D55" s="189">
        <v>39.506</v>
      </c>
      <c r="E55" s="190">
        <f t="shared" si="1"/>
        <v>17.957272727272727</v>
      </c>
    </row>
    <row r="56" spans="1:5" ht="31.5" x14ac:dyDescent="0.25">
      <c r="A56" s="138" t="s">
        <v>1324</v>
      </c>
      <c r="B56" s="249" t="s">
        <v>1325</v>
      </c>
      <c r="C56" s="189">
        <f>C57+C58</f>
        <v>3576</v>
      </c>
      <c r="D56" s="189">
        <f t="shared" ref="D56" si="23">D57+D58</f>
        <v>3860.21425</v>
      </c>
      <c r="E56" s="189">
        <f t="shared" si="1"/>
        <v>107.94782578299775</v>
      </c>
    </row>
    <row r="57" spans="1:5" ht="18.75" x14ac:dyDescent="0.25">
      <c r="A57" s="212" t="s">
        <v>826</v>
      </c>
      <c r="B57" s="140" t="s">
        <v>827</v>
      </c>
      <c r="C57" s="190">
        <f>1060.8+2389.2</f>
        <v>3450</v>
      </c>
      <c r="D57" s="190">
        <v>3860.3220000000001</v>
      </c>
      <c r="E57" s="190">
        <f t="shared" si="1"/>
        <v>111.89339130434783</v>
      </c>
    </row>
    <row r="58" spans="1:5" ht="18.75" x14ac:dyDescent="0.25">
      <c r="A58" s="212" t="s">
        <v>828</v>
      </c>
      <c r="B58" s="140" t="s">
        <v>829</v>
      </c>
      <c r="C58" s="190">
        <f>156-30</f>
        <v>126</v>
      </c>
      <c r="D58" s="190">
        <f>-107.75/1000</f>
        <v>-0.10775</v>
      </c>
      <c r="E58" s="190">
        <f t="shared" si="1"/>
        <v>-8.5515873015873003E-2</v>
      </c>
    </row>
    <row r="59" spans="1:5" ht="31.5" x14ac:dyDescent="0.25">
      <c r="A59" s="138" t="s">
        <v>81</v>
      </c>
      <c r="B59" s="147" t="s">
        <v>82</v>
      </c>
      <c r="C59" s="189">
        <f>C61</f>
        <v>1500</v>
      </c>
      <c r="D59" s="189">
        <f>D60+D62</f>
        <v>1250.2</v>
      </c>
      <c r="E59" s="189">
        <f t="shared" si="1"/>
        <v>83.346666666666664</v>
      </c>
    </row>
    <row r="60" spans="1:5" ht="18.75" x14ac:dyDescent="0.25">
      <c r="A60" s="138" t="s">
        <v>83</v>
      </c>
      <c r="B60" s="147" t="s">
        <v>84</v>
      </c>
      <c r="C60" s="189">
        <f>C61</f>
        <v>1500</v>
      </c>
      <c r="D60" s="189">
        <f>D61</f>
        <v>958</v>
      </c>
      <c r="E60" s="189">
        <f t="shared" si="1"/>
        <v>63.866666666666674</v>
      </c>
    </row>
    <row r="61" spans="1:5" ht="31.5" x14ac:dyDescent="0.25">
      <c r="A61" s="212" t="s">
        <v>85</v>
      </c>
      <c r="B61" s="140" t="s">
        <v>86</v>
      </c>
      <c r="C61" s="190">
        <f>842+658</f>
        <v>1500</v>
      </c>
      <c r="D61" s="190">
        <v>958</v>
      </c>
      <c r="E61" s="190">
        <f t="shared" si="1"/>
        <v>63.866666666666674</v>
      </c>
    </row>
    <row r="62" spans="1:5" s="391" customFormat="1" ht="22.5" customHeight="1" x14ac:dyDescent="0.25">
      <c r="A62" s="383" t="s">
        <v>1620</v>
      </c>
      <c r="B62" s="385" t="s">
        <v>1619</v>
      </c>
      <c r="C62" s="389">
        <f>C63</f>
        <v>0</v>
      </c>
      <c r="D62" s="389">
        <f>D63</f>
        <v>292.2</v>
      </c>
      <c r="E62" s="389" t="s">
        <v>1600</v>
      </c>
    </row>
    <row r="63" spans="1:5" s="382" customFormat="1" ht="18.75" x14ac:dyDescent="0.25">
      <c r="A63" s="392" t="s">
        <v>1621</v>
      </c>
      <c r="B63" s="384" t="s">
        <v>1622</v>
      </c>
      <c r="C63" s="390">
        <v>0</v>
      </c>
      <c r="D63" s="390">
        <v>292.2</v>
      </c>
      <c r="E63" s="390" t="s">
        <v>1600</v>
      </c>
    </row>
    <row r="64" spans="1:5" ht="31.5" x14ac:dyDescent="0.25">
      <c r="A64" s="138" t="s">
        <v>87</v>
      </c>
      <c r="B64" s="147" t="s">
        <v>88</v>
      </c>
      <c r="C64" s="189">
        <f t="shared" ref="C64:D64" si="24">SUM(C65+C67)</f>
        <v>4513</v>
      </c>
      <c r="D64" s="189">
        <f t="shared" si="24"/>
        <v>7514.0330000000004</v>
      </c>
      <c r="E64" s="189">
        <f t="shared" si="1"/>
        <v>166.49751828052294</v>
      </c>
    </row>
    <row r="65" spans="1:5" ht="78.75" x14ac:dyDescent="0.25">
      <c r="A65" s="138" t="s">
        <v>89</v>
      </c>
      <c r="B65" s="147" t="s">
        <v>90</v>
      </c>
      <c r="C65" s="189">
        <f t="shared" ref="C65:D65" si="25">C66</f>
        <v>4447</v>
      </c>
      <c r="D65" s="189">
        <f t="shared" si="25"/>
        <v>7446.5330000000004</v>
      </c>
      <c r="E65" s="189">
        <f t="shared" si="1"/>
        <v>167.45070834270294</v>
      </c>
    </row>
    <row r="66" spans="1:5" ht="78.75" x14ac:dyDescent="0.25">
      <c r="A66" s="212" t="s">
        <v>91</v>
      </c>
      <c r="B66" s="140" t="s">
        <v>716</v>
      </c>
      <c r="C66" s="190">
        <f>235+7212-3000</f>
        <v>4447</v>
      </c>
      <c r="D66" s="190">
        <v>7446.5330000000004</v>
      </c>
      <c r="E66" s="190">
        <f t="shared" si="1"/>
        <v>167.45070834270294</v>
      </c>
    </row>
    <row r="67" spans="1:5" ht="31.5" x14ac:dyDescent="0.25">
      <c r="A67" s="138" t="s">
        <v>92</v>
      </c>
      <c r="B67" s="147" t="s">
        <v>93</v>
      </c>
      <c r="C67" s="189">
        <f t="shared" ref="C67:D67" si="26">SUM(C68)</f>
        <v>66</v>
      </c>
      <c r="D67" s="189">
        <f t="shared" si="26"/>
        <v>67.5</v>
      </c>
      <c r="E67" s="189">
        <f t="shared" si="1"/>
        <v>102.27272727272727</v>
      </c>
    </row>
    <row r="68" spans="1:5" ht="47.25" x14ac:dyDescent="0.25">
      <c r="A68" s="212" t="s">
        <v>94</v>
      </c>
      <c r="B68" s="140" t="s">
        <v>95</v>
      </c>
      <c r="C68" s="190">
        <f>1+65</f>
        <v>66</v>
      </c>
      <c r="D68" s="190">
        <v>67.5</v>
      </c>
      <c r="E68" s="190">
        <f t="shared" si="1"/>
        <v>102.27272727272727</v>
      </c>
    </row>
    <row r="69" spans="1:5" ht="18.75" x14ac:dyDescent="0.25">
      <c r="A69" s="138" t="s">
        <v>96</v>
      </c>
      <c r="B69" s="147" t="s">
        <v>97</v>
      </c>
      <c r="C69" s="189">
        <f>C70</f>
        <v>30</v>
      </c>
      <c r="D69" s="189">
        <f>D70+D82</f>
        <v>109.467</v>
      </c>
      <c r="E69" s="189">
        <f t="shared" si="1"/>
        <v>364.89</v>
      </c>
    </row>
    <row r="70" spans="1:5" ht="31.5" x14ac:dyDescent="0.25">
      <c r="A70" s="138" t="s">
        <v>1300</v>
      </c>
      <c r="B70" s="147" t="s">
        <v>98</v>
      </c>
      <c r="C70" s="189">
        <f>C71+C73+C75</f>
        <v>30</v>
      </c>
      <c r="D70" s="189">
        <f>D71+D73+D75+D80</f>
        <v>4.8499999999999996</v>
      </c>
      <c r="E70" s="189">
        <f t="shared" si="1"/>
        <v>16.166666666666664</v>
      </c>
    </row>
    <row r="71" spans="1:5" ht="47.25" x14ac:dyDescent="0.25">
      <c r="A71" s="138" t="s">
        <v>1317</v>
      </c>
      <c r="B71" s="260" t="s">
        <v>1316</v>
      </c>
      <c r="C71" s="189">
        <f>C72</f>
        <v>10</v>
      </c>
      <c r="D71" s="189">
        <f t="shared" ref="D71" si="27">D72</f>
        <v>2.8</v>
      </c>
      <c r="E71" s="189">
        <f t="shared" si="1"/>
        <v>27.999999999999996</v>
      </c>
    </row>
    <row r="72" spans="1:5" ht="63" x14ac:dyDescent="0.25">
      <c r="A72" s="212" t="s">
        <v>1302</v>
      </c>
      <c r="B72" s="261" t="s">
        <v>1311</v>
      </c>
      <c r="C72" s="190">
        <v>10</v>
      </c>
      <c r="D72" s="190">
        <v>2.8</v>
      </c>
      <c r="E72" s="190">
        <f t="shared" si="1"/>
        <v>27.999999999999996</v>
      </c>
    </row>
    <row r="73" spans="1:5" ht="78.75" x14ac:dyDescent="0.25">
      <c r="A73" s="138" t="s">
        <v>1319</v>
      </c>
      <c r="B73" s="260" t="s">
        <v>1318</v>
      </c>
      <c r="C73" s="189">
        <f>C74</f>
        <v>10</v>
      </c>
      <c r="D73" s="189">
        <f t="shared" ref="D73" si="28">D74</f>
        <v>0</v>
      </c>
      <c r="E73" s="189">
        <f t="shared" si="1"/>
        <v>0</v>
      </c>
    </row>
    <row r="74" spans="1:5" ht="94.5" x14ac:dyDescent="0.25">
      <c r="A74" s="212" t="s">
        <v>1301</v>
      </c>
      <c r="B74" s="261" t="s">
        <v>1312</v>
      </c>
      <c r="C74" s="190">
        <v>10</v>
      </c>
      <c r="D74" s="190">
        <v>0</v>
      </c>
      <c r="E74" s="190">
        <f t="shared" si="1"/>
        <v>0</v>
      </c>
    </row>
    <row r="75" spans="1:5" ht="63" x14ac:dyDescent="0.25">
      <c r="A75" s="138" t="s">
        <v>1315</v>
      </c>
      <c r="B75" s="262" t="s">
        <v>1314</v>
      </c>
      <c r="C75" s="189">
        <f>C76</f>
        <v>10</v>
      </c>
      <c r="D75" s="189">
        <f t="shared" ref="D75" si="29">D76</f>
        <v>1.75</v>
      </c>
      <c r="E75" s="189">
        <f t="shared" si="1"/>
        <v>17.5</v>
      </c>
    </row>
    <row r="76" spans="1:5" ht="78.75" x14ac:dyDescent="0.25">
      <c r="A76" s="212" t="s">
        <v>1305</v>
      </c>
      <c r="B76" s="263" t="s">
        <v>1313</v>
      </c>
      <c r="C76" s="190">
        <v>10</v>
      </c>
      <c r="D76" s="190">
        <v>1.75</v>
      </c>
      <c r="E76" s="190">
        <f t="shared" si="1"/>
        <v>17.5</v>
      </c>
    </row>
    <row r="77" spans="1:5" ht="18.75" hidden="1" x14ac:dyDescent="0.25">
      <c r="A77" s="3" t="s">
        <v>1303</v>
      </c>
      <c r="B77" s="186" t="s">
        <v>790</v>
      </c>
      <c r="C77" s="189">
        <f>C78</f>
        <v>0</v>
      </c>
      <c r="D77" s="189">
        <f t="shared" ref="D77" si="30">D78</f>
        <v>0</v>
      </c>
      <c r="E77" s="190" t="e">
        <f t="shared" si="1"/>
        <v>#DIV/0!</v>
      </c>
    </row>
    <row r="78" spans="1:5" ht="18.75" hidden="1" x14ac:dyDescent="0.25">
      <c r="A78" s="3" t="s">
        <v>1304</v>
      </c>
      <c r="B78" s="186" t="s">
        <v>791</v>
      </c>
      <c r="C78" s="189">
        <f t="shared" ref="C78:D78" si="31">SUM(C79)</f>
        <v>0</v>
      </c>
      <c r="D78" s="189">
        <f t="shared" si="31"/>
        <v>0</v>
      </c>
      <c r="E78" s="190" t="e">
        <f t="shared" si="1"/>
        <v>#DIV/0!</v>
      </c>
    </row>
    <row r="79" spans="1:5" ht="18.75" hidden="1" x14ac:dyDescent="0.25">
      <c r="A79" s="2" t="s">
        <v>792</v>
      </c>
      <c r="B79" s="185" t="s">
        <v>793</v>
      </c>
      <c r="C79" s="190">
        <v>0</v>
      </c>
      <c r="D79" s="190">
        <v>0</v>
      </c>
      <c r="E79" s="190" t="e">
        <f t="shared" si="1"/>
        <v>#DIV/0!</v>
      </c>
    </row>
    <row r="80" spans="1:5" s="379" customFormat="1" ht="63" x14ac:dyDescent="0.25">
      <c r="A80" s="386" t="s">
        <v>1624</v>
      </c>
      <c r="B80" s="388" t="s">
        <v>1623</v>
      </c>
      <c r="C80" s="389">
        <v>0</v>
      </c>
      <c r="D80" s="389">
        <v>0.3</v>
      </c>
      <c r="E80" s="389" t="s">
        <v>1600</v>
      </c>
    </row>
    <row r="81" spans="1:7" ht="93.75" customHeight="1" x14ac:dyDescent="0.25">
      <c r="A81" s="2" t="s">
        <v>1603</v>
      </c>
      <c r="B81" s="185" t="s">
        <v>1604</v>
      </c>
      <c r="C81" s="190">
        <v>0</v>
      </c>
      <c r="D81" s="190">
        <v>0.3</v>
      </c>
      <c r="E81" s="190" t="s">
        <v>1600</v>
      </c>
    </row>
    <row r="82" spans="1:7" s="204" customFormat="1" ht="63" x14ac:dyDescent="0.25">
      <c r="A82" s="3" t="s">
        <v>1605</v>
      </c>
      <c r="B82" s="186" t="s">
        <v>1606</v>
      </c>
      <c r="C82" s="189">
        <v>0</v>
      </c>
      <c r="D82" s="189">
        <f>D83+D84</f>
        <v>104.617</v>
      </c>
      <c r="E82" s="189" t="s">
        <v>1600</v>
      </c>
    </row>
    <row r="83" spans="1:7" ht="31.5" x14ac:dyDescent="0.25">
      <c r="A83" s="2" t="s">
        <v>1607</v>
      </c>
      <c r="B83" s="185" t="s">
        <v>1608</v>
      </c>
      <c r="C83" s="190">
        <v>0</v>
      </c>
      <c r="D83" s="190">
        <v>102.2</v>
      </c>
      <c r="E83" s="190" t="s">
        <v>1600</v>
      </c>
    </row>
    <row r="84" spans="1:7" ht="31.5" x14ac:dyDescent="0.25">
      <c r="A84" s="2" t="s">
        <v>1609</v>
      </c>
      <c r="B84" s="185" t="s">
        <v>1610</v>
      </c>
      <c r="C84" s="190">
        <v>0</v>
      </c>
      <c r="D84" s="190">
        <v>2.4169999999999998</v>
      </c>
      <c r="E84" s="190" t="s">
        <v>1600</v>
      </c>
    </row>
    <row r="85" spans="1:7" s="391" customFormat="1" ht="18.75" x14ac:dyDescent="0.25">
      <c r="A85" s="381" t="s">
        <v>1303</v>
      </c>
      <c r="B85" s="388" t="s">
        <v>790</v>
      </c>
      <c r="C85" s="389">
        <v>0</v>
      </c>
      <c r="D85" s="389">
        <f>D86+D88</f>
        <v>1537.5160000000001</v>
      </c>
      <c r="E85" s="389" t="s">
        <v>1600</v>
      </c>
    </row>
    <row r="86" spans="1:7" s="391" customFormat="1" ht="18.75" x14ac:dyDescent="0.25">
      <c r="A86" s="381" t="s">
        <v>1611</v>
      </c>
      <c r="B86" s="388" t="s">
        <v>1612</v>
      </c>
      <c r="C86" s="389">
        <v>0</v>
      </c>
      <c r="D86" s="389">
        <f>D87</f>
        <v>1161.462</v>
      </c>
      <c r="E86" s="389" t="s">
        <v>1600</v>
      </c>
    </row>
    <row r="87" spans="1:7" s="382" customFormat="1" ht="18.75" x14ac:dyDescent="0.25">
      <c r="A87" s="380" t="s">
        <v>1613</v>
      </c>
      <c r="B87" s="387" t="s">
        <v>1614</v>
      </c>
      <c r="C87" s="390">
        <v>0</v>
      </c>
      <c r="D87" s="390">
        <f>1159.821+1.027+0.614</f>
        <v>1161.462</v>
      </c>
      <c r="E87" s="390" t="s">
        <v>1600</v>
      </c>
    </row>
    <row r="88" spans="1:7" s="391" customFormat="1" ht="18.75" x14ac:dyDescent="0.25">
      <c r="A88" s="381" t="s">
        <v>1304</v>
      </c>
      <c r="B88" s="388" t="s">
        <v>791</v>
      </c>
      <c r="C88" s="389">
        <v>0</v>
      </c>
      <c r="D88" s="389">
        <f>D89</f>
        <v>376.05399999999997</v>
      </c>
      <c r="E88" s="389" t="s">
        <v>1600</v>
      </c>
    </row>
    <row r="89" spans="1:7" s="382" customFormat="1" ht="18.75" x14ac:dyDescent="0.25">
      <c r="A89" s="380" t="s">
        <v>792</v>
      </c>
      <c r="B89" s="387" t="s">
        <v>793</v>
      </c>
      <c r="C89" s="390">
        <v>0</v>
      </c>
      <c r="D89" s="390">
        <v>376.05399999999997</v>
      </c>
      <c r="E89" s="390" t="s">
        <v>1600</v>
      </c>
    </row>
    <row r="90" spans="1:7" s="382" customFormat="1" ht="18.75" hidden="1" x14ac:dyDescent="0.25">
      <c r="A90" s="380"/>
      <c r="B90" s="387"/>
      <c r="C90" s="390"/>
      <c r="D90" s="390"/>
      <c r="E90" s="390"/>
    </row>
    <row r="91" spans="1:7" ht="18.75" x14ac:dyDescent="0.25">
      <c r="A91" s="138" t="s">
        <v>99</v>
      </c>
      <c r="B91" s="139" t="s">
        <v>100</v>
      </c>
      <c r="C91" s="189">
        <f>SUM(C92+C168)</f>
        <v>441801.87199999997</v>
      </c>
      <c r="D91" s="189">
        <f>SUM(D92+D168+D174)</f>
        <v>275909.27199999994</v>
      </c>
      <c r="E91" s="189">
        <f t="shared" ref="E91:E154" si="32">D91/C91*100</f>
        <v>62.450906047767937</v>
      </c>
      <c r="F91" s="116"/>
      <c r="G91" s="116"/>
    </row>
    <row r="92" spans="1:7" ht="31.5" x14ac:dyDescent="0.25">
      <c r="A92" s="138" t="s">
        <v>101</v>
      </c>
      <c r="B92" s="139" t="s">
        <v>102</v>
      </c>
      <c r="C92" s="189">
        <f>SUM(C93+C99+C133+C160)</f>
        <v>419601.87199999997</v>
      </c>
      <c r="D92" s="189">
        <f>SUM(D93+D99+D133+D160)</f>
        <v>271666.94199999998</v>
      </c>
      <c r="E92" s="189">
        <f t="shared" si="32"/>
        <v>64.743977595981747</v>
      </c>
      <c r="F92" s="116"/>
    </row>
    <row r="93" spans="1:7" ht="18.75" x14ac:dyDescent="0.25">
      <c r="A93" s="138" t="s">
        <v>856</v>
      </c>
      <c r="B93" s="148" t="s">
        <v>103</v>
      </c>
      <c r="C93" s="189">
        <f>C94+C97</f>
        <v>158425</v>
      </c>
      <c r="D93" s="189">
        <f t="shared" ref="D93" si="33">D94+D97</f>
        <v>92539</v>
      </c>
      <c r="E93" s="189">
        <f t="shared" si="32"/>
        <v>58.411866813949821</v>
      </c>
    </row>
    <row r="94" spans="1:7" ht="18.75" x14ac:dyDescent="0.25">
      <c r="A94" s="138" t="s">
        <v>1343</v>
      </c>
      <c r="B94" s="148" t="s">
        <v>1340</v>
      </c>
      <c r="C94" s="189">
        <f>C95</f>
        <v>158125</v>
      </c>
      <c r="D94" s="189">
        <f t="shared" ref="D94:D95" si="34">D95</f>
        <v>92239</v>
      </c>
      <c r="E94" s="189">
        <f t="shared" si="32"/>
        <v>58.332964426877467</v>
      </c>
    </row>
    <row r="95" spans="1:7" ht="31.5" x14ac:dyDescent="0.25">
      <c r="A95" s="138" t="s">
        <v>855</v>
      </c>
      <c r="B95" s="139" t="s">
        <v>1360</v>
      </c>
      <c r="C95" s="189">
        <f>C96</f>
        <v>158125</v>
      </c>
      <c r="D95" s="189">
        <f t="shared" si="34"/>
        <v>92239</v>
      </c>
      <c r="E95" s="189">
        <f t="shared" si="32"/>
        <v>58.332964426877467</v>
      </c>
    </row>
    <row r="96" spans="1:7" ht="94.5" x14ac:dyDescent="0.25">
      <c r="A96" s="133" t="s">
        <v>855</v>
      </c>
      <c r="B96" s="145" t="s">
        <v>104</v>
      </c>
      <c r="C96" s="190">
        <v>158125</v>
      </c>
      <c r="D96" s="190">
        <v>92239</v>
      </c>
      <c r="E96" s="190">
        <f t="shared" si="32"/>
        <v>58.332964426877467</v>
      </c>
    </row>
    <row r="97" spans="1:6" ht="31.5" x14ac:dyDescent="0.25">
      <c r="A97" s="135" t="s">
        <v>1341</v>
      </c>
      <c r="B97" s="139" t="s">
        <v>1342</v>
      </c>
      <c r="C97" s="189">
        <f>C98</f>
        <v>300</v>
      </c>
      <c r="D97" s="189">
        <f t="shared" ref="D97" si="35">D98</f>
        <v>300</v>
      </c>
      <c r="E97" s="189">
        <f t="shared" si="32"/>
        <v>100</v>
      </c>
    </row>
    <row r="98" spans="1:6" ht="31.5" x14ac:dyDescent="0.25">
      <c r="A98" s="133" t="s">
        <v>1283</v>
      </c>
      <c r="B98" s="145" t="s">
        <v>1284</v>
      </c>
      <c r="C98" s="190">
        <v>300</v>
      </c>
      <c r="D98" s="190">
        <v>300</v>
      </c>
      <c r="E98" s="190">
        <f t="shared" si="32"/>
        <v>100</v>
      </c>
    </row>
    <row r="99" spans="1:6" ht="34.5" customHeight="1" x14ac:dyDescent="0.25">
      <c r="A99" s="138" t="s">
        <v>854</v>
      </c>
      <c r="B99" s="139" t="s">
        <v>106</v>
      </c>
      <c r="C99" s="189">
        <f>C106+C112+C115+C108+C102+C104+C110+C100</f>
        <v>20203.699999999997</v>
      </c>
      <c r="D99" s="189">
        <f>D106+D112+D115+D108+D102+D104+D110+D100</f>
        <v>11416.698</v>
      </c>
      <c r="E99" s="189">
        <f t="shared" si="32"/>
        <v>56.507956463420072</v>
      </c>
      <c r="F99" s="116"/>
    </row>
    <row r="100" spans="1:6" ht="34.5" customHeight="1" x14ac:dyDescent="0.25">
      <c r="A100" s="312" t="s">
        <v>1476</v>
      </c>
      <c r="B100" s="315" t="s">
        <v>1479</v>
      </c>
      <c r="C100" s="281">
        <f>C101</f>
        <v>400</v>
      </c>
      <c r="D100" s="281">
        <f t="shared" ref="D100" si="36">D101</f>
        <v>400</v>
      </c>
      <c r="E100" s="189">
        <f t="shared" si="32"/>
        <v>100</v>
      </c>
      <c r="F100" s="116"/>
    </row>
    <row r="101" spans="1:6" s="149" customFormat="1" ht="51.75" customHeight="1" x14ac:dyDescent="0.25">
      <c r="A101" s="212" t="s">
        <v>1477</v>
      </c>
      <c r="B101" s="317" t="s">
        <v>1478</v>
      </c>
      <c r="C101" s="190">
        <v>400</v>
      </c>
      <c r="D101" s="190">
        <v>400</v>
      </c>
      <c r="E101" s="190">
        <f t="shared" si="32"/>
        <v>100</v>
      </c>
      <c r="F101" s="207"/>
    </row>
    <row r="102" spans="1:6" ht="49.7" customHeight="1" x14ac:dyDescent="0.25">
      <c r="A102" s="313" t="s">
        <v>1381</v>
      </c>
      <c r="B102" s="259" t="s">
        <v>1383</v>
      </c>
      <c r="C102" s="316">
        <f>C103</f>
        <v>1117.0999999999999</v>
      </c>
      <c r="D102" s="316">
        <f t="shared" ref="D102" si="37">D103</f>
        <v>1117.0999999999999</v>
      </c>
      <c r="E102" s="189">
        <f t="shared" si="32"/>
        <v>100</v>
      </c>
      <c r="F102" s="116"/>
    </row>
    <row r="103" spans="1:6" ht="83.25" customHeight="1" x14ac:dyDescent="0.25">
      <c r="A103" s="212" t="s">
        <v>1380</v>
      </c>
      <c r="B103" s="99" t="s">
        <v>1471</v>
      </c>
      <c r="C103" s="190">
        <v>1117.0999999999999</v>
      </c>
      <c r="D103" s="190">
        <v>1117.0999999999999</v>
      </c>
      <c r="E103" s="190">
        <f t="shared" si="32"/>
        <v>100</v>
      </c>
      <c r="F103" s="116"/>
    </row>
    <row r="104" spans="1:6" ht="51.75" customHeight="1" x14ac:dyDescent="0.25">
      <c r="A104" s="138" t="s">
        <v>1384</v>
      </c>
      <c r="B104" s="219" t="s">
        <v>1387</v>
      </c>
      <c r="C104" s="189">
        <f>C105</f>
        <v>1253.5</v>
      </c>
      <c r="D104" s="189">
        <f t="shared" ref="D104" si="38">D105</f>
        <v>1253.4839999999999</v>
      </c>
      <c r="E104" s="189">
        <f t="shared" si="32"/>
        <v>99.998723573992805</v>
      </c>
      <c r="F104" s="116"/>
    </row>
    <row r="105" spans="1:6" ht="105.75" customHeight="1" x14ac:dyDescent="0.25">
      <c r="A105" s="212" t="s">
        <v>1385</v>
      </c>
      <c r="B105" s="99" t="s">
        <v>1474</v>
      </c>
      <c r="C105" s="190">
        <v>1253.5</v>
      </c>
      <c r="D105" s="190">
        <v>1253.4839999999999</v>
      </c>
      <c r="E105" s="190">
        <f t="shared" si="32"/>
        <v>99.998723573992805</v>
      </c>
      <c r="F105" s="116"/>
    </row>
    <row r="106" spans="1:6" ht="36" customHeight="1" x14ac:dyDescent="0.25">
      <c r="A106" s="312" t="s">
        <v>1376</v>
      </c>
      <c r="B106" s="139" t="s">
        <v>1327</v>
      </c>
      <c r="C106" s="189">
        <f t="shared" ref="C106:D106" si="39">SUM(C107)</f>
        <v>140.30000000000001</v>
      </c>
      <c r="D106" s="189">
        <f t="shared" si="39"/>
        <v>0</v>
      </c>
      <c r="E106" s="189">
        <f t="shared" si="32"/>
        <v>0</v>
      </c>
    </row>
    <row r="107" spans="1:6" s="149" customFormat="1" ht="31.5" x14ac:dyDescent="0.25">
      <c r="A107" s="368" t="s">
        <v>1375</v>
      </c>
      <c r="B107" s="145" t="s">
        <v>825</v>
      </c>
      <c r="C107" s="190">
        <v>140.30000000000001</v>
      </c>
      <c r="D107" s="190">
        <v>0</v>
      </c>
      <c r="E107" s="190">
        <f t="shared" si="32"/>
        <v>0</v>
      </c>
    </row>
    <row r="108" spans="1:6" s="149" customFormat="1" ht="65.25" customHeight="1" x14ac:dyDescent="0.25">
      <c r="A108" s="312" t="s">
        <v>1579</v>
      </c>
      <c r="B108" s="148" t="s">
        <v>1578</v>
      </c>
      <c r="C108" s="189">
        <f>C109</f>
        <v>1894.7</v>
      </c>
      <c r="D108" s="189">
        <f t="shared" ref="D108" si="40">D109</f>
        <v>0</v>
      </c>
      <c r="E108" s="189">
        <f t="shared" si="32"/>
        <v>0</v>
      </c>
    </row>
    <row r="109" spans="1:6" s="149" customFormat="1" ht="51" customHeight="1" x14ac:dyDescent="0.25">
      <c r="A109" s="368" t="s">
        <v>1577</v>
      </c>
      <c r="B109" s="280" t="s">
        <v>1576</v>
      </c>
      <c r="C109" s="190">
        <v>1894.7</v>
      </c>
      <c r="D109" s="190">
        <v>0</v>
      </c>
      <c r="E109" s="190">
        <f t="shared" si="32"/>
        <v>0</v>
      </c>
    </row>
    <row r="110" spans="1:6" s="149" customFormat="1" ht="24.75" hidden="1" customHeight="1" x14ac:dyDescent="0.25">
      <c r="A110" s="284" t="s">
        <v>1374</v>
      </c>
      <c r="B110" s="285" t="s">
        <v>1377</v>
      </c>
      <c r="C110" s="189">
        <f>C111</f>
        <v>0</v>
      </c>
      <c r="D110" s="189">
        <f t="shared" ref="D110" si="41">D111</f>
        <v>0</v>
      </c>
      <c r="E110" s="190" t="e">
        <f t="shared" si="32"/>
        <v>#DIV/0!</v>
      </c>
    </row>
    <row r="111" spans="1:6" s="149" customFormat="1" ht="21.75" hidden="1" customHeight="1" x14ac:dyDescent="0.25">
      <c r="A111" s="286" t="s">
        <v>1372</v>
      </c>
      <c r="B111" s="287" t="s">
        <v>1373</v>
      </c>
      <c r="C111" s="190">
        <v>0</v>
      </c>
      <c r="D111" s="190">
        <v>0</v>
      </c>
      <c r="E111" s="190" t="e">
        <f t="shared" si="32"/>
        <v>#DIV/0!</v>
      </c>
    </row>
    <row r="112" spans="1:6" ht="31.5" hidden="1" x14ac:dyDescent="0.25">
      <c r="A112" s="312" t="s">
        <v>1329</v>
      </c>
      <c r="B112" s="139" t="s">
        <v>1330</v>
      </c>
      <c r="C112" s="189">
        <f t="shared" ref="C112:D112" si="42">SUM(C113)</f>
        <v>0</v>
      </c>
      <c r="D112" s="189">
        <f t="shared" si="42"/>
        <v>0</v>
      </c>
      <c r="E112" s="190" t="e">
        <f t="shared" si="32"/>
        <v>#DIV/0!</v>
      </c>
    </row>
    <row r="113" spans="1:9" s="149" customFormat="1" ht="35.450000000000003" hidden="1" customHeight="1" x14ac:dyDescent="0.25">
      <c r="A113" s="368" t="s">
        <v>853</v>
      </c>
      <c r="B113" s="251" t="s">
        <v>1331</v>
      </c>
      <c r="C113" s="190">
        <v>0</v>
      </c>
      <c r="D113" s="190">
        <v>0</v>
      </c>
      <c r="E113" s="190" t="e">
        <f t="shared" si="32"/>
        <v>#DIV/0!</v>
      </c>
    </row>
    <row r="114" spans="1:9" s="204" customFormat="1" ht="18.75" x14ac:dyDescent="0.3">
      <c r="A114" s="312" t="s">
        <v>1333</v>
      </c>
      <c r="B114" s="139" t="s">
        <v>1332</v>
      </c>
      <c r="C114" s="299">
        <f>C115</f>
        <v>15398.099999999999</v>
      </c>
      <c r="D114" s="299">
        <f t="shared" ref="D114" si="43">D115</f>
        <v>8646.1139999999996</v>
      </c>
      <c r="E114" s="189">
        <f t="shared" si="32"/>
        <v>56.150525064780723</v>
      </c>
      <c r="F114" s="205"/>
    </row>
    <row r="115" spans="1:9" s="204" customFormat="1" ht="18.75" x14ac:dyDescent="0.25">
      <c r="A115" s="212" t="s">
        <v>852</v>
      </c>
      <c r="B115" s="145" t="s">
        <v>107</v>
      </c>
      <c r="C115" s="291">
        <f>SUM(C116+C117+C120+C121+C124+C126+C127+C128+C118+C119+C125+C129+C130+C131+C132)</f>
        <v>15398.099999999999</v>
      </c>
      <c r="D115" s="291">
        <f>SUM(D116+D117+D120+D121+D124+D126+D127+D128+D118+D119+D125+D129+D130+D131+D132)</f>
        <v>8646.1139999999996</v>
      </c>
      <c r="E115" s="190">
        <f t="shared" si="32"/>
        <v>56.150525064780723</v>
      </c>
      <c r="F115" s="205"/>
    </row>
    <row r="116" spans="1:9" ht="126.75" hidden="1" customHeight="1" x14ac:dyDescent="0.25">
      <c r="A116" s="398"/>
      <c r="B116" s="145" t="s">
        <v>839</v>
      </c>
      <c r="C116" s="190">
        <v>0</v>
      </c>
      <c r="D116" s="190">
        <v>0</v>
      </c>
      <c r="E116" s="190" t="e">
        <f t="shared" si="32"/>
        <v>#DIV/0!</v>
      </c>
    </row>
    <row r="117" spans="1:9" ht="63" x14ac:dyDescent="0.25">
      <c r="A117" s="399"/>
      <c r="B117" s="140" t="s">
        <v>840</v>
      </c>
      <c r="C117" s="190">
        <v>65.2</v>
      </c>
      <c r="D117" s="190">
        <v>0</v>
      </c>
      <c r="E117" s="190">
        <f t="shared" si="32"/>
        <v>0</v>
      </c>
    </row>
    <row r="118" spans="1:9" ht="115.5" customHeight="1" x14ac:dyDescent="0.25">
      <c r="A118" s="399"/>
      <c r="B118" s="151" t="s">
        <v>1378</v>
      </c>
      <c r="C118" s="288">
        <v>1666.6</v>
      </c>
      <c r="D118" s="288">
        <f>1666.6-915</f>
        <v>751.59999999999991</v>
      </c>
      <c r="E118" s="190">
        <f t="shared" si="32"/>
        <v>45.097803912156479</v>
      </c>
    </row>
    <row r="119" spans="1:9" ht="124.5" customHeight="1" x14ac:dyDescent="0.25">
      <c r="A119" s="399"/>
      <c r="B119" s="279" t="s">
        <v>1379</v>
      </c>
      <c r="C119" s="288">
        <f>500-300</f>
        <v>200</v>
      </c>
      <c r="D119" s="288">
        <v>0</v>
      </c>
      <c r="E119" s="190">
        <f t="shared" si="32"/>
        <v>0</v>
      </c>
    </row>
    <row r="120" spans="1:9" ht="80.45" customHeight="1" x14ac:dyDescent="0.25">
      <c r="A120" s="399"/>
      <c r="B120" s="150" t="s">
        <v>1491</v>
      </c>
      <c r="C120" s="292">
        <f>2220.9+857.9</f>
        <v>3078.8</v>
      </c>
      <c r="D120" s="292">
        <v>2577.5</v>
      </c>
      <c r="E120" s="190">
        <f t="shared" si="32"/>
        <v>83.717682213849542</v>
      </c>
      <c r="F120" s="116"/>
    </row>
    <row r="121" spans="1:9" ht="63" x14ac:dyDescent="0.25">
      <c r="A121" s="399"/>
      <c r="B121" s="151" t="s">
        <v>841</v>
      </c>
      <c r="C121" s="293">
        <f t="shared" ref="C121:D121" si="44">SUM(C122:C123)</f>
        <v>14</v>
      </c>
      <c r="D121" s="293">
        <f t="shared" si="44"/>
        <v>14</v>
      </c>
      <c r="E121" s="190">
        <f t="shared" si="32"/>
        <v>100</v>
      </c>
    </row>
    <row r="122" spans="1:9" s="152" customFormat="1" ht="94.7" customHeight="1" x14ac:dyDescent="0.25">
      <c r="A122" s="399"/>
      <c r="B122" s="264" t="s">
        <v>1533</v>
      </c>
      <c r="C122" s="294">
        <v>0</v>
      </c>
      <c r="D122" s="294">
        <v>0</v>
      </c>
      <c r="E122" s="190" t="s">
        <v>1600</v>
      </c>
      <c r="I122" s="129"/>
    </row>
    <row r="123" spans="1:9" s="152" customFormat="1" ht="110.25" x14ac:dyDescent="0.25">
      <c r="A123" s="399"/>
      <c r="B123" s="168" t="s">
        <v>1532</v>
      </c>
      <c r="C123" s="295">
        <f>25-11</f>
        <v>14</v>
      </c>
      <c r="D123" s="295">
        <v>14</v>
      </c>
      <c r="E123" s="190">
        <f t="shared" si="32"/>
        <v>100</v>
      </c>
      <c r="I123" s="129"/>
    </row>
    <row r="124" spans="1:9" ht="78.75" x14ac:dyDescent="0.25">
      <c r="A124" s="399"/>
      <c r="B124" s="140" t="s">
        <v>1489</v>
      </c>
      <c r="C124" s="190">
        <f>1740-74.8</f>
        <v>1665.2</v>
      </c>
      <c r="D124" s="190">
        <f>1049-12</f>
        <v>1037</v>
      </c>
      <c r="E124" s="190">
        <f t="shared" si="32"/>
        <v>62.274801825606531</v>
      </c>
    </row>
    <row r="125" spans="1:9" ht="78.75" x14ac:dyDescent="0.25">
      <c r="A125" s="399"/>
      <c r="B125" s="140" t="s">
        <v>1502</v>
      </c>
      <c r="C125" s="190">
        <v>74.8</v>
      </c>
      <c r="D125" s="190">
        <v>18</v>
      </c>
      <c r="E125" s="190">
        <f t="shared" si="32"/>
        <v>24.064171122994654</v>
      </c>
    </row>
    <row r="126" spans="1:9" ht="78.75" x14ac:dyDescent="0.25">
      <c r="A126" s="399"/>
      <c r="B126" s="140" t="s">
        <v>842</v>
      </c>
      <c r="C126" s="190">
        <v>255</v>
      </c>
      <c r="D126" s="190">
        <v>81.515000000000001</v>
      </c>
      <c r="E126" s="190">
        <f t="shared" si="32"/>
        <v>31.966666666666665</v>
      </c>
    </row>
    <row r="127" spans="1:9" ht="94.5" x14ac:dyDescent="0.25">
      <c r="A127" s="399"/>
      <c r="B127" s="140" t="s">
        <v>1490</v>
      </c>
      <c r="C127" s="190">
        <f>488.7+8</f>
        <v>496.7</v>
      </c>
      <c r="D127" s="190">
        <v>112.5</v>
      </c>
      <c r="E127" s="190">
        <f t="shared" si="32"/>
        <v>22.649486611636803</v>
      </c>
    </row>
    <row r="128" spans="1:9" s="202" customFormat="1" ht="163.5" customHeight="1" x14ac:dyDescent="0.2">
      <c r="A128" s="399"/>
      <c r="B128" s="198" t="s">
        <v>1492</v>
      </c>
      <c r="C128" s="291">
        <v>166.7</v>
      </c>
      <c r="D128" s="291">
        <v>89</v>
      </c>
      <c r="E128" s="190">
        <f t="shared" si="32"/>
        <v>53.38932213557289</v>
      </c>
    </row>
    <row r="129" spans="1:5" s="202" customFormat="1" ht="99.75" customHeight="1" x14ac:dyDescent="0.2">
      <c r="A129" s="399"/>
      <c r="B129" s="198" t="s">
        <v>1520</v>
      </c>
      <c r="C129" s="291">
        <f>4824.9</f>
        <v>4824.8999999999996</v>
      </c>
      <c r="D129" s="291">
        <v>3964.9989999999998</v>
      </c>
      <c r="E129" s="190">
        <f t="shared" si="32"/>
        <v>82.177848245559488</v>
      </c>
    </row>
    <row r="130" spans="1:5" s="202" customFormat="1" ht="85.5" customHeight="1" x14ac:dyDescent="0.2">
      <c r="A130" s="399"/>
      <c r="B130" s="198" t="s">
        <v>1581</v>
      </c>
      <c r="C130" s="291">
        <v>2275.1999999999998</v>
      </c>
      <c r="D130" s="291">
        <v>0</v>
      </c>
      <c r="E130" s="190">
        <f t="shared" si="32"/>
        <v>0</v>
      </c>
    </row>
    <row r="131" spans="1:5" s="202" customFormat="1" ht="104.25" customHeight="1" x14ac:dyDescent="0.2">
      <c r="A131" s="400"/>
      <c r="B131" s="198" t="s">
        <v>1580</v>
      </c>
      <c r="C131" s="291">
        <v>615</v>
      </c>
      <c r="D131" s="291">
        <v>0</v>
      </c>
      <c r="E131" s="190">
        <f t="shared" si="32"/>
        <v>0</v>
      </c>
    </row>
    <row r="132" spans="1:5" s="202" customFormat="1" ht="70.5" hidden="1" customHeight="1" x14ac:dyDescent="0.2">
      <c r="A132" s="369"/>
      <c r="B132" s="198"/>
      <c r="C132" s="291"/>
      <c r="D132" s="291"/>
      <c r="E132" s="190" t="e">
        <f t="shared" si="32"/>
        <v>#DIV/0!</v>
      </c>
    </row>
    <row r="133" spans="1:5" ht="18.75" x14ac:dyDescent="0.25">
      <c r="A133" s="138" t="s">
        <v>851</v>
      </c>
      <c r="B133" s="147" t="s">
        <v>110</v>
      </c>
      <c r="C133" s="189">
        <f>C158+C134+C156+C154</f>
        <v>236818.77199999997</v>
      </c>
      <c r="D133" s="189">
        <f t="shared" ref="D133" si="45">D158+D134+D156+D154</f>
        <v>164340.94399999999</v>
      </c>
      <c r="E133" s="189">
        <f t="shared" si="32"/>
        <v>69.395235272987563</v>
      </c>
    </row>
    <row r="134" spans="1:5" ht="31.5" x14ac:dyDescent="0.25">
      <c r="A134" s="138" t="s">
        <v>850</v>
      </c>
      <c r="B134" s="147" t="s">
        <v>111</v>
      </c>
      <c r="C134" s="189">
        <f>C135</f>
        <v>236115.37199999997</v>
      </c>
      <c r="D134" s="189">
        <f>D135</f>
        <v>163736.144</v>
      </c>
      <c r="E134" s="189">
        <f t="shared" si="32"/>
        <v>69.345821330091127</v>
      </c>
    </row>
    <row r="135" spans="1:5" ht="31.5" x14ac:dyDescent="0.25">
      <c r="A135" s="212" t="s">
        <v>849</v>
      </c>
      <c r="B135" s="140" t="s">
        <v>112</v>
      </c>
      <c r="C135" s="190">
        <f>SUM(C136+C137+C138+C139+C140+C141+C142+C145+C146+C147+C148+C150+C149+C151+C152+C153)</f>
        <v>236115.37199999997</v>
      </c>
      <c r="D135" s="190">
        <f>SUM(D136+D137+D138+D139+D140+D141+D142+D145+D146+D147+D148+D150+D149+D151+D152+D153)</f>
        <v>163736.144</v>
      </c>
      <c r="E135" s="190">
        <f t="shared" si="32"/>
        <v>69.345821330091127</v>
      </c>
    </row>
    <row r="136" spans="1:5" ht="98.45" customHeight="1" x14ac:dyDescent="0.25">
      <c r="A136" s="398"/>
      <c r="B136" s="150" t="s">
        <v>1493</v>
      </c>
      <c r="C136" s="293">
        <f>143160-14818.128</f>
        <v>128341.872</v>
      </c>
      <c r="D136" s="293">
        <f>94036.661-5</f>
        <v>94031.660999999993</v>
      </c>
      <c r="E136" s="190">
        <f t="shared" si="32"/>
        <v>73.266549361224833</v>
      </c>
    </row>
    <row r="137" spans="1:5" ht="78.75" x14ac:dyDescent="0.25">
      <c r="A137" s="399"/>
      <c r="B137" s="140" t="s">
        <v>1494</v>
      </c>
      <c r="C137" s="190">
        <v>80735.399999999994</v>
      </c>
      <c r="D137" s="190">
        <v>52889.514999999999</v>
      </c>
      <c r="E137" s="190">
        <f t="shared" si="32"/>
        <v>65.509695870708512</v>
      </c>
    </row>
    <row r="138" spans="1:5" ht="110.25" x14ac:dyDescent="0.25">
      <c r="A138" s="399"/>
      <c r="B138" s="140" t="s">
        <v>1495</v>
      </c>
      <c r="C138" s="190">
        <v>4743.8999999999996</v>
      </c>
      <c r="D138" s="190">
        <v>3264.0740000000001</v>
      </c>
      <c r="E138" s="190">
        <f t="shared" si="32"/>
        <v>68.805708383397629</v>
      </c>
    </row>
    <row r="139" spans="1:5" ht="97.5" customHeight="1" x14ac:dyDescent="0.25">
      <c r="A139" s="399"/>
      <c r="B139" s="140" t="s">
        <v>1496</v>
      </c>
      <c r="C139" s="190">
        <v>2075.4</v>
      </c>
      <c r="D139" s="190">
        <v>1245.7</v>
      </c>
      <c r="E139" s="190">
        <f t="shared" si="32"/>
        <v>60.022164402042975</v>
      </c>
    </row>
    <row r="140" spans="1:5" ht="97.5" customHeight="1" x14ac:dyDescent="0.25">
      <c r="A140" s="399"/>
      <c r="B140" s="140" t="s">
        <v>114</v>
      </c>
      <c r="C140" s="190">
        <v>1433.3</v>
      </c>
      <c r="D140" s="190">
        <v>935.8</v>
      </c>
      <c r="E140" s="190">
        <f t="shared" si="32"/>
        <v>65.289890462568906</v>
      </c>
    </row>
    <row r="141" spans="1:5" ht="99" customHeight="1" x14ac:dyDescent="0.25">
      <c r="A141" s="399"/>
      <c r="B141" s="140" t="s">
        <v>115</v>
      </c>
      <c r="C141" s="190">
        <v>288.8</v>
      </c>
      <c r="D141" s="190">
        <v>141.65</v>
      </c>
      <c r="E141" s="190">
        <f t="shared" si="32"/>
        <v>49.047783933518005</v>
      </c>
    </row>
    <row r="142" spans="1:5" ht="47.25" x14ac:dyDescent="0.25">
      <c r="A142" s="399"/>
      <c r="B142" s="140" t="s">
        <v>116</v>
      </c>
      <c r="C142" s="190">
        <f t="shared" ref="C142:D142" si="46">SUM(C143:C144)</f>
        <v>3621.3999999999996</v>
      </c>
      <c r="D142" s="190">
        <f t="shared" si="46"/>
        <v>2458.4749999999999</v>
      </c>
      <c r="E142" s="190">
        <f t="shared" si="32"/>
        <v>67.887419230131997</v>
      </c>
    </row>
    <row r="143" spans="1:5" ht="31.5" x14ac:dyDescent="0.25">
      <c r="A143" s="399"/>
      <c r="B143" s="153" t="s">
        <v>719</v>
      </c>
      <c r="C143" s="295">
        <v>2829.1</v>
      </c>
      <c r="D143" s="295">
        <v>1854.6</v>
      </c>
      <c r="E143" s="190">
        <f t="shared" si="32"/>
        <v>65.55441659891838</v>
      </c>
    </row>
    <row r="144" spans="1:5" ht="31.5" x14ac:dyDescent="0.25">
      <c r="A144" s="399"/>
      <c r="B144" s="153" t="s">
        <v>720</v>
      </c>
      <c r="C144" s="295">
        <v>792.3</v>
      </c>
      <c r="D144" s="295">
        <v>603.875</v>
      </c>
      <c r="E144" s="190">
        <f t="shared" si="32"/>
        <v>76.21797299002904</v>
      </c>
    </row>
    <row r="145" spans="1:6" ht="126" x14ac:dyDescent="0.25">
      <c r="A145" s="399"/>
      <c r="B145" s="140" t="s">
        <v>844</v>
      </c>
      <c r="C145" s="190">
        <v>319.7</v>
      </c>
      <c r="D145" s="190">
        <v>232</v>
      </c>
      <c r="E145" s="190">
        <f t="shared" si="32"/>
        <v>72.568032530497334</v>
      </c>
    </row>
    <row r="146" spans="1:6" ht="110.25" customHeight="1" x14ac:dyDescent="0.25">
      <c r="A146" s="399"/>
      <c r="B146" s="140" t="s">
        <v>1497</v>
      </c>
      <c r="C146" s="190">
        <v>923.4</v>
      </c>
      <c r="D146" s="190">
        <v>691</v>
      </c>
      <c r="E146" s="190">
        <f t="shared" si="32"/>
        <v>74.832142083604069</v>
      </c>
    </row>
    <row r="147" spans="1:6" ht="47.25" x14ac:dyDescent="0.25">
      <c r="A147" s="399"/>
      <c r="B147" s="140" t="s">
        <v>118</v>
      </c>
      <c r="C147" s="190">
        <v>1115.9000000000001</v>
      </c>
      <c r="D147" s="190">
        <v>437.3</v>
      </c>
      <c r="E147" s="190">
        <f t="shared" si="32"/>
        <v>39.188099292051263</v>
      </c>
    </row>
    <row r="148" spans="1:6" ht="147.75" customHeight="1" x14ac:dyDescent="0.25">
      <c r="A148" s="399"/>
      <c r="B148" s="338" t="s">
        <v>1388</v>
      </c>
      <c r="C148" s="293">
        <v>22</v>
      </c>
      <c r="D148" s="293">
        <v>0</v>
      </c>
      <c r="E148" s="190">
        <f t="shared" si="32"/>
        <v>0</v>
      </c>
      <c r="F148" s="244"/>
    </row>
    <row r="149" spans="1:6" ht="118.5" customHeight="1" x14ac:dyDescent="0.25">
      <c r="A149" s="399"/>
      <c r="B149" s="278" t="s">
        <v>1393</v>
      </c>
      <c r="C149" s="293">
        <v>1431.2</v>
      </c>
      <c r="D149" s="293">
        <v>0</v>
      </c>
      <c r="E149" s="190">
        <f t="shared" si="32"/>
        <v>0</v>
      </c>
      <c r="F149" s="244"/>
    </row>
    <row r="150" spans="1:6" ht="54" customHeight="1" x14ac:dyDescent="0.25">
      <c r="A150" s="399"/>
      <c r="B150" s="140" t="s">
        <v>1370</v>
      </c>
      <c r="C150" s="190">
        <v>1914.5</v>
      </c>
      <c r="D150" s="190">
        <v>790.87699999999995</v>
      </c>
      <c r="E150" s="190">
        <f t="shared" si="32"/>
        <v>41.309845912770953</v>
      </c>
      <c r="F150" s="244"/>
    </row>
    <row r="151" spans="1:6" ht="120.2" customHeight="1" x14ac:dyDescent="0.25">
      <c r="A151" s="399"/>
      <c r="B151" s="154" t="s">
        <v>1499</v>
      </c>
      <c r="C151" s="190">
        <v>6426.5</v>
      </c>
      <c r="D151" s="190">
        <v>4722.5559999999996</v>
      </c>
      <c r="E151" s="190">
        <f t="shared" si="32"/>
        <v>73.485660935190225</v>
      </c>
      <c r="F151" s="244"/>
    </row>
    <row r="152" spans="1:6" ht="114" customHeight="1" x14ac:dyDescent="0.25">
      <c r="A152" s="399"/>
      <c r="B152" s="154" t="s">
        <v>1500</v>
      </c>
      <c r="C152" s="190">
        <v>1908.6</v>
      </c>
      <c r="D152" s="190">
        <v>1345.7</v>
      </c>
      <c r="E152" s="190">
        <f t="shared" si="32"/>
        <v>70.507178036256946</v>
      </c>
      <c r="F152" s="244"/>
    </row>
    <row r="153" spans="1:6" ht="115.5" customHeight="1" x14ac:dyDescent="0.25">
      <c r="A153" s="400"/>
      <c r="B153" s="154" t="s">
        <v>1501</v>
      </c>
      <c r="C153" s="190">
        <v>813.5</v>
      </c>
      <c r="D153" s="190">
        <v>549.83600000000001</v>
      </c>
      <c r="E153" s="190">
        <f t="shared" si="32"/>
        <v>67.588936693300553</v>
      </c>
      <c r="F153" s="244"/>
    </row>
    <row r="154" spans="1:6" ht="75.2" customHeight="1" x14ac:dyDescent="0.25">
      <c r="A154" s="138" t="s">
        <v>1395</v>
      </c>
      <c r="B154" s="219" t="s">
        <v>1397</v>
      </c>
      <c r="C154" s="297">
        <f>C155</f>
        <v>6</v>
      </c>
      <c r="D154" s="297">
        <f t="shared" ref="D154" si="47">D155</f>
        <v>0</v>
      </c>
      <c r="E154" s="189">
        <f t="shared" si="32"/>
        <v>0</v>
      </c>
      <c r="F154" s="244"/>
    </row>
    <row r="155" spans="1:6" ht="54" customHeight="1" x14ac:dyDescent="0.25">
      <c r="A155" s="212" t="s">
        <v>1396</v>
      </c>
      <c r="B155" s="99" t="s">
        <v>1397</v>
      </c>
      <c r="C155" s="293">
        <v>6</v>
      </c>
      <c r="D155" s="293">
        <v>0</v>
      </c>
      <c r="E155" s="190">
        <f t="shared" ref="E155:E176" si="48">D155/C155*100</f>
        <v>0</v>
      </c>
      <c r="F155" s="244"/>
    </row>
    <row r="156" spans="1:6" ht="39.75" customHeight="1" x14ac:dyDescent="0.25">
      <c r="A156" s="138" t="s">
        <v>1390</v>
      </c>
      <c r="B156" s="219" t="s">
        <v>1392</v>
      </c>
      <c r="C156" s="189">
        <f>C157</f>
        <v>92.6</v>
      </c>
      <c r="D156" s="189">
        <f t="shared" ref="D156" si="49">D157</f>
        <v>0</v>
      </c>
      <c r="E156" s="189">
        <f t="shared" si="48"/>
        <v>0</v>
      </c>
      <c r="F156" s="244"/>
    </row>
    <row r="157" spans="1:6" ht="37.5" customHeight="1" x14ac:dyDescent="0.25">
      <c r="A157" s="212" t="s">
        <v>1391</v>
      </c>
      <c r="B157" s="99" t="s">
        <v>1389</v>
      </c>
      <c r="C157" s="190">
        <v>92.6</v>
      </c>
      <c r="D157" s="190">
        <v>0</v>
      </c>
      <c r="E157" s="190">
        <f t="shared" si="48"/>
        <v>0</v>
      </c>
      <c r="F157" s="244"/>
    </row>
    <row r="158" spans="1:6" ht="31.5" x14ac:dyDescent="0.25">
      <c r="A158" s="138" t="s">
        <v>848</v>
      </c>
      <c r="B158" s="147" t="s">
        <v>119</v>
      </c>
      <c r="C158" s="189">
        <f t="shared" ref="C158:D158" si="50">C159</f>
        <v>604.79999999999995</v>
      </c>
      <c r="D158" s="189">
        <f t="shared" si="50"/>
        <v>604.79999999999995</v>
      </c>
      <c r="E158" s="189">
        <f t="shared" si="48"/>
        <v>100</v>
      </c>
    </row>
    <row r="159" spans="1:6" ht="31.5" x14ac:dyDescent="0.25">
      <c r="A159" s="212" t="s">
        <v>847</v>
      </c>
      <c r="B159" s="140" t="s">
        <v>120</v>
      </c>
      <c r="C159" s="190">
        <v>604.79999999999995</v>
      </c>
      <c r="D159" s="190">
        <v>604.79999999999995</v>
      </c>
      <c r="E159" s="190">
        <f t="shared" si="48"/>
        <v>100</v>
      </c>
    </row>
    <row r="160" spans="1:6" ht="18.75" x14ac:dyDescent="0.25">
      <c r="A160" s="138" t="s">
        <v>846</v>
      </c>
      <c r="B160" s="147" t="s">
        <v>121</v>
      </c>
      <c r="C160" s="189">
        <f>C161+C166</f>
        <v>4154.3999999999996</v>
      </c>
      <c r="D160" s="189">
        <f>D161+D166</f>
        <v>3370.3</v>
      </c>
      <c r="E160" s="189">
        <f t="shared" si="48"/>
        <v>81.126035047178902</v>
      </c>
    </row>
    <row r="161" spans="1:9" ht="18.75" x14ac:dyDescent="0.25">
      <c r="A161" s="138" t="s">
        <v>845</v>
      </c>
      <c r="B161" s="147" t="s">
        <v>122</v>
      </c>
      <c r="C161" s="189">
        <f>C162</f>
        <v>3028.5</v>
      </c>
      <c r="D161" s="189">
        <f>D162</f>
        <v>3028.5</v>
      </c>
      <c r="E161" s="189">
        <f t="shared" si="48"/>
        <v>100</v>
      </c>
    </row>
    <row r="162" spans="1:9" ht="31.5" x14ac:dyDescent="0.25">
      <c r="A162" s="398" t="s">
        <v>857</v>
      </c>
      <c r="B162" s="140" t="s">
        <v>1334</v>
      </c>
      <c r="C162" s="191">
        <f>SUM(C163:C165)</f>
        <v>3028.5</v>
      </c>
      <c r="D162" s="191">
        <f>SUM(D163:D165)</f>
        <v>3028.5</v>
      </c>
      <c r="E162" s="190">
        <f t="shared" si="48"/>
        <v>100</v>
      </c>
    </row>
    <row r="163" spans="1:9" ht="110.25" x14ac:dyDescent="0.25">
      <c r="A163" s="399"/>
      <c r="B163" s="154" t="s">
        <v>811</v>
      </c>
      <c r="C163" s="191">
        <f>9263-6426.5</f>
        <v>2836.5</v>
      </c>
      <c r="D163" s="191">
        <v>2836.5</v>
      </c>
      <c r="E163" s="190">
        <f t="shared" si="48"/>
        <v>100</v>
      </c>
    </row>
    <row r="164" spans="1:9" ht="140.25" customHeight="1" x14ac:dyDescent="0.25">
      <c r="A164" s="399"/>
      <c r="B164" s="154" t="s">
        <v>812</v>
      </c>
      <c r="C164" s="191">
        <f>2100.6-1908.6</f>
        <v>192</v>
      </c>
      <c r="D164" s="191">
        <v>192</v>
      </c>
      <c r="E164" s="190">
        <f t="shared" si="48"/>
        <v>100</v>
      </c>
    </row>
    <row r="165" spans="1:9" ht="126" hidden="1" customHeight="1" x14ac:dyDescent="0.25">
      <c r="A165" s="348"/>
      <c r="B165" s="154" t="s">
        <v>1498</v>
      </c>
      <c r="C165" s="191">
        <f>813.5-813.5</f>
        <v>0</v>
      </c>
      <c r="D165" s="191">
        <f t="shared" ref="D165" si="51">813.5-813.5</f>
        <v>0</v>
      </c>
      <c r="E165" s="190" t="e">
        <f t="shared" si="48"/>
        <v>#DIV/0!</v>
      </c>
    </row>
    <row r="166" spans="1:9" ht="51" customHeight="1" x14ac:dyDescent="0.25">
      <c r="A166" s="393" t="s">
        <v>1529</v>
      </c>
      <c r="B166" s="350" t="s">
        <v>1531</v>
      </c>
      <c r="C166" s="200">
        <f>C167</f>
        <v>1125.9000000000001</v>
      </c>
      <c r="D166" s="200">
        <f t="shared" ref="D166" si="52">D167</f>
        <v>341.8</v>
      </c>
      <c r="E166" s="189">
        <f t="shared" si="48"/>
        <v>30.357935873523402</v>
      </c>
    </row>
    <row r="167" spans="1:9" ht="63.75" customHeight="1" x14ac:dyDescent="0.25">
      <c r="A167" s="278" t="s">
        <v>1528</v>
      </c>
      <c r="B167" s="154" t="s">
        <v>1530</v>
      </c>
      <c r="C167" s="191">
        <v>1125.9000000000001</v>
      </c>
      <c r="D167" s="191">
        <v>341.8</v>
      </c>
      <c r="E167" s="190">
        <f t="shared" si="48"/>
        <v>30.357935873523402</v>
      </c>
    </row>
    <row r="168" spans="1:9" ht="18.75" x14ac:dyDescent="0.25">
      <c r="A168" s="330" t="s">
        <v>807</v>
      </c>
      <c r="B168" s="199" t="s">
        <v>808</v>
      </c>
      <c r="C168" s="200">
        <f>SUM(C169)</f>
        <v>22200</v>
      </c>
      <c r="D168" s="200">
        <f t="shared" ref="D168:D169" si="53">SUM(D169)</f>
        <v>4846.1000000000004</v>
      </c>
      <c r="E168" s="189">
        <f t="shared" si="48"/>
        <v>21.82927927927928</v>
      </c>
    </row>
    <row r="169" spans="1:9" ht="18.75" x14ac:dyDescent="0.25">
      <c r="A169" s="330" t="s">
        <v>809</v>
      </c>
      <c r="B169" s="199" t="s">
        <v>810</v>
      </c>
      <c r="C169" s="200">
        <f>SUM(C170)</f>
        <v>22200</v>
      </c>
      <c r="D169" s="200">
        <f t="shared" si="53"/>
        <v>4846.1000000000004</v>
      </c>
      <c r="E169" s="189">
        <f t="shared" si="48"/>
        <v>21.82927927927928</v>
      </c>
    </row>
    <row r="170" spans="1:9" ht="31.5" x14ac:dyDescent="0.25">
      <c r="A170" s="395" t="s">
        <v>1547</v>
      </c>
      <c r="B170" s="203" t="s">
        <v>1549</v>
      </c>
      <c r="C170" s="200">
        <f>SUM(C172:C173)</f>
        <v>22200</v>
      </c>
      <c r="D170" s="200">
        <f t="shared" ref="D170" si="54">SUM(D172:D173)</f>
        <v>4846.1000000000004</v>
      </c>
      <c r="E170" s="189">
        <f t="shared" si="48"/>
        <v>21.82927927927928</v>
      </c>
    </row>
    <row r="171" spans="1:9" ht="18.75" x14ac:dyDescent="0.25">
      <c r="A171" s="396"/>
      <c r="B171" s="203" t="s">
        <v>108</v>
      </c>
      <c r="C171" s="200"/>
      <c r="D171" s="200"/>
      <c r="E171" s="190"/>
    </row>
    <row r="172" spans="1:9" ht="103.5" customHeight="1" x14ac:dyDescent="0.25">
      <c r="A172" s="396"/>
      <c r="B172" s="201" t="s">
        <v>1548</v>
      </c>
      <c r="C172" s="191">
        <v>22200</v>
      </c>
      <c r="D172" s="191">
        <v>4846.1000000000004</v>
      </c>
      <c r="E172" s="190">
        <f t="shared" si="48"/>
        <v>21.82927927927928</v>
      </c>
    </row>
    <row r="173" spans="1:9" ht="78.75" hidden="1" x14ac:dyDescent="0.25">
      <c r="A173" s="396"/>
      <c r="B173" s="376" t="s">
        <v>878</v>
      </c>
      <c r="C173" s="298">
        <v>0</v>
      </c>
      <c r="D173" s="298">
        <v>0</v>
      </c>
      <c r="E173" s="288" t="e">
        <f t="shared" si="48"/>
        <v>#DIV/0!</v>
      </c>
    </row>
    <row r="174" spans="1:9" s="204" customFormat="1" ht="31.5" x14ac:dyDescent="0.25">
      <c r="A174" s="330" t="s">
        <v>1598</v>
      </c>
      <c r="B174" s="377" t="s">
        <v>1599</v>
      </c>
      <c r="C174" s="189">
        <v>0</v>
      </c>
      <c r="D174" s="189">
        <f>D175</f>
        <v>-603.77</v>
      </c>
      <c r="E174" s="189" t="s">
        <v>1600</v>
      </c>
    </row>
    <row r="175" spans="1:9" ht="47.25" x14ac:dyDescent="0.25">
      <c r="A175" s="359" t="s">
        <v>1601</v>
      </c>
      <c r="B175" s="201" t="s">
        <v>1602</v>
      </c>
      <c r="C175" s="190">
        <v>0</v>
      </c>
      <c r="D175" s="190">
        <v>-603.77</v>
      </c>
      <c r="E175" s="190" t="s">
        <v>1600</v>
      </c>
    </row>
    <row r="176" spans="1:9" ht="18.75" x14ac:dyDescent="0.25">
      <c r="A176" s="212"/>
      <c r="B176" s="195" t="s">
        <v>123</v>
      </c>
      <c r="C176" s="189">
        <f>SUM(C10+C91)</f>
        <v>741784.67200000002</v>
      </c>
      <c r="D176" s="189">
        <f t="shared" ref="D176" si="55">SUM(D10+D91)</f>
        <v>502766.43205999996</v>
      </c>
      <c r="E176" s="189">
        <f t="shared" si="48"/>
        <v>67.777948377450429</v>
      </c>
      <c r="F176" s="116"/>
      <c r="I176" s="116"/>
    </row>
    <row r="178" spans="3:6" x14ac:dyDescent="0.25">
      <c r="C178" s="363"/>
      <c r="D178" s="363"/>
      <c r="E178" s="363"/>
      <c r="F178" s="243"/>
    </row>
  </sheetData>
  <mergeCells count="6">
    <mergeCell ref="A170:A173"/>
    <mergeCell ref="A5:C5"/>
    <mergeCell ref="A136:A153"/>
    <mergeCell ref="A162:A164"/>
    <mergeCell ref="A116:A131"/>
    <mergeCell ref="A7:E7"/>
  </mergeCells>
  <hyperlinks>
    <hyperlink ref="B72" r:id="rId1" display="consultantplus://offline/ref=90DD075742B43C415054D7C57EEE35341F87E5BC1D9D1BDE3A747C0D881C15D50B24F795703DF0A84C588B73F9A8AC3C8A6AC02CDB9A5E68c4m2F"/>
    <hyperlink ref="B74" r:id="rId2" display="consultantplus://offline/ref=90DD075742B43C415054D7C57EEE35341F87E5BC1D9D1BDE3A747C0D881C15D50B24F795703DF2AD4E588B73F9A8AC3C8A6AC02CDB9A5E68c4m2F"/>
    <hyperlink ref="B76" r:id="rId3" display="consultantplus://offline/ref=90DD075742B43C415054D7C57EEE35341F87E5BC1D9D1BDE3A747C0D881C15D50B24F795703CF7A64B588B73F9A8AC3C8A6AC02CDB9A5E68c4m2F"/>
    <hyperlink ref="B75" r:id="rId4" display="consultantplus://offline/ref=90DD075742B43C415054D7C57EEE35341F87E5BC1D9D1BDE3A747C0D881C15D50B24F795703CF7A64B588B73F9A8AC3C8A6AC02CDB9A5E68c4m2F"/>
    <hyperlink ref="B71" r:id="rId5" display="consultantplus://offline/ref=90DD075742B43C415054D7C57EEE35341F87E5BC1D9D1BDE3A747C0D881C15D50B24F795703DF0A84C588B73F9A8AC3C8A6AC02CDB9A5E68c4m2F"/>
    <hyperlink ref="B73" r:id="rId6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66" fitToHeight="6" orientation="portrait" r:id="rId7"/>
  <ignoredErrors>
    <ignoredError sqref="C47" formula="1"/>
  </ignoredErrors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1"/>
  <sheetViews>
    <sheetView view="pageBreakPreview" topLeftCell="A43" zoomScale="89" zoomScaleNormal="100" zoomScaleSheetLayoutView="89" workbookViewId="0">
      <selection activeCell="A895" sqref="A895:XFD899"/>
    </sheetView>
  </sheetViews>
  <sheetFormatPr defaultRowHeight="15" x14ac:dyDescent="0.25"/>
  <cols>
    <col min="1" max="1" width="55" style="325" customWidth="1"/>
    <col min="2" max="2" width="6.42578125" style="325" customWidth="1"/>
    <col min="3" max="3" width="6" style="325" customWidth="1"/>
    <col min="4" max="4" width="5.140625" style="325" customWidth="1"/>
    <col min="5" max="5" width="15.85546875" style="325" customWidth="1"/>
    <col min="6" max="6" width="7" style="325" customWidth="1"/>
    <col min="7" max="7" width="14.42578125" style="325" customWidth="1"/>
    <col min="8" max="8" width="15" style="325" customWidth="1"/>
    <col min="9" max="9" width="13.28515625" hidden="1" customWidth="1"/>
    <col min="10" max="11" width="0" hidden="1" customWidth="1"/>
    <col min="13" max="13" width="13.42578125" customWidth="1"/>
  </cols>
  <sheetData>
    <row r="1" spans="1:9" ht="18.75" x14ac:dyDescent="0.3">
      <c r="A1" s="63"/>
      <c r="B1" s="63"/>
      <c r="C1" s="63"/>
      <c r="D1" s="63"/>
      <c r="G1" s="197"/>
      <c r="H1" s="130" t="s">
        <v>1277</v>
      </c>
      <c r="I1" s="214"/>
    </row>
    <row r="2" spans="1:9" ht="18.75" x14ac:dyDescent="0.3">
      <c r="A2" s="63"/>
      <c r="B2" s="63"/>
      <c r="C2" s="63"/>
      <c r="D2" s="63"/>
      <c r="G2" s="197"/>
      <c r="H2" s="130" t="s">
        <v>1</v>
      </c>
      <c r="I2" s="214"/>
    </row>
    <row r="3" spans="1:9" s="213" customFormat="1" ht="18.75" x14ac:dyDescent="0.3">
      <c r="A3" s="63"/>
      <c r="B3" s="63"/>
      <c r="C3" s="63"/>
      <c r="D3" s="63"/>
      <c r="E3" s="325"/>
      <c r="F3" s="325"/>
      <c r="G3" s="197"/>
      <c r="H3" s="130" t="s">
        <v>1536</v>
      </c>
      <c r="I3" s="214"/>
    </row>
    <row r="4" spans="1:9" ht="15.75" x14ac:dyDescent="0.25">
      <c r="A4" s="406"/>
      <c r="B4" s="406"/>
      <c r="C4" s="406"/>
      <c r="D4" s="406"/>
      <c r="E4" s="406"/>
      <c r="F4" s="406"/>
      <c r="I4" s="214"/>
    </row>
    <row r="5" spans="1:9" ht="15.75" x14ac:dyDescent="0.25">
      <c r="A5" s="405" t="s">
        <v>1352</v>
      </c>
      <c r="B5" s="405"/>
      <c r="C5" s="405"/>
      <c r="D5" s="405"/>
      <c r="E5" s="405"/>
      <c r="F5" s="405"/>
      <c r="G5" s="405"/>
      <c r="H5" s="405"/>
      <c r="I5" s="214"/>
    </row>
    <row r="6" spans="1:9" ht="15.75" x14ac:dyDescent="0.25">
      <c r="A6" s="347"/>
      <c r="B6" s="347"/>
      <c r="C6" s="347"/>
      <c r="D6" s="347"/>
      <c r="E6" s="347"/>
      <c r="F6" s="347"/>
      <c r="I6" s="214"/>
    </row>
    <row r="7" spans="1:9" ht="15.75" x14ac:dyDescent="0.25">
      <c r="A7" s="13"/>
      <c r="B7" s="13"/>
      <c r="C7" s="13"/>
      <c r="D7" s="13"/>
      <c r="E7" s="13"/>
      <c r="F7" s="13"/>
      <c r="G7" s="194" t="s">
        <v>2</v>
      </c>
      <c r="H7" s="194"/>
      <c r="I7" s="214"/>
    </row>
    <row r="8" spans="1:9" ht="63" x14ac:dyDescent="0.25">
      <c r="A8" s="346" t="s">
        <v>126</v>
      </c>
      <c r="B8" s="346" t="s">
        <v>127</v>
      </c>
      <c r="C8" s="15" t="s">
        <v>128</v>
      </c>
      <c r="D8" s="15" t="s">
        <v>129</v>
      </c>
      <c r="E8" s="15" t="s">
        <v>130</v>
      </c>
      <c r="F8" s="15" t="s">
        <v>131</v>
      </c>
      <c r="G8" s="180" t="s">
        <v>1193</v>
      </c>
      <c r="H8" s="180" t="s">
        <v>1194</v>
      </c>
      <c r="I8" s="214"/>
    </row>
    <row r="9" spans="1:9" ht="31.5" x14ac:dyDescent="0.25">
      <c r="A9" s="330" t="s">
        <v>132</v>
      </c>
      <c r="B9" s="330">
        <v>901</v>
      </c>
      <c r="C9" s="331"/>
      <c r="D9" s="331"/>
      <c r="E9" s="331"/>
      <c r="F9" s="331"/>
      <c r="G9" s="332">
        <f>G10+G24</f>
        <v>20217</v>
      </c>
      <c r="H9" s="332">
        <f>H10+H24</f>
        <v>28071.599999999999</v>
      </c>
      <c r="I9" s="214"/>
    </row>
    <row r="10" spans="1:9" ht="15.75" x14ac:dyDescent="0.25">
      <c r="A10" s="333" t="s">
        <v>133</v>
      </c>
      <c r="B10" s="330">
        <v>901</v>
      </c>
      <c r="C10" s="334" t="s">
        <v>134</v>
      </c>
      <c r="D10" s="331"/>
      <c r="E10" s="331"/>
      <c r="F10" s="331"/>
      <c r="G10" s="332">
        <f t="shared" ref="G10:H12" si="0">G11</f>
        <v>12697.5</v>
      </c>
      <c r="H10" s="332">
        <f t="shared" si="0"/>
        <v>12697.5</v>
      </c>
      <c r="I10" s="214"/>
    </row>
    <row r="11" spans="1:9" ht="51" customHeight="1" x14ac:dyDescent="0.25">
      <c r="A11" s="333" t="s">
        <v>135</v>
      </c>
      <c r="B11" s="330">
        <v>901</v>
      </c>
      <c r="C11" s="334" t="s">
        <v>134</v>
      </c>
      <c r="D11" s="334" t="s">
        <v>136</v>
      </c>
      <c r="E11" s="334"/>
      <c r="F11" s="334"/>
      <c r="G11" s="332">
        <f t="shared" si="0"/>
        <v>12697.5</v>
      </c>
      <c r="H11" s="332">
        <f t="shared" si="0"/>
        <v>12697.5</v>
      </c>
      <c r="I11" s="214"/>
    </row>
    <row r="12" spans="1:9" ht="31.5" x14ac:dyDescent="0.25">
      <c r="A12" s="333" t="s">
        <v>990</v>
      </c>
      <c r="B12" s="330">
        <v>901</v>
      </c>
      <c r="C12" s="334" t="s">
        <v>134</v>
      </c>
      <c r="D12" s="334" t="s">
        <v>136</v>
      </c>
      <c r="E12" s="334" t="s">
        <v>904</v>
      </c>
      <c r="F12" s="334"/>
      <c r="G12" s="332">
        <f t="shared" si="0"/>
        <v>12697.5</v>
      </c>
      <c r="H12" s="332">
        <f t="shared" si="0"/>
        <v>12697.5</v>
      </c>
      <c r="I12" s="214"/>
    </row>
    <row r="13" spans="1:9" ht="15.75" x14ac:dyDescent="0.25">
      <c r="A13" s="333" t="s">
        <v>991</v>
      </c>
      <c r="B13" s="330">
        <v>901</v>
      </c>
      <c r="C13" s="334" t="s">
        <v>134</v>
      </c>
      <c r="D13" s="334" t="s">
        <v>136</v>
      </c>
      <c r="E13" s="334" t="s">
        <v>905</v>
      </c>
      <c r="F13" s="334"/>
      <c r="G13" s="332">
        <f>G14+G21</f>
        <v>12697.5</v>
      </c>
      <c r="H13" s="332">
        <f>H14+H21</f>
        <v>12697.5</v>
      </c>
      <c r="I13" s="214"/>
    </row>
    <row r="14" spans="1:9" ht="31.5" x14ac:dyDescent="0.25">
      <c r="A14" s="335" t="s">
        <v>967</v>
      </c>
      <c r="B14" s="329">
        <v>901</v>
      </c>
      <c r="C14" s="331" t="s">
        <v>134</v>
      </c>
      <c r="D14" s="331" t="s">
        <v>136</v>
      </c>
      <c r="E14" s="331" t="s">
        <v>906</v>
      </c>
      <c r="F14" s="331"/>
      <c r="G14" s="336">
        <f>G15+G17+G19</f>
        <v>12403.5</v>
      </c>
      <c r="H14" s="336">
        <f>H15+H17+H19</f>
        <v>12403.5</v>
      </c>
      <c r="I14" s="214"/>
    </row>
    <row r="15" spans="1:9" ht="78.75" x14ac:dyDescent="0.25">
      <c r="A15" s="335" t="s">
        <v>143</v>
      </c>
      <c r="B15" s="329">
        <v>901</v>
      </c>
      <c r="C15" s="331" t="s">
        <v>134</v>
      </c>
      <c r="D15" s="331" t="s">
        <v>136</v>
      </c>
      <c r="E15" s="331" t="s">
        <v>906</v>
      </c>
      <c r="F15" s="331" t="s">
        <v>144</v>
      </c>
      <c r="G15" s="336">
        <f>G16</f>
        <v>11575</v>
      </c>
      <c r="H15" s="336">
        <f>H16</f>
        <v>11575</v>
      </c>
      <c r="I15" s="214"/>
    </row>
    <row r="16" spans="1:9" ht="31.5" x14ac:dyDescent="0.25">
      <c r="A16" s="335" t="s">
        <v>145</v>
      </c>
      <c r="B16" s="329">
        <v>901</v>
      </c>
      <c r="C16" s="331" t="s">
        <v>134</v>
      </c>
      <c r="D16" s="331" t="s">
        <v>136</v>
      </c>
      <c r="E16" s="331" t="s">
        <v>906</v>
      </c>
      <c r="F16" s="331" t="s">
        <v>146</v>
      </c>
      <c r="G16" s="336">
        <f>11575</f>
        <v>11575</v>
      </c>
      <c r="H16" s="336">
        <f t="shared" ref="H16:H77" si="1">G16</f>
        <v>11575</v>
      </c>
      <c r="I16" s="214"/>
    </row>
    <row r="17" spans="1:9" ht="31.5" x14ac:dyDescent="0.25">
      <c r="A17" s="335" t="s">
        <v>147</v>
      </c>
      <c r="B17" s="329">
        <v>901</v>
      </c>
      <c r="C17" s="331" t="s">
        <v>134</v>
      </c>
      <c r="D17" s="331" t="s">
        <v>136</v>
      </c>
      <c r="E17" s="331" t="s">
        <v>906</v>
      </c>
      <c r="F17" s="331" t="s">
        <v>148</v>
      </c>
      <c r="G17" s="336">
        <f>G18</f>
        <v>800.5</v>
      </c>
      <c r="H17" s="336">
        <f>H18</f>
        <v>800.5</v>
      </c>
      <c r="I17" s="214"/>
    </row>
    <row r="18" spans="1:9" ht="31.5" x14ac:dyDescent="0.25">
      <c r="A18" s="335" t="s">
        <v>149</v>
      </c>
      <c r="B18" s="329">
        <v>901</v>
      </c>
      <c r="C18" s="331" t="s">
        <v>134</v>
      </c>
      <c r="D18" s="331" t="s">
        <v>136</v>
      </c>
      <c r="E18" s="331" t="s">
        <v>906</v>
      </c>
      <c r="F18" s="331" t="s">
        <v>150</v>
      </c>
      <c r="G18" s="336">
        <f>977+173.5-350</f>
        <v>800.5</v>
      </c>
      <c r="H18" s="336">
        <f t="shared" si="1"/>
        <v>800.5</v>
      </c>
      <c r="I18" s="214"/>
    </row>
    <row r="19" spans="1:9" ht="15.75" x14ac:dyDescent="0.25">
      <c r="A19" s="335" t="s">
        <v>151</v>
      </c>
      <c r="B19" s="329">
        <v>901</v>
      </c>
      <c r="C19" s="331" t="s">
        <v>134</v>
      </c>
      <c r="D19" s="331" t="s">
        <v>136</v>
      </c>
      <c r="E19" s="331" t="s">
        <v>906</v>
      </c>
      <c r="F19" s="331" t="s">
        <v>152</v>
      </c>
      <c r="G19" s="336">
        <f>G20</f>
        <v>28</v>
      </c>
      <c r="H19" s="336">
        <f>H20</f>
        <v>28</v>
      </c>
      <c r="I19" s="214"/>
    </row>
    <row r="20" spans="1:9" ht="15.75" x14ac:dyDescent="0.25">
      <c r="A20" s="335" t="s">
        <v>584</v>
      </c>
      <c r="B20" s="329">
        <v>901</v>
      </c>
      <c r="C20" s="331" t="s">
        <v>134</v>
      </c>
      <c r="D20" s="331" t="s">
        <v>136</v>
      </c>
      <c r="E20" s="331" t="s">
        <v>906</v>
      </c>
      <c r="F20" s="331" t="s">
        <v>154</v>
      </c>
      <c r="G20" s="336">
        <f>'Пр.4 ведом.20'!G21</f>
        <v>28</v>
      </c>
      <c r="H20" s="336">
        <f t="shared" si="1"/>
        <v>28</v>
      </c>
      <c r="I20" s="214"/>
    </row>
    <row r="21" spans="1:9" ht="47.25" x14ac:dyDescent="0.25">
      <c r="A21" s="335" t="s">
        <v>885</v>
      </c>
      <c r="B21" s="329">
        <v>901</v>
      </c>
      <c r="C21" s="331" t="s">
        <v>134</v>
      </c>
      <c r="D21" s="331" t="s">
        <v>136</v>
      </c>
      <c r="E21" s="331" t="s">
        <v>908</v>
      </c>
      <c r="F21" s="331"/>
      <c r="G21" s="336">
        <f>G22</f>
        <v>294</v>
      </c>
      <c r="H21" s="336">
        <f>H22</f>
        <v>294</v>
      </c>
      <c r="I21" s="214"/>
    </row>
    <row r="22" spans="1:9" ht="78.75" x14ac:dyDescent="0.25">
      <c r="A22" s="335" t="s">
        <v>143</v>
      </c>
      <c r="B22" s="329">
        <v>901</v>
      </c>
      <c r="C22" s="331" t="s">
        <v>134</v>
      </c>
      <c r="D22" s="331" t="s">
        <v>136</v>
      </c>
      <c r="E22" s="331" t="s">
        <v>908</v>
      </c>
      <c r="F22" s="331" t="s">
        <v>144</v>
      </c>
      <c r="G22" s="336">
        <f>G23</f>
        <v>294</v>
      </c>
      <c r="H22" s="336">
        <f>H23</f>
        <v>294</v>
      </c>
      <c r="I22" s="214"/>
    </row>
    <row r="23" spans="1:9" ht="31.5" x14ac:dyDescent="0.25">
      <c r="A23" s="335" t="s">
        <v>145</v>
      </c>
      <c r="B23" s="329">
        <v>901</v>
      </c>
      <c r="C23" s="331" t="s">
        <v>134</v>
      </c>
      <c r="D23" s="331" t="s">
        <v>136</v>
      </c>
      <c r="E23" s="331" t="s">
        <v>908</v>
      </c>
      <c r="F23" s="331" t="s">
        <v>146</v>
      </c>
      <c r="G23" s="336">
        <f>294</f>
        <v>294</v>
      </c>
      <c r="H23" s="336">
        <f t="shared" si="1"/>
        <v>294</v>
      </c>
      <c r="I23" s="214"/>
    </row>
    <row r="24" spans="1:9" s="213" customFormat="1" ht="15.75" x14ac:dyDescent="0.25">
      <c r="A24" s="333" t="s">
        <v>155</v>
      </c>
      <c r="B24" s="330">
        <v>901</v>
      </c>
      <c r="C24" s="334" t="s">
        <v>134</v>
      </c>
      <c r="D24" s="334" t="s">
        <v>156</v>
      </c>
      <c r="E24" s="334"/>
      <c r="F24" s="334"/>
      <c r="G24" s="332">
        <f t="shared" ref="G24:H28" si="2">G25</f>
        <v>7519.5</v>
      </c>
      <c r="H24" s="332">
        <f t="shared" si="2"/>
        <v>15374.1</v>
      </c>
      <c r="I24" s="214"/>
    </row>
    <row r="25" spans="1:9" s="213" customFormat="1" ht="15.75" x14ac:dyDescent="0.25">
      <c r="A25" s="333" t="s">
        <v>157</v>
      </c>
      <c r="B25" s="330">
        <v>901</v>
      </c>
      <c r="C25" s="334" t="s">
        <v>134</v>
      </c>
      <c r="D25" s="334" t="s">
        <v>156</v>
      </c>
      <c r="E25" s="334" t="s">
        <v>912</v>
      </c>
      <c r="F25" s="334"/>
      <c r="G25" s="332">
        <f t="shared" si="2"/>
        <v>7519.5</v>
      </c>
      <c r="H25" s="332">
        <f t="shared" si="2"/>
        <v>15374.1</v>
      </c>
      <c r="I25" s="214"/>
    </row>
    <row r="26" spans="1:9" s="213" customFormat="1" ht="31.5" x14ac:dyDescent="0.25">
      <c r="A26" s="333" t="s">
        <v>916</v>
      </c>
      <c r="B26" s="330">
        <v>901</v>
      </c>
      <c r="C26" s="334" t="s">
        <v>134</v>
      </c>
      <c r="D26" s="334" t="s">
        <v>156</v>
      </c>
      <c r="E26" s="334" t="s">
        <v>911</v>
      </c>
      <c r="F26" s="334"/>
      <c r="G26" s="332">
        <f t="shared" si="2"/>
        <v>7519.5</v>
      </c>
      <c r="H26" s="332">
        <f t="shared" si="2"/>
        <v>15374.1</v>
      </c>
      <c r="I26" s="214"/>
    </row>
    <row r="27" spans="1:9" s="213" customFormat="1" ht="15.75" x14ac:dyDescent="0.25">
      <c r="A27" s="335" t="s">
        <v>1356</v>
      </c>
      <c r="B27" s="329">
        <v>901</v>
      </c>
      <c r="C27" s="331" t="s">
        <v>134</v>
      </c>
      <c r="D27" s="331" t="s">
        <v>156</v>
      </c>
      <c r="E27" s="331" t="s">
        <v>1357</v>
      </c>
      <c r="F27" s="331"/>
      <c r="G27" s="336">
        <f t="shared" si="2"/>
        <v>7519.5</v>
      </c>
      <c r="H27" s="336">
        <f t="shared" si="2"/>
        <v>15374.1</v>
      </c>
      <c r="I27" s="214"/>
    </row>
    <row r="28" spans="1:9" s="213" customFormat="1" ht="15.75" x14ac:dyDescent="0.25">
      <c r="A28" s="335" t="s">
        <v>151</v>
      </c>
      <c r="B28" s="329">
        <v>901</v>
      </c>
      <c r="C28" s="331" t="s">
        <v>134</v>
      </c>
      <c r="D28" s="331" t="s">
        <v>156</v>
      </c>
      <c r="E28" s="331" t="s">
        <v>1357</v>
      </c>
      <c r="F28" s="331" t="s">
        <v>161</v>
      </c>
      <c r="G28" s="336">
        <f>G29</f>
        <v>7519.5</v>
      </c>
      <c r="H28" s="336">
        <f t="shared" si="2"/>
        <v>15374.1</v>
      </c>
      <c r="I28" s="214"/>
    </row>
    <row r="29" spans="1:9" s="213" customFormat="1" ht="15.75" x14ac:dyDescent="0.25">
      <c r="A29" s="335" t="s">
        <v>1356</v>
      </c>
      <c r="B29" s="329">
        <v>901</v>
      </c>
      <c r="C29" s="331" t="s">
        <v>134</v>
      </c>
      <c r="D29" s="331" t="s">
        <v>156</v>
      </c>
      <c r="E29" s="331" t="s">
        <v>1357</v>
      </c>
      <c r="F29" s="331" t="s">
        <v>1358</v>
      </c>
      <c r="G29" s="336">
        <f>7519.5</f>
        <v>7519.5</v>
      </c>
      <c r="H29" s="336">
        <v>15374.1</v>
      </c>
      <c r="I29" s="214"/>
    </row>
    <row r="30" spans="1:9" ht="15.75" x14ac:dyDescent="0.25">
      <c r="A30" s="330" t="s">
        <v>164</v>
      </c>
      <c r="B30" s="330">
        <v>902</v>
      </c>
      <c r="C30" s="331"/>
      <c r="D30" s="331"/>
      <c r="E30" s="331"/>
      <c r="F30" s="331"/>
      <c r="G30" s="332">
        <f>G31+G141+G160+G190+G134</f>
        <v>85978.6</v>
      </c>
      <c r="H30" s="332">
        <f>H31+H141+H160+H190+H134</f>
        <v>81035.3</v>
      </c>
      <c r="I30" s="214"/>
    </row>
    <row r="31" spans="1:9" ht="15.75" x14ac:dyDescent="0.25">
      <c r="A31" s="333" t="s">
        <v>133</v>
      </c>
      <c r="B31" s="330">
        <v>902</v>
      </c>
      <c r="C31" s="334" t="s">
        <v>134</v>
      </c>
      <c r="D31" s="331"/>
      <c r="E31" s="331"/>
      <c r="F31" s="331"/>
      <c r="G31" s="332">
        <f>G32+G87+G104+G96</f>
        <v>59374.400000000001</v>
      </c>
      <c r="H31" s="332">
        <f>H32+H87+H104+H96</f>
        <v>59431.1</v>
      </c>
      <c r="I31" s="214"/>
    </row>
    <row r="32" spans="1:9" ht="63" x14ac:dyDescent="0.25">
      <c r="A32" s="333" t="s">
        <v>165</v>
      </c>
      <c r="B32" s="330">
        <v>902</v>
      </c>
      <c r="C32" s="334" t="s">
        <v>134</v>
      </c>
      <c r="D32" s="334" t="s">
        <v>166</v>
      </c>
      <c r="E32" s="334"/>
      <c r="F32" s="334"/>
      <c r="G32" s="332">
        <f>G33+G69</f>
        <v>51574.400000000001</v>
      </c>
      <c r="H32" s="332">
        <f>H33+H69</f>
        <v>51631.1</v>
      </c>
      <c r="I32" s="214"/>
    </row>
    <row r="33" spans="1:9" ht="31.5" x14ac:dyDescent="0.25">
      <c r="A33" s="333" t="s">
        <v>990</v>
      </c>
      <c r="B33" s="330">
        <v>902</v>
      </c>
      <c r="C33" s="334" t="s">
        <v>134</v>
      </c>
      <c r="D33" s="334" t="s">
        <v>166</v>
      </c>
      <c r="E33" s="334" t="s">
        <v>904</v>
      </c>
      <c r="F33" s="334"/>
      <c r="G33" s="44">
        <f>G34+G50</f>
        <v>51050.9</v>
      </c>
      <c r="H33" s="44">
        <f>H34+H50</f>
        <v>51107.6</v>
      </c>
      <c r="I33" s="214"/>
    </row>
    <row r="34" spans="1:9" ht="15.75" x14ac:dyDescent="0.25">
      <c r="A34" s="333" t="s">
        <v>991</v>
      </c>
      <c r="B34" s="330">
        <v>902</v>
      </c>
      <c r="C34" s="334" t="s">
        <v>134</v>
      </c>
      <c r="D34" s="334" t="s">
        <v>166</v>
      </c>
      <c r="E34" s="334" t="s">
        <v>905</v>
      </c>
      <c r="F34" s="334"/>
      <c r="G34" s="44">
        <f>G35+G44+G47</f>
        <v>47928</v>
      </c>
      <c r="H34" s="44">
        <f>H35+H44+H47</f>
        <v>47918</v>
      </c>
      <c r="I34" s="214"/>
    </row>
    <row r="35" spans="1:9" ht="31.5" x14ac:dyDescent="0.25">
      <c r="A35" s="335" t="s">
        <v>967</v>
      </c>
      <c r="B35" s="329">
        <v>902</v>
      </c>
      <c r="C35" s="331" t="s">
        <v>134</v>
      </c>
      <c r="D35" s="331" t="s">
        <v>166</v>
      </c>
      <c r="E35" s="331" t="s">
        <v>906</v>
      </c>
      <c r="F35" s="331"/>
      <c r="G35" s="336">
        <f>G36+G38+G40+G42</f>
        <v>43412</v>
      </c>
      <c r="H35" s="336">
        <f>H36+H38+H40+H42</f>
        <v>43402</v>
      </c>
      <c r="I35" s="214"/>
    </row>
    <row r="36" spans="1:9" ht="78.75" x14ac:dyDescent="0.25">
      <c r="A36" s="335" t="s">
        <v>143</v>
      </c>
      <c r="B36" s="329">
        <v>902</v>
      </c>
      <c r="C36" s="331" t="s">
        <v>134</v>
      </c>
      <c r="D36" s="331" t="s">
        <v>166</v>
      </c>
      <c r="E36" s="331" t="s">
        <v>906</v>
      </c>
      <c r="F36" s="331" t="s">
        <v>144</v>
      </c>
      <c r="G36" s="336">
        <f>G37</f>
        <v>37513</v>
      </c>
      <c r="H36" s="336">
        <f>H37</f>
        <v>37513</v>
      </c>
      <c r="I36" s="214"/>
    </row>
    <row r="37" spans="1:9" ht="31.5" x14ac:dyDescent="0.25">
      <c r="A37" s="335" t="s">
        <v>145</v>
      </c>
      <c r="B37" s="329">
        <v>902</v>
      </c>
      <c r="C37" s="331" t="s">
        <v>134</v>
      </c>
      <c r="D37" s="331" t="s">
        <v>166</v>
      </c>
      <c r="E37" s="331" t="s">
        <v>906</v>
      </c>
      <c r="F37" s="331" t="s">
        <v>146</v>
      </c>
      <c r="G37" s="336">
        <f>37513</f>
        <v>37513</v>
      </c>
      <c r="H37" s="336">
        <f t="shared" si="1"/>
        <v>37513</v>
      </c>
      <c r="I37" s="214"/>
    </row>
    <row r="38" spans="1:9" ht="31.5" x14ac:dyDescent="0.25">
      <c r="A38" s="335" t="s">
        <v>147</v>
      </c>
      <c r="B38" s="329">
        <v>902</v>
      </c>
      <c r="C38" s="331" t="s">
        <v>134</v>
      </c>
      <c r="D38" s="331" t="s">
        <v>166</v>
      </c>
      <c r="E38" s="331" t="s">
        <v>906</v>
      </c>
      <c r="F38" s="331" t="s">
        <v>148</v>
      </c>
      <c r="G38" s="336">
        <f>G39</f>
        <v>5069</v>
      </c>
      <c r="H38" s="336">
        <f>H39</f>
        <v>5059</v>
      </c>
      <c r="I38" s="214"/>
    </row>
    <row r="39" spans="1:9" ht="31.5" x14ac:dyDescent="0.25">
      <c r="A39" s="335" t="s">
        <v>149</v>
      </c>
      <c r="B39" s="329">
        <v>902</v>
      </c>
      <c r="C39" s="331" t="s">
        <v>134</v>
      </c>
      <c r="D39" s="331" t="s">
        <v>166</v>
      </c>
      <c r="E39" s="331" t="s">
        <v>906</v>
      </c>
      <c r="F39" s="331" t="s">
        <v>150</v>
      </c>
      <c r="G39" s="336">
        <f>5912-809-18.9-15.1</f>
        <v>5069</v>
      </c>
      <c r="H39" s="336">
        <f>G39-10</f>
        <v>5059</v>
      </c>
      <c r="I39" s="214"/>
    </row>
    <row r="40" spans="1:9" ht="31.5" x14ac:dyDescent="0.25">
      <c r="A40" s="335" t="s">
        <v>264</v>
      </c>
      <c r="B40" s="329">
        <v>902</v>
      </c>
      <c r="C40" s="331" t="s">
        <v>134</v>
      </c>
      <c r="D40" s="331" t="s">
        <v>166</v>
      </c>
      <c r="E40" s="331" t="s">
        <v>906</v>
      </c>
      <c r="F40" s="331" t="s">
        <v>265</v>
      </c>
      <c r="G40" s="336">
        <f>G41</f>
        <v>755</v>
      </c>
      <c r="H40" s="336">
        <f>H41</f>
        <v>755</v>
      </c>
      <c r="I40" s="214"/>
    </row>
    <row r="41" spans="1:9" ht="31.5" x14ac:dyDescent="0.25">
      <c r="A41" s="335" t="s">
        <v>266</v>
      </c>
      <c r="B41" s="329">
        <v>902</v>
      </c>
      <c r="C41" s="331" t="s">
        <v>134</v>
      </c>
      <c r="D41" s="331" t="s">
        <v>166</v>
      </c>
      <c r="E41" s="331" t="s">
        <v>906</v>
      </c>
      <c r="F41" s="331" t="s">
        <v>267</v>
      </c>
      <c r="G41" s="336">
        <f>755</f>
        <v>755</v>
      </c>
      <c r="H41" s="336">
        <f t="shared" si="1"/>
        <v>755</v>
      </c>
      <c r="I41" s="214"/>
    </row>
    <row r="42" spans="1:9" ht="15.75" x14ac:dyDescent="0.25">
      <c r="A42" s="335" t="s">
        <v>151</v>
      </c>
      <c r="B42" s="329">
        <v>902</v>
      </c>
      <c r="C42" s="331" t="s">
        <v>134</v>
      </c>
      <c r="D42" s="331" t="s">
        <v>166</v>
      </c>
      <c r="E42" s="331" t="s">
        <v>906</v>
      </c>
      <c r="F42" s="331" t="s">
        <v>161</v>
      </c>
      <c r="G42" s="336">
        <f>G43</f>
        <v>75</v>
      </c>
      <c r="H42" s="336">
        <f>H43</f>
        <v>75</v>
      </c>
      <c r="I42" s="214"/>
    </row>
    <row r="43" spans="1:9" ht="15.75" x14ac:dyDescent="0.25">
      <c r="A43" s="335" t="s">
        <v>584</v>
      </c>
      <c r="B43" s="329">
        <v>902</v>
      </c>
      <c r="C43" s="331" t="s">
        <v>134</v>
      </c>
      <c r="D43" s="331" t="s">
        <v>166</v>
      </c>
      <c r="E43" s="331" t="s">
        <v>906</v>
      </c>
      <c r="F43" s="331" t="s">
        <v>154</v>
      </c>
      <c r="G43" s="336">
        <f>75</f>
        <v>75</v>
      </c>
      <c r="H43" s="336">
        <f t="shared" si="1"/>
        <v>75</v>
      </c>
      <c r="I43" s="214"/>
    </row>
    <row r="44" spans="1:9" ht="31.5" x14ac:dyDescent="0.25">
      <c r="A44" s="335" t="s">
        <v>886</v>
      </c>
      <c r="B44" s="329">
        <v>902</v>
      </c>
      <c r="C44" s="331" t="s">
        <v>134</v>
      </c>
      <c r="D44" s="331" t="s">
        <v>166</v>
      </c>
      <c r="E44" s="331" t="s">
        <v>907</v>
      </c>
      <c r="F44" s="331"/>
      <c r="G44" s="336">
        <f>G45</f>
        <v>2962</v>
      </c>
      <c r="H44" s="336">
        <f t="shared" si="1"/>
        <v>2962</v>
      </c>
      <c r="I44" s="214"/>
    </row>
    <row r="45" spans="1:9" ht="78.75" x14ac:dyDescent="0.25">
      <c r="A45" s="335" t="s">
        <v>143</v>
      </c>
      <c r="B45" s="329">
        <v>902</v>
      </c>
      <c r="C45" s="331" t="s">
        <v>134</v>
      </c>
      <c r="D45" s="331" t="s">
        <v>166</v>
      </c>
      <c r="E45" s="331" t="s">
        <v>907</v>
      </c>
      <c r="F45" s="331" t="s">
        <v>144</v>
      </c>
      <c r="G45" s="336">
        <f>G46</f>
        <v>2962</v>
      </c>
      <c r="H45" s="336">
        <f>H46</f>
        <v>2962</v>
      </c>
      <c r="I45" s="214"/>
    </row>
    <row r="46" spans="1:9" ht="31.5" x14ac:dyDescent="0.25">
      <c r="A46" s="335" t="s">
        <v>145</v>
      </c>
      <c r="B46" s="329">
        <v>902</v>
      </c>
      <c r="C46" s="331" t="s">
        <v>134</v>
      </c>
      <c r="D46" s="331" t="s">
        <v>166</v>
      </c>
      <c r="E46" s="331" t="s">
        <v>907</v>
      </c>
      <c r="F46" s="331" t="s">
        <v>146</v>
      </c>
      <c r="G46" s="336">
        <f>2962</f>
        <v>2962</v>
      </c>
      <c r="H46" s="336">
        <f t="shared" si="1"/>
        <v>2962</v>
      </c>
      <c r="I46" s="214"/>
    </row>
    <row r="47" spans="1:9" ht="47.25" x14ac:dyDescent="0.25">
      <c r="A47" s="335" t="s">
        <v>885</v>
      </c>
      <c r="B47" s="329">
        <v>902</v>
      </c>
      <c r="C47" s="331" t="s">
        <v>134</v>
      </c>
      <c r="D47" s="331" t="s">
        <v>166</v>
      </c>
      <c r="E47" s="331" t="s">
        <v>908</v>
      </c>
      <c r="F47" s="331"/>
      <c r="G47" s="336">
        <f>G48</f>
        <v>1554</v>
      </c>
      <c r="H47" s="336">
        <f>H48</f>
        <v>1554</v>
      </c>
      <c r="I47" s="214"/>
    </row>
    <row r="48" spans="1:9" ht="78.75" x14ac:dyDescent="0.25">
      <c r="A48" s="335" t="s">
        <v>143</v>
      </c>
      <c r="B48" s="329">
        <v>902</v>
      </c>
      <c r="C48" s="331" t="s">
        <v>134</v>
      </c>
      <c r="D48" s="331" t="s">
        <v>166</v>
      </c>
      <c r="E48" s="331" t="s">
        <v>908</v>
      </c>
      <c r="F48" s="331" t="s">
        <v>144</v>
      </c>
      <c r="G48" s="336">
        <f>G49</f>
        <v>1554</v>
      </c>
      <c r="H48" s="336">
        <f>H49</f>
        <v>1554</v>
      </c>
      <c r="I48" s="214"/>
    </row>
    <row r="49" spans="1:9" ht="31.5" x14ac:dyDescent="0.25">
      <c r="A49" s="335" t="s">
        <v>145</v>
      </c>
      <c r="B49" s="329">
        <v>902</v>
      </c>
      <c r="C49" s="331" t="s">
        <v>134</v>
      </c>
      <c r="D49" s="331" t="s">
        <v>166</v>
      </c>
      <c r="E49" s="331" t="s">
        <v>908</v>
      </c>
      <c r="F49" s="331" t="s">
        <v>146</v>
      </c>
      <c r="G49" s="336">
        <f>1554</f>
        <v>1554</v>
      </c>
      <c r="H49" s="336">
        <f t="shared" si="1"/>
        <v>1554</v>
      </c>
      <c r="I49" s="214"/>
    </row>
    <row r="50" spans="1:9" ht="31.5" x14ac:dyDescent="0.25">
      <c r="A50" s="333" t="s">
        <v>932</v>
      </c>
      <c r="B50" s="330">
        <v>902</v>
      </c>
      <c r="C50" s="334" t="s">
        <v>134</v>
      </c>
      <c r="D50" s="334" t="s">
        <v>166</v>
      </c>
      <c r="E50" s="334" t="s">
        <v>909</v>
      </c>
      <c r="F50" s="334"/>
      <c r="G50" s="332">
        <f>G51+G54+G59+G64</f>
        <v>3122.9</v>
      </c>
      <c r="H50" s="332">
        <f>H51+H54+H59+H64</f>
        <v>3189.6</v>
      </c>
      <c r="I50" s="214"/>
    </row>
    <row r="51" spans="1:9" ht="47.25" x14ac:dyDescent="0.25">
      <c r="A51" s="335" t="s">
        <v>802</v>
      </c>
      <c r="B51" s="329">
        <v>902</v>
      </c>
      <c r="C51" s="331" t="s">
        <v>134</v>
      </c>
      <c r="D51" s="331" t="s">
        <v>166</v>
      </c>
      <c r="E51" s="331" t="s">
        <v>992</v>
      </c>
      <c r="F51" s="334"/>
      <c r="G51" s="336">
        <f>G52</f>
        <v>6.3</v>
      </c>
      <c r="H51" s="336">
        <f>H52</f>
        <v>51</v>
      </c>
      <c r="I51" s="214"/>
    </row>
    <row r="52" spans="1:9" ht="31.5" x14ac:dyDescent="0.25">
      <c r="A52" s="335" t="s">
        <v>147</v>
      </c>
      <c r="B52" s="329">
        <v>902</v>
      </c>
      <c r="C52" s="331" t="s">
        <v>134</v>
      </c>
      <c r="D52" s="331" t="s">
        <v>166</v>
      </c>
      <c r="E52" s="331" t="s">
        <v>992</v>
      </c>
      <c r="F52" s="331" t="s">
        <v>148</v>
      </c>
      <c r="G52" s="336">
        <f>G53</f>
        <v>6.3</v>
      </c>
      <c r="H52" s="336">
        <f>H53</f>
        <v>51</v>
      </c>
      <c r="I52" s="214"/>
    </row>
    <row r="53" spans="1:9" ht="31.5" x14ac:dyDescent="0.25">
      <c r="A53" s="335" t="s">
        <v>149</v>
      </c>
      <c r="B53" s="329">
        <v>902</v>
      </c>
      <c r="C53" s="331" t="s">
        <v>134</v>
      </c>
      <c r="D53" s="331" t="s">
        <v>166</v>
      </c>
      <c r="E53" s="331" t="s">
        <v>992</v>
      </c>
      <c r="F53" s="331" t="s">
        <v>150</v>
      </c>
      <c r="G53" s="336">
        <v>6.3</v>
      </c>
      <c r="H53" s="336">
        <v>51</v>
      </c>
      <c r="I53" s="214"/>
    </row>
    <row r="54" spans="1:9" ht="47.25" x14ac:dyDescent="0.25">
      <c r="A54" s="31" t="s">
        <v>205</v>
      </c>
      <c r="B54" s="329">
        <v>902</v>
      </c>
      <c r="C54" s="331" t="s">
        <v>134</v>
      </c>
      <c r="D54" s="331" t="s">
        <v>166</v>
      </c>
      <c r="E54" s="331" t="s">
        <v>993</v>
      </c>
      <c r="F54" s="331"/>
      <c r="G54" s="336">
        <f>G55+G57</f>
        <v>567.40000000000009</v>
      </c>
      <c r="H54" s="336">
        <f>H55+H57</f>
        <v>589.40000000000009</v>
      </c>
      <c r="I54" s="214"/>
    </row>
    <row r="55" spans="1:9" ht="78.75" x14ac:dyDescent="0.25">
      <c r="A55" s="335" t="s">
        <v>143</v>
      </c>
      <c r="B55" s="329">
        <v>902</v>
      </c>
      <c r="C55" s="331" t="s">
        <v>134</v>
      </c>
      <c r="D55" s="331" t="s">
        <v>166</v>
      </c>
      <c r="E55" s="331" t="s">
        <v>993</v>
      </c>
      <c r="F55" s="331" t="s">
        <v>144</v>
      </c>
      <c r="G55" s="336">
        <f>G56</f>
        <v>528.70000000000005</v>
      </c>
      <c r="H55" s="336">
        <f>H56</f>
        <v>528.70000000000005</v>
      </c>
      <c r="I55" s="214"/>
    </row>
    <row r="56" spans="1:9" ht="31.5" x14ac:dyDescent="0.25">
      <c r="A56" s="335" t="s">
        <v>145</v>
      </c>
      <c r="B56" s="329">
        <v>902</v>
      </c>
      <c r="C56" s="331" t="s">
        <v>134</v>
      </c>
      <c r="D56" s="331" t="s">
        <v>166</v>
      </c>
      <c r="E56" s="331" t="s">
        <v>993</v>
      </c>
      <c r="F56" s="331" t="s">
        <v>146</v>
      </c>
      <c r="G56" s="336">
        <f>528.7</f>
        <v>528.70000000000005</v>
      </c>
      <c r="H56" s="336">
        <f t="shared" si="1"/>
        <v>528.70000000000005</v>
      </c>
      <c r="I56" s="214"/>
    </row>
    <row r="57" spans="1:9" ht="31.5" x14ac:dyDescent="0.25">
      <c r="A57" s="335" t="s">
        <v>147</v>
      </c>
      <c r="B57" s="329">
        <v>902</v>
      </c>
      <c r="C57" s="331" t="s">
        <v>134</v>
      </c>
      <c r="D57" s="331" t="s">
        <v>166</v>
      </c>
      <c r="E57" s="331" t="s">
        <v>993</v>
      </c>
      <c r="F57" s="331" t="s">
        <v>148</v>
      </c>
      <c r="G57" s="336">
        <f>G58</f>
        <v>38.700000000000003</v>
      </c>
      <c r="H57" s="336">
        <f>H58</f>
        <v>60.7</v>
      </c>
      <c r="I57" s="214"/>
    </row>
    <row r="58" spans="1:9" ht="31.5" x14ac:dyDescent="0.25">
      <c r="A58" s="335" t="s">
        <v>149</v>
      </c>
      <c r="B58" s="329">
        <v>902</v>
      </c>
      <c r="C58" s="331" t="s">
        <v>134</v>
      </c>
      <c r="D58" s="331" t="s">
        <v>166</v>
      </c>
      <c r="E58" s="331" t="s">
        <v>993</v>
      </c>
      <c r="F58" s="331" t="s">
        <v>150</v>
      </c>
      <c r="G58" s="336">
        <v>38.700000000000003</v>
      </c>
      <c r="H58" s="336">
        <v>60.7</v>
      </c>
      <c r="I58" s="214"/>
    </row>
    <row r="59" spans="1:9" ht="47.25" x14ac:dyDescent="0.25">
      <c r="A59" s="31" t="s">
        <v>210</v>
      </c>
      <c r="B59" s="329">
        <v>902</v>
      </c>
      <c r="C59" s="331" t="s">
        <v>134</v>
      </c>
      <c r="D59" s="331" t="s">
        <v>166</v>
      </c>
      <c r="E59" s="331" t="s">
        <v>1195</v>
      </c>
      <c r="F59" s="331"/>
      <c r="G59" s="336">
        <f>G60+G62</f>
        <v>1433.3</v>
      </c>
      <c r="H59" s="336">
        <f>H60+H62</f>
        <v>1433.3</v>
      </c>
      <c r="I59" s="214"/>
    </row>
    <row r="60" spans="1:9" ht="78.75" x14ac:dyDescent="0.25">
      <c r="A60" s="335" t="s">
        <v>143</v>
      </c>
      <c r="B60" s="329">
        <v>902</v>
      </c>
      <c r="C60" s="331" t="s">
        <v>134</v>
      </c>
      <c r="D60" s="331" t="s">
        <v>166</v>
      </c>
      <c r="E60" s="331" t="s">
        <v>1195</v>
      </c>
      <c r="F60" s="331" t="s">
        <v>144</v>
      </c>
      <c r="G60" s="336">
        <f>G61</f>
        <v>1372.1</v>
      </c>
      <c r="H60" s="336">
        <f>H61</f>
        <v>1372.1</v>
      </c>
      <c r="I60" s="214"/>
    </row>
    <row r="61" spans="1:9" ht="31.5" x14ac:dyDescent="0.25">
      <c r="A61" s="335" t="s">
        <v>145</v>
      </c>
      <c r="B61" s="329">
        <v>902</v>
      </c>
      <c r="C61" s="331" t="s">
        <v>134</v>
      </c>
      <c r="D61" s="331" t="s">
        <v>166</v>
      </c>
      <c r="E61" s="331" t="s">
        <v>1195</v>
      </c>
      <c r="F61" s="331" t="s">
        <v>146</v>
      </c>
      <c r="G61" s="336">
        <f>1372.1</f>
        <v>1372.1</v>
      </c>
      <c r="H61" s="336">
        <f t="shared" si="1"/>
        <v>1372.1</v>
      </c>
      <c r="I61" s="214"/>
    </row>
    <row r="62" spans="1:9" ht="31.5" x14ac:dyDescent="0.25">
      <c r="A62" s="335" t="s">
        <v>147</v>
      </c>
      <c r="B62" s="329">
        <v>902</v>
      </c>
      <c r="C62" s="331" t="s">
        <v>134</v>
      </c>
      <c r="D62" s="331" t="s">
        <v>166</v>
      </c>
      <c r="E62" s="331" t="s">
        <v>1195</v>
      </c>
      <c r="F62" s="331" t="s">
        <v>148</v>
      </c>
      <c r="G62" s="336">
        <f>G63</f>
        <v>61.2</v>
      </c>
      <c r="H62" s="336">
        <f>H63</f>
        <v>61.2</v>
      </c>
      <c r="I62" s="214"/>
    </row>
    <row r="63" spans="1:9" ht="31.5" x14ac:dyDescent="0.25">
      <c r="A63" s="335" t="s">
        <v>149</v>
      </c>
      <c r="B63" s="329">
        <v>902</v>
      </c>
      <c r="C63" s="331" t="s">
        <v>134</v>
      </c>
      <c r="D63" s="331" t="s">
        <v>166</v>
      </c>
      <c r="E63" s="331" t="s">
        <v>1195</v>
      </c>
      <c r="F63" s="331" t="s">
        <v>150</v>
      </c>
      <c r="G63" s="336">
        <f>61.2</f>
        <v>61.2</v>
      </c>
      <c r="H63" s="336">
        <f t="shared" si="1"/>
        <v>61.2</v>
      </c>
      <c r="I63" s="214"/>
    </row>
    <row r="64" spans="1:9" ht="47.25" x14ac:dyDescent="0.25">
      <c r="A64" s="31" t="s">
        <v>212</v>
      </c>
      <c r="B64" s="329">
        <v>902</v>
      </c>
      <c r="C64" s="331" t="s">
        <v>134</v>
      </c>
      <c r="D64" s="331" t="s">
        <v>166</v>
      </c>
      <c r="E64" s="331" t="s">
        <v>994</v>
      </c>
      <c r="F64" s="331"/>
      <c r="G64" s="336">
        <f>G65+G67</f>
        <v>1115.9000000000001</v>
      </c>
      <c r="H64" s="336">
        <f>H65+H67</f>
        <v>1115.9000000000001</v>
      </c>
      <c r="I64" s="214"/>
    </row>
    <row r="65" spans="1:9" ht="78.75" x14ac:dyDescent="0.25">
      <c r="A65" s="335" t="s">
        <v>143</v>
      </c>
      <c r="B65" s="329">
        <v>902</v>
      </c>
      <c r="C65" s="331" t="s">
        <v>134</v>
      </c>
      <c r="D65" s="331" t="s">
        <v>166</v>
      </c>
      <c r="E65" s="331" t="s">
        <v>994</v>
      </c>
      <c r="F65" s="331" t="s">
        <v>144</v>
      </c>
      <c r="G65" s="336">
        <f>G66</f>
        <v>1026.5</v>
      </c>
      <c r="H65" s="336">
        <f>H66</f>
        <v>1026.5</v>
      </c>
      <c r="I65" s="214"/>
    </row>
    <row r="66" spans="1:9" ht="31.5" x14ac:dyDescent="0.25">
      <c r="A66" s="335" t="s">
        <v>145</v>
      </c>
      <c r="B66" s="329">
        <v>902</v>
      </c>
      <c r="C66" s="331" t="s">
        <v>134</v>
      </c>
      <c r="D66" s="331" t="s">
        <v>166</v>
      </c>
      <c r="E66" s="331" t="s">
        <v>994</v>
      </c>
      <c r="F66" s="331" t="s">
        <v>146</v>
      </c>
      <c r="G66" s="336">
        <f>1026.5</f>
        <v>1026.5</v>
      </c>
      <c r="H66" s="336">
        <f t="shared" si="1"/>
        <v>1026.5</v>
      </c>
      <c r="I66" s="214"/>
    </row>
    <row r="67" spans="1:9" ht="31.5" x14ac:dyDescent="0.25">
      <c r="A67" s="335" t="s">
        <v>214</v>
      </c>
      <c r="B67" s="329">
        <v>902</v>
      </c>
      <c r="C67" s="331" t="s">
        <v>134</v>
      </c>
      <c r="D67" s="331" t="s">
        <v>166</v>
      </c>
      <c r="E67" s="331" t="s">
        <v>994</v>
      </c>
      <c r="F67" s="331" t="s">
        <v>148</v>
      </c>
      <c r="G67" s="336">
        <f>G68</f>
        <v>89.4</v>
      </c>
      <c r="H67" s="336">
        <f>H68</f>
        <v>89.4</v>
      </c>
      <c r="I67" s="214"/>
    </row>
    <row r="68" spans="1:9" ht="31.5" x14ac:dyDescent="0.25">
      <c r="A68" s="335" t="s">
        <v>149</v>
      </c>
      <c r="B68" s="329">
        <v>902</v>
      </c>
      <c r="C68" s="331" t="s">
        <v>134</v>
      </c>
      <c r="D68" s="331" t="s">
        <v>166</v>
      </c>
      <c r="E68" s="331" t="s">
        <v>994</v>
      </c>
      <c r="F68" s="331" t="s">
        <v>150</v>
      </c>
      <c r="G68" s="336">
        <f>89.4</f>
        <v>89.4</v>
      </c>
      <c r="H68" s="336">
        <f t="shared" si="1"/>
        <v>89.4</v>
      </c>
      <c r="I68" s="214"/>
    </row>
    <row r="69" spans="1:9" ht="47.25" x14ac:dyDescent="0.25">
      <c r="A69" s="333" t="s">
        <v>1421</v>
      </c>
      <c r="B69" s="330">
        <v>902</v>
      </c>
      <c r="C69" s="334" t="s">
        <v>134</v>
      </c>
      <c r="D69" s="334" t="s">
        <v>166</v>
      </c>
      <c r="E69" s="334" t="s">
        <v>178</v>
      </c>
      <c r="F69" s="334"/>
      <c r="G69" s="332">
        <f>G70+G74+G80</f>
        <v>523.5</v>
      </c>
      <c r="H69" s="332">
        <f>H70+H74+H80</f>
        <v>523.5</v>
      </c>
      <c r="I69" s="214"/>
    </row>
    <row r="70" spans="1:9" ht="63" x14ac:dyDescent="0.25">
      <c r="A70" s="229" t="s">
        <v>1155</v>
      </c>
      <c r="B70" s="330">
        <v>902</v>
      </c>
      <c r="C70" s="334" t="s">
        <v>134</v>
      </c>
      <c r="D70" s="334" t="s">
        <v>166</v>
      </c>
      <c r="E70" s="327" t="s">
        <v>895</v>
      </c>
      <c r="F70" s="334"/>
      <c r="G70" s="332">
        <f t="shared" ref="G70:H72" si="3">G71</f>
        <v>446</v>
      </c>
      <c r="H70" s="332">
        <f t="shared" si="3"/>
        <v>446</v>
      </c>
      <c r="I70" s="214"/>
    </row>
    <row r="71" spans="1:9" ht="31.5" x14ac:dyDescent="0.25">
      <c r="A71" s="338" t="s">
        <v>1154</v>
      </c>
      <c r="B71" s="329">
        <v>902</v>
      </c>
      <c r="C71" s="331" t="s">
        <v>134</v>
      </c>
      <c r="D71" s="331" t="s">
        <v>166</v>
      </c>
      <c r="E71" s="339" t="s">
        <v>887</v>
      </c>
      <c r="F71" s="331"/>
      <c r="G71" s="336">
        <f t="shared" si="3"/>
        <v>446</v>
      </c>
      <c r="H71" s="336">
        <f t="shared" si="3"/>
        <v>446</v>
      </c>
      <c r="I71" s="214"/>
    </row>
    <row r="72" spans="1:9" ht="31.5" x14ac:dyDescent="0.25">
      <c r="A72" s="335" t="s">
        <v>147</v>
      </c>
      <c r="B72" s="329">
        <v>902</v>
      </c>
      <c r="C72" s="331" t="s">
        <v>134</v>
      </c>
      <c r="D72" s="331" t="s">
        <v>166</v>
      </c>
      <c r="E72" s="339" t="s">
        <v>887</v>
      </c>
      <c r="F72" s="331" t="s">
        <v>148</v>
      </c>
      <c r="G72" s="336">
        <f t="shared" si="3"/>
        <v>446</v>
      </c>
      <c r="H72" s="336">
        <f t="shared" si="3"/>
        <v>446</v>
      </c>
      <c r="I72" s="214"/>
    </row>
    <row r="73" spans="1:9" ht="31.5" x14ac:dyDescent="0.25">
      <c r="A73" s="335" t="s">
        <v>149</v>
      </c>
      <c r="B73" s="329">
        <v>902</v>
      </c>
      <c r="C73" s="331" t="s">
        <v>134</v>
      </c>
      <c r="D73" s="331" t="s">
        <v>166</v>
      </c>
      <c r="E73" s="339" t="s">
        <v>887</v>
      </c>
      <c r="F73" s="331" t="s">
        <v>150</v>
      </c>
      <c r="G73" s="336">
        <f>446</f>
        <v>446</v>
      </c>
      <c r="H73" s="336">
        <f t="shared" si="1"/>
        <v>446</v>
      </c>
      <c r="I73" s="214"/>
    </row>
    <row r="74" spans="1:9" ht="63" x14ac:dyDescent="0.25">
      <c r="A74" s="228" t="s">
        <v>889</v>
      </c>
      <c r="B74" s="330">
        <v>902</v>
      </c>
      <c r="C74" s="334" t="s">
        <v>134</v>
      </c>
      <c r="D74" s="334" t="s">
        <v>166</v>
      </c>
      <c r="E74" s="327" t="s">
        <v>896</v>
      </c>
      <c r="F74" s="334"/>
      <c r="G74" s="332">
        <f>G75</f>
        <v>77</v>
      </c>
      <c r="H74" s="332">
        <f>H75</f>
        <v>77</v>
      </c>
      <c r="I74" s="214"/>
    </row>
    <row r="75" spans="1:9" ht="47.25" x14ac:dyDescent="0.25">
      <c r="A75" s="178" t="s">
        <v>181</v>
      </c>
      <c r="B75" s="329">
        <v>902</v>
      </c>
      <c r="C75" s="331" t="s">
        <v>134</v>
      </c>
      <c r="D75" s="331" t="s">
        <v>166</v>
      </c>
      <c r="E75" s="339" t="s">
        <v>888</v>
      </c>
      <c r="F75" s="331"/>
      <c r="G75" s="336">
        <f>G76+G78</f>
        <v>77</v>
      </c>
      <c r="H75" s="336">
        <f>H76+H78</f>
        <v>77</v>
      </c>
      <c r="I75" s="214"/>
    </row>
    <row r="76" spans="1:9" ht="78.75" x14ac:dyDescent="0.25">
      <c r="A76" s="335" t="s">
        <v>143</v>
      </c>
      <c r="B76" s="329">
        <v>902</v>
      </c>
      <c r="C76" s="331" t="s">
        <v>134</v>
      </c>
      <c r="D76" s="331" t="s">
        <v>166</v>
      </c>
      <c r="E76" s="339" t="s">
        <v>888</v>
      </c>
      <c r="F76" s="331" t="s">
        <v>144</v>
      </c>
      <c r="G76" s="336">
        <f>G77</f>
        <v>37</v>
      </c>
      <c r="H76" s="336">
        <f>H77</f>
        <v>37</v>
      </c>
      <c r="I76" s="214"/>
    </row>
    <row r="77" spans="1:9" ht="31.5" x14ac:dyDescent="0.25">
      <c r="A77" s="335" t="s">
        <v>145</v>
      </c>
      <c r="B77" s="329">
        <v>902</v>
      </c>
      <c r="C77" s="331" t="s">
        <v>134</v>
      </c>
      <c r="D77" s="331" t="s">
        <v>166</v>
      </c>
      <c r="E77" s="339" t="s">
        <v>888</v>
      </c>
      <c r="F77" s="331" t="s">
        <v>146</v>
      </c>
      <c r="G77" s="336">
        <f>37</f>
        <v>37</v>
      </c>
      <c r="H77" s="336">
        <f t="shared" si="1"/>
        <v>37</v>
      </c>
      <c r="I77" s="214"/>
    </row>
    <row r="78" spans="1:9" ht="31.5" x14ac:dyDescent="0.25">
      <c r="A78" s="335" t="s">
        <v>147</v>
      </c>
      <c r="B78" s="329">
        <v>902</v>
      </c>
      <c r="C78" s="331" t="s">
        <v>134</v>
      </c>
      <c r="D78" s="331" t="s">
        <v>166</v>
      </c>
      <c r="E78" s="339" t="s">
        <v>888</v>
      </c>
      <c r="F78" s="331" t="s">
        <v>148</v>
      </c>
      <c r="G78" s="336">
        <f>G79</f>
        <v>40</v>
      </c>
      <c r="H78" s="336">
        <f>H79</f>
        <v>40</v>
      </c>
      <c r="I78" s="214"/>
    </row>
    <row r="79" spans="1:9" ht="31.5" x14ac:dyDescent="0.25">
      <c r="A79" s="335" t="s">
        <v>149</v>
      </c>
      <c r="B79" s="329">
        <v>902</v>
      </c>
      <c r="C79" s="331" t="s">
        <v>134</v>
      </c>
      <c r="D79" s="331" t="s">
        <v>166</v>
      </c>
      <c r="E79" s="339" t="s">
        <v>888</v>
      </c>
      <c r="F79" s="331" t="s">
        <v>150</v>
      </c>
      <c r="G79" s="336">
        <f>40</f>
        <v>40</v>
      </c>
      <c r="H79" s="336">
        <f t="shared" ref="H79:H147" si="4">G79</f>
        <v>40</v>
      </c>
      <c r="I79" s="214"/>
    </row>
    <row r="80" spans="1:9" ht="63" x14ac:dyDescent="0.25">
      <c r="A80" s="230" t="s">
        <v>1156</v>
      </c>
      <c r="B80" s="330">
        <v>902</v>
      </c>
      <c r="C80" s="334" t="s">
        <v>134</v>
      </c>
      <c r="D80" s="334" t="s">
        <v>166</v>
      </c>
      <c r="E80" s="327" t="s">
        <v>897</v>
      </c>
      <c r="F80" s="334"/>
      <c r="G80" s="332">
        <f>G81+G84</f>
        <v>0.5</v>
      </c>
      <c r="H80" s="332">
        <f>H81+H84</f>
        <v>0.5</v>
      </c>
      <c r="I80" s="214"/>
    </row>
    <row r="81" spans="1:9" ht="47.25" x14ac:dyDescent="0.25">
      <c r="A81" s="33" t="s">
        <v>207</v>
      </c>
      <c r="B81" s="329">
        <v>902</v>
      </c>
      <c r="C81" s="331" t="s">
        <v>134</v>
      </c>
      <c r="D81" s="331" t="s">
        <v>166</v>
      </c>
      <c r="E81" s="339" t="s">
        <v>890</v>
      </c>
      <c r="F81" s="331"/>
      <c r="G81" s="336">
        <f>G82</f>
        <v>0.5</v>
      </c>
      <c r="H81" s="336">
        <f>H82</f>
        <v>0.5</v>
      </c>
      <c r="I81" s="214"/>
    </row>
    <row r="82" spans="1:9" ht="31.5" x14ac:dyDescent="0.25">
      <c r="A82" s="335" t="s">
        <v>147</v>
      </c>
      <c r="B82" s="329">
        <v>902</v>
      </c>
      <c r="C82" s="331" t="s">
        <v>134</v>
      </c>
      <c r="D82" s="331" t="s">
        <v>166</v>
      </c>
      <c r="E82" s="339" t="s">
        <v>890</v>
      </c>
      <c r="F82" s="331" t="s">
        <v>148</v>
      </c>
      <c r="G82" s="336">
        <f>G83</f>
        <v>0.5</v>
      </c>
      <c r="H82" s="336">
        <f>H83</f>
        <v>0.5</v>
      </c>
      <c r="I82" s="214"/>
    </row>
    <row r="83" spans="1:9" ht="31.5" x14ac:dyDescent="0.25">
      <c r="A83" s="335" t="s">
        <v>149</v>
      </c>
      <c r="B83" s="329">
        <v>902</v>
      </c>
      <c r="C83" s="331" t="s">
        <v>134</v>
      </c>
      <c r="D83" s="331" t="s">
        <v>166</v>
      </c>
      <c r="E83" s="339" t="s">
        <v>890</v>
      </c>
      <c r="F83" s="331" t="s">
        <v>150</v>
      </c>
      <c r="G83" s="336">
        <f>0.5</f>
        <v>0.5</v>
      </c>
      <c r="H83" s="336">
        <f t="shared" si="4"/>
        <v>0.5</v>
      </c>
      <c r="I83" s="214"/>
    </row>
    <row r="84" spans="1:9" ht="47.25" hidden="1" x14ac:dyDescent="0.25">
      <c r="A84" s="33" t="s">
        <v>207</v>
      </c>
      <c r="B84" s="329">
        <v>902</v>
      </c>
      <c r="C84" s="331" t="s">
        <v>134</v>
      </c>
      <c r="D84" s="331" t="s">
        <v>166</v>
      </c>
      <c r="E84" s="331" t="s">
        <v>891</v>
      </c>
      <c r="F84" s="331"/>
      <c r="G84" s="336">
        <f>'Пр.4 ведом.20'!G84</f>
        <v>0</v>
      </c>
      <c r="H84" s="336">
        <f t="shared" si="4"/>
        <v>0</v>
      </c>
      <c r="I84" s="214"/>
    </row>
    <row r="85" spans="1:9" ht="31.5" hidden="1" x14ac:dyDescent="0.25">
      <c r="A85" s="335" t="s">
        <v>147</v>
      </c>
      <c r="B85" s="329">
        <v>902</v>
      </c>
      <c r="C85" s="331" t="s">
        <v>134</v>
      </c>
      <c r="D85" s="331" t="s">
        <v>166</v>
      </c>
      <c r="E85" s="331" t="s">
        <v>891</v>
      </c>
      <c r="F85" s="331" t="s">
        <v>148</v>
      </c>
      <c r="G85" s="336">
        <f>'Пр.4 ведом.20'!G85</f>
        <v>0</v>
      </c>
      <c r="H85" s="336">
        <f t="shared" si="4"/>
        <v>0</v>
      </c>
      <c r="I85" s="214"/>
    </row>
    <row r="86" spans="1:9" ht="31.5" hidden="1" x14ac:dyDescent="0.25">
      <c r="A86" s="335" t="s">
        <v>149</v>
      </c>
      <c r="B86" s="329">
        <v>902</v>
      </c>
      <c r="C86" s="331" t="s">
        <v>134</v>
      </c>
      <c r="D86" s="331" t="s">
        <v>166</v>
      </c>
      <c r="E86" s="331" t="s">
        <v>891</v>
      </c>
      <c r="F86" s="331" t="s">
        <v>150</v>
      </c>
      <c r="G86" s="336">
        <f>'Пр.4 ведом.20'!G86</f>
        <v>0</v>
      </c>
      <c r="H86" s="336">
        <f t="shared" si="4"/>
        <v>0</v>
      </c>
      <c r="I86" s="214"/>
    </row>
    <row r="87" spans="1:9" ht="47.25" x14ac:dyDescent="0.25">
      <c r="A87" s="333" t="s">
        <v>135</v>
      </c>
      <c r="B87" s="330">
        <v>902</v>
      </c>
      <c r="C87" s="334" t="s">
        <v>134</v>
      </c>
      <c r="D87" s="334" t="s">
        <v>136</v>
      </c>
      <c r="E87" s="334"/>
      <c r="F87" s="331"/>
      <c r="G87" s="332">
        <f>G88</f>
        <v>940</v>
      </c>
      <c r="H87" s="332">
        <f>H88</f>
        <v>940</v>
      </c>
      <c r="I87" s="214"/>
    </row>
    <row r="88" spans="1:9" ht="31.5" x14ac:dyDescent="0.25">
      <c r="A88" s="333" t="s">
        <v>990</v>
      </c>
      <c r="B88" s="330">
        <v>902</v>
      </c>
      <c r="C88" s="334" t="s">
        <v>134</v>
      </c>
      <c r="D88" s="334" t="s">
        <v>136</v>
      </c>
      <c r="E88" s="334" t="s">
        <v>904</v>
      </c>
      <c r="F88" s="334"/>
      <c r="G88" s="332">
        <f>G89</f>
        <v>940</v>
      </c>
      <c r="H88" s="332">
        <f>H89</f>
        <v>940</v>
      </c>
      <c r="I88" s="214"/>
    </row>
    <row r="89" spans="1:9" ht="15.75" x14ac:dyDescent="0.25">
      <c r="A89" s="333" t="s">
        <v>991</v>
      </c>
      <c r="B89" s="330">
        <v>902</v>
      </c>
      <c r="C89" s="334" t="s">
        <v>134</v>
      </c>
      <c r="D89" s="334" t="s">
        <v>136</v>
      </c>
      <c r="E89" s="334" t="s">
        <v>905</v>
      </c>
      <c r="F89" s="334"/>
      <c r="G89" s="332">
        <f>G90+G93</f>
        <v>940</v>
      </c>
      <c r="H89" s="332">
        <f>H90+H93</f>
        <v>940</v>
      </c>
      <c r="I89" s="214"/>
    </row>
    <row r="90" spans="1:9" ht="31.5" x14ac:dyDescent="0.25">
      <c r="A90" s="335" t="s">
        <v>967</v>
      </c>
      <c r="B90" s="329">
        <v>902</v>
      </c>
      <c r="C90" s="331" t="s">
        <v>134</v>
      </c>
      <c r="D90" s="331" t="s">
        <v>136</v>
      </c>
      <c r="E90" s="331" t="s">
        <v>906</v>
      </c>
      <c r="F90" s="331"/>
      <c r="G90" s="336">
        <f>G91</f>
        <v>899</v>
      </c>
      <c r="H90" s="336">
        <f>H91</f>
        <v>899</v>
      </c>
      <c r="I90" s="214"/>
    </row>
    <row r="91" spans="1:9" ht="78.75" x14ac:dyDescent="0.25">
      <c r="A91" s="335" t="s">
        <v>143</v>
      </c>
      <c r="B91" s="329">
        <v>902</v>
      </c>
      <c r="C91" s="331" t="s">
        <v>134</v>
      </c>
      <c r="D91" s="331" t="s">
        <v>136</v>
      </c>
      <c r="E91" s="331" t="s">
        <v>906</v>
      </c>
      <c r="F91" s="331" t="s">
        <v>144</v>
      </c>
      <c r="G91" s="336">
        <f>G92</f>
        <v>899</v>
      </c>
      <c r="H91" s="336">
        <f>H92</f>
        <v>899</v>
      </c>
      <c r="I91" s="214"/>
    </row>
    <row r="92" spans="1:9" ht="31.5" x14ac:dyDescent="0.25">
      <c r="A92" s="335" t="s">
        <v>145</v>
      </c>
      <c r="B92" s="329">
        <v>902</v>
      </c>
      <c r="C92" s="331" t="s">
        <v>134</v>
      </c>
      <c r="D92" s="331" t="s">
        <v>136</v>
      </c>
      <c r="E92" s="331" t="s">
        <v>906</v>
      </c>
      <c r="F92" s="331" t="s">
        <v>146</v>
      </c>
      <c r="G92" s="336">
        <f>899</f>
        <v>899</v>
      </c>
      <c r="H92" s="336">
        <f t="shared" si="4"/>
        <v>899</v>
      </c>
      <c r="I92" s="214"/>
    </row>
    <row r="93" spans="1:9" ht="47.25" x14ac:dyDescent="0.25">
      <c r="A93" s="335" t="s">
        <v>885</v>
      </c>
      <c r="B93" s="329">
        <v>902</v>
      </c>
      <c r="C93" s="331" t="s">
        <v>134</v>
      </c>
      <c r="D93" s="331" t="s">
        <v>136</v>
      </c>
      <c r="E93" s="331" t="s">
        <v>908</v>
      </c>
      <c r="F93" s="331"/>
      <c r="G93" s="336">
        <f>G94</f>
        <v>41</v>
      </c>
      <c r="H93" s="336">
        <f>H94</f>
        <v>41</v>
      </c>
      <c r="I93" s="214"/>
    </row>
    <row r="94" spans="1:9" ht="78.75" x14ac:dyDescent="0.25">
      <c r="A94" s="335" t="s">
        <v>143</v>
      </c>
      <c r="B94" s="329">
        <v>902</v>
      </c>
      <c r="C94" s="331" t="s">
        <v>134</v>
      </c>
      <c r="D94" s="331" t="s">
        <v>136</v>
      </c>
      <c r="E94" s="331" t="s">
        <v>908</v>
      </c>
      <c r="F94" s="331" t="s">
        <v>144</v>
      </c>
      <c r="G94" s="336">
        <f>G95</f>
        <v>41</v>
      </c>
      <c r="H94" s="336">
        <f>H95</f>
        <v>41</v>
      </c>
      <c r="I94" s="214"/>
    </row>
    <row r="95" spans="1:9" ht="31.5" x14ac:dyDescent="0.25">
      <c r="A95" s="335" t="s">
        <v>145</v>
      </c>
      <c r="B95" s="329">
        <v>902</v>
      </c>
      <c r="C95" s="331" t="s">
        <v>134</v>
      </c>
      <c r="D95" s="331" t="s">
        <v>136</v>
      </c>
      <c r="E95" s="331" t="s">
        <v>908</v>
      </c>
      <c r="F95" s="331" t="s">
        <v>146</v>
      </c>
      <c r="G95" s="336">
        <f>41</f>
        <v>41</v>
      </c>
      <c r="H95" s="336">
        <f t="shared" si="4"/>
        <v>41</v>
      </c>
      <c r="I95" s="214"/>
    </row>
    <row r="96" spans="1:9" s="213" customFormat="1" ht="15.75" hidden="1" x14ac:dyDescent="0.25">
      <c r="A96" s="333" t="s">
        <v>1368</v>
      </c>
      <c r="B96" s="330">
        <v>902</v>
      </c>
      <c r="C96" s="334" t="s">
        <v>134</v>
      </c>
      <c r="D96" s="334" t="s">
        <v>280</v>
      </c>
      <c r="E96" s="334"/>
      <c r="F96" s="331"/>
      <c r="G96" s="332">
        <f t="shared" ref="G96:H98" si="5">G97</f>
        <v>0</v>
      </c>
      <c r="H96" s="332">
        <f t="shared" si="5"/>
        <v>0</v>
      </c>
      <c r="I96" s="214"/>
    </row>
    <row r="97" spans="1:9" s="213" customFormat="1" ht="15.75" hidden="1" x14ac:dyDescent="0.25">
      <c r="A97" s="333" t="s">
        <v>157</v>
      </c>
      <c r="B97" s="330">
        <v>902</v>
      </c>
      <c r="C97" s="334" t="s">
        <v>134</v>
      </c>
      <c r="D97" s="334" t="s">
        <v>280</v>
      </c>
      <c r="E97" s="334" t="s">
        <v>912</v>
      </c>
      <c r="F97" s="331"/>
      <c r="G97" s="332">
        <f t="shared" si="5"/>
        <v>0</v>
      </c>
      <c r="H97" s="332">
        <f t="shared" si="5"/>
        <v>0</v>
      </c>
      <c r="I97" s="214"/>
    </row>
    <row r="98" spans="1:9" s="213" customFormat="1" ht="31.5" hidden="1" x14ac:dyDescent="0.25">
      <c r="A98" s="333" t="s">
        <v>916</v>
      </c>
      <c r="B98" s="330">
        <v>902</v>
      </c>
      <c r="C98" s="334" t="s">
        <v>134</v>
      </c>
      <c r="D98" s="334" t="s">
        <v>280</v>
      </c>
      <c r="E98" s="334" t="s">
        <v>911</v>
      </c>
      <c r="F98" s="331"/>
      <c r="G98" s="332">
        <f t="shared" si="5"/>
        <v>0</v>
      </c>
      <c r="H98" s="332">
        <f t="shared" si="5"/>
        <v>0</v>
      </c>
      <c r="I98" s="214"/>
    </row>
    <row r="99" spans="1:9" s="213" customFormat="1" ht="15.75" hidden="1" x14ac:dyDescent="0.25">
      <c r="A99" s="45" t="s">
        <v>215</v>
      </c>
      <c r="B99" s="329">
        <v>902</v>
      </c>
      <c r="C99" s="331" t="s">
        <v>134</v>
      </c>
      <c r="D99" s="331" t="s">
        <v>280</v>
      </c>
      <c r="E99" s="331" t="s">
        <v>1367</v>
      </c>
      <c r="F99" s="331"/>
      <c r="G99" s="336">
        <f>G100+G102</f>
        <v>0</v>
      </c>
      <c r="H99" s="336">
        <f>H100+H102</f>
        <v>0</v>
      </c>
      <c r="I99" s="214"/>
    </row>
    <row r="100" spans="1:9" s="213" customFormat="1" ht="78.75" hidden="1" x14ac:dyDescent="0.25">
      <c r="A100" s="335" t="s">
        <v>143</v>
      </c>
      <c r="B100" s="329">
        <v>902</v>
      </c>
      <c r="C100" s="331" t="s">
        <v>134</v>
      </c>
      <c r="D100" s="331" t="s">
        <v>280</v>
      </c>
      <c r="E100" s="331" t="s">
        <v>1367</v>
      </c>
      <c r="F100" s="331" t="s">
        <v>144</v>
      </c>
      <c r="G100" s="336">
        <f>G101</f>
        <v>0</v>
      </c>
      <c r="H100" s="336">
        <f>H101</f>
        <v>0</v>
      </c>
      <c r="I100" s="214"/>
    </row>
    <row r="101" spans="1:9" s="213" customFormat="1" ht="31.5" hidden="1" x14ac:dyDescent="0.25">
      <c r="A101" s="335" t="s">
        <v>145</v>
      </c>
      <c r="B101" s="329">
        <v>902</v>
      </c>
      <c r="C101" s="331" t="s">
        <v>134</v>
      </c>
      <c r="D101" s="331" t="s">
        <v>280</v>
      </c>
      <c r="E101" s="331" t="s">
        <v>1367</v>
      </c>
      <c r="F101" s="331" t="s">
        <v>146</v>
      </c>
      <c r="G101" s="336">
        <v>0</v>
      </c>
      <c r="H101" s="336">
        <v>0</v>
      </c>
      <c r="I101" s="214"/>
    </row>
    <row r="102" spans="1:9" s="213" customFormat="1" ht="31.5" hidden="1" x14ac:dyDescent="0.25">
      <c r="A102" s="335" t="s">
        <v>214</v>
      </c>
      <c r="B102" s="329">
        <v>902</v>
      </c>
      <c r="C102" s="331" t="s">
        <v>134</v>
      </c>
      <c r="D102" s="331" t="s">
        <v>280</v>
      </c>
      <c r="E102" s="331" t="s">
        <v>1367</v>
      </c>
      <c r="F102" s="331" t="s">
        <v>148</v>
      </c>
      <c r="G102" s="336">
        <f>G103</f>
        <v>0</v>
      </c>
      <c r="H102" s="336">
        <f>H103</f>
        <v>0</v>
      </c>
      <c r="I102" s="214"/>
    </row>
    <row r="103" spans="1:9" s="213" customFormat="1" ht="31.5" hidden="1" x14ac:dyDescent="0.25">
      <c r="A103" s="335" t="s">
        <v>149</v>
      </c>
      <c r="B103" s="329">
        <v>902</v>
      </c>
      <c r="C103" s="331" t="s">
        <v>134</v>
      </c>
      <c r="D103" s="331" t="s">
        <v>280</v>
      </c>
      <c r="E103" s="331" t="s">
        <v>1367</v>
      </c>
      <c r="F103" s="331" t="s">
        <v>150</v>
      </c>
      <c r="G103" s="336">
        <v>0</v>
      </c>
      <c r="H103" s="336">
        <v>0</v>
      </c>
      <c r="I103" s="214"/>
    </row>
    <row r="104" spans="1:9" ht="15.75" x14ac:dyDescent="0.25">
      <c r="A104" s="333" t="s">
        <v>155</v>
      </c>
      <c r="B104" s="330">
        <v>902</v>
      </c>
      <c r="C104" s="334" t="s">
        <v>134</v>
      </c>
      <c r="D104" s="334" t="s">
        <v>156</v>
      </c>
      <c r="E104" s="334"/>
      <c r="F104" s="334"/>
      <c r="G104" s="332">
        <f>G115+G124+G105+G129</f>
        <v>6860</v>
      </c>
      <c r="H104" s="332">
        <f>H115+H124+H105+H129</f>
        <v>6860</v>
      </c>
      <c r="I104" s="214"/>
    </row>
    <row r="105" spans="1:9" ht="15.75" x14ac:dyDescent="0.25">
      <c r="A105" s="333" t="s">
        <v>157</v>
      </c>
      <c r="B105" s="330">
        <v>902</v>
      </c>
      <c r="C105" s="334" t="s">
        <v>134</v>
      </c>
      <c r="D105" s="334" t="s">
        <v>156</v>
      </c>
      <c r="E105" s="334" t="s">
        <v>912</v>
      </c>
      <c r="F105" s="334"/>
      <c r="G105" s="332">
        <f>G106</f>
        <v>6680</v>
      </c>
      <c r="H105" s="332">
        <f>H106</f>
        <v>6680</v>
      </c>
      <c r="I105" s="214"/>
    </row>
    <row r="106" spans="1:9" ht="31.5" x14ac:dyDescent="0.25">
      <c r="A106" s="333" t="s">
        <v>995</v>
      </c>
      <c r="B106" s="330">
        <v>902</v>
      </c>
      <c r="C106" s="334" t="s">
        <v>134</v>
      </c>
      <c r="D106" s="334" t="s">
        <v>156</v>
      </c>
      <c r="E106" s="334" t="s">
        <v>913</v>
      </c>
      <c r="F106" s="334"/>
      <c r="G106" s="332">
        <f>G107+G112</f>
        <v>6680</v>
      </c>
      <c r="H106" s="332">
        <f>H107+H112</f>
        <v>6680</v>
      </c>
      <c r="I106" s="214"/>
    </row>
    <row r="107" spans="1:9" ht="31.5" x14ac:dyDescent="0.25">
      <c r="A107" s="335" t="s">
        <v>1001</v>
      </c>
      <c r="B107" s="329">
        <v>902</v>
      </c>
      <c r="C107" s="331" t="s">
        <v>134</v>
      </c>
      <c r="D107" s="331" t="s">
        <v>156</v>
      </c>
      <c r="E107" s="331" t="s">
        <v>914</v>
      </c>
      <c r="F107" s="331"/>
      <c r="G107" s="336">
        <f>G108+G110</f>
        <v>6554</v>
      </c>
      <c r="H107" s="336">
        <f>H108+H110</f>
        <v>6554</v>
      </c>
      <c r="I107" s="214"/>
    </row>
    <row r="108" spans="1:9" ht="78.75" x14ac:dyDescent="0.25">
      <c r="A108" s="335" t="s">
        <v>143</v>
      </c>
      <c r="B108" s="329">
        <v>902</v>
      </c>
      <c r="C108" s="331" t="s">
        <v>134</v>
      </c>
      <c r="D108" s="331" t="s">
        <v>156</v>
      </c>
      <c r="E108" s="331" t="s">
        <v>914</v>
      </c>
      <c r="F108" s="331" t="s">
        <v>144</v>
      </c>
      <c r="G108" s="336">
        <f>G109</f>
        <v>5343</v>
      </c>
      <c r="H108" s="336">
        <f>H109</f>
        <v>5343</v>
      </c>
      <c r="I108" s="214"/>
    </row>
    <row r="109" spans="1:9" ht="15.75" x14ac:dyDescent="0.25">
      <c r="A109" s="335" t="s">
        <v>224</v>
      </c>
      <c r="B109" s="329">
        <v>902</v>
      </c>
      <c r="C109" s="331" t="s">
        <v>134</v>
      </c>
      <c r="D109" s="331" t="s">
        <v>156</v>
      </c>
      <c r="E109" s="331" t="s">
        <v>914</v>
      </c>
      <c r="F109" s="331" t="s">
        <v>225</v>
      </c>
      <c r="G109" s="336">
        <f>5343</f>
        <v>5343</v>
      </c>
      <c r="H109" s="336">
        <f t="shared" si="4"/>
        <v>5343</v>
      </c>
      <c r="I109" s="214"/>
    </row>
    <row r="110" spans="1:9" ht="31.5" x14ac:dyDescent="0.25">
      <c r="A110" s="335" t="s">
        <v>214</v>
      </c>
      <c r="B110" s="329">
        <v>902</v>
      </c>
      <c r="C110" s="331" t="s">
        <v>134</v>
      </c>
      <c r="D110" s="331" t="s">
        <v>156</v>
      </c>
      <c r="E110" s="331" t="s">
        <v>914</v>
      </c>
      <c r="F110" s="331" t="s">
        <v>148</v>
      </c>
      <c r="G110" s="336">
        <f>G111</f>
        <v>1211</v>
      </c>
      <c r="H110" s="336">
        <f>H111</f>
        <v>1211</v>
      </c>
      <c r="I110" s="214"/>
    </row>
    <row r="111" spans="1:9" ht="31.5" x14ac:dyDescent="0.25">
      <c r="A111" s="335" t="s">
        <v>149</v>
      </c>
      <c r="B111" s="329">
        <v>902</v>
      </c>
      <c r="C111" s="331" t="s">
        <v>134</v>
      </c>
      <c r="D111" s="331" t="s">
        <v>156</v>
      </c>
      <c r="E111" s="331" t="s">
        <v>914</v>
      </c>
      <c r="F111" s="331" t="s">
        <v>150</v>
      </c>
      <c r="G111" s="336">
        <f>1211</f>
        <v>1211</v>
      </c>
      <c r="H111" s="336">
        <f t="shared" si="4"/>
        <v>1211</v>
      </c>
      <c r="I111" s="214"/>
    </row>
    <row r="112" spans="1:9" ht="47.25" x14ac:dyDescent="0.25">
      <c r="A112" s="335" t="s">
        <v>885</v>
      </c>
      <c r="B112" s="329">
        <v>902</v>
      </c>
      <c r="C112" s="331" t="s">
        <v>134</v>
      </c>
      <c r="D112" s="331" t="s">
        <v>156</v>
      </c>
      <c r="E112" s="331" t="s">
        <v>915</v>
      </c>
      <c r="F112" s="331"/>
      <c r="G112" s="336">
        <f>G113</f>
        <v>126</v>
      </c>
      <c r="H112" s="336">
        <f>H113</f>
        <v>126</v>
      </c>
      <c r="I112" s="214"/>
    </row>
    <row r="113" spans="1:9" ht="78.75" x14ac:dyDescent="0.25">
      <c r="A113" s="335" t="s">
        <v>143</v>
      </c>
      <c r="B113" s="329">
        <v>902</v>
      </c>
      <c r="C113" s="331" t="s">
        <v>134</v>
      </c>
      <c r="D113" s="331" t="s">
        <v>156</v>
      </c>
      <c r="E113" s="331" t="s">
        <v>915</v>
      </c>
      <c r="F113" s="331" t="s">
        <v>144</v>
      </c>
      <c r="G113" s="336">
        <f>G114</f>
        <v>126</v>
      </c>
      <c r="H113" s="336">
        <f>H114</f>
        <v>126</v>
      </c>
      <c r="I113" s="214"/>
    </row>
    <row r="114" spans="1:9" ht="15.75" x14ac:dyDescent="0.25">
      <c r="A114" s="335" t="s">
        <v>224</v>
      </c>
      <c r="B114" s="329">
        <v>902</v>
      </c>
      <c r="C114" s="331" t="s">
        <v>134</v>
      </c>
      <c r="D114" s="331" t="s">
        <v>156</v>
      </c>
      <c r="E114" s="331" t="s">
        <v>915</v>
      </c>
      <c r="F114" s="331" t="s">
        <v>225</v>
      </c>
      <c r="G114" s="336">
        <f>126</f>
        <v>126</v>
      </c>
      <c r="H114" s="336">
        <f t="shared" si="4"/>
        <v>126</v>
      </c>
      <c r="I114" s="214"/>
    </row>
    <row r="115" spans="1:9" ht="63" x14ac:dyDescent="0.25">
      <c r="A115" s="41" t="s">
        <v>1420</v>
      </c>
      <c r="B115" s="330">
        <v>902</v>
      </c>
      <c r="C115" s="334" t="s">
        <v>134</v>
      </c>
      <c r="D115" s="334" t="s">
        <v>156</v>
      </c>
      <c r="E115" s="334" t="s">
        <v>728</v>
      </c>
      <c r="F115" s="231"/>
      <c r="G115" s="332">
        <f>G116+G120</f>
        <v>40</v>
      </c>
      <c r="H115" s="332">
        <f>H116+H120</f>
        <v>40</v>
      </c>
      <c r="I115" s="214"/>
    </row>
    <row r="116" spans="1:9" ht="47.25" x14ac:dyDescent="0.25">
      <c r="A116" s="219" t="s">
        <v>892</v>
      </c>
      <c r="B116" s="330">
        <v>902</v>
      </c>
      <c r="C116" s="334" t="s">
        <v>134</v>
      </c>
      <c r="D116" s="334" t="s">
        <v>156</v>
      </c>
      <c r="E116" s="334" t="s">
        <v>898</v>
      </c>
      <c r="F116" s="231"/>
      <c r="G116" s="332">
        <f t="shared" ref="G116:H118" si="6">G117</f>
        <v>25</v>
      </c>
      <c r="H116" s="332">
        <f t="shared" si="6"/>
        <v>25</v>
      </c>
      <c r="I116" s="214"/>
    </row>
    <row r="117" spans="1:9" ht="31.5" x14ac:dyDescent="0.25">
      <c r="A117" s="99" t="s">
        <v>799</v>
      </c>
      <c r="B117" s="329">
        <v>902</v>
      </c>
      <c r="C117" s="331" t="s">
        <v>134</v>
      </c>
      <c r="D117" s="331" t="s">
        <v>156</v>
      </c>
      <c r="E117" s="331" t="s">
        <v>893</v>
      </c>
      <c r="F117" s="32"/>
      <c r="G117" s="336">
        <f t="shared" si="6"/>
        <v>25</v>
      </c>
      <c r="H117" s="336">
        <f t="shared" si="6"/>
        <v>25</v>
      </c>
      <c r="I117" s="214"/>
    </row>
    <row r="118" spans="1:9" ht="31.5" x14ac:dyDescent="0.25">
      <c r="A118" s="335" t="s">
        <v>147</v>
      </c>
      <c r="B118" s="329">
        <v>902</v>
      </c>
      <c r="C118" s="331" t="s">
        <v>134</v>
      </c>
      <c r="D118" s="331" t="s">
        <v>156</v>
      </c>
      <c r="E118" s="331" t="s">
        <v>893</v>
      </c>
      <c r="F118" s="32" t="s">
        <v>148</v>
      </c>
      <c r="G118" s="336">
        <f t="shared" si="6"/>
        <v>25</v>
      </c>
      <c r="H118" s="336">
        <f t="shared" si="6"/>
        <v>25</v>
      </c>
      <c r="I118" s="214"/>
    </row>
    <row r="119" spans="1:9" ht="31.5" x14ac:dyDescent="0.25">
      <c r="A119" s="335" t="s">
        <v>149</v>
      </c>
      <c r="B119" s="329">
        <v>902</v>
      </c>
      <c r="C119" s="331" t="s">
        <v>134</v>
      </c>
      <c r="D119" s="331" t="s">
        <v>156</v>
      </c>
      <c r="E119" s="331" t="s">
        <v>893</v>
      </c>
      <c r="F119" s="32" t="s">
        <v>150</v>
      </c>
      <c r="G119" s="336">
        <v>25</v>
      </c>
      <c r="H119" s="336">
        <v>25</v>
      </c>
      <c r="I119" s="214"/>
    </row>
    <row r="120" spans="1:9" ht="31.5" x14ac:dyDescent="0.25">
      <c r="A120" s="220" t="s">
        <v>1188</v>
      </c>
      <c r="B120" s="330">
        <v>902</v>
      </c>
      <c r="C120" s="334" t="s">
        <v>134</v>
      </c>
      <c r="D120" s="334" t="s">
        <v>156</v>
      </c>
      <c r="E120" s="334" t="s">
        <v>899</v>
      </c>
      <c r="F120" s="231"/>
      <c r="G120" s="332">
        <f t="shared" ref="G120:H122" si="7">G121</f>
        <v>15</v>
      </c>
      <c r="H120" s="332">
        <f t="shared" si="7"/>
        <v>15</v>
      </c>
      <c r="I120" s="214"/>
    </row>
    <row r="121" spans="1:9" ht="31.5" x14ac:dyDescent="0.25">
      <c r="A121" s="99" t="s">
        <v>800</v>
      </c>
      <c r="B121" s="329">
        <v>902</v>
      </c>
      <c r="C121" s="331" t="s">
        <v>134</v>
      </c>
      <c r="D121" s="331" t="s">
        <v>156</v>
      </c>
      <c r="E121" s="331" t="s">
        <v>894</v>
      </c>
      <c r="F121" s="32"/>
      <c r="G121" s="336">
        <f t="shared" si="7"/>
        <v>15</v>
      </c>
      <c r="H121" s="336">
        <f t="shared" si="7"/>
        <v>15</v>
      </c>
      <c r="I121" s="214"/>
    </row>
    <row r="122" spans="1:9" ht="31.5" x14ac:dyDescent="0.25">
      <c r="A122" s="335" t="s">
        <v>147</v>
      </c>
      <c r="B122" s="329">
        <v>902</v>
      </c>
      <c r="C122" s="331" t="s">
        <v>134</v>
      </c>
      <c r="D122" s="331" t="s">
        <v>156</v>
      </c>
      <c r="E122" s="331" t="s">
        <v>894</v>
      </c>
      <c r="F122" s="32" t="s">
        <v>148</v>
      </c>
      <c r="G122" s="336">
        <f t="shared" si="7"/>
        <v>15</v>
      </c>
      <c r="H122" s="336">
        <f t="shared" si="7"/>
        <v>15</v>
      </c>
      <c r="I122" s="214"/>
    </row>
    <row r="123" spans="1:9" ht="31.5" x14ac:dyDescent="0.25">
      <c r="A123" s="335" t="s">
        <v>149</v>
      </c>
      <c r="B123" s="329">
        <v>902</v>
      </c>
      <c r="C123" s="331" t="s">
        <v>134</v>
      </c>
      <c r="D123" s="331" t="s">
        <v>156</v>
      </c>
      <c r="E123" s="331" t="s">
        <v>894</v>
      </c>
      <c r="F123" s="32" t="s">
        <v>150</v>
      </c>
      <c r="G123" s="336">
        <f>15</f>
        <v>15</v>
      </c>
      <c r="H123" s="336">
        <f t="shared" si="4"/>
        <v>15</v>
      </c>
      <c r="I123" s="214"/>
    </row>
    <row r="124" spans="1:9" ht="78.75" x14ac:dyDescent="0.25">
      <c r="A124" s="41" t="s">
        <v>1419</v>
      </c>
      <c r="B124" s="330">
        <v>902</v>
      </c>
      <c r="C124" s="8" t="s">
        <v>134</v>
      </c>
      <c r="D124" s="8" t="s">
        <v>156</v>
      </c>
      <c r="E124" s="347" t="s">
        <v>861</v>
      </c>
      <c r="F124" s="8"/>
      <c r="G124" s="332">
        <f t="shared" ref="G124:H127" si="8">G125</f>
        <v>40</v>
      </c>
      <c r="H124" s="332">
        <f t="shared" si="8"/>
        <v>40</v>
      </c>
      <c r="I124" s="214"/>
    </row>
    <row r="125" spans="1:9" ht="47.25" x14ac:dyDescent="0.25">
      <c r="A125" s="221" t="s">
        <v>900</v>
      </c>
      <c r="B125" s="330">
        <v>902</v>
      </c>
      <c r="C125" s="8" t="s">
        <v>134</v>
      </c>
      <c r="D125" s="8" t="s">
        <v>156</v>
      </c>
      <c r="E125" s="206" t="s">
        <v>1262</v>
      </c>
      <c r="F125" s="8"/>
      <c r="G125" s="332">
        <f t="shared" si="8"/>
        <v>40</v>
      </c>
      <c r="H125" s="332">
        <f t="shared" si="8"/>
        <v>40</v>
      </c>
      <c r="I125" s="214"/>
    </row>
    <row r="126" spans="1:9" ht="31.5" x14ac:dyDescent="0.25">
      <c r="A126" s="98" t="s">
        <v>187</v>
      </c>
      <c r="B126" s="329">
        <v>902</v>
      </c>
      <c r="C126" s="9" t="s">
        <v>134</v>
      </c>
      <c r="D126" s="9" t="s">
        <v>156</v>
      </c>
      <c r="E126" s="326" t="s">
        <v>901</v>
      </c>
      <c r="F126" s="9"/>
      <c r="G126" s="336">
        <f t="shared" si="8"/>
        <v>40</v>
      </c>
      <c r="H126" s="336">
        <f t="shared" si="8"/>
        <v>40</v>
      </c>
      <c r="I126" s="214"/>
    </row>
    <row r="127" spans="1:9" ht="31.5" x14ac:dyDescent="0.25">
      <c r="A127" s="335" t="s">
        <v>147</v>
      </c>
      <c r="B127" s="329">
        <v>902</v>
      </c>
      <c r="C127" s="9" t="s">
        <v>134</v>
      </c>
      <c r="D127" s="9" t="s">
        <v>156</v>
      </c>
      <c r="E127" s="326" t="s">
        <v>901</v>
      </c>
      <c r="F127" s="9" t="s">
        <v>148</v>
      </c>
      <c r="G127" s="336">
        <f t="shared" si="8"/>
        <v>40</v>
      </c>
      <c r="H127" s="336">
        <f t="shared" si="8"/>
        <v>40</v>
      </c>
      <c r="I127" s="214"/>
    </row>
    <row r="128" spans="1:9" ht="31.5" x14ac:dyDescent="0.25">
      <c r="A128" s="335" t="s">
        <v>149</v>
      </c>
      <c r="B128" s="329">
        <v>902</v>
      </c>
      <c r="C128" s="9" t="s">
        <v>134</v>
      </c>
      <c r="D128" s="9" t="s">
        <v>156</v>
      </c>
      <c r="E128" s="326" t="s">
        <v>901</v>
      </c>
      <c r="F128" s="9" t="s">
        <v>150</v>
      </c>
      <c r="G128" s="336">
        <v>40</v>
      </c>
      <c r="H128" s="336">
        <v>40</v>
      </c>
      <c r="I128" s="214"/>
    </row>
    <row r="129" spans="1:9" ht="63" x14ac:dyDescent="0.25">
      <c r="A129" s="41" t="s">
        <v>1418</v>
      </c>
      <c r="B129" s="330">
        <v>902</v>
      </c>
      <c r="C129" s="8" t="s">
        <v>134</v>
      </c>
      <c r="D129" s="8" t="s">
        <v>156</v>
      </c>
      <c r="E129" s="206" t="s">
        <v>862</v>
      </c>
      <c r="F129" s="8"/>
      <c r="G129" s="332">
        <f>G131</f>
        <v>100</v>
      </c>
      <c r="H129" s="332">
        <f>H131</f>
        <v>100</v>
      </c>
      <c r="I129" s="214"/>
    </row>
    <row r="130" spans="1:9" ht="31.5" x14ac:dyDescent="0.25">
      <c r="A130" s="58" t="s">
        <v>902</v>
      </c>
      <c r="B130" s="330">
        <v>902</v>
      </c>
      <c r="C130" s="8" t="s">
        <v>134</v>
      </c>
      <c r="D130" s="8" t="s">
        <v>156</v>
      </c>
      <c r="E130" s="206" t="s">
        <v>910</v>
      </c>
      <c r="F130" s="8"/>
      <c r="G130" s="332">
        <f t="shared" ref="G130:H132" si="9">G131</f>
        <v>100</v>
      </c>
      <c r="H130" s="332">
        <f t="shared" si="9"/>
        <v>100</v>
      </c>
      <c r="I130" s="214"/>
    </row>
    <row r="131" spans="1:9" ht="15.75" x14ac:dyDescent="0.25">
      <c r="A131" s="45" t="s">
        <v>867</v>
      </c>
      <c r="B131" s="329">
        <v>902</v>
      </c>
      <c r="C131" s="9" t="s">
        <v>134</v>
      </c>
      <c r="D131" s="9" t="s">
        <v>156</v>
      </c>
      <c r="E131" s="326" t="s">
        <v>903</v>
      </c>
      <c r="F131" s="9"/>
      <c r="G131" s="336">
        <f t="shared" si="9"/>
        <v>100</v>
      </c>
      <c r="H131" s="336">
        <f t="shared" si="9"/>
        <v>100</v>
      </c>
      <c r="I131" s="214"/>
    </row>
    <row r="132" spans="1:9" ht="31.5" x14ac:dyDescent="0.25">
      <c r="A132" s="335" t="s">
        <v>147</v>
      </c>
      <c r="B132" s="329">
        <v>902</v>
      </c>
      <c r="C132" s="9" t="s">
        <v>134</v>
      </c>
      <c r="D132" s="9" t="s">
        <v>156</v>
      </c>
      <c r="E132" s="326" t="s">
        <v>903</v>
      </c>
      <c r="F132" s="9" t="s">
        <v>148</v>
      </c>
      <c r="G132" s="336">
        <f t="shared" si="9"/>
        <v>100</v>
      </c>
      <c r="H132" s="336">
        <f t="shared" si="9"/>
        <v>100</v>
      </c>
      <c r="I132" s="214"/>
    </row>
    <row r="133" spans="1:9" ht="31.5" x14ac:dyDescent="0.25">
      <c r="A133" s="335" t="s">
        <v>149</v>
      </c>
      <c r="B133" s="329">
        <v>902</v>
      </c>
      <c r="C133" s="9" t="s">
        <v>134</v>
      </c>
      <c r="D133" s="9" t="s">
        <v>156</v>
      </c>
      <c r="E133" s="326" t="s">
        <v>903</v>
      </c>
      <c r="F133" s="9" t="s">
        <v>150</v>
      </c>
      <c r="G133" s="336">
        <v>100</v>
      </c>
      <c r="H133" s="336">
        <v>100</v>
      </c>
      <c r="I133" s="214"/>
    </row>
    <row r="134" spans="1:9" ht="15.75" hidden="1" x14ac:dyDescent="0.25">
      <c r="A134" s="333" t="s">
        <v>228</v>
      </c>
      <c r="B134" s="330">
        <v>902</v>
      </c>
      <c r="C134" s="334" t="s">
        <v>229</v>
      </c>
      <c r="D134" s="334"/>
      <c r="E134" s="334"/>
      <c r="F134" s="334"/>
      <c r="G134" s="332">
        <f t="shared" ref="G134:H137" si="10">G135</f>
        <v>0</v>
      </c>
      <c r="H134" s="332">
        <f t="shared" si="10"/>
        <v>0</v>
      </c>
      <c r="I134" s="214"/>
    </row>
    <row r="135" spans="1:9" ht="15.75" hidden="1" x14ac:dyDescent="0.25">
      <c r="A135" s="333" t="s">
        <v>234</v>
      </c>
      <c r="B135" s="330">
        <v>902</v>
      </c>
      <c r="C135" s="334" t="s">
        <v>229</v>
      </c>
      <c r="D135" s="334" t="s">
        <v>235</v>
      </c>
      <c r="E135" s="334"/>
      <c r="F135" s="334"/>
      <c r="G135" s="332">
        <f t="shared" si="10"/>
        <v>0</v>
      </c>
      <c r="H135" s="332">
        <f t="shared" si="10"/>
        <v>0</v>
      </c>
      <c r="I135" s="214"/>
    </row>
    <row r="136" spans="1:9" ht="15.75" hidden="1" x14ac:dyDescent="0.25">
      <c r="A136" s="333" t="s">
        <v>157</v>
      </c>
      <c r="B136" s="330">
        <v>902</v>
      </c>
      <c r="C136" s="334" t="s">
        <v>229</v>
      </c>
      <c r="D136" s="334" t="s">
        <v>235</v>
      </c>
      <c r="E136" s="334" t="s">
        <v>912</v>
      </c>
      <c r="F136" s="334"/>
      <c r="G136" s="332">
        <f t="shared" si="10"/>
        <v>0</v>
      </c>
      <c r="H136" s="332">
        <f t="shared" si="10"/>
        <v>0</v>
      </c>
      <c r="I136" s="214"/>
    </row>
    <row r="137" spans="1:9" ht="31.5" hidden="1" x14ac:dyDescent="0.25">
      <c r="A137" s="333" t="s">
        <v>916</v>
      </c>
      <c r="B137" s="330">
        <v>902</v>
      </c>
      <c r="C137" s="334" t="s">
        <v>229</v>
      </c>
      <c r="D137" s="334" t="s">
        <v>235</v>
      </c>
      <c r="E137" s="334" t="s">
        <v>911</v>
      </c>
      <c r="F137" s="334"/>
      <c r="G137" s="332">
        <f t="shared" si="10"/>
        <v>0</v>
      </c>
      <c r="H137" s="332">
        <f t="shared" si="10"/>
        <v>0</v>
      </c>
      <c r="I137" s="214"/>
    </row>
    <row r="138" spans="1:9" ht="15.75" hidden="1" x14ac:dyDescent="0.25">
      <c r="A138" s="335" t="s">
        <v>236</v>
      </c>
      <c r="B138" s="329">
        <v>902</v>
      </c>
      <c r="C138" s="331" t="s">
        <v>229</v>
      </c>
      <c r="D138" s="331" t="s">
        <v>235</v>
      </c>
      <c r="E138" s="331" t="s">
        <v>917</v>
      </c>
      <c r="F138" s="331"/>
      <c r="G138" s="336">
        <f>'Пр.4 ведом.20'!G141</f>
        <v>0</v>
      </c>
      <c r="H138" s="336">
        <f t="shared" si="4"/>
        <v>0</v>
      </c>
      <c r="I138" s="214"/>
    </row>
    <row r="139" spans="1:9" ht="31.5" hidden="1" x14ac:dyDescent="0.25">
      <c r="A139" s="335" t="s">
        <v>214</v>
      </c>
      <c r="B139" s="329">
        <v>902</v>
      </c>
      <c r="C139" s="331" t="s">
        <v>229</v>
      </c>
      <c r="D139" s="331" t="s">
        <v>235</v>
      </c>
      <c r="E139" s="331" t="s">
        <v>917</v>
      </c>
      <c r="F139" s="331" t="s">
        <v>148</v>
      </c>
      <c r="G139" s="336">
        <f>'Пр.4 ведом.20'!G142</f>
        <v>0</v>
      </c>
      <c r="H139" s="336">
        <f t="shared" si="4"/>
        <v>0</v>
      </c>
      <c r="I139" s="214"/>
    </row>
    <row r="140" spans="1:9" ht="31.5" hidden="1" x14ac:dyDescent="0.25">
      <c r="A140" s="335" t="s">
        <v>149</v>
      </c>
      <c r="B140" s="329">
        <v>902</v>
      </c>
      <c r="C140" s="331" t="s">
        <v>229</v>
      </c>
      <c r="D140" s="331" t="s">
        <v>235</v>
      </c>
      <c r="E140" s="331" t="s">
        <v>917</v>
      </c>
      <c r="F140" s="331" t="s">
        <v>150</v>
      </c>
      <c r="G140" s="336">
        <f>'Пр.4 ведом.20'!G143</f>
        <v>0</v>
      </c>
      <c r="H140" s="336">
        <f t="shared" si="4"/>
        <v>0</v>
      </c>
      <c r="I140" s="214"/>
    </row>
    <row r="141" spans="1:9" ht="31.5" x14ac:dyDescent="0.25">
      <c r="A141" s="333" t="s">
        <v>238</v>
      </c>
      <c r="B141" s="330">
        <v>902</v>
      </c>
      <c r="C141" s="334" t="s">
        <v>231</v>
      </c>
      <c r="D141" s="334"/>
      <c r="E141" s="334"/>
      <c r="F141" s="334"/>
      <c r="G141" s="332">
        <f>G142</f>
        <v>7922</v>
      </c>
      <c r="H141" s="332">
        <f>H142</f>
        <v>7922</v>
      </c>
      <c r="I141" s="214"/>
    </row>
    <row r="142" spans="1:9" ht="47.25" x14ac:dyDescent="0.25">
      <c r="A142" s="333" t="s">
        <v>239</v>
      </c>
      <c r="B142" s="330">
        <v>902</v>
      </c>
      <c r="C142" s="334" t="s">
        <v>231</v>
      </c>
      <c r="D142" s="334" t="s">
        <v>235</v>
      </c>
      <c r="E142" s="331"/>
      <c r="F142" s="331"/>
      <c r="G142" s="332">
        <f>G143</f>
        <v>7922</v>
      </c>
      <c r="H142" s="332">
        <f>H143</f>
        <v>7922</v>
      </c>
      <c r="I142" s="214"/>
    </row>
    <row r="143" spans="1:9" ht="15.75" x14ac:dyDescent="0.25">
      <c r="A143" s="333" t="s">
        <v>157</v>
      </c>
      <c r="B143" s="330">
        <v>902</v>
      </c>
      <c r="C143" s="334" t="s">
        <v>231</v>
      </c>
      <c r="D143" s="334" t="s">
        <v>235</v>
      </c>
      <c r="E143" s="334" t="s">
        <v>912</v>
      </c>
      <c r="F143" s="334"/>
      <c r="G143" s="332">
        <f>G144+G151</f>
        <v>7922</v>
      </c>
      <c r="H143" s="332">
        <f>H144+H151</f>
        <v>7922</v>
      </c>
      <c r="I143" s="214"/>
    </row>
    <row r="144" spans="1:9" ht="31.5" x14ac:dyDescent="0.25">
      <c r="A144" s="333" t="s">
        <v>916</v>
      </c>
      <c r="B144" s="330">
        <v>902</v>
      </c>
      <c r="C144" s="334" t="s">
        <v>231</v>
      </c>
      <c r="D144" s="334" t="s">
        <v>235</v>
      </c>
      <c r="E144" s="334" t="s">
        <v>911</v>
      </c>
      <c r="F144" s="334"/>
      <c r="G144" s="332">
        <f>G145+G148</f>
        <v>1982</v>
      </c>
      <c r="H144" s="332">
        <f>H145+H148</f>
        <v>1982</v>
      </c>
      <c r="I144" s="214"/>
    </row>
    <row r="145" spans="1:13" ht="47.25" x14ac:dyDescent="0.25">
      <c r="A145" s="335" t="s">
        <v>240</v>
      </c>
      <c r="B145" s="329">
        <v>902</v>
      </c>
      <c r="C145" s="331" t="s">
        <v>231</v>
      </c>
      <c r="D145" s="331" t="s">
        <v>235</v>
      </c>
      <c r="E145" s="331" t="s">
        <v>921</v>
      </c>
      <c r="F145" s="331"/>
      <c r="G145" s="336">
        <f>G146</f>
        <v>1785</v>
      </c>
      <c r="H145" s="336">
        <f>H146</f>
        <v>1785</v>
      </c>
      <c r="I145" s="214"/>
    </row>
    <row r="146" spans="1:13" ht="31.5" x14ac:dyDescent="0.25">
      <c r="A146" s="335" t="s">
        <v>214</v>
      </c>
      <c r="B146" s="329">
        <v>902</v>
      </c>
      <c r="C146" s="331" t="s">
        <v>231</v>
      </c>
      <c r="D146" s="331" t="s">
        <v>235</v>
      </c>
      <c r="E146" s="331" t="s">
        <v>921</v>
      </c>
      <c r="F146" s="331" t="s">
        <v>148</v>
      </c>
      <c r="G146" s="336">
        <f>G147</f>
        <v>1785</v>
      </c>
      <c r="H146" s="336">
        <f>H147</f>
        <v>1785</v>
      </c>
      <c r="I146" s="214"/>
    </row>
    <row r="147" spans="1:13" ht="31.5" x14ac:dyDescent="0.25">
      <c r="A147" s="335" t="s">
        <v>149</v>
      </c>
      <c r="B147" s="329">
        <v>902</v>
      </c>
      <c r="C147" s="331" t="s">
        <v>231</v>
      </c>
      <c r="D147" s="331" t="s">
        <v>235</v>
      </c>
      <c r="E147" s="331" t="s">
        <v>921</v>
      </c>
      <c r="F147" s="331" t="s">
        <v>150</v>
      </c>
      <c r="G147" s="336">
        <f>1785</f>
        <v>1785</v>
      </c>
      <c r="H147" s="336">
        <f t="shared" si="4"/>
        <v>1785</v>
      </c>
      <c r="I147" s="214"/>
    </row>
    <row r="148" spans="1:13" ht="15.75" x14ac:dyDescent="0.25">
      <c r="A148" s="335" t="s">
        <v>246</v>
      </c>
      <c r="B148" s="329">
        <v>902</v>
      </c>
      <c r="C148" s="331" t="s">
        <v>231</v>
      </c>
      <c r="D148" s="331" t="s">
        <v>235</v>
      </c>
      <c r="E148" s="331" t="s">
        <v>922</v>
      </c>
      <c r="F148" s="331"/>
      <c r="G148" s="336">
        <f>G149</f>
        <v>197</v>
      </c>
      <c r="H148" s="336">
        <f>H149</f>
        <v>197</v>
      </c>
      <c r="I148" s="214"/>
    </row>
    <row r="149" spans="1:13" ht="31.5" x14ac:dyDescent="0.25">
      <c r="A149" s="335" t="s">
        <v>214</v>
      </c>
      <c r="B149" s="329">
        <v>902</v>
      </c>
      <c r="C149" s="331" t="s">
        <v>231</v>
      </c>
      <c r="D149" s="331" t="s">
        <v>235</v>
      </c>
      <c r="E149" s="331" t="s">
        <v>922</v>
      </c>
      <c r="F149" s="331" t="s">
        <v>148</v>
      </c>
      <c r="G149" s="336">
        <f>G150</f>
        <v>197</v>
      </c>
      <c r="H149" s="336">
        <f>H150</f>
        <v>197</v>
      </c>
      <c r="I149" s="214"/>
    </row>
    <row r="150" spans="1:13" ht="31.5" x14ac:dyDescent="0.25">
      <c r="A150" s="335" t="s">
        <v>149</v>
      </c>
      <c r="B150" s="329">
        <v>902</v>
      </c>
      <c r="C150" s="331" t="s">
        <v>231</v>
      </c>
      <c r="D150" s="331" t="s">
        <v>235</v>
      </c>
      <c r="E150" s="331" t="s">
        <v>922</v>
      </c>
      <c r="F150" s="331" t="s">
        <v>150</v>
      </c>
      <c r="G150" s="336">
        <f>197</f>
        <v>197</v>
      </c>
      <c r="H150" s="336">
        <f t="shared" ref="H150:H213" si="11">G150</f>
        <v>197</v>
      </c>
      <c r="I150" s="214"/>
    </row>
    <row r="151" spans="1:13" ht="31.5" x14ac:dyDescent="0.25">
      <c r="A151" s="333" t="s">
        <v>996</v>
      </c>
      <c r="B151" s="330">
        <v>902</v>
      </c>
      <c r="C151" s="334" t="s">
        <v>231</v>
      </c>
      <c r="D151" s="334" t="s">
        <v>235</v>
      </c>
      <c r="E151" s="334" t="s">
        <v>918</v>
      </c>
      <c r="F151" s="334"/>
      <c r="G151" s="332">
        <f>G152+G157</f>
        <v>5940</v>
      </c>
      <c r="H151" s="332">
        <f>H152+H157</f>
        <v>5940</v>
      </c>
      <c r="I151" s="214"/>
    </row>
    <row r="152" spans="1:13" ht="31.5" x14ac:dyDescent="0.25">
      <c r="A152" s="335" t="s">
        <v>1000</v>
      </c>
      <c r="B152" s="329">
        <v>902</v>
      </c>
      <c r="C152" s="331" t="s">
        <v>231</v>
      </c>
      <c r="D152" s="331" t="s">
        <v>235</v>
      </c>
      <c r="E152" s="331" t="s">
        <v>919</v>
      </c>
      <c r="F152" s="331"/>
      <c r="G152" s="336">
        <f>G153+G155</f>
        <v>5688</v>
      </c>
      <c r="H152" s="336">
        <f>H153+H155</f>
        <v>5688</v>
      </c>
      <c r="I152" s="214"/>
    </row>
    <row r="153" spans="1:13" ht="78.75" x14ac:dyDescent="0.25">
      <c r="A153" s="335" t="s">
        <v>143</v>
      </c>
      <c r="B153" s="329">
        <v>902</v>
      </c>
      <c r="C153" s="331" t="s">
        <v>231</v>
      </c>
      <c r="D153" s="331" t="s">
        <v>235</v>
      </c>
      <c r="E153" s="331" t="s">
        <v>919</v>
      </c>
      <c r="F153" s="331" t="s">
        <v>144</v>
      </c>
      <c r="G153" s="336">
        <f>G154</f>
        <v>5525</v>
      </c>
      <c r="H153" s="336">
        <f t="shared" si="11"/>
        <v>5525</v>
      </c>
      <c r="I153" s="214"/>
    </row>
    <row r="154" spans="1:13" ht="15.75" x14ac:dyDescent="0.25">
      <c r="A154" s="335" t="s">
        <v>224</v>
      </c>
      <c r="B154" s="329">
        <v>902</v>
      </c>
      <c r="C154" s="331" t="s">
        <v>231</v>
      </c>
      <c r="D154" s="331" t="s">
        <v>235</v>
      </c>
      <c r="E154" s="331" t="s">
        <v>919</v>
      </c>
      <c r="F154" s="331" t="s">
        <v>225</v>
      </c>
      <c r="G154" s="336">
        <f>5525</f>
        <v>5525</v>
      </c>
      <c r="H154" s="336">
        <f t="shared" si="11"/>
        <v>5525</v>
      </c>
      <c r="I154" s="214"/>
    </row>
    <row r="155" spans="1:13" ht="31.5" x14ac:dyDescent="0.25">
      <c r="A155" s="335" t="s">
        <v>214</v>
      </c>
      <c r="B155" s="329">
        <v>902</v>
      </c>
      <c r="C155" s="331" t="s">
        <v>231</v>
      </c>
      <c r="D155" s="331" t="s">
        <v>235</v>
      </c>
      <c r="E155" s="331" t="s">
        <v>919</v>
      </c>
      <c r="F155" s="331" t="s">
        <v>148</v>
      </c>
      <c r="G155" s="336">
        <f>G156</f>
        <v>163</v>
      </c>
      <c r="H155" s="336">
        <f>H156</f>
        <v>163</v>
      </c>
      <c r="I155" s="214"/>
    </row>
    <row r="156" spans="1:13" ht="31.5" x14ac:dyDescent="0.25">
      <c r="A156" s="335" t="s">
        <v>149</v>
      </c>
      <c r="B156" s="329">
        <v>902</v>
      </c>
      <c r="C156" s="331" t="s">
        <v>231</v>
      </c>
      <c r="D156" s="331" t="s">
        <v>235</v>
      </c>
      <c r="E156" s="331" t="s">
        <v>919</v>
      </c>
      <c r="F156" s="331" t="s">
        <v>150</v>
      </c>
      <c r="G156" s="336">
        <f>163</f>
        <v>163</v>
      </c>
      <c r="H156" s="336">
        <f t="shared" si="11"/>
        <v>163</v>
      </c>
      <c r="I156" s="214"/>
    </row>
    <row r="157" spans="1:13" ht="47.25" x14ac:dyDescent="0.25">
      <c r="A157" s="335" t="s">
        <v>885</v>
      </c>
      <c r="B157" s="329">
        <v>902</v>
      </c>
      <c r="C157" s="331" t="s">
        <v>231</v>
      </c>
      <c r="D157" s="331" t="s">
        <v>235</v>
      </c>
      <c r="E157" s="331" t="s">
        <v>920</v>
      </c>
      <c r="F157" s="331"/>
      <c r="G157" s="336">
        <f>G158</f>
        <v>252</v>
      </c>
      <c r="H157" s="336">
        <f>H158</f>
        <v>252</v>
      </c>
      <c r="I157" s="214"/>
    </row>
    <row r="158" spans="1:13" ht="78.75" x14ac:dyDescent="0.25">
      <c r="A158" s="335" t="s">
        <v>143</v>
      </c>
      <c r="B158" s="329">
        <v>902</v>
      </c>
      <c r="C158" s="331" t="s">
        <v>231</v>
      </c>
      <c r="D158" s="331" t="s">
        <v>235</v>
      </c>
      <c r="E158" s="331" t="s">
        <v>920</v>
      </c>
      <c r="F158" s="331" t="s">
        <v>144</v>
      </c>
      <c r="G158" s="336">
        <f>G159</f>
        <v>252</v>
      </c>
      <c r="H158" s="336">
        <f>H159</f>
        <v>252</v>
      </c>
      <c r="I158" s="214"/>
    </row>
    <row r="159" spans="1:13" ht="19.5" customHeight="1" x14ac:dyDescent="0.25">
      <c r="A159" s="335" t="s">
        <v>224</v>
      </c>
      <c r="B159" s="329">
        <v>902</v>
      </c>
      <c r="C159" s="331" t="s">
        <v>231</v>
      </c>
      <c r="D159" s="331" t="s">
        <v>235</v>
      </c>
      <c r="E159" s="331" t="s">
        <v>920</v>
      </c>
      <c r="F159" s="331" t="s">
        <v>225</v>
      </c>
      <c r="G159" s="336">
        <f>252</f>
        <v>252</v>
      </c>
      <c r="H159" s="336">
        <f t="shared" si="11"/>
        <v>252</v>
      </c>
      <c r="I159" s="214"/>
    </row>
    <row r="160" spans="1:13" ht="15.75" x14ac:dyDescent="0.25">
      <c r="A160" s="333" t="s">
        <v>248</v>
      </c>
      <c r="B160" s="330">
        <v>902</v>
      </c>
      <c r="C160" s="334" t="s">
        <v>166</v>
      </c>
      <c r="D160" s="334"/>
      <c r="E160" s="334"/>
      <c r="F160" s="331"/>
      <c r="G160" s="332">
        <f>G174+G161</f>
        <v>594.79999999999995</v>
      </c>
      <c r="H160" s="332">
        <f>H174+H161</f>
        <v>594.79999999999995</v>
      </c>
      <c r="I160" s="214"/>
      <c r="M160" s="22"/>
    </row>
    <row r="161" spans="1:9" ht="15.75" x14ac:dyDescent="0.25">
      <c r="A161" s="333" t="s">
        <v>249</v>
      </c>
      <c r="B161" s="330">
        <v>902</v>
      </c>
      <c r="C161" s="334" t="s">
        <v>166</v>
      </c>
      <c r="D161" s="334" t="s">
        <v>250</v>
      </c>
      <c r="E161" s="334"/>
      <c r="F161" s="331"/>
      <c r="G161" s="332">
        <f>G162</f>
        <v>306</v>
      </c>
      <c r="H161" s="332">
        <f>H162</f>
        <v>306</v>
      </c>
      <c r="I161" s="214"/>
    </row>
    <row r="162" spans="1:9" ht="47.25" x14ac:dyDescent="0.25">
      <c r="A162" s="34" t="s">
        <v>197</v>
      </c>
      <c r="B162" s="330">
        <v>902</v>
      </c>
      <c r="C162" s="334" t="s">
        <v>166</v>
      </c>
      <c r="D162" s="334" t="s">
        <v>250</v>
      </c>
      <c r="E162" s="206" t="s">
        <v>198</v>
      </c>
      <c r="F162" s="231"/>
      <c r="G162" s="332">
        <f>G163+G170</f>
        <v>306</v>
      </c>
      <c r="H162" s="332">
        <f>H163+H170</f>
        <v>306</v>
      </c>
      <c r="I162" s="214"/>
    </row>
    <row r="163" spans="1:9" ht="31.5" x14ac:dyDescent="0.25">
      <c r="A163" s="34" t="s">
        <v>1159</v>
      </c>
      <c r="B163" s="330">
        <v>902</v>
      </c>
      <c r="C163" s="334" t="s">
        <v>166</v>
      </c>
      <c r="D163" s="334" t="s">
        <v>250</v>
      </c>
      <c r="E163" s="266" t="s">
        <v>923</v>
      </c>
      <c r="F163" s="231"/>
      <c r="G163" s="332">
        <f>G164+G167</f>
        <v>256</v>
      </c>
      <c r="H163" s="332">
        <f>H164+H167</f>
        <v>256</v>
      </c>
      <c r="I163" s="214"/>
    </row>
    <row r="164" spans="1:9" ht="15.75" x14ac:dyDescent="0.25">
      <c r="A164" s="335" t="s">
        <v>924</v>
      </c>
      <c r="B164" s="329">
        <v>902</v>
      </c>
      <c r="C164" s="331" t="s">
        <v>166</v>
      </c>
      <c r="D164" s="331" t="s">
        <v>250</v>
      </c>
      <c r="E164" s="331" t="s">
        <v>968</v>
      </c>
      <c r="F164" s="32"/>
      <c r="G164" s="336">
        <f>G165</f>
        <v>1</v>
      </c>
      <c r="H164" s="336">
        <f>H165</f>
        <v>1</v>
      </c>
      <c r="I164" s="214"/>
    </row>
    <row r="165" spans="1:9" ht="15.75" x14ac:dyDescent="0.25">
      <c r="A165" s="338" t="s">
        <v>151</v>
      </c>
      <c r="B165" s="329">
        <v>902</v>
      </c>
      <c r="C165" s="331" t="s">
        <v>166</v>
      </c>
      <c r="D165" s="331" t="s">
        <v>250</v>
      </c>
      <c r="E165" s="331" t="s">
        <v>968</v>
      </c>
      <c r="F165" s="32" t="s">
        <v>161</v>
      </c>
      <c r="G165" s="336">
        <f>G166</f>
        <v>1</v>
      </c>
      <c r="H165" s="336">
        <f>H166</f>
        <v>1</v>
      </c>
      <c r="I165" s="214"/>
    </row>
    <row r="166" spans="1:9" ht="47.25" x14ac:dyDescent="0.25">
      <c r="A166" s="338" t="s">
        <v>200</v>
      </c>
      <c r="B166" s="329">
        <v>902</v>
      </c>
      <c r="C166" s="331" t="s">
        <v>166</v>
      </c>
      <c r="D166" s="331" t="s">
        <v>250</v>
      </c>
      <c r="E166" s="331" t="s">
        <v>968</v>
      </c>
      <c r="F166" s="32" t="s">
        <v>176</v>
      </c>
      <c r="G166" s="336">
        <f>1</f>
        <v>1</v>
      </c>
      <c r="H166" s="336">
        <f t="shared" si="11"/>
        <v>1</v>
      </c>
      <c r="I166" s="214"/>
    </row>
    <row r="167" spans="1:9" ht="31.5" x14ac:dyDescent="0.25">
      <c r="A167" s="335" t="s">
        <v>251</v>
      </c>
      <c r="B167" s="329">
        <v>902</v>
      </c>
      <c r="C167" s="331" t="s">
        <v>166</v>
      </c>
      <c r="D167" s="331" t="s">
        <v>250</v>
      </c>
      <c r="E167" s="331" t="s">
        <v>927</v>
      </c>
      <c r="F167" s="331"/>
      <c r="G167" s="336">
        <f>G168</f>
        <v>255</v>
      </c>
      <c r="H167" s="336">
        <f>H168</f>
        <v>255</v>
      </c>
      <c r="I167" s="214"/>
    </row>
    <row r="168" spans="1:9" ht="15.75" x14ac:dyDescent="0.25">
      <c r="A168" s="335" t="s">
        <v>151</v>
      </c>
      <c r="B168" s="329">
        <v>902</v>
      </c>
      <c r="C168" s="331" t="s">
        <v>166</v>
      </c>
      <c r="D168" s="331" t="s">
        <v>250</v>
      </c>
      <c r="E168" s="331" t="s">
        <v>927</v>
      </c>
      <c r="F168" s="331" t="s">
        <v>161</v>
      </c>
      <c r="G168" s="336">
        <f>G169</f>
        <v>255</v>
      </c>
      <c r="H168" s="336">
        <f>H169</f>
        <v>255</v>
      </c>
      <c r="I168" s="214"/>
    </row>
    <row r="169" spans="1:9" ht="47.25" x14ac:dyDescent="0.25">
      <c r="A169" s="335" t="s">
        <v>200</v>
      </c>
      <c r="B169" s="329">
        <v>902</v>
      </c>
      <c r="C169" s="331" t="s">
        <v>166</v>
      </c>
      <c r="D169" s="331" t="s">
        <v>250</v>
      </c>
      <c r="E169" s="331" t="s">
        <v>927</v>
      </c>
      <c r="F169" s="331" t="s">
        <v>176</v>
      </c>
      <c r="G169" s="336">
        <f>255</f>
        <v>255</v>
      </c>
      <c r="H169" s="336">
        <f t="shared" si="11"/>
        <v>255</v>
      </c>
      <c r="I169" s="214"/>
    </row>
    <row r="170" spans="1:9" ht="47.25" x14ac:dyDescent="0.25">
      <c r="A170" s="222" t="s">
        <v>1160</v>
      </c>
      <c r="B170" s="330">
        <v>902</v>
      </c>
      <c r="C170" s="334" t="s">
        <v>166</v>
      </c>
      <c r="D170" s="334" t="s">
        <v>250</v>
      </c>
      <c r="E170" s="206" t="s">
        <v>926</v>
      </c>
      <c r="F170" s="231"/>
      <c r="G170" s="332">
        <f t="shared" ref="G170:H172" si="12">G171</f>
        <v>50</v>
      </c>
      <c r="H170" s="332">
        <f t="shared" si="12"/>
        <v>50</v>
      </c>
      <c r="I170" s="214"/>
    </row>
    <row r="171" spans="1:9" ht="15.75" x14ac:dyDescent="0.25">
      <c r="A171" s="335" t="s">
        <v>925</v>
      </c>
      <c r="B171" s="329">
        <v>902</v>
      </c>
      <c r="C171" s="331" t="s">
        <v>166</v>
      </c>
      <c r="D171" s="331" t="s">
        <v>250</v>
      </c>
      <c r="E171" s="326" t="s">
        <v>969</v>
      </c>
      <c r="F171" s="32"/>
      <c r="G171" s="336">
        <f t="shared" si="12"/>
        <v>50</v>
      </c>
      <c r="H171" s="336">
        <f t="shared" si="12"/>
        <v>50</v>
      </c>
      <c r="I171" s="214"/>
    </row>
    <row r="172" spans="1:9" ht="15.75" x14ac:dyDescent="0.25">
      <c r="A172" s="338" t="s">
        <v>151</v>
      </c>
      <c r="B172" s="329">
        <v>902</v>
      </c>
      <c r="C172" s="331" t="s">
        <v>166</v>
      </c>
      <c r="D172" s="331" t="s">
        <v>250</v>
      </c>
      <c r="E172" s="326" t="s">
        <v>969</v>
      </c>
      <c r="F172" s="32" t="s">
        <v>161</v>
      </c>
      <c r="G172" s="336">
        <f t="shared" si="12"/>
        <v>50</v>
      </c>
      <c r="H172" s="336">
        <f t="shared" si="12"/>
        <v>50</v>
      </c>
      <c r="I172" s="214"/>
    </row>
    <row r="173" spans="1:9" ht="47.25" x14ac:dyDescent="0.25">
      <c r="A173" s="338" t="s">
        <v>200</v>
      </c>
      <c r="B173" s="329">
        <v>902</v>
      </c>
      <c r="C173" s="331" t="s">
        <v>166</v>
      </c>
      <c r="D173" s="331" t="s">
        <v>250</v>
      </c>
      <c r="E173" s="326" t="s">
        <v>969</v>
      </c>
      <c r="F173" s="32" t="s">
        <v>176</v>
      </c>
      <c r="G173" s="336">
        <f>50</f>
        <v>50</v>
      </c>
      <c r="H173" s="336">
        <f t="shared" si="11"/>
        <v>50</v>
      </c>
      <c r="I173" s="214"/>
    </row>
    <row r="174" spans="1:9" ht="31.5" x14ac:dyDescent="0.25">
      <c r="A174" s="333" t="s">
        <v>253</v>
      </c>
      <c r="B174" s="330">
        <v>902</v>
      </c>
      <c r="C174" s="334" t="s">
        <v>166</v>
      </c>
      <c r="D174" s="334" t="s">
        <v>254</v>
      </c>
      <c r="E174" s="334"/>
      <c r="F174" s="334"/>
      <c r="G174" s="332">
        <f>G175+G182</f>
        <v>288.8</v>
      </c>
      <c r="H174" s="332">
        <f>H175+H182</f>
        <v>288.8</v>
      </c>
      <c r="I174" s="214"/>
    </row>
    <row r="175" spans="1:9" ht="31.5" x14ac:dyDescent="0.25">
      <c r="A175" s="333" t="s">
        <v>990</v>
      </c>
      <c r="B175" s="330">
        <v>902</v>
      </c>
      <c r="C175" s="334" t="s">
        <v>166</v>
      </c>
      <c r="D175" s="334" t="s">
        <v>254</v>
      </c>
      <c r="E175" s="334" t="s">
        <v>904</v>
      </c>
      <c r="F175" s="334"/>
      <c r="G175" s="332">
        <f>G176</f>
        <v>288.8</v>
      </c>
      <c r="H175" s="332">
        <f>H176</f>
        <v>288.8</v>
      </c>
      <c r="I175" s="214"/>
    </row>
    <row r="176" spans="1:9" ht="31.5" x14ac:dyDescent="0.25">
      <c r="A176" s="333" t="s">
        <v>932</v>
      </c>
      <c r="B176" s="330">
        <v>902</v>
      </c>
      <c r="C176" s="334" t="s">
        <v>166</v>
      </c>
      <c r="D176" s="334" t="s">
        <v>254</v>
      </c>
      <c r="E176" s="334" t="s">
        <v>909</v>
      </c>
      <c r="F176" s="334"/>
      <c r="G176" s="332">
        <f>G177+G187</f>
        <v>288.8</v>
      </c>
      <c r="H176" s="332">
        <f>H177+H187</f>
        <v>288.8</v>
      </c>
      <c r="I176" s="214"/>
    </row>
    <row r="177" spans="1:9" ht="63" x14ac:dyDescent="0.25">
      <c r="A177" s="31" t="s">
        <v>257</v>
      </c>
      <c r="B177" s="329">
        <v>902</v>
      </c>
      <c r="C177" s="331" t="s">
        <v>166</v>
      </c>
      <c r="D177" s="331" t="s">
        <v>254</v>
      </c>
      <c r="E177" s="331" t="s">
        <v>997</v>
      </c>
      <c r="F177" s="331"/>
      <c r="G177" s="336">
        <f>G178+G180</f>
        <v>288.8</v>
      </c>
      <c r="H177" s="336">
        <f>H178+H180</f>
        <v>288.8</v>
      </c>
      <c r="I177" s="214"/>
    </row>
    <row r="178" spans="1:9" ht="78.75" x14ac:dyDescent="0.25">
      <c r="A178" s="335" t="s">
        <v>143</v>
      </c>
      <c r="B178" s="329">
        <v>902</v>
      </c>
      <c r="C178" s="331" t="s">
        <v>166</v>
      </c>
      <c r="D178" s="331" t="s">
        <v>254</v>
      </c>
      <c r="E178" s="331" t="s">
        <v>997</v>
      </c>
      <c r="F178" s="331" t="s">
        <v>144</v>
      </c>
      <c r="G178" s="336">
        <f>G179</f>
        <v>187</v>
      </c>
      <c r="H178" s="336">
        <f>H179</f>
        <v>187</v>
      </c>
      <c r="I178" s="214"/>
    </row>
    <row r="179" spans="1:9" ht="31.5" x14ac:dyDescent="0.25">
      <c r="A179" s="335" t="s">
        <v>145</v>
      </c>
      <c r="B179" s="329">
        <v>902</v>
      </c>
      <c r="C179" s="331" t="s">
        <v>166</v>
      </c>
      <c r="D179" s="331" t="s">
        <v>254</v>
      </c>
      <c r="E179" s="331" t="s">
        <v>997</v>
      </c>
      <c r="F179" s="331" t="s">
        <v>146</v>
      </c>
      <c r="G179" s="336">
        <v>187</v>
      </c>
      <c r="H179" s="336">
        <f t="shared" si="11"/>
        <v>187</v>
      </c>
      <c r="I179" s="214"/>
    </row>
    <row r="180" spans="1:9" ht="31.5" x14ac:dyDescent="0.25">
      <c r="A180" s="335" t="s">
        <v>147</v>
      </c>
      <c r="B180" s="329">
        <v>902</v>
      </c>
      <c r="C180" s="331" t="s">
        <v>166</v>
      </c>
      <c r="D180" s="331" t="s">
        <v>254</v>
      </c>
      <c r="E180" s="331" t="s">
        <v>997</v>
      </c>
      <c r="F180" s="331" t="s">
        <v>148</v>
      </c>
      <c r="G180" s="336">
        <f>G181</f>
        <v>101.8</v>
      </c>
      <c r="H180" s="336">
        <f>H181</f>
        <v>101.8</v>
      </c>
      <c r="I180" s="214"/>
    </row>
    <row r="181" spans="1:9" ht="31.5" x14ac:dyDescent="0.25">
      <c r="A181" s="335" t="s">
        <v>149</v>
      </c>
      <c r="B181" s="329">
        <v>902</v>
      </c>
      <c r="C181" s="331" t="s">
        <v>166</v>
      </c>
      <c r="D181" s="331" t="s">
        <v>254</v>
      </c>
      <c r="E181" s="331" t="s">
        <v>997</v>
      </c>
      <c r="F181" s="331" t="s">
        <v>150</v>
      </c>
      <c r="G181" s="336">
        <v>101.8</v>
      </c>
      <c r="H181" s="336">
        <f t="shared" si="11"/>
        <v>101.8</v>
      </c>
      <c r="I181" s="214"/>
    </row>
    <row r="182" spans="1:9" ht="47.25" hidden="1" x14ac:dyDescent="0.25">
      <c r="A182" s="333" t="s">
        <v>1239</v>
      </c>
      <c r="B182" s="330">
        <v>902</v>
      </c>
      <c r="C182" s="334" t="s">
        <v>166</v>
      </c>
      <c r="D182" s="334" t="s">
        <v>254</v>
      </c>
      <c r="E182" s="334" t="s">
        <v>172</v>
      </c>
      <c r="F182" s="334"/>
      <c r="G182" s="332">
        <f>G183</f>
        <v>0</v>
      </c>
      <c r="H182" s="332">
        <f>H183</f>
        <v>0</v>
      </c>
      <c r="I182" s="214"/>
    </row>
    <row r="183" spans="1:9" ht="47.25" hidden="1" x14ac:dyDescent="0.25">
      <c r="A183" s="333" t="s">
        <v>1243</v>
      </c>
      <c r="B183" s="330">
        <v>902</v>
      </c>
      <c r="C183" s="334" t="s">
        <v>166</v>
      </c>
      <c r="D183" s="334" t="s">
        <v>254</v>
      </c>
      <c r="E183" s="334" t="s">
        <v>1240</v>
      </c>
      <c r="F183" s="334"/>
      <c r="G183" s="332">
        <f>G184+G187</f>
        <v>0</v>
      </c>
      <c r="H183" s="332">
        <f>H184+H187</f>
        <v>0</v>
      </c>
      <c r="I183" s="214"/>
    </row>
    <row r="184" spans="1:9" ht="31.5" hidden="1" x14ac:dyDescent="0.25">
      <c r="A184" s="335" t="s">
        <v>1244</v>
      </c>
      <c r="B184" s="329">
        <v>902</v>
      </c>
      <c r="C184" s="331" t="s">
        <v>166</v>
      </c>
      <c r="D184" s="331" t="s">
        <v>254</v>
      </c>
      <c r="E184" s="331" t="s">
        <v>1241</v>
      </c>
      <c r="F184" s="331"/>
      <c r="G184" s="336">
        <f>G185</f>
        <v>0</v>
      </c>
      <c r="H184" s="336">
        <f t="shared" si="11"/>
        <v>0</v>
      </c>
      <c r="I184" s="214"/>
    </row>
    <row r="185" spans="1:9" ht="15.75" hidden="1" x14ac:dyDescent="0.25">
      <c r="A185" s="335" t="s">
        <v>151</v>
      </c>
      <c r="B185" s="329">
        <v>902</v>
      </c>
      <c r="C185" s="331" t="s">
        <v>166</v>
      </c>
      <c r="D185" s="331" t="s">
        <v>254</v>
      </c>
      <c r="E185" s="331" t="s">
        <v>1241</v>
      </c>
      <c r="F185" s="331" t="s">
        <v>161</v>
      </c>
      <c r="G185" s="336">
        <f>G186</f>
        <v>0</v>
      </c>
      <c r="H185" s="336">
        <f t="shared" si="11"/>
        <v>0</v>
      </c>
      <c r="I185" s="214"/>
    </row>
    <row r="186" spans="1:9" ht="47.25" hidden="1" x14ac:dyDescent="0.25">
      <c r="A186" s="335" t="s">
        <v>200</v>
      </c>
      <c r="B186" s="329">
        <v>902</v>
      </c>
      <c r="C186" s="331" t="s">
        <v>166</v>
      </c>
      <c r="D186" s="331" t="s">
        <v>254</v>
      </c>
      <c r="E186" s="331" t="s">
        <v>1241</v>
      </c>
      <c r="F186" s="331" t="s">
        <v>176</v>
      </c>
      <c r="G186" s="336">
        <v>0</v>
      </c>
      <c r="H186" s="336">
        <v>0</v>
      </c>
      <c r="I186" s="214"/>
    </row>
    <row r="187" spans="1:9" ht="31.5" hidden="1" x14ac:dyDescent="0.25">
      <c r="A187" s="335" t="s">
        <v>255</v>
      </c>
      <c r="B187" s="329">
        <v>902</v>
      </c>
      <c r="C187" s="331" t="s">
        <v>166</v>
      </c>
      <c r="D187" s="331" t="s">
        <v>254</v>
      </c>
      <c r="E187" s="331" t="s">
        <v>1242</v>
      </c>
      <c r="F187" s="334"/>
      <c r="G187" s="336">
        <f>'Пр.4 ведом.20'!G190</f>
        <v>0</v>
      </c>
      <c r="H187" s="336">
        <f t="shared" si="11"/>
        <v>0</v>
      </c>
      <c r="I187" s="214"/>
    </row>
    <row r="188" spans="1:9" ht="15.75" hidden="1" x14ac:dyDescent="0.25">
      <c r="A188" s="335" t="s">
        <v>151</v>
      </c>
      <c r="B188" s="329">
        <v>902</v>
      </c>
      <c r="C188" s="331" t="s">
        <v>166</v>
      </c>
      <c r="D188" s="331" t="s">
        <v>254</v>
      </c>
      <c r="E188" s="331" t="s">
        <v>1242</v>
      </c>
      <c r="F188" s="331" t="s">
        <v>161</v>
      </c>
      <c r="G188" s="336">
        <f>'Пр.4 ведом.20'!G191</f>
        <v>0</v>
      </c>
      <c r="H188" s="336">
        <f t="shared" si="11"/>
        <v>0</v>
      </c>
      <c r="I188" s="214"/>
    </row>
    <row r="189" spans="1:9" ht="47.25" hidden="1" x14ac:dyDescent="0.25">
      <c r="A189" s="335" t="s">
        <v>200</v>
      </c>
      <c r="B189" s="329">
        <v>902</v>
      </c>
      <c r="C189" s="331" t="s">
        <v>166</v>
      </c>
      <c r="D189" s="331" t="s">
        <v>254</v>
      </c>
      <c r="E189" s="331" t="s">
        <v>1242</v>
      </c>
      <c r="F189" s="331" t="s">
        <v>176</v>
      </c>
      <c r="G189" s="336">
        <f>'Пр.4 ведом.20'!G192</f>
        <v>0</v>
      </c>
      <c r="H189" s="336">
        <f t="shared" si="11"/>
        <v>0</v>
      </c>
      <c r="I189" s="214"/>
    </row>
    <row r="190" spans="1:9" ht="15.75" x14ac:dyDescent="0.25">
      <c r="A190" s="333" t="s">
        <v>259</v>
      </c>
      <c r="B190" s="330">
        <v>902</v>
      </c>
      <c r="C190" s="334" t="s">
        <v>260</v>
      </c>
      <c r="D190" s="334"/>
      <c r="E190" s="334"/>
      <c r="F190" s="334"/>
      <c r="G190" s="332">
        <f>G191+G197+G206</f>
        <v>18087.400000000001</v>
      </c>
      <c r="H190" s="332">
        <f>H191+H197+H206</f>
        <v>13087.4</v>
      </c>
      <c r="I190" s="214"/>
    </row>
    <row r="191" spans="1:9" ht="15.75" x14ac:dyDescent="0.25">
      <c r="A191" s="333" t="s">
        <v>261</v>
      </c>
      <c r="B191" s="330">
        <v>902</v>
      </c>
      <c r="C191" s="334" t="s">
        <v>260</v>
      </c>
      <c r="D191" s="334" t="s">
        <v>134</v>
      </c>
      <c r="E191" s="334"/>
      <c r="F191" s="334"/>
      <c r="G191" s="332">
        <f t="shared" ref="G191:H191" si="13">G192</f>
        <v>9456</v>
      </c>
      <c r="H191" s="332">
        <f t="shared" si="13"/>
        <v>9456</v>
      </c>
      <c r="I191" s="214"/>
    </row>
    <row r="192" spans="1:9" ht="15.75" x14ac:dyDescent="0.25">
      <c r="A192" s="333" t="s">
        <v>157</v>
      </c>
      <c r="B192" s="330">
        <v>902</v>
      </c>
      <c r="C192" s="334" t="s">
        <v>260</v>
      </c>
      <c r="D192" s="334" t="s">
        <v>134</v>
      </c>
      <c r="E192" s="334" t="s">
        <v>912</v>
      </c>
      <c r="F192" s="334"/>
      <c r="G192" s="332">
        <f t="shared" ref="G192:H195" si="14">G193</f>
        <v>9456</v>
      </c>
      <c r="H192" s="332">
        <f t="shared" si="14"/>
        <v>9456</v>
      </c>
      <c r="I192" s="214"/>
    </row>
    <row r="193" spans="1:9" ht="31.5" x14ac:dyDescent="0.25">
      <c r="A193" s="333" t="s">
        <v>916</v>
      </c>
      <c r="B193" s="330">
        <v>902</v>
      </c>
      <c r="C193" s="334" t="s">
        <v>260</v>
      </c>
      <c r="D193" s="334" t="s">
        <v>134</v>
      </c>
      <c r="E193" s="334" t="s">
        <v>911</v>
      </c>
      <c r="F193" s="334"/>
      <c r="G193" s="332">
        <f t="shared" si="14"/>
        <v>9456</v>
      </c>
      <c r="H193" s="332">
        <f t="shared" si="14"/>
        <v>9456</v>
      </c>
      <c r="I193" s="214"/>
    </row>
    <row r="194" spans="1:9" ht="15.75" x14ac:dyDescent="0.25">
      <c r="A194" s="335" t="s">
        <v>262</v>
      </c>
      <c r="B194" s="329">
        <v>902</v>
      </c>
      <c r="C194" s="331" t="s">
        <v>260</v>
      </c>
      <c r="D194" s="331" t="s">
        <v>134</v>
      </c>
      <c r="E194" s="331" t="s">
        <v>928</v>
      </c>
      <c r="F194" s="331"/>
      <c r="G194" s="336">
        <f t="shared" si="14"/>
        <v>9456</v>
      </c>
      <c r="H194" s="336">
        <f t="shared" si="14"/>
        <v>9456</v>
      </c>
      <c r="I194" s="214"/>
    </row>
    <row r="195" spans="1:9" ht="22.7" customHeight="1" x14ac:dyDescent="0.25">
      <c r="A195" s="335" t="s">
        <v>264</v>
      </c>
      <c r="B195" s="329">
        <v>902</v>
      </c>
      <c r="C195" s="331" t="s">
        <v>260</v>
      </c>
      <c r="D195" s="331" t="s">
        <v>134</v>
      </c>
      <c r="E195" s="331" t="s">
        <v>928</v>
      </c>
      <c r="F195" s="331" t="s">
        <v>265</v>
      </c>
      <c r="G195" s="336">
        <f t="shared" si="14"/>
        <v>9456</v>
      </c>
      <c r="H195" s="336">
        <f t="shared" si="14"/>
        <v>9456</v>
      </c>
      <c r="I195" s="214"/>
    </row>
    <row r="196" spans="1:9" ht="31.5" x14ac:dyDescent="0.25">
      <c r="A196" s="335" t="s">
        <v>266</v>
      </c>
      <c r="B196" s="329">
        <v>902</v>
      </c>
      <c r="C196" s="331" t="s">
        <v>260</v>
      </c>
      <c r="D196" s="331" t="s">
        <v>134</v>
      </c>
      <c r="E196" s="331" t="s">
        <v>928</v>
      </c>
      <c r="F196" s="331" t="s">
        <v>267</v>
      </c>
      <c r="G196" s="336">
        <f>9456</f>
        <v>9456</v>
      </c>
      <c r="H196" s="336">
        <f t="shared" si="11"/>
        <v>9456</v>
      </c>
      <c r="I196" s="214"/>
    </row>
    <row r="197" spans="1:9" ht="15.75" x14ac:dyDescent="0.25">
      <c r="A197" s="333" t="s">
        <v>268</v>
      </c>
      <c r="B197" s="330">
        <v>902</v>
      </c>
      <c r="C197" s="334" t="s">
        <v>260</v>
      </c>
      <c r="D197" s="334" t="s">
        <v>231</v>
      </c>
      <c r="E197" s="331"/>
      <c r="F197" s="331"/>
      <c r="G197" s="332">
        <f>G198</f>
        <v>5010</v>
      </c>
      <c r="H197" s="332">
        <f>H198</f>
        <v>10</v>
      </c>
      <c r="I197" s="214"/>
    </row>
    <row r="198" spans="1:9" ht="78.75" x14ac:dyDescent="0.25">
      <c r="A198" s="333" t="s">
        <v>269</v>
      </c>
      <c r="B198" s="330">
        <v>902</v>
      </c>
      <c r="C198" s="334" t="s">
        <v>260</v>
      </c>
      <c r="D198" s="334" t="s">
        <v>231</v>
      </c>
      <c r="E198" s="334" t="s">
        <v>270</v>
      </c>
      <c r="F198" s="334"/>
      <c r="G198" s="332">
        <f>G199</f>
        <v>5010</v>
      </c>
      <c r="H198" s="332">
        <f>H199</f>
        <v>10</v>
      </c>
      <c r="I198" s="214"/>
    </row>
    <row r="199" spans="1:9" ht="47.25" x14ac:dyDescent="0.25">
      <c r="A199" s="333" t="s">
        <v>931</v>
      </c>
      <c r="B199" s="330">
        <v>902</v>
      </c>
      <c r="C199" s="334" t="s">
        <v>260</v>
      </c>
      <c r="D199" s="334" t="s">
        <v>231</v>
      </c>
      <c r="E199" s="334" t="s">
        <v>929</v>
      </c>
      <c r="F199" s="334"/>
      <c r="G199" s="332">
        <f>G200+G203</f>
        <v>5010</v>
      </c>
      <c r="H199" s="332">
        <f>H200+H203</f>
        <v>10</v>
      </c>
      <c r="I199" s="214"/>
    </row>
    <row r="200" spans="1:9" ht="31.5" x14ac:dyDescent="0.25">
      <c r="A200" s="335" t="s">
        <v>930</v>
      </c>
      <c r="B200" s="329">
        <v>902</v>
      </c>
      <c r="C200" s="331" t="s">
        <v>260</v>
      </c>
      <c r="D200" s="331" t="s">
        <v>231</v>
      </c>
      <c r="E200" s="331" t="s">
        <v>1469</v>
      </c>
      <c r="F200" s="331"/>
      <c r="G200" s="336">
        <f>G201</f>
        <v>10</v>
      </c>
      <c r="H200" s="336">
        <f>H201</f>
        <v>10</v>
      </c>
      <c r="I200" s="214"/>
    </row>
    <row r="201" spans="1:9" ht="19.5" customHeight="1" x14ac:dyDescent="0.25">
      <c r="A201" s="335" t="s">
        <v>264</v>
      </c>
      <c r="B201" s="329">
        <v>902</v>
      </c>
      <c r="C201" s="331" t="s">
        <v>260</v>
      </c>
      <c r="D201" s="331" t="s">
        <v>231</v>
      </c>
      <c r="E201" s="331" t="s">
        <v>1469</v>
      </c>
      <c r="F201" s="331" t="s">
        <v>265</v>
      </c>
      <c r="G201" s="336">
        <f>G202</f>
        <v>10</v>
      </c>
      <c r="H201" s="336">
        <f>H202</f>
        <v>10</v>
      </c>
      <c r="I201" s="214"/>
    </row>
    <row r="202" spans="1:9" ht="31.5" x14ac:dyDescent="0.25">
      <c r="A202" s="335" t="s">
        <v>266</v>
      </c>
      <c r="B202" s="329">
        <v>902</v>
      </c>
      <c r="C202" s="331" t="s">
        <v>260</v>
      </c>
      <c r="D202" s="331" t="s">
        <v>231</v>
      </c>
      <c r="E202" s="331" t="s">
        <v>1469</v>
      </c>
      <c r="F202" s="331" t="s">
        <v>267</v>
      </c>
      <c r="G202" s="336">
        <f>10</f>
        <v>10</v>
      </c>
      <c r="H202" s="336">
        <f t="shared" si="11"/>
        <v>10</v>
      </c>
      <c r="I202" s="214"/>
    </row>
    <row r="203" spans="1:9" s="213" customFormat="1" ht="63" x14ac:dyDescent="0.25">
      <c r="A203" s="335" t="s">
        <v>1468</v>
      </c>
      <c r="B203" s="329">
        <v>902</v>
      </c>
      <c r="C203" s="331" t="s">
        <v>260</v>
      </c>
      <c r="D203" s="331" t="s">
        <v>231</v>
      </c>
      <c r="E203" s="331" t="s">
        <v>1416</v>
      </c>
      <c r="F203" s="331"/>
      <c r="G203" s="336">
        <f>G204</f>
        <v>5000</v>
      </c>
      <c r="H203" s="336">
        <f>H204</f>
        <v>0</v>
      </c>
      <c r="I203" s="214"/>
    </row>
    <row r="204" spans="1:9" s="213" customFormat="1" ht="20.25" customHeight="1" x14ac:dyDescent="0.25">
      <c r="A204" s="335" t="s">
        <v>264</v>
      </c>
      <c r="B204" s="329">
        <v>902</v>
      </c>
      <c r="C204" s="331" t="s">
        <v>260</v>
      </c>
      <c r="D204" s="331" t="s">
        <v>231</v>
      </c>
      <c r="E204" s="331" t="s">
        <v>1416</v>
      </c>
      <c r="F204" s="331" t="s">
        <v>265</v>
      </c>
      <c r="G204" s="336">
        <f>G205</f>
        <v>5000</v>
      </c>
      <c r="H204" s="336">
        <f>H205</f>
        <v>0</v>
      </c>
      <c r="I204" s="214"/>
    </row>
    <row r="205" spans="1:9" s="213" customFormat="1" ht="31.5" x14ac:dyDescent="0.25">
      <c r="A205" s="335" t="s">
        <v>266</v>
      </c>
      <c r="B205" s="329">
        <v>902</v>
      </c>
      <c r="C205" s="331" t="s">
        <v>260</v>
      </c>
      <c r="D205" s="331" t="s">
        <v>231</v>
      </c>
      <c r="E205" s="331" t="s">
        <v>1416</v>
      </c>
      <c r="F205" s="331" t="s">
        <v>267</v>
      </c>
      <c r="G205" s="336">
        <v>5000</v>
      </c>
      <c r="H205" s="336">
        <v>0</v>
      </c>
      <c r="I205" s="214"/>
    </row>
    <row r="206" spans="1:9" ht="15.75" x14ac:dyDescent="0.25">
      <c r="A206" s="333" t="s">
        <v>274</v>
      </c>
      <c r="B206" s="330">
        <v>902</v>
      </c>
      <c r="C206" s="334" t="s">
        <v>260</v>
      </c>
      <c r="D206" s="334" t="s">
        <v>136</v>
      </c>
      <c r="E206" s="334"/>
      <c r="F206" s="334"/>
      <c r="G206" s="332">
        <f t="shared" ref="G206:H208" si="15">G207</f>
        <v>3621.4</v>
      </c>
      <c r="H206" s="332">
        <f t="shared" si="15"/>
        <v>3621.4</v>
      </c>
      <c r="I206" s="214"/>
    </row>
    <row r="207" spans="1:9" ht="31.5" x14ac:dyDescent="0.25">
      <c r="A207" s="333" t="s">
        <v>990</v>
      </c>
      <c r="B207" s="330">
        <v>902</v>
      </c>
      <c r="C207" s="334" t="s">
        <v>260</v>
      </c>
      <c r="D207" s="334" t="s">
        <v>136</v>
      </c>
      <c r="E207" s="334" t="s">
        <v>904</v>
      </c>
      <c r="F207" s="334"/>
      <c r="G207" s="332">
        <f t="shared" si="15"/>
        <v>3621.4</v>
      </c>
      <c r="H207" s="332">
        <f t="shared" si="15"/>
        <v>3621.4</v>
      </c>
      <c r="I207" s="214"/>
    </row>
    <row r="208" spans="1:9" ht="31.5" x14ac:dyDescent="0.25">
      <c r="A208" s="333" t="s">
        <v>932</v>
      </c>
      <c r="B208" s="330">
        <v>902</v>
      </c>
      <c r="C208" s="334" t="s">
        <v>260</v>
      </c>
      <c r="D208" s="334" t="s">
        <v>136</v>
      </c>
      <c r="E208" s="334" t="s">
        <v>909</v>
      </c>
      <c r="F208" s="334"/>
      <c r="G208" s="332">
        <f t="shared" si="15"/>
        <v>3621.4</v>
      </c>
      <c r="H208" s="332">
        <f t="shared" si="15"/>
        <v>3621.4</v>
      </c>
      <c r="I208" s="214"/>
    </row>
    <row r="209" spans="1:9" ht="47.25" x14ac:dyDescent="0.25">
      <c r="A209" s="31" t="s">
        <v>275</v>
      </c>
      <c r="B209" s="329">
        <v>902</v>
      </c>
      <c r="C209" s="331" t="s">
        <v>260</v>
      </c>
      <c r="D209" s="331" t="s">
        <v>136</v>
      </c>
      <c r="E209" s="331" t="s">
        <v>998</v>
      </c>
      <c r="F209" s="331"/>
      <c r="G209" s="336">
        <f>G210+G212</f>
        <v>3621.4</v>
      </c>
      <c r="H209" s="336">
        <f>H210+H212</f>
        <v>3621.4</v>
      </c>
      <c r="I209" s="214"/>
    </row>
    <row r="210" spans="1:9" ht="78.75" x14ac:dyDescent="0.25">
      <c r="A210" s="335" t="s">
        <v>143</v>
      </c>
      <c r="B210" s="329">
        <v>902</v>
      </c>
      <c r="C210" s="331" t="s">
        <v>260</v>
      </c>
      <c r="D210" s="331" t="s">
        <v>136</v>
      </c>
      <c r="E210" s="331" t="s">
        <v>998</v>
      </c>
      <c r="F210" s="331" t="s">
        <v>144</v>
      </c>
      <c r="G210" s="336">
        <f>G211</f>
        <v>3353.3</v>
      </c>
      <c r="H210" s="336">
        <f>H211</f>
        <v>3353.3</v>
      </c>
      <c r="I210" s="214"/>
    </row>
    <row r="211" spans="1:9" ht="31.5" x14ac:dyDescent="0.25">
      <c r="A211" s="335" t="s">
        <v>145</v>
      </c>
      <c r="B211" s="329">
        <v>902</v>
      </c>
      <c r="C211" s="331" t="s">
        <v>260</v>
      </c>
      <c r="D211" s="331" t="s">
        <v>136</v>
      </c>
      <c r="E211" s="331" t="s">
        <v>998</v>
      </c>
      <c r="F211" s="331" t="s">
        <v>146</v>
      </c>
      <c r="G211" s="336">
        <f>3353.3</f>
        <v>3353.3</v>
      </c>
      <c r="H211" s="336">
        <f t="shared" si="11"/>
        <v>3353.3</v>
      </c>
      <c r="I211" s="214"/>
    </row>
    <row r="212" spans="1:9" ht="31.5" x14ac:dyDescent="0.25">
      <c r="A212" s="335" t="s">
        <v>147</v>
      </c>
      <c r="B212" s="329">
        <v>902</v>
      </c>
      <c r="C212" s="331" t="s">
        <v>260</v>
      </c>
      <c r="D212" s="331" t="s">
        <v>136</v>
      </c>
      <c r="E212" s="331" t="s">
        <v>998</v>
      </c>
      <c r="F212" s="331" t="s">
        <v>148</v>
      </c>
      <c r="G212" s="336">
        <f>G213</f>
        <v>268.10000000000002</v>
      </c>
      <c r="H212" s="336">
        <f>H213</f>
        <v>268.10000000000002</v>
      </c>
      <c r="I212" s="214"/>
    </row>
    <row r="213" spans="1:9" ht="31.5" x14ac:dyDescent="0.25">
      <c r="A213" s="335" t="s">
        <v>149</v>
      </c>
      <c r="B213" s="329">
        <v>902</v>
      </c>
      <c r="C213" s="331" t="s">
        <v>260</v>
      </c>
      <c r="D213" s="331" t="s">
        <v>136</v>
      </c>
      <c r="E213" s="331" t="s">
        <v>998</v>
      </c>
      <c r="F213" s="331" t="s">
        <v>150</v>
      </c>
      <c r="G213" s="336">
        <f>268.1</f>
        <v>268.10000000000002</v>
      </c>
      <c r="H213" s="336">
        <f t="shared" si="11"/>
        <v>268.10000000000002</v>
      </c>
      <c r="I213" s="214"/>
    </row>
    <row r="214" spans="1:9" ht="47.25" x14ac:dyDescent="0.25">
      <c r="A214" s="330" t="s">
        <v>277</v>
      </c>
      <c r="B214" s="330">
        <v>903</v>
      </c>
      <c r="C214" s="331"/>
      <c r="D214" s="331"/>
      <c r="E214" s="331"/>
      <c r="F214" s="331"/>
      <c r="G214" s="332">
        <f>G277+G341+G444+G215+G248+G473</f>
        <v>95886.212</v>
      </c>
      <c r="H214" s="332">
        <f>H277+H341+H444+H215+H248+H473</f>
        <v>93500.599999999991</v>
      </c>
      <c r="I214" s="214"/>
    </row>
    <row r="215" spans="1:9" ht="15.75" x14ac:dyDescent="0.25">
      <c r="A215" s="333" t="s">
        <v>133</v>
      </c>
      <c r="B215" s="330">
        <v>903</v>
      </c>
      <c r="C215" s="334" t="s">
        <v>134</v>
      </c>
      <c r="D215" s="331"/>
      <c r="E215" s="331"/>
      <c r="F215" s="331"/>
      <c r="G215" s="332">
        <f>G216</f>
        <v>120</v>
      </c>
      <c r="H215" s="332">
        <f>H216</f>
        <v>120</v>
      </c>
      <c r="I215" s="214"/>
    </row>
    <row r="216" spans="1:9" ht="15.75" x14ac:dyDescent="0.25">
      <c r="A216" s="333" t="s">
        <v>155</v>
      </c>
      <c r="B216" s="330">
        <v>903</v>
      </c>
      <c r="C216" s="334" t="s">
        <v>134</v>
      </c>
      <c r="D216" s="334" t="s">
        <v>156</v>
      </c>
      <c r="E216" s="331"/>
      <c r="F216" s="331"/>
      <c r="G216" s="332">
        <f>G217+G226+G243</f>
        <v>120</v>
      </c>
      <c r="H216" s="332">
        <f>H217+H226+H243</f>
        <v>120</v>
      </c>
      <c r="I216" s="214"/>
    </row>
    <row r="217" spans="1:9" ht="47.25" x14ac:dyDescent="0.25">
      <c r="A217" s="333" t="s">
        <v>1422</v>
      </c>
      <c r="B217" s="330">
        <v>903</v>
      </c>
      <c r="C217" s="8" t="s">
        <v>134</v>
      </c>
      <c r="D217" s="8" t="s">
        <v>156</v>
      </c>
      <c r="E217" s="206" t="s">
        <v>360</v>
      </c>
      <c r="F217" s="8"/>
      <c r="G217" s="332">
        <f>G218</f>
        <v>60</v>
      </c>
      <c r="H217" s="332">
        <f>H218</f>
        <v>60</v>
      </c>
      <c r="I217" s="214"/>
    </row>
    <row r="218" spans="1:9" ht="94.5" x14ac:dyDescent="0.25">
      <c r="A218" s="41" t="s">
        <v>396</v>
      </c>
      <c r="B218" s="330">
        <v>903</v>
      </c>
      <c r="C218" s="327" t="s">
        <v>134</v>
      </c>
      <c r="D218" s="327" t="s">
        <v>156</v>
      </c>
      <c r="E218" s="327" t="s">
        <v>397</v>
      </c>
      <c r="F218" s="327"/>
      <c r="G218" s="332">
        <f>G219</f>
        <v>60</v>
      </c>
      <c r="H218" s="332">
        <f>H219</f>
        <v>60</v>
      </c>
      <c r="I218" s="214"/>
    </row>
    <row r="219" spans="1:9" ht="63" x14ac:dyDescent="0.25">
      <c r="A219" s="265" t="s">
        <v>1219</v>
      </c>
      <c r="B219" s="330">
        <v>903</v>
      </c>
      <c r="C219" s="327" t="s">
        <v>134</v>
      </c>
      <c r="D219" s="327" t="s">
        <v>156</v>
      </c>
      <c r="E219" s="327" t="s">
        <v>933</v>
      </c>
      <c r="F219" s="327"/>
      <c r="G219" s="332">
        <f>G220+G223</f>
        <v>60</v>
      </c>
      <c r="H219" s="332">
        <f>H220+H223</f>
        <v>60</v>
      </c>
      <c r="I219" s="214"/>
    </row>
    <row r="220" spans="1:9" ht="31.5" x14ac:dyDescent="0.25">
      <c r="A220" s="99" t="s">
        <v>1220</v>
      </c>
      <c r="B220" s="329">
        <v>903</v>
      </c>
      <c r="C220" s="339" t="s">
        <v>134</v>
      </c>
      <c r="D220" s="339" t="s">
        <v>156</v>
      </c>
      <c r="E220" s="339" t="s">
        <v>934</v>
      </c>
      <c r="F220" s="339"/>
      <c r="G220" s="336">
        <f>G221</f>
        <v>60</v>
      </c>
      <c r="H220" s="336">
        <f>H221</f>
        <v>60</v>
      </c>
      <c r="I220" s="214"/>
    </row>
    <row r="221" spans="1:9" ht="31.5" x14ac:dyDescent="0.25">
      <c r="A221" s="338" t="s">
        <v>147</v>
      </c>
      <c r="B221" s="329">
        <v>903</v>
      </c>
      <c r="C221" s="339" t="s">
        <v>134</v>
      </c>
      <c r="D221" s="339" t="s">
        <v>156</v>
      </c>
      <c r="E221" s="339" t="s">
        <v>934</v>
      </c>
      <c r="F221" s="339" t="s">
        <v>148</v>
      </c>
      <c r="G221" s="336">
        <f>G222</f>
        <v>60</v>
      </c>
      <c r="H221" s="336">
        <f>H222</f>
        <v>60</v>
      </c>
      <c r="I221" s="214"/>
    </row>
    <row r="222" spans="1:9" ht="31.5" x14ac:dyDescent="0.25">
      <c r="A222" s="338" t="s">
        <v>149</v>
      </c>
      <c r="B222" s="329">
        <v>903</v>
      </c>
      <c r="C222" s="339" t="s">
        <v>134</v>
      </c>
      <c r="D222" s="339" t="s">
        <v>156</v>
      </c>
      <c r="E222" s="339" t="s">
        <v>934</v>
      </c>
      <c r="F222" s="339" t="s">
        <v>150</v>
      </c>
      <c r="G222" s="336">
        <f>60</f>
        <v>60</v>
      </c>
      <c r="H222" s="336">
        <f t="shared" ref="H222:H284" si="16">G222</f>
        <v>60</v>
      </c>
      <c r="I222" s="214"/>
    </row>
    <row r="223" spans="1:9" ht="47.25" hidden="1" x14ac:dyDescent="0.25">
      <c r="A223" s="35" t="s">
        <v>936</v>
      </c>
      <c r="B223" s="329">
        <v>903</v>
      </c>
      <c r="C223" s="331" t="s">
        <v>134</v>
      </c>
      <c r="D223" s="331" t="s">
        <v>156</v>
      </c>
      <c r="E223" s="331" t="s">
        <v>935</v>
      </c>
      <c r="F223" s="334"/>
      <c r="G223" s="336">
        <f>'Пр.4 ведом.20'!G223</f>
        <v>0</v>
      </c>
      <c r="H223" s="336">
        <f t="shared" si="16"/>
        <v>0</v>
      </c>
      <c r="I223" s="214"/>
    </row>
    <row r="224" spans="1:9" ht="31.5" hidden="1" x14ac:dyDescent="0.25">
      <c r="A224" s="335" t="s">
        <v>147</v>
      </c>
      <c r="B224" s="329">
        <v>903</v>
      </c>
      <c r="C224" s="331" t="s">
        <v>134</v>
      </c>
      <c r="D224" s="331" t="s">
        <v>156</v>
      </c>
      <c r="E224" s="331" t="s">
        <v>935</v>
      </c>
      <c r="F224" s="331" t="s">
        <v>148</v>
      </c>
      <c r="G224" s="336">
        <f>'Пр.4 ведом.20'!G224</f>
        <v>0</v>
      </c>
      <c r="H224" s="336">
        <f t="shared" si="16"/>
        <v>0</v>
      </c>
      <c r="I224" s="214"/>
    </row>
    <row r="225" spans="1:9" ht="31.5" hidden="1" x14ac:dyDescent="0.25">
      <c r="A225" s="335" t="s">
        <v>149</v>
      </c>
      <c r="B225" s="329">
        <v>903</v>
      </c>
      <c r="C225" s="331" t="s">
        <v>134</v>
      </c>
      <c r="D225" s="331" t="s">
        <v>156</v>
      </c>
      <c r="E225" s="331" t="s">
        <v>935</v>
      </c>
      <c r="F225" s="331" t="s">
        <v>150</v>
      </c>
      <c r="G225" s="336">
        <f>'Пр.4 ведом.20'!G225</f>
        <v>0</v>
      </c>
      <c r="H225" s="336">
        <f t="shared" si="16"/>
        <v>0</v>
      </c>
      <c r="I225" s="214"/>
    </row>
    <row r="226" spans="1:9" ht="47.25" x14ac:dyDescent="0.25">
      <c r="A226" s="333" t="s">
        <v>1423</v>
      </c>
      <c r="B226" s="330">
        <v>903</v>
      </c>
      <c r="C226" s="334" t="s">
        <v>134</v>
      </c>
      <c r="D226" s="334" t="s">
        <v>156</v>
      </c>
      <c r="E226" s="334" t="s">
        <v>351</v>
      </c>
      <c r="F226" s="334"/>
      <c r="G226" s="332">
        <f>G227</f>
        <v>55</v>
      </c>
      <c r="H226" s="332">
        <f>H227</f>
        <v>55</v>
      </c>
      <c r="I226" s="214"/>
    </row>
    <row r="227" spans="1:9" ht="31.5" x14ac:dyDescent="0.25">
      <c r="A227" s="333" t="s">
        <v>1225</v>
      </c>
      <c r="B227" s="330">
        <v>903</v>
      </c>
      <c r="C227" s="334" t="s">
        <v>134</v>
      </c>
      <c r="D227" s="334" t="s">
        <v>156</v>
      </c>
      <c r="E227" s="334" t="s">
        <v>1226</v>
      </c>
      <c r="F227" s="334"/>
      <c r="G227" s="332">
        <f>G228+G231+G234+G237+G240</f>
        <v>55</v>
      </c>
      <c r="H227" s="332">
        <f>H228+H231+H234+H237+H240</f>
        <v>55</v>
      </c>
      <c r="I227" s="214"/>
    </row>
    <row r="228" spans="1:9" ht="31.5" hidden="1" x14ac:dyDescent="0.25">
      <c r="A228" s="98" t="s">
        <v>352</v>
      </c>
      <c r="B228" s="329">
        <v>903</v>
      </c>
      <c r="C228" s="331" t="s">
        <v>134</v>
      </c>
      <c r="D228" s="331" t="s">
        <v>156</v>
      </c>
      <c r="E228" s="331" t="s">
        <v>1227</v>
      </c>
      <c r="F228" s="331"/>
      <c r="G228" s="336">
        <f>'Пр.4 ведом.20'!G228</f>
        <v>0</v>
      </c>
      <c r="H228" s="336">
        <f t="shared" si="16"/>
        <v>0</v>
      </c>
      <c r="I228" s="214"/>
    </row>
    <row r="229" spans="1:9" ht="31.5" hidden="1" x14ac:dyDescent="0.25">
      <c r="A229" s="335" t="s">
        <v>147</v>
      </c>
      <c r="B229" s="329">
        <v>903</v>
      </c>
      <c r="C229" s="331" t="s">
        <v>134</v>
      </c>
      <c r="D229" s="331" t="s">
        <v>156</v>
      </c>
      <c r="E229" s="331" t="s">
        <v>1227</v>
      </c>
      <c r="F229" s="331" t="s">
        <v>148</v>
      </c>
      <c r="G229" s="336">
        <f>'Пр.4 ведом.20'!G229</f>
        <v>0</v>
      </c>
      <c r="H229" s="336">
        <f t="shared" si="16"/>
        <v>0</v>
      </c>
      <c r="I229" s="214"/>
    </row>
    <row r="230" spans="1:9" ht="31.5" hidden="1" x14ac:dyDescent="0.25">
      <c r="A230" s="335" t="s">
        <v>149</v>
      </c>
      <c r="B230" s="329">
        <v>903</v>
      </c>
      <c r="C230" s="331" t="s">
        <v>134</v>
      </c>
      <c r="D230" s="331" t="s">
        <v>156</v>
      </c>
      <c r="E230" s="331" t="s">
        <v>1227</v>
      </c>
      <c r="F230" s="331" t="s">
        <v>150</v>
      </c>
      <c r="G230" s="336">
        <f>'Пр.4 ведом.20'!G230</f>
        <v>0</v>
      </c>
      <c r="H230" s="336">
        <f t="shared" si="16"/>
        <v>0</v>
      </c>
      <c r="I230" s="214"/>
    </row>
    <row r="231" spans="1:9" ht="31.5" x14ac:dyDescent="0.25">
      <c r="A231" s="335" t="s">
        <v>354</v>
      </c>
      <c r="B231" s="329">
        <v>903</v>
      </c>
      <c r="C231" s="331" t="s">
        <v>134</v>
      </c>
      <c r="D231" s="331" t="s">
        <v>156</v>
      </c>
      <c r="E231" s="331" t="s">
        <v>1228</v>
      </c>
      <c r="F231" s="331"/>
      <c r="G231" s="336">
        <f>G232</f>
        <v>25</v>
      </c>
      <c r="H231" s="336">
        <f t="shared" si="16"/>
        <v>25</v>
      </c>
      <c r="I231" s="214"/>
    </row>
    <row r="232" spans="1:9" ht="31.5" x14ac:dyDescent="0.25">
      <c r="A232" s="335" t="s">
        <v>147</v>
      </c>
      <c r="B232" s="329">
        <v>903</v>
      </c>
      <c r="C232" s="331" t="s">
        <v>134</v>
      </c>
      <c r="D232" s="331" t="s">
        <v>156</v>
      </c>
      <c r="E232" s="331" t="s">
        <v>1228</v>
      </c>
      <c r="F232" s="331" t="s">
        <v>148</v>
      </c>
      <c r="G232" s="336">
        <f>'Пр.4 ведом.20'!G232</f>
        <v>25</v>
      </c>
      <c r="H232" s="336">
        <f t="shared" si="16"/>
        <v>25</v>
      </c>
      <c r="I232" s="214"/>
    </row>
    <row r="233" spans="1:9" ht="31.5" x14ac:dyDescent="0.25">
      <c r="A233" s="335" t="s">
        <v>149</v>
      </c>
      <c r="B233" s="329">
        <v>903</v>
      </c>
      <c r="C233" s="331" t="s">
        <v>134</v>
      </c>
      <c r="D233" s="331" t="s">
        <v>156</v>
      </c>
      <c r="E233" s="331" t="s">
        <v>1228</v>
      </c>
      <c r="F233" s="331" t="s">
        <v>150</v>
      </c>
      <c r="G233" s="336">
        <f>25</f>
        <v>25</v>
      </c>
      <c r="H233" s="336">
        <f t="shared" si="16"/>
        <v>25</v>
      </c>
      <c r="I233" s="214"/>
    </row>
    <row r="234" spans="1:9" ht="47.25" x14ac:dyDescent="0.25">
      <c r="A234" s="31" t="s">
        <v>794</v>
      </c>
      <c r="B234" s="329">
        <v>903</v>
      </c>
      <c r="C234" s="331" t="s">
        <v>134</v>
      </c>
      <c r="D234" s="331" t="s">
        <v>156</v>
      </c>
      <c r="E234" s="331" t="s">
        <v>1229</v>
      </c>
      <c r="F234" s="331"/>
      <c r="G234" s="336">
        <f>G235</f>
        <v>10</v>
      </c>
      <c r="H234" s="336">
        <f>H235</f>
        <v>10</v>
      </c>
      <c r="I234" s="214"/>
    </row>
    <row r="235" spans="1:9" ht="31.5" x14ac:dyDescent="0.25">
      <c r="A235" s="335" t="s">
        <v>147</v>
      </c>
      <c r="B235" s="329">
        <v>903</v>
      </c>
      <c r="C235" s="331" t="s">
        <v>134</v>
      </c>
      <c r="D235" s="331" t="s">
        <v>156</v>
      </c>
      <c r="E235" s="331" t="s">
        <v>1229</v>
      </c>
      <c r="F235" s="331" t="s">
        <v>148</v>
      </c>
      <c r="G235" s="336">
        <f>G236</f>
        <v>10</v>
      </c>
      <c r="H235" s="336">
        <f>H236</f>
        <v>10</v>
      </c>
      <c r="I235" s="214"/>
    </row>
    <row r="236" spans="1:9" ht="31.5" x14ac:dyDescent="0.25">
      <c r="A236" s="335" t="s">
        <v>149</v>
      </c>
      <c r="B236" s="329">
        <v>903</v>
      </c>
      <c r="C236" s="331" t="s">
        <v>134</v>
      </c>
      <c r="D236" s="331" t="s">
        <v>156</v>
      </c>
      <c r="E236" s="331" t="s">
        <v>1229</v>
      </c>
      <c r="F236" s="331" t="s">
        <v>150</v>
      </c>
      <c r="G236" s="336">
        <f>10</f>
        <v>10</v>
      </c>
      <c r="H236" s="336">
        <f t="shared" si="16"/>
        <v>10</v>
      </c>
      <c r="I236" s="214"/>
    </row>
    <row r="237" spans="1:9" ht="15.75" hidden="1" x14ac:dyDescent="0.25">
      <c r="A237" s="335" t="s">
        <v>1144</v>
      </c>
      <c r="B237" s="329">
        <v>903</v>
      </c>
      <c r="C237" s="331" t="s">
        <v>134</v>
      </c>
      <c r="D237" s="331" t="s">
        <v>156</v>
      </c>
      <c r="E237" s="331" t="s">
        <v>1230</v>
      </c>
      <c r="F237" s="331"/>
      <c r="G237" s="336">
        <f>'Пр.4 ведом.20'!G237</f>
        <v>0</v>
      </c>
      <c r="H237" s="336">
        <f t="shared" si="16"/>
        <v>0</v>
      </c>
      <c r="I237" s="214"/>
    </row>
    <row r="238" spans="1:9" ht="31.5" hidden="1" x14ac:dyDescent="0.25">
      <c r="A238" s="335" t="s">
        <v>147</v>
      </c>
      <c r="B238" s="329">
        <v>903</v>
      </c>
      <c r="C238" s="331" t="s">
        <v>134</v>
      </c>
      <c r="D238" s="331" t="s">
        <v>156</v>
      </c>
      <c r="E238" s="331" t="s">
        <v>1230</v>
      </c>
      <c r="F238" s="331" t="s">
        <v>148</v>
      </c>
      <c r="G238" s="336">
        <f>'Пр.4 ведом.20'!G238</f>
        <v>0</v>
      </c>
      <c r="H238" s="336">
        <f t="shared" si="16"/>
        <v>0</v>
      </c>
      <c r="I238" s="214"/>
    </row>
    <row r="239" spans="1:9" ht="31.5" hidden="1" x14ac:dyDescent="0.25">
      <c r="A239" s="335" t="s">
        <v>149</v>
      </c>
      <c r="B239" s="329">
        <v>903</v>
      </c>
      <c r="C239" s="331" t="s">
        <v>134</v>
      </c>
      <c r="D239" s="331" t="s">
        <v>156</v>
      </c>
      <c r="E239" s="331" t="s">
        <v>1230</v>
      </c>
      <c r="F239" s="331" t="s">
        <v>150</v>
      </c>
      <c r="G239" s="336">
        <f>'Пр.4 ведом.20'!G239</f>
        <v>0</v>
      </c>
      <c r="H239" s="336">
        <f t="shared" si="16"/>
        <v>0</v>
      </c>
      <c r="I239" s="214"/>
    </row>
    <row r="240" spans="1:9" ht="31.5" x14ac:dyDescent="0.25">
      <c r="A240" s="31" t="s">
        <v>795</v>
      </c>
      <c r="B240" s="329">
        <v>903</v>
      </c>
      <c r="C240" s="331" t="s">
        <v>134</v>
      </c>
      <c r="D240" s="331" t="s">
        <v>156</v>
      </c>
      <c r="E240" s="331" t="s">
        <v>1231</v>
      </c>
      <c r="F240" s="331"/>
      <c r="G240" s="336">
        <f>G241</f>
        <v>20</v>
      </c>
      <c r="H240" s="336">
        <f>H241</f>
        <v>20</v>
      </c>
      <c r="I240" s="214"/>
    </row>
    <row r="241" spans="1:9" ht="31.5" x14ac:dyDescent="0.25">
      <c r="A241" s="335" t="s">
        <v>147</v>
      </c>
      <c r="B241" s="329">
        <v>903</v>
      </c>
      <c r="C241" s="331" t="s">
        <v>134</v>
      </c>
      <c r="D241" s="331" t="s">
        <v>156</v>
      </c>
      <c r="E241" s="331" t="s">
        <v>1231</v>
      </c>
      <c r="F241" s="331" t="s">
        <v>148</v>
      </c>
      <c r="G241" s="336">
        <f>G242</f>
        <v>20</v>
      </c>
      <c r="H241" s="336">
        <f>H242</f>
        <v>20</v>
      </c>
      <c r="I241" s="214"/>
    </row>
    <row r="242" spans="1:9" ht="31.5" x14ac:dyDescent="0.25">
      <c r="A242" s="335" t="s">
        <v>149</v>
      </c>
      <c r="B242" s="329">
        <v>903</v>
      </c>
      <c r="C242" s="331" t="s">
        <v>134</v>
      </c>
      <c r="D242" s="331" t="s">
        <v>156</v>
      </c>
      <c r="E242" s="331" t="s">
        <v>1231</v>
      </c>
      <c r="F242" s="331" t="s">
        <v>150</v>
      </c>
      <c r="G242" s="336">
        <f>20</f>
        <v>20</v>
      </c>
      <c r="H242" s="336">
        <f t="shared" si="16"/>
        <v>20</v>
      </c>
      <c r="I242" s="214"/>
    </row>
    <row r="243" spans="1:9" ht="63" x14ac:dyDescent="0.25">
      <c r="A243" s="41" t="s">
        <v>1424</v>
      </c>
      <c r="B243" s="330">
        <v>903</v>
      </c>
      <c r="C243" s="334" t="s">
        <v>134</v>
      </c>
      <c r="D243" s="334" t="s">
        <v>156</v>
      </c>
      <c r="E243" s="334" t="s">
        <v>728</v>
      </c>
      <c r="F243" s="334"/>
      <c r="G243" s="332">
        <f>G245</f>
        <v>5</v>
      </c>
      <c r="H243" s="332">
        <f>H245</f>
        <v>5</v>
      </c>
      <c r="I243" s="214"/>
    </row>
    <row r="244" spans="1:9" ht="47.25" x14ac:dyDescent="0.25">
      <c r="A244" s="219" t="s">
        <v>892</v>
      </c>
      <c r="B244" s="330">
        <v>903</v>
      </c>
      <c r="C244" s="334" t="s">
        <v>134</v>
      </c>
      <c r="D244" s="334" t="s">
        <v>156</v>
      </c>
      <c r="E244" s="334" t="s">
        <v>898</v>
      </c>
      <c r="F244" s="334"/>
      <c r="G244" s="332">
        <f t="shared" ref="G244:H246" si="17">G245</f>
        <v>5</v>
      </c>
      <c r="H244" s="332">
        <f t="shared" si="17"/>
        <v>5</v>
      </c>
      <c r="I244" s="214"/>
    </row>
    <row r="245" spans="1:9" ht="31.5" x14ac:dyDescent="0.25">
      <c r="A245" s="99" t="s">
        <v>799</v>
      </c>
      <c r="B245" s="329">
        <v>903</v>
      </c>
      <c r="C245" s="331" t="s">
        <v>134</v>
      </c>
      <c r="D245" s="331" t="s">
        <v>156</v>
      </c>
      <c r="E245" s="331" t="s">
        <v>893</v>
      </c>
      <c r="F245" s="331"/>
      <c r="G245" s="336">
        <f t="shared" si="17"/>
        <v>5</v>
      </c>
      <c r="H245" s="336">
        <f t="shared" si="17"/>
        <v>5</v>
      </c>
      <c r="I245" s="214"/>
    </row>
    <row r="246" spans="1:9" ht="31.5" x14ac:dyDescent="0.25">
      <c r="A246" s="335" t="s">
        <v>147</v>
      </c>
      <c r="B246" s="329">
        <v>903</v>
      </c>
      <c r="C246" s="331" t="s">
        <v>134</v>
      </c>
      <c r="D246" s="331" t="s">
        <v>156</v>
      </c>
      <c r="E246" s="331" t="s">
        <v>893</v>
      </c>
      <c r="F246" s="331" t="s">
        <v>148</v>
      </c>
      <c r="G246" s="336">
        <f t="shared" si="17"/>
        <v>5</v>
      </c>
      <c r="H246" s="336">
        <f t="shared" si="17"/>
        <v>5</v>
      </c>
      <c r="I246" s="214"/>
    </row>
    <row r="247" spans="1:9" ht="31.5" x14ac:dyDescent="0.25">
      <c r="A247" s="335" t="s">
        <v>149</v>
      </c>
      <c r="B247" s="329">
        <v>903</v>
      </c>
      <c r="C247" s="331" t="s">
        <v>134</v>
      </c>
      <c r="D247" s="331" t="s">
        <v>156</v>
      </c>
      <c r="E247" s="331" t="s">
        <v>893</v>
      </c>
      <c r="F247" s="331" t="s">
        <v>150</v>
      </c>
      <c r="G247" s="336">
        <f>5</f>
        <v>5</v>
      </c>
      <c r="H247" s="336">
        <f t="shared" si="16"/>
        <v>5</v>
      </c>
      <c r="I247" s="214"/>
    </row>
    <row r="248" spans="1:9" ht="15.75" x14ac:dyDescent="0.25">
      <c r="A248" s="225" t="s">
        <v>248</v>
      </c>
      <c r="B248" s="330">
        <v>903</v>
      </c>
      <c r="C248" s="334" t="s">
        <v>166</v>
      </c>
      <c r="D248" s="331"/>
      <c r="E248" s="331"/>
      <c r="F248" s="32"/>
      <c r="G248" s="332">
        <f t="shared" ref="G248:H250" si="18">G249</f>
        <v>570</v>
      </c>
      <c r="H248" s="332">
        <f t="shared" si="18"/>
        <v>448.7</v>
      </c>
      <c r="I248" s="214"/>
    </row>
    <row r="249" spans="1:9" ht="31.5" x14ac:dyDescent="0.25">
      <c r="A249" s="333" t="s">
        <v>253</v>
      </c>
      <c r="B249" s="330">
        <v>903</v>
      </c>
      <c r="C249" s="334" t="s">
        <v>166</v>
      </c>
      <c r="D249" s="334" t="s">
        <v>254</v>
      </c>
      <c r="E249" s="331"/>
      <c r="F249" s="32"/>
      <c r="G249" s="332">
        <f t="shared" si="18"/>
        <v>570</v>
      </c>
      <c r="H249" s="332">
        <f t="shared" si="18"/>
        <v>448.7</v>
      </c>
      <c r="I249" s="214"/>
    </row>
    <row r="250" spans="1:9" ht="47.25" x14ac:dyDescent="0.25">
      <c r="A250" s="333" t="s">
        <v>1422</v>
      </c>
      <c r="B250" s="330">
        <v>903</v>
      </c>
      <c r="C250" s="334" t="s">
        <v>166</v>
      </c>
      <c r="D250" s="334" t="s">
        <v>254</v>
      </c>
      <c r="E250" s="334" t="s">
        <v>360</v>
      </c>
      <c r="F250" s="231"/>
      <c r="G250" s="332">
        <f t="shared" si="18"/>
        <v>570</v>
      </c>
      <c r="H250" s="332">
        <f t="shared" si="18"/>
        <v>448.7</v>
      </c>
      <c r="I250" s="214"/>
    </row>
    <row r="251" spans="1:9" ht="52.5" customHeight="1" x14ac:dyDescent="0.25">
      <c r="A251" s="333" t="s">
        <v>383</v>
      </c>
      <c r="B251" s="330">
        <v>903</v>
      </c>
      <c r="C251" s="334" t="s">
        <v>166</v>
      </c>
      <c r="D251" s="334" t="s">
        <v>254</v>
      </c>
      <c r="E251" s="334" t="s">
        <v>384</v>
      </c>
      <c r="F251" s="334"/>
      <c r="G251" s="332">
        <f>G252+G259+G266+G273</f>
        <v>570</v>
      </c>
      <c r="H251" s="332">
        <f>H252+H259+H266+H273</f>
        <v>448.7</v>
      </c>
      <c r="I251" s="214"/>
    </row>
    <row r="252" spans="1:9" ht="47.25" hidden="1" x14ac:dyDescent="0.25">
      <c r="A252" s="223" t="s">
        <v>1211</v>
      </c>
      <c r="B252" s="330">
        <v>903</v>
      </c>
      <c r="C252" s="334" t="s">
        <v>166</v>
      </c>
      <c r="D252" s="334" t="s">
        <v>254</v>
      </c>
      <c r="E252" s="334" t="s">
        <v>937</v>
      </c>
      <c r="F252" s="334"/>
      <c r="G252" s="332">
        <f>G253+G256</f>
        <v>0</v>
      </c>
      <c r="H252" s="332">
        <f>H253+H256</f>
        <v>0</v>
      </c>
      <c r="I252" s="214"/>
    </row>
    <row r="253" spans="1:9" ht="47.25" hidden="1" x14ac:dyDescent="0.25">
      <c r="A253" s="335" t="s">
        <v>391</v>
      </c>
      <c r="B253" s="329">
        <v>903</v>
      </c>
      <c r="C253" s="331" t="s">
        <v>166</v>
      </c>
      <c r="D253" s="331" t="s">
        <v>254</v>
      </c>
      <c r="E253" s="331" t="s">
        <v>1212</v>
      </c>
      <c r="F253" s="331"/>
      <c r="G253" s="336">
        <f>'Пр.4 ведом.20'!G253</f>
        <v>0</v>
      </c>
      <c r="H253" s="336">
        <f t="shared" si="16"/>
        <v>0</v>
      </c>
      <c r="I253" s="214"/>
    </row>
    <row r="254" spans="1:9" ht="31.5" hidden="1" x14ac:dyDescent="0.25">
      <c r="A254" s="335" t="s">
        <v>264</v>
      </c>
      <c r="B254" s="329">
        <v>903</v>
      </c>
      <c r="C254" s="331" t="s">
        <v>166</v>
      </c>
      <c r="D254" s="331" t="s">
        <v>254</v>
      </c>
      <c r="E254" s="331" t="s">
        <v>1212</v>
      </c>
      <c r="F254" s="331" t="s">
        <v>265</v>
      </c>
      <c r="G254" s="336">
        <f>'Пр.4 ведом.20'!G254</f>
        <v>0</v>
      </c>
      <c r="H254" s="336">
        <f t="shared" si="16"/>
        <v>0</v>
      </c>
      <c r="I254" s="214"/>
    </row>
    <row r="255" spans="1:9" ht="31.5" hidden="1" x14ac:dyDescent="0.25">
      <c r="A255" s="335" t="s">
        <v>266</v>
      </c>
      <c r="B255" s="329">
        <v>903</v>
      </c>
      <c r="C255" s="331" t="s">
        <v>166</v>
      </c>
      <c r="D255" s="331" t="s">
        <v>254</v>
      </c>
      <c r="E255" s="331" t="s">
        <v>1212</v>
      </c>
      <c r="F255" s="331" t="s">
        <v>267</v>
      </c>
      <c r="G255" s="336">
        <f>'Пр.4 ведом.20'!G255</f>
        <v>0</v>
      </c>
      <c r="H255" s="336">
        <f t="shared" si="16"/>
        <v>0</v>
      </c>
      <c r="I255" s="214"/>
    </row>
    <row r="256" spans="1:9" ht="47.25" hidden="1" x14ac:dyDescent="0.25">
      <c r="A256" s="335" t="s">
        <v>391</v>
      </c>
      <c r="B256" s="329">
        <v>903</v>
      </c>
      <c r="C256" s="331" t="s">
        <v>166</v>
      </c>
      <c r="D256" s="331" t="s">
        <v>254</v>
      </c>
      <c r="E256" s="331" t="s">
        <v>1213</v>
      </c>
      <c r="F256" s="331"/>
      <c r="G256" s="336">
        <f>'Пр.4 ведом.20'!G256</f>
        <v>0</v>
      </c>
      <c r="H256" s="336">
        <f t="shared" si="16"/>
        <v>0</v>
      </c>
      <c r="I256" s="214"/>
    </row>
    <row r="257" spans="1:13" ht="31.5" hidden="1" x14ac:dyDescent="0.25">
      <c r="A257" s="335" t="s">
        <v>264</v>
      </c>
      <c r="B257" s="329">
        <v>903</v>
      </c>
      <c r="C257" s="331" t="s">
        <v>166</v>
      </c>
      <c r="D257" s="331" t="s">
        <v>254</v>
      </c>
      <c r="E257" s="331" t="s">
        <v>1213</v>
      </c>
      <c r="F257" s="331" t="s">
        <v>265</v>
      </c>
      <c r="G257" s="336">
        <f>'Пр.4 ведом.20'!G257</f>
        <v>0</v>
      </c>
      <c r="H257" s="336">
        <f t="shared" si="16"/>
        <v>0</v>
      </c>
      <c r="I257" s="214"/>
    </row>
    <row r="258" spans="1:13" ht="31.5" hidden="1" x14ac:dyDescent="0.25">
      <c r="A258" s="335" t="s">
        <v>266</v>
      </c>
      <c r="B258" s="329">
        <v>903</v>
      </c>
      <c r="C258" s="331" t="s">
        <v>166</v>
      </c>
      <c r="D258" s="331" t="s">
        <v>254</v>
      </c>
      <c r="E258" s="331" t="s">
        <v>1213</v>
      </c>
      <c r="F258" s="331" t="s">
        <v>267</v>
      </c>
      <c r="G258" s="336">
        <f>'Пр.4 ведом.20'!G258</f>
        <v>0</v>
      </c>
      <c r="H258" s="336">
        <f t="shared" si="16"/>
        <v>0</v>
      </c>
      <c r="I258" s="214"/>
    </row>
    <row r="259" spans="1:13" ht="31.5" x14ac:dyDescent="0.25">
      <c r="A259" s="333" t="s">
        <v>1209</v>
      </c>
      <c r="B259" s="330">
        <v>903</v>
      </c>
      <c r="C259" s="334" t="s">
        <v>166</v>
      </c>
      <c r="D259" s="334" t="s">
        <v>254</v>
      </c>
      <c r="E259" s="334" t="s">
        <v>938</v>
      </c>
      <c r="F259" s="334"/>
      <c r="G259" s="332">
        <f>G260+G263</f>
        <v>560</v>
      </c>
      <c r="H259" s="332">
        <f>H260+H263</f>
        <v>438.7</v>
      </c>
      <c r="I259" s="214"/>
    </row>
    <row r="260" spans="1:13" ht="31.5" x14ac:dyDescent="0.25">
      <c r="A260" s="335" t="s">
        <v>1210</v>
      </c>
      <c r="B260" s="329">
        <v>903</v>
      </c>
      <c r="C260" s="331" t="s">
        <v>166</v>
      </c>
      <c r="D260" s="331" t="s">
        <v>254</v>
      </c>
      <c r="E260" s="331" t="s">
        <v>1214</v>
      </c>
      <c r="F260" s="331"/>
      <c r="G260" s="336">
        <f>G261</f>
        <v>60</v>
      </c>
      <c r="H260" s="336">
        <f>H261</f>
        <v>60</v>
      </c>
      <c r="I260" s="214"/>
    </row>
    <row r="261" spans="1:13" ht="31.5" x14ac:dyDescent="0.25">
      <c r="A261" s="335" t="s">
        <v>288</v>
      </c>
      <c r="B261" s="329">
        <v>903</v>
      </c>
      <c r="C261" s="331" t="s">
        <v>166</v>
      </c>
      <c r="D261" s="331" t="s">
        <v>254</v>
      </c>
      <c r="E261" s="331" t="s">
        <v>1214</v>
      </c>
      <c r="F261" s="331" t="s">
        <v>289</v>
      </c>
      <c r="G261" s="336">
        <f>G262</f>
        <v>60</v>
      </c>
      <c r="H261" s="336">
        <f>H262</f>
        <v>60</v>
      </c>
      <c r="I261" s="214"/>
      <c r="M261" s="22"/>
    </row>
    <row r="262" spans="1:13" ht="63" x14ac:dyDescent="0.25">
      <c r="A262" s="335" t="s">
        <v>1291</v>
      </c>
      <c r="B262" s="329">
        <v>903</v>
      </c>
      <c r="C262" s="331" t="s">
        <v>166</v>
      </c>
      <c r="D262" s="331" t="s">
        <v>254</v>
      </c>
      <c r="E262" s="331" t="s">
        <v>1214</v>
      </c>
      <c r="F262" s="331" t="s">
        <v>388</v>
      </c>
      <c r="G262" s="336">
        <f>60</f>
        <v>60</v>
      </c>
      <c r="H262" s="336">
        <f t="shared" si="16"/>
        <v>60</v>
      </c>
      <c r="I262" s="214"/>
    </row>
    <row r="263" spans="1:13" ht="110.25" x14ac:dyDescent="0.25">
      <c r="A263" s="335" t="s">
        <v>389</v>
      </c>
      <c r="B263" s="329">
        <v>903</v>
      </c>
      <c r="C263" s="331" t="s">
        <v>166</v>
      </c>
      <c r="D263" s="331" t="s">
        <v>254</v>
      </c>
      <c r="E263" s="331" t="s">
        <v>1215</v>
      </c>
      <c r="F263" s="331"/>
      <c r="G263" s="336">
        <f>G264</f>
        <v>500</v>
      </c>
      <c r="H263" s="336">
        <f>H264</f>
        <v>378.7</v>
      </c>
      <c r="I263" s="214"/>
    </row>
    <row r="264" spans="1:13" ht="31.5" x14ac:dyDescent="0.25">
      <c r="A264" s="335" t="s">
        <v>288</v>
      </c>
      <c r="B264" s="329">
        <v>903</v>
      </c>
      <c r="C264" s="331" t="s">
        <v>166</v>
      </c>
      <c r="D264" s="331" t="s">
        <v>254</v>
      </c>
      <c r="E264" s="331" t="s">
        <v>1215</v>
      </c>
      <c r="F264" s="331" t="s">
        <v>289</v>
      </c>
      <c r="G264" s="336">
        <f>G265</f>
        <v>500</v>
      </c>
      <c r="H264" s="336">
        <f>H265</f>
        <v>378.7</v>
      </c>
      <c r="I264" s="214"/>
    </row>
    <row r="265" spans="1:13" ht="63" x14ac:dyDescent="0.25">
      <c r="A265" s="335" t="s">
        <v>1291</v>
      </c>
      <c r="B265" s="329">
        <v>903</v>
      </c>
      <c r="C265" s="331" t="s">
        <v>166</v>
      </c>
      <c r="D265" s="331" t="s">
        <v>254</v>
      </c>
      <c r="E265" s="331" t="s">
        <v>1215</v>
      </c>
      <c r="F265" s="331" t="s">
        <v>388</v>
      </c>
      <c r="G265" s="336">
        <f>500</f>
        <v>500</v>
      </c>
      <c r="H265" s="336">
        <f>500-121.3</f>
        <v>378.7</v>
      </c>
      <c r="I265" s="214"/>
      <c r="L265" s="319"/>
    </row>
    <row r="266" spans="1:13" ht="31.5" hidden="1" x14ac:dyDescent="0.25">
      <c r="A266" s="333" t="s">
        <v>1145</v>
      </c>
      <c r="B266" s="330">
        <v>903</v>
      </c>
      <c r="C266" s="334" t="s">
        <v>166</v>
      </c>
      <c r="D266" s="334" t="s">
        <v>254</v>
      </c>
      <c r="E266" s="334" t="s">
        <v>939</v>
      </c>
      <c r="F266" s="334"/>
      <c r="G266" s="332">
        <f>G267+G270</f>
        <v>0</v>
      </c>
      <c r="H266" s="332">
        <f>H267+H270</f>
        <v>0</v>
      </c>
      <c r="I266" s="214"/>
    </row>
    <row r="267" spans="1:13" ht="31.5" hidden="1" x14ac:dyDescent="0.25">
      <c r="A267" s="267" t="s">
        <v>1218</v>
      </c>
      <c r="B267" s="329">
        <v>903</v>
      </c>
      <c r="C267" s="331" t="s">
        <v>166</v>
      </c>
      <c r="D267" s="331" t="s">
        <v>254</v>
      </c>
      <c r="E267" s="331" t="s">
        <v>1216</v>
      </c>
      <c r="F267" s="331"/>
      <c r="G267" s="336">
        <f>'Пр.4 ведом.20'!G267</f>
        <v>0</v>
      </c>
      <c r="H267" s="336">
        <f t="shared" si="16"/>
        <v>0</v>
      </c>
      <c r="I267" s="214"/>
    </row>
    <row r="268" spans="1:13" ht="31.5" hidden="1" x14ac:dyDescent="0.25">
      <c r="A268" s="335" t="s">
        <v>147</v>
      </c>
      <c r="B268" s="329">
        <v>903</v>
      </c>
      <c r="C268" s="331" t="s">
        <v>166</v>
      </c>
      <c r="D268" s="331" t="s">
        <v>254</v>
      </c>
      <c r="E268" s="331" t="s">
        <v>1216</v>
      </c>
      <c r="F268" s="331" t="s">
        <v>148</v>
      </c>
      <c r="G268" s="336">
        <f>'Пр.4 ведом.20'!G268</f>
        <v>0</v>
      </c>
      <c r="H268" s="336">
        <f t="shared" si="16"/>
        <v>0</v>
      </c>
      <c r="I268" s="214"/>
    </row>
    <row r="269" spans="1:13" ht="31.5" hidden="1" x14ac:dyDescent="0.25">
      <c r="A269" s="335" t="s">
        <v>149</v>
      </c>
      <c r="B269" s="329">
        <v>903</v>
      </c>
      <c r="C269" s="331" t="s">
        <v>166</v>
      </c>
      <c r="D269" s="331" t="s">
        <v>254</v>
      </c>
      <c r="E269" s="331" t="s">
        <v>1216</v>
      </c>
      <c r="F269" s="331" t="s">
        <v>150</v>
      </c>
      <c r="G269" s="336">
        <f>'Пр.4 ведом.20'!G269</f>
        <v>0</v>
      </c>
      <c r="H269" s="336">
        <f t="shared" si="16"/>
        <v>0</v>
      </c>
      <c r="I269" s="214"/>
    </row>
    <row r="270" spans="1:13" ht="31.5" hidden="1" x14ac:dyDescent="0.25">
      <c r="A270" s="335" t="s">
        <v>393</v>
      </c>
      <c r="B270" s="329">
        <v>903</v>
      </c>
      <c r="C270" s="331" t="s">
        <v>166</v>
      </c>
      <c r="D270" s="331" t="s">
        <v>254</v>
      </c>
      <c r="E270" s="331" t="s">
        <v>1217</v>
      </c>
      <c r="F270" s="331"/>
      <c r="G270" s="336">
        <f>'Пр.4 ведом.20'!G270</f>
        <v>0</v>
      </c>
      <c r="H270" s="336">
        <f t="shared" si="16"/>
        <v>0</v>
      </c>
      <c r="I270" s="214"/>
    </row>
    <row r="271" spans="1:13" ht="31.5" hidden="1" x14ac:dyDescent="0.25">
      <c r="A271" s="335" t="s">
        <v>147</v>
      </c>
      <c r="B271" s="329">
        <v>903</v>
      </c>
      <c r="C271" s="331" t="s">
        <v>166</v>
      </c>
      <c r="D271" s="331" t="s">
        <v>254</v>
      </c>
      <c r="E271" s="331" t="s">
        <v>1217</v>
      </c>
      <c r="F271" s="331" t="s">
        <v>148</v>
      </c>
      <c r="G271" s="336">
        <f>'Пр.4 ведом.20'!G271</f>
        <v>0</v>
      </c>
      <c r="H271" s="336">
        <f t="shared" si="16"/>
        <v>0</v>
      </c>
      <c r="I271" s="214"/>
    </row>
    <row r="272" spans="1:13" ht="31.5" hidden="1" x14ac:dyDescent="0.25">
      <c r="A272" s="335" t="s">
        <v>149</v>
      </c>
      <c r="B272" s="329">
        <v>903</v>
      </c>
      <c r="C272" s="331" t="s">
        <v>166</v>
      </c>
      <c r="D272" s="331" t="s">
        <v>254</v>
      </c>
      <c r="E272" s="331" t="s">
        <v>1217</v>
      </c>
      <c r="F272" s="331" t="s">
        <v>150</v>
      </c>
      <c r="G272" s="336">
        <f>'Пр.4 ведом.20'!G272</f>
        <v>0</v>
      </c>
      <c r="H272" s="336">
        <f t="shared" si="16"/>
        <v>0</v>
      </c>
      <c r="I272" s="214"/>
    </row>
    <row r="273" spans="1:9" s="213" customFormat="1" ht="31.5" x14ac:dyDescent="0.25">
      <c r="A273" s="220" t="s">
        <v>1309</v>
      </c>
      <c r="B273" s="330">
        <v>903</v>
      </c>
      <c r="C273" s="334" t="s">
        <v>166</v>
      </c>
      <c r="D273" s="334" t="s">
        <v>254</v>
      </c>
      <c r="E273" s="334" t="s">
        <v>1308</v>
      </c>
      <c r="F273" s="334"/>
      <c r="G273" s="332">
        <f t="shared" ref="G273:H275" si="19">G274</f>
        <v>10</v>
      </c>
      <c r="H273" s="332">
        <f t="shared" si="19"/>
        <v>10</v>
      </c>
      <c r="I273" s="214"/>
    </row>
    <row r="274" spans="1:9" s="213" customFormat="1" ht="31.5" x14ac:dyDescent="0.25">
      <c r="A274" s="245" t="s">
        <v>1310</v>
      </c>
      <c r="B274" s="329">
        <v>903</v>
      </c>
      <c r="C274" s="331" t="s">
        <v>166</v>
      </c>
      <c r="D274" s="331" t="s">
        <v>254</v>
      </c>
      <c r="E274" s="331" t="s">
        <v>1359</v>
      </c>
      <c r="F274" s="331"/>
      <c r="G274" s="336">
        <f t="shared" si="19"/>
        <v>10</v>
      </c>
      <c r="H274" s="336">
        <f t="shared" si="19"/>
        <v>10</v>
      </c>
      <c r="I274" s="214"/>
    </row>
    <row r="275" spans="1:9" s="213" customFormat="1" ht="31.5" x14ac:dyDescent="0.25">
      <c r="A275" s="335" t="s">
        <v>147</v>
      </c>
      <c r="B275" s="329">
        <v>903</v>
      </c>
      <c r="C275" s="331" t="s">
        <v>166</v>
      </c>
      <c r="D275" s="331" t="s">
        <v>254</v>
      </c>
      <c r="E275" s="331" t="s">
        <v>1359</v>
      </c>
      <c r="F275" s="331" t="s">
        <v>148</v>
      </c>
      <c r="G275" s="336">
        <f t="shared" si="19"/>
        <v>10</v>
      </c>
      <c r="H275" s="336">
        <f t="shared" si="19"/>
        <v>10</v>
      </c>
      <c r="I275" s="214"/>
    </row>
    <row r="276" spans="1:9" s="213" customFormat="1" ht="31.5" x14ac:dyDescent="0.25">
      <c r="A276" s="335" t="s">
        <v>149</v>
      </c>
      <c r="B276" s="329">
        <v>903</v>
      </c>
      <c r="C276" s="331" t="s">
        <v>166</v>
      </c>
      <c r="D276" s="331" t="s">
        <v>254</v>
      </c>
      <c r="E276" s="331" t="s">
        <v>1359</v>
      </c>
      <c r="F276" s="331" t="s">
        <v>150</v>
      </c>
      <c r="G276" s="336">
        <f>10</f>
        <v>10</v>
      </c>
      <c r="H276" s="336">
        <f>G276</f>
        <v>10</v>
      </c>
      <c r="I276" s="214"/>
    </row>
    <row r="277" spans="1:9" ht="15.75" x14ac:dyDescent="0.25">
      <c r="A277" s="333" t="s">
        <v>279</v>
      </c>
      <c r="B277" s="330">
        <v>903</v>
      </c>
      <c r="C277" s="334" t="s">
        <v>280</v>
      </c>
      <c r="D277" s="331"/>
      <c r="E277" s="331"/>
      <c r="F277" s="331"/>
      <c r="G277" s="332">
        <f>G278+G321</f>
        <v>17624.7</v>
      </c>
      <c r="H277" s="332">
        <f>H278+H321</f>
        <v>17624.7</v>
      </c>
      <c r="I277" s="214"/>
    </row>
    <row r="278" spans="1:9" ht="15.75" x14ac:dyDescent="0.25">
      <c r="A278" s="333" t="s">
        <v>281</v>
      </c>
      <c r="B278" s="330">
        <v>903</v>
      </c>
      <c r="C278" s="334" t="s">
        <v>280</v>
      </c>
      <c r="D278" s="334" t="s">
        <v>231</v>
      </c>
      <c r="E278" s="334"/>
      <c r="F278" s="334"/>
      <c r="G278" s="332">
        <f>G279+G316</f>
        <v>16864.7</v>
      </c>
      <c r="H278" s="332">
        <f>H279+H316</f>
        <v>16864.7</v>
      </c>
      <c r="I278" s="214"/>
    </row>
    <row r="279" spans="1:9" ht="47.25" x14ac:dyDescent="0.25">
      <c r="A279" s="333" t="s">
        <v>1425</v>
      </c>
      <c r="B279" s="330">
        <v>903</v>
      </c>
      <c r="C279" s="334" t="s">
        <v>280</v>
      </c>
      <c r="D279" s="334" t="s">
        <v>231</v>
      </c>
      <c r="E279" s="334" t="s">
        <v>283</v>
      </c>
      <c r="F279" s="334"/>
      <c r="G279" s="332">
        <f>G280</f>
        <v>16643.7</v>
      </c>
      <c r="H279" s="332">
        <f>H280</f>
        <v>16643.7</v>
      </c>
      <c r="I279" s="214"/>
    </row>
    <row r="280" spans="1:9" ht="47.25" x14ac:dyDescent="0.25">
      <c r="A280" s="333" t="s">
        <v>284</v>
      </c>
      <c r="B280" s="330">
        <v>903</v>
      </c>
      <c r="C280" s="334" t="s">
        <v>280</v>
      </c>
      <c r="D280" s="334" t="s">
        <v>231</v>
      </c>
      <c r="E280" s="334" t="s">
        <v>285</v>
      </c>
      <c r="F280" s="334"/>
      <c r="G280" s="332">
        <f>G281+G289+G293+G303+G299</f>
        <v>16643.7</v>
      </c>
      <c r="H280" s="332">
        <f>H281+H289+H293+H303+H299</f>
        <v>16643.7</v>
      </c>
      <c r="I280" s="214"/>
    </row>
    <row r="281" spans="1:9" ht="36" customHeight="1" x14ac:dyDescent="0.25">
      <c r="A281" s="333" t="s">
        <v>941</v>
      </c>
      <c r="B281" s="330">
        <v>903</v>
      </c>
      <c r="C281" s="334" t="s">
        <v>280</v>
      </c>
      <c r="D281" s="334" t="s">
        <v>231</v>
      </c>
      <c r="E281" s="334" t="s">
        <v>942</v>
      </c>
      <c r="F281" s="334"/>
      <c r="G281" s="44">
        <f>G282</f>
        <v>15011</v>
      </c>
      <c r="H281" s="44">
        <f>H282</f>
        <v>15011</v>
      </c>
      <c r="I281" s="214"/>
    </row>
    <row r="282" spans="1:9" ht="15.75" x14ac:dyDescent="0.25">
      <c r="A282" s="335" t="s">
        <v>832</v>
      </c>
      <c r="B282" s="329">
        <v>903</v>
      </c>
      <c r="C282" s="331" t="s">
        <v>280</v>
      </c>
      <c r="D282" s="331" t="s">
        <v>231</v>
      </c>
      <c r="E282" s="331" t="s">
        <v>940</v>
      </c>
      <c r="F282" s="331"/>
      <c r="G282" s="336">
        <f>G283+G285+G288</f>
        <v>15011</v>
      </c>
      <c r="H282" s="336">
        <f>H283+H285+H288</f>
        <v>15011</v>
      </c>
      <c r="I282" s="214"/>
    </row>
    <row r="283" spans="1:9" ht="78.75" x14ac:dyDescent="0.25">
      <c r="A283" s="335" t="s">
        <v>143</v>
      </c>
      <c r="B283" s="329">
        <v>903</v>
      </c>
      <c r="C283" s="331" t="s">
        <v>280</v>
      </c>
      <c r="D283" s="331" t="s">
        <v>231</v>
      </c>
      <c r="E283" s="331" t="s">
        <v>940</v>
      </c>
      <c r="F283" s="331" t="s">
        <v>144</v>
      </c>
      <c r="G283" s="336">
        <f>G284</f>
        <v>13393</v>
      </c>
      <c r="H283" s="336">
        <f>H284</f>
        <v>13393</v>
      </c>
      <c r="I283" s="214"/>
    </row>
    <row r="284" spans="1:9" ht="21.2" customHeight="1" x14ac:dyDescent="0.25">
      <c r="A284" s="46" t="s">
        <v>358</v>
      </c>
      <c r="B284" s="329">
        <v>903</v>
      </c>
      <c r="C284" s="331" t="s">
        <v>280</v>
      </c>
      <c r="D284" s="331" t="s">
        <v>231</v>
      </c>
      <c r="E284" s="331" t="s">
        <v>940</v>
      </c>
      <c r="F284" s="331" t="s">
        <v>225</v>
      </c>
      <c r="G284" s="336">
        <f>13393</f>
        <v>13393</v>
      </c>
      <c r="H284" s="336">
        <f t="shared" si="16"/>
        <v>13393</v>
      </c>
      <c r="I284" s="214"/>
    </row>
    <row r="285" spans="1:9" ht="31.5" x14ac:dyDescent="0.25">
      <c r="A285" s="335" t="s">
        <v>147</v>
      </c>
      <c r="B285" s="329">
        <v>903</v>
      </c>
      <c r="C285" s="331" t="s">
        <v>280</v>
      </c>
      <c r="D285" s="331" t="s">
        <v>231</v>
      </c>
      <c r="E285" s="331" t="s">
        <v>940</v>
      </c>
      <c r="F285" s="331" t="s">
        <v>148</v>
      </c>
      <c r="G285" s="336">
        <f>G286</f>
        <v>1540</v>
      </c>
      <c r="H285" s="336">
        <f>H286</f>
        <v>1540</v>
      </c>
      <c r="I285" s="214"/>
    </row>
    <row r="286" spans="1:9" ht="31.5" x14ac:dyDescent="0.25">
      <c r="A286" s="335" t="s">
        <v>149</v>
      </c>
      <c r="B286" s="329">
        <v>903</v>
      </c>
      <c r="C286" s="331" t="s">
        <v>280</v>
      </c>
      <c r="D286" s="331" t="s">
        <v>231</v>
      </c>
      <c r="E286" s="331" t="s">
        <v>940</v>
      </c>
      <c r="F286" s="331" t="s">
        <v>150</v>
      </c>
      <c r="G286" s="336">
        <f>1540</f>
        <v>1540</v>
      </c>
      <c r="H286" s="336">
        <f t="shared" ref="H286:H350" si="20">G286</f>
        <v>1540</v>
      </c>
      <c r="I286" s="214"/>
    </row>
    <row r="287" spans="1:9" ht="15.75" x14ac:dyDescent="0.25">
      <c r="A287" s="335" t="s">
        <v>151</v>
      </c>
      <c r="B287" s="329">
        <v>903</v>
      </c>
      <c r="C287" s="331" t="s">
        <v>280</v>
      </c>
      <c r="D287" s="331" t="s">
        <v>231</v>
      </c>
      <c r="E287" s="331" t="s">
        <v>940</v>
      </c>
      <c r="F287" s="331" t="s">
        <v>161</v>
      </c>
      <c r="G287" s="336">
        <f>G288</f>
        <v>78</v>
      </c>
      <c r="H287" s="336">
        <f>H288</f>
        <v>78</v>
      </c>
      <c r="I287" s="214"/>
    </row>
    <row r="288" spans="1:9" ht="15.75" x14ac:dyDescent="0.25">
      <c r="A288" s="335" t="s">
        <v>727</v>
      </c>
      <c r="B288" s="329">
        <v>903</v>
      </c>
      <c r="C288" s="331" t="s">
        <v>280</v>
      </c>
      <c r="D288" s="331" t="s">
        <v>231</v>
      </c>
      <c r="E288" s="331" t="s">
        <v>940</v>
      </c>
      <c r="F288" s="331" t="s">
        <v>154</v>
      </c>
      <c r="G288" s="336">
        <f>78</f>
        <v>78</v>
      </c>
      <c r="H288" s="336">
        <f t="shared" si="20"/>
        <v>78</v>
      </c>
      <c r="I288" s="214"/>
    </row>
    <row r="289" spans="1:9" ht="47.25" x14ac:dyDescent="0.25">
      <c r="A289" s="224" t="s">
        <v>1189</v>
      </c>
      <c r="B289" s="330">
        <v>903</v>
      </c>
      <c r="C289" s="334" t="s">
        <v>280</v>
      </c>
      <c r="D289" s="334" t="s">
        <v>231</v>
      </c>
      <c r="E289" s="334" t="s">
        <v>944</v>
      </c>
      <c r="F289" s="334"/>
      <c r="G289" s="44">
        <f t="shared" ref="G289:H291" si="21">G290</f>
        <v>45</v>
      </c>
      <c r="H289" s="44">
        <f t="shared" si="21"/>
        <v>45</v>
      </c>
      <c r="I289" s="214"/>
    </row>
    <row r="290" spans="1:9" ht="31.5" x14ac:dyDescent="0.25">
      <c r="A290" s="208" t="s">
        <v>831</v>
      </c>
      <c r="B290" s="329">
        <v>903</v>
      </c>
      <c r="C290" s="331" t="s">
        <v>280</v>
      </c>
      <c r="D290" s="331" t="s">
        <v>231</v>
      </c>
      <c r="E290" s="331" t="s">
        <v>943</v>
      </c>
      <c r="F290" s="331"/>
      <c r="G290" s="336">
        <f t="shared" si="21"/>
        <v>45</v>
      </c>
      <c r="H290" s="336">
        <f t="shared" si="21"/>
        <v>45</v>
      </c>
      <c r="I290" s="214"/>
    </row>
    <row r="291" spans="1:9" ht="20.25" customHeight="1" x14ac:dyDescent="0.25">
      <c r="A291" s="335" t="s">
        <v>264</v>
      </c>
      <c r="B291" s="329">
        <v>903</v>
      </c>
      <c r="C291" s="331" t="s">
        <v>280</v>
      </c>
      <c r="D291" s="331" t="s">
        <v>231</v>
      </c>
      <c r="E291" s="331" t="s">
        <v>943</v>
      </c>
      <c r="F291" s="331" t="s">
        <v>265</v>
      </c>
      <c r="G291" s="336">
        <f t="shared" si="21"/>
        <v>45</v>
      </c>
      <c r="H291" s="336">
        <f t="shared" si="21"/>
        <v>45</v>
      </c>
      <c r="I291" s="214"/>
    </row>
    <row r="292" spans="1:9" ht="15.75" x14ac:dyDescent="0.25">
      <c r="A292" s="335" t="s">
        <v>865</v>
      </c>
      <c r="B292" s="329">
        <v>903</v>
      </c>
      <c r="C292" s="331" t="s">
        <v>280</v>
      </c>
      <c r="D292" s="331" t="s">
        <v>231</v>
      </c>
      <c r="E292" s="331" t="s">
        <v>943</v>
      </c>
      <c r="F292" s="331" t="s">
        <v>864</v>
      </c>
      <c r="G292" s="336">
        <f>45</f>
        <v>45</v>
      </c>
      <c r="H292" s="336">
        <f t="shared" si="20"/>
        <v>45</v>
      </c>
      <c r="I292" s="214"/>
    </row>
    <row r="293" spans="1:9" ht="47.25" x14ac:dyDescent="0.25">
      <c r="A293" s="229" t="s">
        <v>1168</v>
      </c>
      <c r="B293" s="330">
        <v>903</v>
      </c>
      <c r="C293" s="334" t="s">
        <v>280</v>
      </c>
      <c r="D293" s="334" t="s">
        <v>231</v>
      </c>
      <c r="E293" s="334" t="s">
        <v>945</v>
      </c>
      <c r="F293" s="334"/>
      <c r="G293" s="332">
        <f t="shared" ref="G293:H295" si="22">G294</f>
        <v>250</v>
      </c>
      <c r="H293" s="332">
        <f t="shared" si="22"/>
        <v>250</v>
      </c>
      <c r="I293" s="214"/>
    </row>
    <row r="294" spans="1:9" ht="31.5" x14ac:dyDescent="0.25">
      <c r="A294" s="31" t="s">
        <v>860</v>
      </c>
      <c r="B294" s="329">
        <v>903</v>
      </c>
      <c r="C294" s="331" t="s">
        <v>280</v>
      </c>
      <c r="D294" s="331" t="s">
        <v>231</v>
      </c>
      <c r="E294" s="331" t="s">
        <v>946</v>
      </c>
      <c r="F294" s="331"/>
      <c r="G294" s="336">
        <f t="shared" si="22"/>
        <v>250</v>
      </c>
      <c r="H294" s="336">
        <f t="shared" si="22"/>
        <v>250</v>
      </c>
      <c r="I294" s="214"/>
    </row>
    <row r="295" spans="1:9" ht="78.75" x14ac:dyDescent="0.25">
      <c r="A295" s="335" t="s">
        <v>143</v>
      </c>
      <c r="B295" s="329">
        <v>903</v>
      </c>
      <c r="C295" s="331" t="s">
        <v>280</v>
      </c>
      <c r="D295" s="331" t="s">
        <v>231</v>
      </c>
      <c r="E295" s="331" t="s">
        <v>946</v>
      </c>
      <c r="F295" s="331" t="s">
        <v>144</v>
      </c>
      <c r="G295" s="336">
        <f t="shared" si="22"/>
        <v>250</v>
      </c>
      <c r="H295" s="336">
        <f t="shared" si="22"/>
        <v>250</v>
      </c>
      <c r="I295" s="214"/>
    </row>
    <row r="296" spans="1:9" ht="24" customHeight="1" x14ac:dyDescent="0.25">
      <c r="A296" s="46" t="s">
        <v>358</v>
      </c>
      <c r="B296" s="329">
        <v>903</v>
      </c>
      <c r="C296" s="331" t="s">
        <v>280</v>
      </c>
      <c r="D296" s="331" t="s">
        <v>231</v>
      </c>
      <c r="E296" s="331" t="s">
        <v>946</v>
      </c>
      <c r="F296" s="331" t="s">
        <v>225</v>
      </c>
      <c r="G296" s="336">
        <f>250</f>
        <v>250</v>
      </c>
      <c r="H296" s="336">
        <f t="shared" si="20"/>
        <v>250</v>
      </c>
      <c r="I296" s="214"/>
    </row>
    <row r="297" spans="1:9" ht="31.5" hidden="1" x14ac:dyDescent="0.25">
      <c r="A297" s="335" t="s">
        <v>147</v>
      </c>
      <c r="B297" s="329">
        <v>903</v>
      </c>
      <c r="C297" s="331" t="s">
        <v>280</v>
      </c>
      <c r="D297" s="331" t="s">
        <v>231</v>
      </c>
      <c r="E297" s="331" t="s">
        <v>946</v>
      </c>
      <c r="F297" s="331" t="s">
        <v>148</v>
      </c>
      <c r="G297" s="336">
        <f>'Пр.4 ведом.20'!G297</f>
        <v>0</v>
      </c>
      <c r="H297" s="336">
        <f t="shared" si="20"/>
        <v>0</v>
      </c>
      <c r="I297" s="214"/>
    </row>
    <row r="298" spans="1:9" ht="31.5" hidden="1" x14ac:dyDescent="0.25">
      <c r="A298" s="335" t="s">
        <v>149</v>
      </c>
      <c r="B298" s="329">
        <v>903</v>
      </c>
      <c r="C298" s="331" t="s">
        <v>280</v>
      </c>
      <c r="D298" s="331" t="s">
        <v>231</v>
      </c>
      <c r="E298" s="331" t="s">
        <v>946</v>
      </c>
      <c r="F298" s="331" t="s">
        <v>150</v>
      </c>
      <c r="G298" s="336">
        <f>'Пр.4 ведом.20'!G298</f>
        <v>0</v>
      </c>
      <c r="H298" s="336">
        <f t="shared" si="20"/>
        <v>0</v>
      </c>
      <c r="I298" s="214"/>
    </row>
    <row r="299" spans="1:9" ht="31.5" x14ac:dyDescent="0.25">
      <c r="A299" s="333" t="s">
        <v>1076</v>
      </c>
      <c r="B299" s="330">
        <v>903</v>
      </c>
      <c r="C299" s="334" t="s">
        <v>280</v>
      </c>
      <c r="D299" s="334" t="s">
        <v>231</v>
      </c>
      <c r="E299" s="334" t="s">
        <v>951</v>
      </c>
      <c r="F299" s="334"/>
      <c r="G299" s="44">
        <f t="shared" ref="G299:H301" si="23">G300</f>
        <v>336</v>
      </c>
      <c r="H299" s="44">
        <f t="shared" si="23"/>
        <v>336</v>
      </c>
      <c r="I299" s="214"/>
    </row>
    <row r="300" spans="1:9" ht="47.25" x14ac:dyDescent="0.25">
      <c r="A300" s="335" t="s">
        <v>885</v>
      </c>
      <c r="B300" s="329">
        <v>903</v>
      </c>
      <c r="C300" s="331" t="s">
        <v>280</v>
      </c>
      <c r="D300" s="331" t="s">
        <v>231</v>
      </c>
      <c r="E300" s="331" t="s">
        <v>1263</v>
      </c>
      <c r="F300" s="331"/>
      <c r="G300" s="336">
        <f t="shared" si="23"/>
        <v>336</v>
      </c>
      <c r="H300" s="336">
        <f t="shared" si="23"/>
        <v>336</v>
      </c>
      <c r="I300" s="214"/>
    </row>
    <row r="301" spans="1:9" ht="78.75" x14ac:dyDescent="0.25">
      <c r="A301" s="335" t="s">
        <v>143</v>
      </c>
      <c r="B301" s="329">
        <v>903</v>
      </c>
      <c r="C301" s="331" t="s">
        <v>280</v>
      </c>
      <c r="D301" s="331" t="s">
        <v>231</v>
      </c>
      <c r="E301" s="331" t="s">
        <v>1263</v>
      </c>
      <c r="F301" s="331" t="s">
        <v>144</v>
      </c>
      <c r="G301" s="336">
        <f t="shared" si="23"/>
        <v>336</v>
      </c>
      <c r="H301" s="336">
        <f t="shared" si="23"/>
        <v>336</v>
      </c>
      <c r="I301" s="214"/>
    </row>
    <row r="302" spans="1:9" ht="31.5" x14ac:dyDescent="0.25">
      <c r="A302" s="335" t="s">
        <v>358</v>
      </c>
      <c r="B302" s="329">
        <v>903</v>
      </c>
      <c r="C302" s="331" t="s">
        <v>280</v>
      </c>
      <c r="D302" s="331" t="s">
        <v>231</v>
      </c>
      <c r="E302" s="331" t="s">
        <v>1263</v>
      </c>
      <c r="F302" s="331" t="s">
        <v>225</v>
      </c>
      <c r="G302" s="336">
        <f>336</f>
        <v>336</v>
      </c>
      <c r="H302" s="336">
        <f t="shared" si="20"/>
        <v>336</v>
      </c>
      <c r="I302" s="214"/>
    </row>
    <row r="303" spans="1:9" ht="47.25" x14ac:dyDescent="0.25">
      <c r="A303" s="333" t="s">
        <v>971</v>
      </c>
      <c r="B303" s="330">
        <v>903</v>
      </c>
      <c r="C303" s="334" t="s">
        <v>280</v>
      </c>
      <c r="D303" s="334" t="s">
        <v>231</v>
      </c>
      <c r="E303" s="334" t="s">
        <v>1264</v>
      </c>
      <c r="F303" s="334"/>
      <c r="G303" s="44">
        <f>G307+G310+G313+G304</f>
        <v>1001.7</v>
      </c>
      <c r="H303" s="44">
        <f>H307+H310+H313+H304</f>
        <v>1001.7</v>
      </c>
      <c r="I303" s="214"/>
    </row>
    <row r="304" spans="1:9" s="324" customFormat="1" ht="94.5" x14ac:dyDescent="0.25">
      <c r="A304" s="31" t="s">
        <v>309</v>
      </c>
      <c r="B304" s="329">
        <v>903</v>
      </c>
      <c r="C304" s="331" t="s">
        <v>280</v>
      </c>
      <c r="D304" s="331" t="s">
        <v>231</v>
      </c>
      <c r="E304" s="331" t="s">
        <v>1518</v>
      </c>
      <c r="F304" s="331"/>
      <c r="G304" s="337">
        <f>G305</f>
        <v>602.5</v>
      </c>
      <c r="H304" s="337">
        <f>H305</f>
        <v>602.5</v>
      </c>
      <c r="I304" s="325"/>
    </row>
    <row r="305" spans="1:9" s="324" customFormat="1" ht="78.75" x14ac:dyDescent="0.25">
      <c r="A305" s="335" t="s">
        <v>143</v>
      </c>
      <c r="B305" s="329">
        <v>903</v>
      </c>
      <c r="C305" s="331" t="s">
        <v>280</v>
      </c>
      <c r="D305" s="331" t="s">
        <v>231</v>
      </c>
      <c r="E305" s="331" t="s">
        <v>1518</v>
      </c>
      <c r="F305" s="331" t="s">
        <v>144</v>
      </c>
      <c r="G305" s="337">
        <f>G306</f>
        <v>602.5</v>
      </c>
      <c r="H305" s="337">
        <f>H306</f>
        <v>602.5</v>
      </c>
      <c r="I305" s="325"/>
    </row>
    <row r="306" spans="1:9" s="324" customFormat="1" ht="31.5" x14ac:dyDescent="0.25">
      <c r="A306" s="46" t="s">
        <v>358</v>
      </c>
      <c r="B306" s="329">
        <v>903</v>
      </c>
      <c r="C306" s="331" t="s">
        <v>280</v>
      </c>
      <c r="D306" s="331" t="s">
        <v>231</v>
      </c>
      <c r="E306" s="331" t="s">
        <v>1518</v>
      </c>
      <c r="F306" s="331" t="s">
        <v>225</v>
      </c>
      <c r="G306" s="337">
        <v>602.5</v>
      </c>
      <c r="H306" s="337">
        <v>602.5</v>
      </c>
      <c r="I306" s="325"/>
    </row>
    <row r="307" spans="1:9" ht="63" x14ac:dyDescent="0.25">
      <c r="A307" s="31" t="s">
        <v>305</v>
      </c>
      <c r="B307" s="329">
        <v>903</v>
      </c>
      <c r="C307" s="331" t="s">
        <v>280</v>
      </c>
      <c r="D307" s="331" t="s">
        <v>231</v>
      </c>
      <c r="E307" s="331" t="s">
        <v>1265</v>
      </c>
      <c r="F307" s="331"/>
      <c r="G307" s="336">
        <f>G308</f>
        <v>100.8</v>
      </c>
      <c r="H307" s="336">
        <f>H308</f>
        <v>100.8</v>
      </c>
      <c r="I307" s="214"/>
    </row>
    <row r="308" spans="1:9" ht="78.75" x14ac:dyDescent="0.25">
      <c r="A308" s="335" t="s">
        <v>143</v>
      </c>
      <c r="B308" s="329">
        <v>903</v>
      </c>
      <c r="C308" s="331" t="s">
        <v>280</v>
      </c>
      <c r="D308" s="331" t="s">
        <v>231</v>
      </c>
      <c r="E308" s="331" t="s">
        <v>1265</v>
      </c>
      <c r="F308" s="331" t="s">
        <v>144</v>
      </c>
      <c r="G308" s="336">
        <f>G309</f>
        <v>100.8</v>
      </c>
      <c r="H308" s="336">
        <f>H309</f>
        <v>100.8</v>
      </c>
      <c r="I308" s="214"/>
    </row>
    <row r="309" spans="1:9" ht="31.5" x14ac:dyDescent="0.25">
      <c r="A309" s="46" t="s">
        <v>358</v>
      </c>
      <c r="B309" s="329">
        <v>903</v>
      </c>
      <c r="C309" s="331" t="s">
        <v>280</v>
      </c>
      <c r="D309" s="331" t="s">
        <v>231</v>
      </c>
      <c r="E309" s="331" t="s">
        <v>1265</v>
      </c>
      <c r="F309" s="331" t="s">
        <v>225</v>
      </c>
      <c r="G309" s="336">
        <f>100.8</f>
        <v>100.8</v>
      </c>
      <c r="H309" s="336">
        <f t="shared" si="20"/>
        <v>100.8</v>
      </c>
      <c r="I309" s="214"/>
    </row>
    <row r="310" spans="1:9" ht="63" x14ac:dyDescent="0.25">
      <c r="A310" s="31" t="s">
        <v>307</v>
      </c>
      <c r="B310" s="329">
        <v>903</v>
      </c>
      <c r="C310" s="331" t="s">
        <v>280</v>
      </c>
      <c r="D310" s="331" t="s">
        <v>231</v>
      </c>
      <c r="E310" s="331" t="s">
        <v>1266</v>
      </c>
      <c r="F310" s="331"/>
      <c r="G310" s="336">
        <f>G311</f>
        <v>298.39999999999998</v>
      </c>
      <c r="H310" s="336">
        <f t="shared" si="20"/>
        <v>298.39999999999998</v>
      </c>
      <c r="I310" s="214"/>
    </row>
    <row r="311" spans="1:9" ht="78.75" x14ac:dyDescent="0.25">
      <c r="A311" s="335" t="s">
        <v>143</v>
      </c>
      <c r="B311" s="329">
        <v>903</v>
      </c>
      <c r="C311" s="331" t="s">
        <v>280</v>
      </c>
      <c r="D311" s="331" t="s">
        <v>231</v>
      </c>
      <c r="E311" s="331" t="s">
        <v>1266</v>
      </c>
      <c r="F311" s="331" t="s">
        <v>144</v>
      </c>
      <c r="G311" s="336">
        <f>G312</f>
        <v>298.39999999999998</v>
      </c>
      <c r="H311" s="336">
        <f>H312</f>
        <v>298.39999999999998</v>
      </c>
      <c r="I311" s="214"/>
    </row>
    <row r="312" spans="1:9" ht="31.5" x14ac:dyDescent="0.25">
      <c r="A312" s="46" t="s">
        <v>358</v>
      </c>
      <c r="B312" s="329">
        <v>903</v>
      </c>
      <c r="C312" s="331" t="s">
        <v>280</v>
      </c>
      <c r="D312" s="331" t="s">
        <v>231</v>
      </c>
      <c r="E312" s="331" t="s">
        <v>1266</v>
      </c>
      <c r="F312" s="331" t="s">
        <v>225</v>
      </c>
      <c r="G312" s="336">
        <f>298.4</f>
        <v>298.39999999999998</v>
      </c>
      <c r="H312" s="336">
        <f t="shared" si="20"/>
        <v>298.39999999999998</v>
      </c>
      <c r="I312" s="214"/>
    </row>
    <row r="313" spans="1:9" ht="94.5" hidden="1" x14ac:dyDescent="0.25">
      <c r="A313" s="31" t="s">
        <v>309</v>
      </c>
      <c r="B313" s="329">
        <v>903</v>
      </c>
      <c r="C313" s="331" t="s">
        <v>280</v>
      </c>
      <c r="D313" s="331" t="s">
        <v>231</v>
      </c>
      <c r="E313" s="331" t="s">
        <v>1267</v>
      </c>
      <c r="F313" s="331"/>
      <c r="G313" s="336">
        <f>G314</f>
        <v>0</v>
      </c>
      <c r="H313" s="336">
        <f>H314</f>
        <v>0</v>
      </c>
      <c r="I313" s="214"/>
    </row>
    <row r="314" spans="1:9" ht="78.75" hidden="1" x14ac:dyDescent="0.25">
      <c r="A314" s="335" t="s">
        <v>143</v>
      </c>
      <c r="B314" s="329">
        <v>903</v>
      </c>
      <c r="C314" s="331" t="s">
        <v>280</v>
      </c>
      <c r="D314" s="331" t="s">
        <v>231</v>
      </c>
      <c r="E314" s="331" t="s">
        <v>1267</v>
      </c>
      <c r="F314" s="331" t="s">
        <v>144</v>
      </c>
      <c r="G314" s="336">
        <f>G315</f>
        <v>0</v>
      </c>
      <c r="H314" s="336">
        <f>H315</f>
        <v>0</v>
      </c>
      <c r="I314" s="214"/>
    </row>
    <row r="315" spans="1:9" ht="31.5" hidden="1" x14ac:dyDescent="0.25">
      <c r="A315" s="46" t="s">
        <v>358</v>
      </c>
      <c r="B315" s="329">
        <v>903</v>
      </c>
      <c r="C315" s="331" t="s">
        <v>280</v>
      </c>
      <c r="D315" s="331" t="s">
        <v>231</v>
      </c>
      <c r="E315" s="331" t="s">
        <v>1267</v>
      </c>
      <c r="F315" s="331" t="s">
        <v>225</v>
      </c>
      <c r="G315" s="336">
        <f>602.5-602.5</f>
        <v>0</v>
      </c>
      <c r="H315" s="336">
        <f t="shared" si="20"/>
        <v>0</v>
      </c>
      <c r="I315" s="214"/>
    </row>
    <row r="316" spans="1:9" ht="63" x14ac:dyDescent="0.25">
      <c r="A316" s="41" t="s">
        <v>1424</v>
      </c>
      <c r="B316" s="330">
        <v>903</v>
      </c>
      <c r="C316" s="334" t="s">
        <v>280</v>
      </c>
      <c r="D316" s="334" t="s">
        <v>231</v>
      </c>
      <c r="E316" s="334" t="s">
        <v>728</v>
      </c>
      <c r="F316" s="334"/>
      <c r="G316" s="332">
        <f>G318</f>
        <v>221</v>
      </c>
      <c r="H316" s="332">
        <f>H318</f>
        <v>221</v>
      </c>
      <c r="I316" s="214"/>
    </row>
    <row r="317" spans="1:9" ht="47.25" x14ac:dyDescent="0.25">
      <c r="A317" s="41" t="s">
        <v>949</v>
      </c>
      <c r="B317" s="330">
        <v>903</v>
      </c>
      <c r="C317" s="334" t="s">
        <v>280</v>
      </c>
      <c r="D317" s="334" t="s">
        <v>231</v>
      </c>
      <c r="E317" s="334" t="s">
        <v>947</v>
      </c>
      <c r="F317" s="334"/>
      <c r="G317" s="332">
        <f t="shared" ref="G317:H319" si="24">G318</f>
        <v>221</v>
      </c>
      <c r="H317" s="332">
        <f t="shared" si="24"/>
        <v>221</v>
      </c>
      <c r="I317" s="214"/>
    </row>
    <row r="318" spans="1:9" ht="47.25" x14ac:dyDescent="0.25">
      <c r="A318" s="99" t="s">
        <v>1157</v>
      </c>
      <c r="B318" s="331" t="s">
        <v>644</v>
      </c>
      <c r="C318" s="331" t="s">
        <v>280</v>
      </c>
      <c r="D318" s="331" t="s">
        <v>231</v>
      </c>
      <c r="E318" s="331" t="s">
        <v>948</v>
      </c>
      <c r="F318" s="32"/>
      <c r="G318" s="336">
        <f t="shared" si="24"/>
        <v>221</v>
      </c>
      <c r="H318" s="336">
        <f t="shared" si="24"/>
        <v>221</v>
      </c>
      <c r="I318" s="214"/>
    </row>
    <row r="319" spans="1:9" ht="31.5" x14ac:dyDescent="0.25">
      <c r="A319" s="335" t="s">
        <v>147</v>
      </c>
      <c r="B319" s="329">
        <v>903</v>
      </c>
      <c r="C319" s="331" t="s">
        <v>280</v>
      </c>
      <c r="D319" s="331" t="s">
        <v>231</v>
      </c>
      <c r="E319" s="331" t="s">
        <v>948</v>
      </c>
      <c r="F319" s="32" t="s">
        <v>148</v>
      </c>
      <c r="G319" s="336">
        <f t="shared" si="24"/>
        <v>221</v>
      </c>
      <c r="H319" s="336">
        <f t="shared" si="24"/>
        <v>221</v>
      </c>
      <c r="I319" s="214"/>
    </row>
    <row r="320" spans="1:9" ht="31.5" x14ac:dyDescent="0.25">
      <c r="A320" s="335" t="s">
        <v>149</v>
      </c>
      <c r="B320" s="329">
        <v>903</v>
      </c>
      <c r="C320" s="331" t="s">
        <v>280</v>
      </c>
      <c r="D320" s="331" t="s">
        <v>231</v>
      </c>
      <c r="E320" s="331" t="s">
        <v>948</v>
      </c>
      <c r="F320" s="32" t="s">
        <v>150</v>
      </c>
      <c r="G320" s="336">
        <f>221</f>
        <v>221</v>
      </c>
      <c r="H320" s="336">
        <f t="shared" si="20"/>
        <v>221</v>
      </c>
      <c r="I320" s="214"/>
    </row>
    <row r="321" spans="1:9" ht="15.75" x14ac:dyDescent="0.25">
      <c r="A321" s="333" t="s">
        <v>482</v>
      </c>
      <c r="B321" s="330">
        <v>903</v>
      </c>
      <c r="C321" s="334" t="s">
        <v>280</v>
      </c>
      <c r="D321" s="334" t="s">
        <v>280</v>
      </c>
      <c r="E321" s="331"/>
      <c r="F321" s="331"/>
      <c r="G321" s="332">
        <f>G322</f>
        <v>760</v>
      </c>
      <c r="H321" s="332">
        <f>H322</f>
        <v>760</v>
      </c>
      <c r="I321" s="214"/>
    </row>
    <row r="322" spans="1:9" ht="47.25" x14ac:dyDescent="0.25">
      <c r="A322" s="333" t="s">
        <v>1422</v>
      </c>
      <c r="B322" s="330">
        <v>903</v>
      </c>
      <c r="C322" s="334" t="s">
        <v>280</v>
      </c>
      <c r="D322" s="334" t="s">
        <v>280</v>
      </c>
      <c r="E322" s="334" t="s">
        <v>360</v>
      </c>
      <c r="F322" s="334"/>
      <c r="G322" s="332">
        <f>G323</f>
        <v>760</v>
      </c>
      <c r="H322" s="332">
        <f>H323</f>
        <v>760</v>
      </c>
      <c r="I322" s="214"/>
    </row>
    <row r="323" spans="1:9" ht="31.5" x14ac:dyDescent="0.25">
      <c r="A323" s="333" t="s">
        <v>361</v>
      </c>
      <c r="B323" s="330">
        <v>903</v>
      </c>
      <c r="C323" s="334" t="s">
        <v>280</v>
      </c>
      <c r="D323" s="334" t="s">
        <v>280</v>
      </c>
      <c r="E323" s="334" t="s">
        <v>362</v>
      </c>
      <c r="F323" s="334"/>
      <c r="G323" s="332">
        <f>G324+G331+G337</f>
        <v>760</v>
      </c>
      <c r="H323" s="332">
        <f>H324+H331+H337</f>
        <v>760</v>
      </c>
      <c r="I323" s="214"/>
    </row>
    <row r="324" spans="1:9" ht="47.25" x14ac:dyDescent="0.25">
      <c r="A324" s="219" t="s">
        <v>1196</v>
      </c>
      <c r="B324" s="330">
        <v>903</v>
      </c>
      <c r="C324" s="334" t="s">
        <v>280</v>
      </c>
      <c r="D324" s="334" t="s">
        <v>280</v>
      </c>
      <c r="E324" s="334" t="s">
        <v>952</v>
      </c>
      <c r="F324" s="334"/>
      <c r="G324" s="332">
        <f>G325+G328</f>
        <v>280</v>
      </c>
      <c r="H324" s="332">
        <f>H325+H328</f>
        <v>280</v>
      </c>
      <c r="I324" s="214"/>
    </row>
    <row r="325" spans="1:9" ht="31.5" x14ac:dyDescent="0.25">
      <c r="A325" s="99" t="s">
        <v>1202</v>
      </c>
      <c r="B325" s="329">
        <v>903</v>
      </c>
      <c r="C325" s="331" t="s">
        <v>280</v>
      </c>
      <c r="D325" s="331" t="s">
        <v>280</v>
      </c>
      <c r="E325" s="331" t="s">
        <v>953</v>
      </c>
      <c r="F325" s="331"/>
      <c r="G325" s="336">
        <f>G326</f>
        <v>280</v>
      </c>
      <c r="H325" s="336">
        <f>H326</f>
        <v>280</v>
      </c>
      <c r="I325" s="214"/>
    </row>
    <row r="326" spans="1:9" ht="78.75" x14ac:dyDescent="0.25">
      <c r="A326" s="335" t="s">
        <v>143</v>
      </c>
      <c r="B326" s="329">
        <v>903</v>
      </c>
      <c r="C326" s="331" t="s">
        <v>280</v>
      </c>
      <c r="D326" s="331" t="s">
        <v>280</v>
      </c>
      <c r="E326" s="331" t="s">
        <v>953</v>
      </c>
      <c r="F326" s="331" t="s">
        <v>144</v>
      </c>
      <c r="G326" s="336">
        <f>G327</f>
        <v>280</v>
      </c>
      <c r="H326" s="336">
        <f>H327</f>
        <v>280</v>
      </c>
      <c r="I326" s="214"/>
    </row>
    <row r="327" spans="1:9" ht="31.5" x14ac:dyDescent="0.25">
      <c r="A327" s="335" t="s">
        <v>358</v>
      </c>
      <c r="B327" s="329">
        <v>903</v>
      </c>
      <c r="C327" s="331" t="s">
        <v>280</v>
      </c>
      <c r="D327" s="331" t="s">
        <v>280</v>
      </c>
      <c r="E327" s="331" t="s">
        <v>953</v>
      </c>
      <c r="F327" s="331" t="s">
        <v>225</v>
      </c>
      <c r="G327" s="336">
        <f>280</f>
        <v>280</v>
      </c>
      <c r="H327" s="336">
        <f t="shared" si="20"/>
        <v>280</v>
      </c>
      <c r="I327" s="214"/>
    </row>
    <row r="328" spans="1:9" ht="31.5" hidden="1" x14ac:dyDescent="0.25">
      <c r="A328" s="335" t="s">
        <v>1197</v>
      </c>
      <c r="B328" s="329">
        <v>903</v>
      </c>
      <c r="C328" s="331" t="s">
        <v>280</v>
      </c>
      <c r="D328" s="331" t="s">
        <v>280</v>
      </c>
      <c r="E328" s="331" t="s">
        <v>1221</v>
      </c>
      <c r="F328" s="331"/>
      <c r="G328" s="336">
        <f>'Пр.4 ведом.20'!G328</f>
        <v>0</v>
      </c>
      <c r="H328" s="336">
        <f t="shared" si="20"/>
        <v>0</v>
      </c>
      <c r="I328" s="214"/>
    </row>
    <row r="329" spans="1:9" ht="31.5" hidden="1" x14ac:dyDescent="0.25">
      <c r="A329" s="335" t="s">
        <v>147</v>
      </c>
      <c r="B329" s="329">
        <v>903</v>
      </c>
      <c r="C329" s="331" t="s">
        <v>280</v>
      </c>
      <c r="D329" s="331" t="s">
        <v>280</v>
      </c>
      <c r="E329" s="331" t="s">
        <v>1221</v>
      </c>
      <c r="F329" s="331" t="s">
        <v>148</v>
      </c>
      <c r="G329" s="336">
        <f>'Пр.4 ведом.20'!G329</f>
        <v>0</v>
      </c>
      <c r="H329" s="336">
        <f t="shared" si="20"/>
        <v>0</v>
      </c>
      <c r="I329" s="214"/>
    </row>
    <row r="330" spans="1:9" ht="31.5" hidden="1" x14ac:dyDescent="0.25">
      <c r="A330" s="335" t="s">
        <v>149</v>
      </c>
      <c r="B330" s="329">
        <v>903</v>
      </c>
      <c r="C330" s="331" t="s">
        <v>280</v>
      </c>
      <c r="D330" s="331" t="s">
        <v>280</v>
      </c>
      <c r="E330" s="331" t="s">
        <v>1221</v>
      </c>
      <c r="F330" s="331" t="s">
        <v>150</v>
      </c>
      <c r="G330" s="336">
        <f>'Пр.4 ведом.20'!G330</f>
        <v>0</v>
      </c>
      <c r="H330" s="336">
        <f t="shared" si="20"/>
        <v>0</v>
      </c>
      <c r="I330" s="214"/>
    </row>
    <row r="331" spans="1:9" ht="63" x14ac:dyDescent="0.25">
      <c r="A331" s="333" t="s">
        <v>1198</v>
      </c>
      <c r="B331" s="330">
        <v>903</v>
      </c>
      <c r="C331" s="334" t="s">
        <v>280</v>
      </c>
      <c r="D331" s="334" t="s">
        <v>280</v>
      </c>
      <c r="E331" s="334" t="s">
        <v>954</v>
      </c>
      <c r="F331" s="334"/>
      <c r="G331" s="332">
        <f>G332</f>
        <v>455</v>
      </c>
      <c r="H331" s="332">
        <f>H332</f>
        <v>455</v>
      </c>
      <c r="I331" s="214"/>
    </row>
    <row r="332" spans="1:9" ht="15.75" x14ac:dyDescent="0.25">
      <c r="A332" s="335" t="s">
        <v>1199</v>
      </c>
      <c r="B332" s="329">
        <v>903</v>
      </c>
      <c r="C332" s="331" t="s">
        <v>280</v>
      </c>
      <c r="D332" s="331" t="s">
        <v>280</v>
      </c>
      <c r="E332" s="331" t="s">
        <v>972</v>
      </c>
      <c r="F332" s="331"/>
      <c r="G332" s="336">
        <f>G333+G335</f>
        <v>455</v>
      </c>
      <c r="H332" s="336">
        <f>H333+H335</f>
        <v>455</v>
      </c>
      <c r="I332" s="214"/>
    </row>
    <row r="333" spans="1:9" ht="78.75" x14ac:dyDescent="0.25">
      <c r="A333" s="335" t="s">
        <v>143</v>
      </c>
      <c r="B333" s="329">
        <v>903</v>
      </c>
      <c r="C333" s="331" t="s">
        <v>280</v>
      </c>
      <c r="D333" s="331" t="s">
        <v>280</v>
      </c>
      <c r="E333" s="331" t="s">
        <v>972</v>
      </c>
      <c r="F333" s="331" t="s">
        <v>144</v>
      </c>
      <c r="G333" s="336">
        <f>G334</f>
        <v>40</v>
      </c>
      <c r="H333" s="336">
        <f>H334</f>
        <v>40</v>
      </c>
      <c r="I333" s="214"/>
    </row>
    <row r="334" spans="1:9" ht="31.5" x14ac:dyDescent="0.25">
      <c r="A334" s="335" t="s">
        <v>358</v>
      </c>
      <c r="B334" s="329">
        <v>903</v>
      </c>
      <c r="C334" s="331" t="s">
        <v>280</v>
      </c>
      <c r="D334" s="331" t="s">
        <v>280</v>
      </c>
      <c r="E334" s="331" t="s">
        <v>972</v>
      </c>
      <c r="F334" s="331" t="s">
        <v>225</v>
      </c>
      <c r="G334" s="336">
        <f>40</f>
        <v>40</v>
      </c>
      <c r="H334" s="336">
        <f t="shared" si="20"/>
        <v>40</v>
      </c>
      <c r="I334" s="214"/>
    </row>
    <row r="335" spans="1:9" ht="31.5" x14ac:dyDescent="0.25">
      <c r="A335" s="335" t="s">
        <v>147</v>
      </c>
      <c r="B335" s="329">
        <v>903</v>
      </c>
      <c r="C335" s="331" t="s">
        <v>280</v>
      </c>
      <c r="D335" s="331" t="s">
        <v>280</v>
      </c>
      <c r="E335" s="331" t="s">
        <v>972</v>
      </c>
      <c r="F335" s="331" t="s">
        <v>148</v>
      </c>
      <c r="G335" s="336">
        <f>G336</f>
        <v>415</v>
      </c>
      <c r="H335" s="336">
        <f>H336</f>
        <v>415</v>
      </c>
      <c r="I335" s="214"/>
    </row>
    <row r="336" spans="1:9" ht="31.5" x14ac:dyDescent="0.25">
      <c r="A336" s="335" t="s">
        <v>149</v>
      </c>
      <c r="B336" s="329">
        <v>903</v>
      </c>
      <c r="C336" s="331" t="s">
        <v>280</v>
      </c>
      <c r="D336" s="331" t="s">
        <v>280</v>
      </c>
      <c r="E336" s="331" t="s">
        <v>972</v>
      </c>
      <c r="F336" s="331" t="s">
        <v>150</v>
      </c>
      <c r="G336" s="336">
        <f>415</f>
        <v>415</v>
      </c>
      <c r="H336" s="336">
        <f t="shared" si="20"/>
        <v>415</v>
      </c>
      <c r="I336" s="214"/>
    </row>
    <row r="337" spans="1:9" ht="31.5" x14ac:dyDescent="0.25">
      <c r="A337" s="333" t="s">
        <v>1204</v>
      </c>
      <c r="B337" s="330">
        <v>903</v>
      </c>
      <c r="C337" s="334" t="s">
        <v>280</v>
      </c>
      <c r="D337" s="334" t="s">
        <v>280</v>
      </c>
      <c r="E337" s="334" t="s">
        <v>1200</v>
      </c>
      <c r="F337" s="334"/>
      <c r="G337" s="332">
        <f t="shared" ref="G337:H339" si="25">G338</f>
        <v>25</v>
      </c>
      <c r="H337" s="332">
        <f t="shared" si="25"/>
        <v>25</v>
      </c>
      <c r="I337" s="214"/>
    </row>
    <row r="338" spans="1:9" ht="47.25" x14ac:dyDescent="0.25">
      <c r="A338" s="245" t="s">
        <v>1201</v>
      </c>
      <c r="B338" s="329">
        <v>903</v>
      </c>
      <c r="C338" s="331" t="s">
        <v>280</v>
      </c>
      <c r="D338" s="331" t="s">
        <v>280</v>
      </c>
      <c r="E338" s="331" t="s">
        <v>1222</v>
      </c>
      <c r="F338" s="331"/>
      <c r="G338" s="336">
        <f t="shared" si="25"/>
        <v>25</v>
      </c>
      <c r="H338" s="336">
        <f t="shared" si="25"/>
        <v>25</v>
      </c>
      <c r="I338" s="214"/>
    </row>
    <row r="339" spans="1:9" ht="31.5" x14ac:dyDescent="0.25">
      <c r="A339" s="335" t="s">
        <v>264</v>
      </c>
      <c r="B339" s="329">
        <v>903</v>
      </c>
      <c r="C339" s="331" t="s">
        <v>280</v>
      </c>
      <c r="D339" s="331" t="s">
        <v>280</v>
      </c>
      <c r="E339" s="331" t="s">
        <v>1222</v>
      </c>
      <c r="F339" s="331" t="s">
        <v>265</v>
      </c>
      <c r="G339" s="336">
        <f t="shared" si="25"/>
        <v>25</v>
      </c>
      <c r="H339" s="336">
        <f t="shared" si="25"/>
        <v>25</v>
      </c>
      <c r="I339" s="214"/>
    </row>
    <row r="340" spans="1:9" ht="31.5" x14ac:dyDescent="0.25">
      <c r="A340" s="335" t="s">
        <v>364</v>
      </c>
      <c r="B340" s="329">
        <v>903</v>
      </c>
      <c r="C340" s="331" t="s">
        <v>280</v>
      </c>
      <c r="D340" s="331" t="s">
        <v>280</v>
      </c>
      <c r="E340" s="331" t="s">
        <v>1222</v>
      </c>
      <c r="F340" s="331" t="s">
        <v>365</v>
      </c>
      <c r="G340" s="336">
        <f>25</f>
        <v>25</v>
      </c>
      <c r="H340" s="336">
        <f t="shared" si="20"/>
        <v>25</v>
      </c>
      <c r="I340" s="214"/>
    </row>
    <row r="341" spans="1:9" ht="15.75" x14ac:dyDescent="0.25">
      <c r="A341" s="333" t="s">
        <v>314</v>
      </c>
      <c r="B341" s="330">
        <v>903</v>
      </c>
      <c r="C341" s="334" t="s">
        <v>315</v>
      </c>
      <c r="D341" s="334"/>
      <c r="E341" s="334"/>
      <c r="F341" s="334"/>
      <c r="G341" s="332">
        <f>G342+G415</f>
        <v>70268.512000000002</v>
      </c>
      <c r="H341" s="332">
        <f>H342+H415</f>
        <v>67994.2</v>
      </c>
      <c r="I341" s="214"/>
    </row>
    <row r="342" spans="1:9" ht="15.75" x14ac:dyDescent="0.25">
      <c r="A342" s="333" t="s">
        <v>316</v>
      </c>
      <c r="B342" s="330">
        <v>903</v>
      </c>
      <c r="C342" s="334" t="s">
        <v>315</v>
      </c>
      <c r="D342" s="334" t="s">
        <v>134</v>
      </c>
      <c r="E342" s="334"/>
      <c r="F342" s="334"/>
      <c r="G342" s="332">
        <f>G343+G410+G405</f>
        <v>52929.512000000002</v>
      </c>
      <c r="H342" s="332">
        <f>H343+H410+H405</f>
        <v>50655.199999999997</v>
      </c>
      <c r="I342" s="214"/>
    </row>
    <row r="343" spans="1:9" ht="39.200000000000003" customHeight="1" x14ac:dyDescent="0.25">
      <c r="A343" s="333" t="s">
        <v>1425</v>
      </c>
      <c r="B343" s="330">
        <v>903</v>
      </c>
      <c r="C343" s="334" t="s">
        <v>315</v>
      </c>
      <c r="D343" s="334" t="s">
        <v>134</v>
      </c>
      <c r="E343" s="334" t="s">
        <v>283</v>
      </c>
      <c r="F343" s="334"/>
      <c r="G343" s="332">
        <f>G344+G371</f>
        <v>52136.312000000005</v>
      </c>
      <c r="H343" s="332">
        <f>H344+H371</f>
        <v>49862</v>
      </c>
      <c r="I343" s="214"/>
    </row>
    <row r="344" spans="1:9" ht="47.25" x14ac:dyDescent="0.25">
      <c r="A344" s="333" t="s">
        <v>1426</v>
      </c>
      <c r="B344" s="330">
        <v>903</v>
      </c>
      <c r="C344" s="334" t="s">
        <v>315</v>
      </c>
      <c r="D344" s="334" t="s">
        <v>134</v>
      </c>
      <c r="E344" s="334" t="s">
        <v>318</v>
      </c>
      <c r="F344" s="334"/>
      <c r="G344" s="332">
        <f>G345+G353+G359+G363+G367</f>
        <v>27742.858</v>
      </c>
      <c r="H344" s="332">
        <f>H345+H353+H359+H363+H367</f>
        <v>25446.3</v>
      </c>
      <c r="I344" s="214"/>
    </row>
    <row r="345" spans="1:9" ht="33.75" customHeight="1" x14ac:dyDescent="0.25">
      <c r="A345" s="333" t="s">
        <v>956</v>
      </c>
      <c r="B345" s="330">
        <v>903</v>
      </c>
      <c r="C345" s="334" t="s">
        <v>315</v>
      </c>
      <c r="D345" s="334" t="s">
        <v>134</v>
      </c>
      <c r="E345" s="334" t="s">
        <v>957</v>
      </c>
      <c r="F345" s="334"/>
      <c r="G345" s="332">
        <f>G346</f>
        <v>23784</v>
      </c>
      <c r="H345" s="332">
        <f>H346</f>
        <v>23784</v>
      </c>
      <c r="I345" s="214"/>
    </row>
    <row r="346" spans="1:9" ht="15.75" x14ac:dyDescent="0.25">
      <c r="A346" s="335" t="s">
        <v>832</v>
      </c>
      <c r="B346" s="329">
        <v>903</v>
      </c>
      <c r="C346" s="331" t="s">
        <v>315</v>
      </c>
      <c r="D346" s="331" t="s">
        <v>134</v>
      </c>
      <c r="E346" s="331" t="s">
        <v>955</v>
      </c>
      <c r="F346" s="331"/>
      <c r="G346" s="336">
        <f>G347+G349+G351</f>
        <v>23784</v>
      </c>
      <c r="H346" s="336">
        <f>H347+H349+H351</f>
        <v>23784</v>
      </c>
      <c r="I346" s="214"/>
    </row>
    <row r="347" spans="1:9" ht="78.75" x14ac:dyDescent="0.25">
      <c r="A347" s="335" t="s">
        <v>143</v>
      </c>
      <c r="B347" s="329">
        <v>903</v>
      </c>
      <c r="C347" s="331" t="s">
        <v>315</v>
      </c>
      <c r="D347" s="331" t="s">
        <v>134</v>
      </c>
      <c r="E347" s="331" t="s">
        <v>955</v>
      </c>
      <c r="F347" s="331" t="s">
        <v>144</v>
      </c>
      <c r="G347" s="336">
        <f>G348</f>
        <v>20032</v>
      </c>
      <c r="H347" s="336">
        <f>H348</f>
        <v>20032</v>
      </c>
      <c r="I347" s="214"/>
    </row>
    <row r="348" spans="1:9" ht="15.75" x14ac:dyDescent="0.25">
      <c r="A348" s="335" t="s">
        <v>224</v>
      </c>
      <c r="B348" s="329">
        <v>903</v>
      </c>
      <c r="C348" s="331" t="s">
        <v>315</v>
      </c>
      <c r="D348" s="331" t="s">
        <v>134</v>
      </c>
      <c r="E348" s="331" t="s">
        <v>955</v>
      </c>
      <c r="F348" s="331" t="s">
        <v>225</v>
      </c>
      <c r="G348" s="336">
        <f>20032</f>
        <v>20032</v>
      </c>
      <c r="H348" s="336">
        <f t="shared" si="20"/>
        <v>20032</v>
      </c>
      <c r="I348" s="214"/>
    </row>
    <row r="349" spans="1:9" ht="31.5" x14ac:dyDescent="0.25">
      <c r="A349" s="335" t="s">
        <v>147</v>
      </c>
      <c r="B349" s="329">
        <v>903</v>
      </c>
      <c r="C349" s="331" t="s">
        <v>315</v>
      </c>
      <c r="D349" s="331" t="s">
        <v>134</v>
      </c>
      <c r="E349" s="331" t="s">
        <v>955</v>
      </c>
      <c r="F349" s="331" t="s">
        <v>148</v>
      </c>
      <c r="G349" s="336">
        <f>G350</f>
        <v>3715</v>
      </c>
      <c r="H349" s="336">
        <f>H350</f>
        <v>3715</v>
      </c>
      <c r="I349" s="214"/>
    </row>
    <row r="350" spans="1:9" ht="31.5" x14ac:dyDescent="0.25">
      <c r="A350" s="335" t="s">
        <v>149</v>
      </c>
      <c r="B350" s="329">
        <v>903</v>
      </c>
      <c r="C350" s="331" t="s">
        <v>315</v>
      </c>
      <c r="D350" s="331" t="s">
        <v>134</v>
      </c>
      <c r="E350" s="331" t="s">
        <v>955</v>
      </c>
      <c r="F350" s="331" t="s">
        <v>150</v>
      </c>
      <c r="G350" s="336">
        <f>3715</f>
        <v>3715</v>
      </c>
      <c r="H350" s="336">
        <f t="shared" si="20"/>
        <v>3715</v>
      </c>
      <c r="I350" s="214"/>
    </row>
    <row r="351" spans="1:9" ht="15.75" x14ac:dyDescent="0.25">
      <c r="A351" s="335" t="s">
        <v>151</v>
      </c>
      <c r="B351" s="329">
        <v>903</v>
      </c>
      <c r="C351" s="331" t="s">
        <v>315</v>
      </c>
      <c r="D351" s="331" t="s">
        <v>134</v>
      </c>
      <c r="E351" s="331" t="s">
        <v>955</v>
      </c>
      <c r="F351" s="331" t="s">
        <v>161</v>
      </c>
      <c r="G351" s="336">
        <f>G352</f>
        <v>37</v>
      </c>
      <c r="H351" s="336">
        <f>H352</f>
        <v>37</v>
      </c>
      <c r="I351" s="214"/>
    </row>
    <row r="352" spans="1:9" ht="15.75" x14ac:dyDescent="0.25">
      <c r="A352" s="335" t="s">
        <v>584</v>
      </c>
      <c r="B352" s="329">
        <v>903</v>
      </c>
      <c r="C352" s="331" t="s">
        <v>315</v>
      </c>
      <c r="D352" s="331" t="s">
        <v>134</v>
      </c>
      <c r="E352" s="331" t="s">
        <v>955</v>
      </c>
      <c r="F352" s="331" t="s">
        <v>154</v>
      </c>
      <c r="G352" s="336">
        <f>37</f>
        <v>37</v>
      </c>
      <c r="H352" s="336">
        <f t="shared" ref="H352:H414" si="26">G352</f>
        <v>37</v>
      </c>
      <c r="I352" s="214"/>
    </row>
    <row r="353" spans="1:11" ht="31.5" x14ac:dyDescent="0.25">
      <c r="A353" s="225" t="s">
        <v>970</v>
      </c>
      <c r="B353" s="330">
        <v>903</v>
      </c>
      <c r="C353" s="334" t="s">
        <v>315</v>
      </c>
      <c r="D353" s="334" t="s">
        <v>134</v>
      </c>
      <c r="E353" s="334" t="s">
        <v>958</v>
      </c>
      <c r="F353" s="334"/>
      <c r="G353" s="332">
        <f>G354+G355</f>
        <v>250</v>
      </c>
      <c r="H353" s="332">
        <f t="shared" ref="H353:K353" si="27">H354+H355</f>
        <v>250</v>
      </c>
      <c r="I353" s="332">
        <f t="shared" si="27"/>
        <v>0</v>
      </c>
      <c r="J353" s="332">
        <f t="shared" si="27"/>
        <v>0</v>
      </c>
      <c r="K353" s="332">
        <f t="shared" si="27"/>
        <v>0</v>
      </c>
    </row>
    <row r="354" spans="1:11" ht="31.5" x14ac:dyDescent="0.25">
      <c r="A354" s="31" t="s">
        <v>860</v>
      </c>
      <c r="B354" s="329">
        <v>903</v>
      </c>
      <c r="C354" s="331" t="s">
        <v>315</v>
      </c>
      <c r="D354" s="331" t="s">
        <v>134</v>
      </c>
      <c r="E354" s="331" t="s">
        <v>959</v>
      </c>
      <c r="F354" s="331"/>
      <c r="G354" s="336">
        <f>G357</f>
        <v>250</v>
      </c>
      <c r="H354" s="336">
        <f>H357</f>
        <v>250</v>
      </c>
      <c r="I354" s="214"/>
    </row>
    <row r="355" spans="1:11" ht="78.75" hidden="1" x14ac:dyDescent="0.25">
      <c r="A355" s="335" t="s">
        <v>143</v>
      </c>
      <c r="B355" s="329">
        <v>903</v>
      </c>
      <c r="C355" s="331" t="s">
        <v>315</v>
      </c>
      <c r="D355" s="331" t="s">
        <v>134</v>
      </c>
      <c r="E355" s="331" t="s">
        <v>959</v>
      </c>
      <c r="F355" s="331" t="s">
        <v>144</v>
      </c>
      <c r="G355" s="336">
        <f>G356</f>
        <v>0</v>
      </c>
      <c r="H355" s="336">
        <f t="shared" si="26"/>
        <v>0</v>
      </c>
      <c r="I355" s="214"/>
    </row>
    <row r="356" spans="1:11" ht="15.75" hidden="1" x14ac:dyDescent="0.25">
      <c r="A356" s="335" t="s">
        <v>224</v>
      </c>
      <c r="B356" s="329">
        <v>903</v>
      </c>
      <c r="C356" s="331" t="s">
        <v>315</v>
      </c>
      <c r="D356" s="331" t="s">
        <v>134</v>
      </c>
      <c r="E356" s="331" t="s">
        <v>959</v>
      </c>
      <c r="F356" s="331" t="s">
        <v>225</v>
      </c>
      <c r="G356" s="336">
        <v>0</v>
      </c>
      <c r="H356" s="336">
        <f t="shared" si="26"/>
        <v>0</v>
      </c>
      <c r="I356" s="214"/>
    </row>
    <row r="357" spans="1:11" ht="31.5" x14ac:dyDescent="0.25">
      <c r="A357" s="335" t="s">
        <v>147</v>
      </c>
      <c r="B357" s="329">
        <v>903</v>
      </c>
      <c r="C357" s="331" t="s">
        <v>315</v>
      </c>
      <c r="D357" s="331" t="s">
        <v>134</v>
      </c>
      <c r="E357" s="331" t="s">
        <v>959</v>
      </c>
      <c r="F357" s="331" t="s">
        <v>148</v>
      </c>
      <c r="G357" s="336">
        <f>G358</f>
        <v>250</v>
      </c>
      <c r="H357" s="336">
        <f>H358</f>
        <v>250</v>
      </c>
      <c r="I357" s="214"/>
    </row>
    <row r="358" spans="1:11" ht="31.5" x14ac:dyDescent="0.25">
      <c r="A358" s="335" t="s">
        <v>149</v>
      </c>
      <c r="B358" s="329">
        <v>903</v>
      </c>
      <c r="C358" s="331" t="s">
        <v>315</v>
      </c>
      <c r="D358" s="331" t="s">
        <v>134</v>
      </c>
      <c r="E358" s="331" t="s">
        <v>959</v>
      </c>
      <c r="F358" s="331" t="s">
        <v>150</v>
      </c>
      <c r="G358" s="336">
        <f>250</f>
        <v>250</v>
      </c>
      <c r="H358" s="336">
        <f t="shared" si="26"/>
        <v>250</v>
      </c>
      <c r="I358" s="214"/>
    </row>
    <row r="359" spans="1:11" ht="31.5" x14ac:dyDescent="0.25">
      <c r="A359" s="333" t="s">
        <v>1076</v>
      </c>
      <c r="B359" s="330">
        <v>903</v>
      </c>
      <c r="C359" s="334" t="s">
        <v>315</v>
      </c>
      <c r="D359" s="334" t="s">
        <v>134</v>
      </c>
      <c r="E359" s="334" t="s">
        <v>1164</v>
      </c>
      <c r="F359" s="334"/>
      <c r="G359" s="44">
        <f t="shared" ref="G359:H361" si="28">G360</f>
        <v>588</v>
      </c>
      <c r="H359" s="44">
        <f t="shared" si="28"/>
        <v>588</v>
      </c>
      <c r="I359" s="214"/>
    </row>
    <row r="360" spans="1:11" ht="47.25" x14ac:dyDescent="0.25">
      <c r="A360" s="335" t="s">
        <v>885</v>
      </c>
      <c r="B360" s="329">
        <v>903</v>
      </c>
      <c r="C360" s="331" t="s">
        <v>315</v>
      </c>
      <c r="D360" s="331" t="s">
        <v>134</v>
      </c>
      <c r="E360" s="331" t="s">
        <v>1165</v>
      </c>
      <c r="F360" s="331"/>
      <c r="G360" s="336">
        <f t="shared" si="28"/>
        <v>588</v>
      </c>
      <c r="H360" s="336">
        <f t="shared" si="28"/>
        <v>588</v>
      </c>
      <c r="I360" s="214"/>
    </row>
    <row r="361" spans="1:11" ht="78.75" x14ac:dyDescent="0.25">
      <c r="A361" s="335" t="s">
        <v>143</v>
      </c>
      <c r="B361" s="329">
        <v>903</v>
      </c>
      <c r="C361" s="331" t="s">
        <v>315</v>
      </c>
      <c r="D361" s="331" t="s">
        <v>134</v>
      </c>
      <c r="E361" s="331" t="s">
        <v>1165</v>
      </c>
      <c r="F361" s="331" t="s">
        <v>144</v>
      </c>
      <c r="G361" s="336">
        <f t="shared" si="28"/>
        <v>588</v>
      </c>
      <c r="H361" s="336">
        <f t="shared" si="28"/>
        <v>588</v>
      </c>
      <c r="I361" s="214"/>
    </row>
    <row r="362" spans="1:11" ht="31.5" x14ac:dyDescent="0.25">
      <c r="A362" s="335" t="s">
        <v>145</v>
      </c>
      <c r="B362" s="329">
        <v>903</v>
      </c>
      <c r="C362" s="331" t="s">
        <v>315</v>
      </c>
      <c r="D362" s="331" t="s">
        <v>134</v>
      </c>
      <c r="E362" s="331" t="s">
        <v>1165</v>
      </c>
      <c r="F362" s="331" t="s">
        <v>225</v>
      </c>
      <c r="G362" s="336">
        <f>588</f>
        <v>588</v>
      </c>
      <c r="H362" s="336">
        <f t="shared" si="26"/>
        <v>588</v>
      </c>
      <c r="I362" s="214"/>
    </row>
    <row r="363" spans="1:11" ht="47.25" x14ac:dyDescent="0.25">
      <c r="A363" s="226" t="s">
        <v>971</v>
      </c>
      <c r="B363" s="330">
        <v>903</v>
      </c>
      <c r="C363" s="334" t="s">
        <v>315</v>
      </c>
      <c r="D363" s="334" t="s">
        <v>134</v>
      </c>
      <c r="E363" s="334" t="s">
        <v>1166</v>
      </c>
      <c r="F363" s="334"/>
      <c r="G363" s="332">
        <f t="shared" ref="G363:H365" si="29">G364</f>
        <v>824.3</v>
      </c>
      <c r="H363" s="332">
        <f t="shared" si="29"/>
        <v>824.3</v>
      </c>
      <c r="I363" s="214"/>
    </row>
    <row r="364" spans="1:11" ht="94.5" x14ac:dyDescent="0.25">
      <c r="A364" s="31" t="s">
        <v>309</v>
      </c>
      <c r="B364" s="329">
        <v>903</v>
      </c>
      <c r="C364" s="331" t="s">
        <v>315</v>
      </c>
      <c r="D364" s="331" t="s">
        <v>134</v>
      </c>
      <c r="E364" s="331" t="s">
        <v>1521</v>
      </c>
      <c r="F364" s="331"/>
      <c r="G364" s="336">
        <f t="shared" si="29"/>
        <v>824.3</v>
      </c>
      <c r="H364" s="336">
        <f t="shared" si="29"/>
        <v>824.3</v>
      </c>
      <c r="I364" s="214"/>
    </row>
    <row r="365" spans="1:11" ht="78.75" x14ac:dyDescent="0.25">
      <c r="A365" s="335" t="s">
        <v>143</v>
      </c>
      <c r="B365" s="329">
        <v>903</v>
      </c>
      <c r="C365" s="331" t="s">
        <v>315</v>
      </c>
      <c r="D365" s="331" t="s">
        <v>134</v>
      </c>
      <c r="E365" s="331" t="s">
        <v>1521</v>
      </c>
      <c r="F365" s="331" t="s">
        <v>144</v>
      </c>
      <c r="G365" s="336">
        <f t="shared" si="29"/>
        <v>824.3</v>
      </c>
      <c r="H365" s="336">
        <f t="shared" si="29"/>
        <v>824.3</v>
      </c>
      <c r="I365" s="214"/>
    </row>
    <row r="366" spans="1:11" ht="15.75" x14ac:dyDescent="0.25">
      <c r="A366" s="335" t="s">
        <v>224</v>
      </c>
      <c r="B366" s="329">
        <v>903</v>
      </c>
      <c r="C366" s="331" t="s">
        <v>315</v>
      </c>
      <c r="D366" s="331" t="s">
        <v>134</v>
      </c>
      <c r="E366" s="331" t="s">
        <v>1521</v>
      </c>
      <c r="F366" s="331" t="s">
        <v>225</v>
      </c>
      <c r="G366" s="336">
        <f>824.3</f>
        <v>824.3</v>
      </c>
      <c r="H366" s="336">
        <f t="shared" si="26"/>
        <v>824.3</v>
      </c>
      <c r="I366" s="214"/>
    </row>
    <row r="367" spans="1:11" s="213" customFormat="1" ht="31.5" x14ac:dyDescent="0.25">
      <c r="A367" s="219" t="s">
        <v>1443</v>
      </c>
      <c r="B367" s="330">
        <v>903</v>
      </c>
      <c r="C367" s="334" t="s">
        <v>315</v>
      </c>
      <c r="D367" s="334" t="s">
        <v>134</v>
      </c>
      <c r="E367" s="334" t="s">
        <v>1440</v>
      </c>
      <c r="F367" s="334"/>
      <c r="G367" s="332">
        <f t="shared" ref="G367:H369" si="30">G368</f>
        <v>2296.558</v>
      </c>
      <c r="H367" s="332">
        <f t="shared" si="30"/>
        <v>0</v>
      </c>
      <c r="I367" s="214"/>
    </row>
    <row r="368" spans="1:11" s="213" customFormat="1" ht="15.75" x14ac:dyDescent="0.25">
      <c r="A368" s="99" t="s">
        <v>1465</v>
      </c>
      <c r="B368" s="329">
        <v>903</v>
      </c>
      <c r="C368" s="331" t="s">
        <v>315</v>
      </c>
      <c r="D368" s="331" t="s">
        <v>134</v>
      </c>
      <c r="E368" s="331" t="s">
        <v>1441</v>
      </c>
      <c r="F368" s="331"/>
      <c r="G368" s="336">
        <f t="shared" si="30"/>
        <v>2296.558</v>
      </c>
      <c r="H368" s="336">
        <f t="shared" si="30"/>
        <v>0</v>
      </c>
      <c r="I368" s="214"/>
    </row>
    <row r="369" spans="1:9" s="213" customFormat="1" ht="31.5" x14ac:dyDescent="0.25">
      <c r="A369" s="335" t="s">
        <v>147</v>
      </c>
      <c r="B369" s="329">
        <v>903</v>
      </c>
      <c r="C369" s="331" t="s">
        <v>315</v>
      </c>
      <c r="D369" s="331" t="s">
        <v>134</v>
      </c>
      <c r="E369" s="331" t="s">
        <v>1441</v>
      </c>
      <c r="F369" s="331" t="s">
        <v>148</v>
      </c>
      <c r="G369" s="336">
        <f>G370</f>
        <v>2296.558</v>
      </c>
      <c r="H369" s="336">
        <f t="shared" si="30"/>
        <v>0</v>
      </c>
      <c r="I369" s="214"/>
    </row>
    <row r="370" spans="1:9" s="213" customFormat="1" ht="31.5" x14ac:dyDescent="0.25">
      <c r="A370" s="335" t="s">
        <v>149</v>
      </c>
      <c r="B370" s="329">
        <v>903</v>
      </c>
      <c r="C370" s="331" t="s">
        <v>315</v>
      </c>
      <c r="D370" s="331" t="s">
        <v>134</v>
      </c>
      <c r="E370" s="331" t="s">
        <v>1441</v>
      </c>
      <c r="F370" s="331" t="s">
        <v>150</v>
      </c>
      <c r="G370" s="336">
        <f>2202.4+22.246+71.912</f>
        <v>2296.558</v>
      </c>
      <c r="H370" s="336">
        <v>0</v>
      </c>
      <c r="I370" s="214"/>
    </row>
    <row r="371" spans="1:9" ht="31.5" x14ac:dyDescent="0.25">
      <c r="A371" s="333" t="s">
        <v>1427</v>
      </c>
      <c r="B371" s="330">
        <v>903</v>
      </c>
      <c r="C371" s="334" t="s">
        <v>315</v>
      </c>
      <c r="D371" s="334" t="s">
        <v>134</v>
      </c>
      <c r="E371" s="334" t="s">
        <v>329</v>
      </c>
      <c r="F371" s="334"/>
      <c r="G371" s="332">
        <f>G372+G380+G388+G395+G384</f>
        <v>24393.454000000002</v>
      </c>
      <c r="H371" s="332">
        <f>H372+H380+H388+H395+H384</f>
        <v>24415.7</v>
      </c>
      <c r="I371" s="214"/>
    </row>
    <row r="372" spans="1:9" ht="36.75" customHeight="1" x14ac:dyDescent="0.25">
      <c r="A372" s="333" t="s">
        <v>956</v>
      </c>
      <c r="B372" s="330">
        <v>903</v>
      </c>
      <c r="C372" s="334" t="s">
        <v>315</v>
      </c>
      <c r="D372" s="334" t="s">
        <v>134</v>
      </c>
      <c r="E372" s="334" t="s">
        <v>960</v>
      </c>
      <c r="F372" s="334"/>
      <c r="G372" s="332">
        <f>G373</f>
        <v>22194</v>
      </c>
      <c r="H372" s="332">
        <f>H373</f>
        <v>22194</v>
      </c>
      <c r="I372" s="214"/>
    </row>
    <row r="373" spans="1:9" ht="15.75" x14ac:dyDescent="0.25">
      <c r="A373" s="335" t="s">
        <v>832</v>
      </c>
      <c r="B373" s="329">
        <v>903</v>
      </c>
      <c r="C373" s="331" t="s">
        <v>315</v>
      </c>
      <c r="D373" s="331" t="s">
        <v>134</v>
      </c>
      <c r="E373" s="331" t="s">
        <v>961</v>
      </c>
      <c r="F373" s="331"/>
      <c r="G373" s="336">
        <f>G374+G376+G378</f>
        <v>22194</v>
      </c>
      <c r="H373" s="336">
        <f>H374+H376+H378</f>
        <v>22194</v>
      </c>
      <c r="I373" s="214"/>
    </row>
    <row r="374" spans="1:9" ht="78.75" x14ac:dyDescent="0.25">
      <c r="A374" s="335" t="s">
        <v>143</v>
      </c>
      <c r="B374" s="329">
        <v>903</v>
      </c>
      <c r="C374" s="331" t="s">
        <v>315</v>
      </c>
      <c r="D374" s="331" t="s">
        <v>134</v>
      </c>
      <c r="E374" s="331" t="s">
        <v>961</v>
      </c>
      <c r="F374" s="331" t="s">
        <v>144</v>
      </c>
      <c r="G374" s="336">
        <f>G375</f>
        <v>19218</v>
      </c>
      <c r="H374" s="336">
        <f t="shared" si="26"/>
        <v>19218</v>
      </c>
      <c r="I374" s="214"/>
    </row>
    <row r="375" spans="1:9" ht="15.75" x14ac:dyDescent="0.25">
      <c r="A375" s="335" t="s">
        <v>224</v>
      </c>
      <c r="B375" s="329">
        <v>903</v>
      </c>
      <c r="C375" s="331" t="s">
        <v>315</v>
      </c>
      <c r="D375" s="331" t="s">
        <v>134</v>
      </c>
      <c r="E375" s="331" t="s">
        <v>961</v>
      </c>
      <c r="F375" s="331" t="s">
        <v>225</v>
      </c>
      <c r="G375" s="336">
        <f>19218</f>
        <v>19218</v>
      </c>
      <c r="H375" s="336">
        <f t="shared" si="26"/>
        <v>19218</v>
      </c>
      <c r="I375" s="214"/>
    </row>
    <row r="376" spans="1:9" ht="31.5" x14ac:dyDescent="0.25">
      <c r="A376" s="335" t="s">
        <v>147</v>
      </c>
      <c r="B376" s="329">
        <v>903</v>
      </c>
      <c r="C376" s="331" t="s">
        <v>315</v>
      </c>
      <c r="D376" s="331" t="s">
        <v>134</v>
      </c>
      <c r="E376" s="331" t="s">
        <v>961</v>
      </c>
      <c r="F376" s="331" t="s">
        <v>148</v>
      </c>
      <c r="G376" s="336">
        <f>G377</f>
        <v>2950</v>
      </c>
      <c r="H376" s="336">
        <f t="shared" si="26"/>
        <v>2950</v>
      </c>
      <c r="I376" s="214"/>
    </row>
    <row r="377" spans="1:9" ht="31.5" x14ac:dyDescent="0.25">
      <c r="A377" s="335" t="s">
        <v>149</v>
      </c>
      <c r="B377" s="329">
        <v>903</v>
      </c>
      <c r="C377" s="331" t="s">
        <v>315</v>
      </c>
      <c r="D377" s="331" t="s">
        <v>134</v>
      </c>
      <c r="E377" s="331" t="s">
        <v>961</v>
      </c>
      <c r="F377" s="331" t="s">
        <v>150</v>
      </c>
      <c r="G377" s="336">
        <f>2950</f>
        <v>2950</v>
      </c>
      <c r="H377" s="336">
        <f t="shared" si="26"/>
        <v>2950</v>
      </c>
      <c r="I377" s="214"/>
    </row>
    <row r="378" spans="1:9" ht="15.75" x14ac:dyDescent="0.25">
      <c r="A378" s="335" t="s">
        <v>151</v>
      </c>
      <c r="B378" s="329">
        <v>903</v>
      </c>
      <c r="C378" s="331" t="s">
        <v>315</v>
      </c>
      <c r="D378" s="331" t="s">
        <v>134</v>
      </c>
      <c r="E378" s="331" t="s">
        <v>961</v>
      </c>
      <c r="F378" s="331" t="s">
        <v>161</v>
      </c>
      <c r="G378" s="336">
        <f>G379</f>
        <v>26</v>
      </c>
      <c r="H378" s="336">
        <f t="shared" si="26"/>
        <v>26</v>
      </c>
      <c r="I378" s="214"/>
    </row>
    <row r="379" spans="1:9" ht="15.75" x14ac:dyDescent="0.25">
      <c r="A379" s="335" t="s">
        <v>584</v>
      </c>
      <c r="B379" s="329">
        <v>903</v>
      </c>
      <c r="C379" s="331" t="s">
        <v>315</v>
      </c>
      <c r="D379" s="331" t="s">
        <v>134</v>
      </c>
      <c r="E379" s="331" t="s">
        <v>961</v>
      </c>
      <c r="F379" s="331" t="s">
        <v>154</v>
      </c>
      <c r="G379" s="336">
        <f>26</f>
        <v>26</v>
      </c>
      <c r="H379" s="336">
        <f t="shared" si="26"/>
        <v>26</v>
      </c>
      <c r="I379" s="214"/>
    </row>
    <row r="380" spans="1:9" ht="31.5" x14ac:dyDescent="0.25">
      <c r="A380" s="333" t="s">
        <v>973</v>
      </c>
      <c r="B380" s="330">
        <v>903</v>
      </c>
      <c r="C380" s="334" t="s">
        <v>315</v>
      </c>
      <c r="D380" s="334" t="s">
        <v>134</v>
      </c>
      <c r="E380" s="334" t="s">
        <v>962</v>
      </c>
      <c r="F380" s="334"/>
      <c r="G380" s="332">
        <f t="shared" ref="G380:H382" si="31">G381</f>
        <v>27.754000000000001</v>
      </c>
      <c r="H380" s="332">
        <f t="shared" si="31"/>
        <v>50</v>
      </c>
      <c r="I380" s="214"/>
    </row>
    <row r="381" spans="1:9" ht="31.5" x14ac:dyDescent="0.25">
      <c r="A381" s="335" t="s">
        <v>866</v>
      </c>
      <c r="B381" s="329">
        <v>903</v>
      </c>
      <c r="C381" s="331" t="s">
        <v>315</v>
      </c>
      <c r="D381" s="331" t="s">
        <v>134</v>
      </c>
      <c r="E381" s="331" t="s">
        <v>963</v>
      </c>
      <c r="F381" s="331"/>
      <c r="G381" s="336">
        <f t="shared" si="31"/>
        <v>27.754000000000001</v>
      </c>
      <c r="H381" s="336">
        <f t="shared" si="31"/>
        <v>50</v>
      </c>
      <c r="I381" s="214"/>
    </row>
    <row r="382" spans="1:9" ht="31.5" x14ac:dyDescent="0.25">
      <c r="A382" s="335" t="s">
        <v>147</v>
      </c>
      <c r="B382" s="329">
        <v>903</v>
      </c>
      <c r="C382" s="331" t="s">
        <v>315</v>
      </c>
      <c r="D382" s="331" t="s">
        <v>134</v>
      </c>
      <c r="E382" s="331" t="s">
        <v>963</v>
      </c>
      <c r="F382" s="331" t="s">
        <v>148</v>
      </c>
      <c r="G382" s="336">
        <f t="shared" si="31"/>
        <v>27.754000000000001</v>
      </c>
      <c r="H382" s="336">
        <f t="shared" si="31"/>
        <v>50</v>
      </c>
      <c r="I382" s="214"/>
    </row>
    <row r="383" spans="1:9" ht="31.5" x14ac:dyDescent="0.25">
      <c r="A383" s="335" t="s">
        <v>149</v>
      </c>
      <c r="B383" s="329">
        <v>903</v>
      </c>
      <c r="C383" s="331" t="s">
        <v>315</v>
      </c>
      <c r="D383" s="331" t="s">
        <v>134</v>
      </c>
      <c r="E383" s="331" t="s">
        <v>963</v>
      </c>
      <c r="F383" s="331" t="s">
        <v>150</v>
      </c>
      <c r="G383" s="336">
        <f>50-22.246</f>
        <v>27.754000000000001</v>
      </c>
      <c r="H383" s="336">
        <v>50</v>
      </c>
      <c r="I383" s="214"/>
    </row>
    <row r="384" spans="1:9" ht="31.5" x14ac:dyDescent="0.25">
      <c r="A384" s="333" t="s">
        <v>1076</v>
      </c>
      <c r="B384" s="330">
        <v>903</v>
      </c>
      <c r="C384" s="334" t="s">
        <v>315</v>
      </c>
      <c r="D384" s="334" t="s">
        <v>134</v>
      </c>
      <c r="E384" s="334" t="s">
        <v>964</v>
      </c>
      <c r="F384" s="334"/>
      <c r="G384" s="332">
        <f t="shared" ref="G384:H386" si="32">G385</f>
        <v>507</v>
      </c>
      <c r="H384" s="332">
        <f t="shared" si="32"/>
        <v>507</v>
      </c>
      <c r="I384" s="214"/>
    </row>
    <row r="385" spans="1:11" ht="47.25" x14ac:dyDescent="0.25">
      <c r="A385" s="335" t="s">
        <v>885</v>
      </c>
      <c r="B385" s="329">
        <v>903</v>
      </c>
      <c r="C385" s="331" t="s">
        <v>315</v>
      </c>
      <c r="D385" s="331" t="s">
        <v>134</v>
      </c>
      <c r="E385" s="331" t="s">
        <v>1252</v>
      </c>
      <c r="F385" s="331"/>
      <c r="G385" s="336">
        <f t="shared" si="32"/>
        <v>507</v>
      </c>
      <c r="H385" s="336">
        <f t="shared" si="32"/>
        <v>507</v>
      </c>
      <c r="I385" s="214"/>
    </row>
    <row r="386" spans="1:11" ht="78.75" x14ac:dyDescent="0.25">
      <c r="A386" s="335" t="s">
        <v>143</v>
      </c>
      <c r="B386" s="329">
        <v>903</v>
      </c>
      <c r="C386" s="331" t="s">
        <v>315</v>
      </c>
      <c r="D386" s="331" t="s">
        <v>134</v>
      </c>
      <c r="E386" s="331" t="s">
        <v>1252</v>
      </c>
      <c r="F386" s="331" t="s">
        <v>144</v>
      </c>
      <c r="G386" s="336">
        <f t="shared" si="32"/>
        <v>507</v>
      </c>
      <c r="H386" s="336">
        <f t="shared" si="32"/>
        <v>507</v>
      </c>
      <c r="I386" s="214"/>
    </row>
    <row r="387" spans="1:11" ht="15.75" x14ac:dyDescent="0.25">
      <c r="A387" s="335" t="s">
        <v>224</v>
      </c>
      <c r="B387" s="329">
        <v>903</v>
      </c>
      <c r="C387" s="331" t="s">
        <v>315</v>
      </c>
      <c r="D387" s="331" t="s">
        <v>134</v>
      </c>
      <c r="E387" s="331" t="s">
        <v>1252</v>
      </c>
      <c r="F387" s="331" t="s">
        <v>225</v>
      </c>
      <c r="G387" s="336">
        <f>507</f>
        <v>507</v>
      </c>
      <c r="H387" s="336">
        <f t="shared" si="26"/>
        <v>507</v>
      </c>
      <c r="I387" s="214"/>
    </row>
    <row r="388" spans="1:11" ht="31.5" x14ac:dyDescent="0.25">
      <c r="A388" s="333" t="s">
        <v>1163</v>
      </c>
      <c r="B388" s="330">
        <v>903</v>
      </c>
      <c r="C388" s="334" t="s">
        <v>315</v>
      </c>
      <c r="D388" s="334" t="s">
        <v>134</v>
      </c>
      <c r="E388" s="334" t="s">
        <v>965</v>
      </c>
      <c r="F388" s="334"/>
      <c r="G388" s="332">
        <f>G389+G392</f>
        <v>68.7</v>
      </c>
      <c r="H388" s="332">
        <f>H389+H392</f>
        <v>68.7</v>
      </c>
      <c r="I388" s="214"/>
    </row>
    <row r="389" spans="1:11" ht="15.75" x14ac:dyDescent="0.25">
      <c r="A389" s="335" t="s">
        <v>345</v>
      </c>
      <c r="B389" s="329">
        <v>903</v>
      </c>
      <c r="C389" s="331" t="s">
        <v>315</v>
      </c>
      <c r="D389" s="331" t="s">
        <v>134</v>
      </c>
      <c r="E389" s="331" t="s">
        <v>1253</v>
      </c>
      <c r="F389" s="331"/>
      <c r="G389" s="336">
        <f>G390</f>
        <v>3.5</v>
      </c>
      <c r="H389" s="336">
        <f>H390</f>
        <v>3.5</v>
      </c>
      <c r="I389" s="214"/>
    </row>
    <row r="390" spans="1:11" ht="31.5" x14ac:dyDescent="0.25">
      <c r="A390" s="335" t="s">
        <v>147</v>
      </c>
      <c r="B390" s="329">
        <v>903</v>
      </c>
      <c r="C390" s="331" t="s">
        <v>315</v>
      </c>
      <c r="D390" s="331" t="s">
        <v>134</v>
      </c>
      <c r="E390" s="331" t="s">
        <v>1253</v>
      </c>
      <c r="F390" s="331" t="s">
        <v>148</v>
      </c>
      <c r="G390" s="336">
        <f>G391</f>
        <v>3.5</v>
      </c>
      <c r="H390" s="336">
        <f>H391</f>
        <v>3.5</v>
      </c>
      <c r="I390" s="214"/>
    </row>
    <row r="391" spans="1:11" ht="31.5" x14ac:dyDescent="0.25">
      <c r="A391" s="335" t="s">
        <v>149</v>
      </c>
      <c r="B391" s="329">
        <v>903</v>
      </c>
      <c r="C391" s="331" t="s">
        <v>315</v>
      </c>
      <c r="D391" s="331" t="s">
        <v>134</v>
      </c>
      <c r="E391" s="331" t="s">
        <v>1253</v>
      </c>
      <c r="F391" s="331" t="s">
        <v>150</v>
      </c>
      <c r="G391" s="336">
        <f>3.5</f>
        <v>3.5</v>
      </c>
      <c r="H391" s="336">
        <f t="shared" si="26"/>
        <v>3.5</v>
      </c>
      <c r="I391" s="214"/>
    </row>
    <row r="392" spans="1:11" ht="15.75" x14ac:dyDescent="0.25">
      <c r="A392" s="335" t="s">
        <v>345</v>
      </c>
      <c r="B392" s="329">
        <v>903</v>
      </c>
      <c r="C392" s="331" t="s">
        <v>315</v>
      </c>
      <c r="D392" s="331" t="s">
        <v>134</v>
      </c>
      <c r="E392" s="331" t="s">
        <v>1254</v>
      </c>
      <c r="F392" s="331"/>
      <c r="G392" s="336">
        <f>G393</f>
        <v>65.2</v>
      </c>
      <c r="H392" s="336">
        <f>H393</f>
        <v>65.2</v>
      </c>
      <c r="I392" s="214"/>
    </row>
    <row r="393" spans="1:11" ht="31.5" x14ac:dyDescent="0.25">
      <c r="A393" s="335" t="s">
        <v>147</v>
      </c>
      <c r="B393" s="329">
        <v>903</v>
      </c>
      <c r="C393" s="331" t="s">
        <v>315</v>
      </c>
      <c r="D393" s="331" t="s">
        <v>134</v>
      </c>
      <c r="E393" s="331" t="s">
        <v>1254</v>
      </c>
      <c r="F393" s="331" t="s">
        <v>148</v>
      </c>
      <c r="G393" s="336">
        <f>G394</f>
        <v>65.2</v>
      </c>
      <c r="H393" s="336">
        <f>H394</f>
        <v>65.2</v>
      </c>
      <c r="I393" s="214"/>
    </row>
    <row r="394" spans="1:11" ht="31.5" x14ac:dyDescent="0.25">
      <c r="A394" s="335" t="s">
        <v>149</v>
      </c>
      <c r="B394" s="329">
        <v>903</v>
      </c>
      <c r="C394" s="331" t="s">
        <v>315</v>
      </c>
      <c r="D394" s="331" t="s">
        <v>134</v>
      </c>
      <c r="E394" s="331" t="s">
        <v>1254</v>
      </c>
      <c r="F394" s="38">
        <v>240</v>
      </c>
      <c r="G394" s="336">
        <f>65.2</f>
        <v>65.2</v>
      </c>
      <c r="H394" s="336">
        <f t="shared" si="26"/>
        <v>65.2</v>
      </c>
      <c r="I394" s="214"/>
    </row>
    <row r="395" spans="1:11" ht="47.25" x14ac:dyDescent="0.25">
      <c r="A395" s="226" t="s">
        <v>971</v>
      </c>
      <c r="B395" s="330">
        <v>903</v>
      </c>
      <c r="C395" s="334" t="s">
        <v>315</v>
      </c>
      <c r="D395" s="334" t="s">
        <v>134</v>
      </c>
      <c r="E395" s="334" t="s">
        <v>1255</v>
      </c>
      <c r="F395" s="334"/>
      <c r="G395" s="332">
        <f>G399+G402+G396</f>
        <v>1596</v>
      </c>
      <c r="H395" s="332">
        <f>H399+H402+H396</f>
        <v>1596</v>
      </c>
      <c r="I395" s="214"/>
    </row>
    <row r="396" spans="1:11" s="324" customFormat="1" ht="94.5" x14ac:dyDescent="0.25">
      <c r="A396" s="31" t="s">
        <v>309</v>
      </c>
      <c r="B396" s="329">
        <v>903</v>
      </c>
      <c r="C396" s="331" t="s">
        <v>315</v>
      </c>
      <c r="D396" s="331" t="s">
        <v>134</v>
      </c>
      <c r="E396" s="331" t="s">
        <v>1522</v>
      </c>
      <c r="F396" s="331"/>
      <c r="G396" s="336">
        <f>G397</f>
        <v>1276.3</v>
      </c>
      <c r="H396" s="336">
        <f t="shared" ref="H396:K397" si="33">H397</f>
        <v>1276.3</v>
      </c>
      <c r="I396" s="336">
        <f t="shared" si="33"/>
        <v>0</v>
      </c>
      <c r="J396" s="336">
        <f t="shared" si="33"/>
        <v>0</v>
      </c>
      <c r="K396" s="336">
        <f t="shared" si="33"/>
        <v>0</v>
      </c>
    </row>
    <row r="397" spans="1:11" s="324" customFormat="1" ht="78.75" x14ac:dyDescent="0.25">
      <c r="A397" s="335" t="s">
        <v>143</v>
      </c>
      <c r="B397" s="329">
        <v>903</v>
      </c>
      <c r="C397" s="331" t="s">
        <v>315</v>
      </c>
      <c r="D397" s="331" t="s">
        <v>134</v>
      </c>
      <c r="E397" s="331" t="s">
        <v>1522</v>
      </c>
      <c r="F397" s="331" t="s">
        <v>144</v>
      </c>
      <c r="G397" s="336">
        <f>G398</f>
        <v>1276.3</v>
      </c>
      <c r="H397" s="336">
        <f t="shared" si="33"/>
        <v>1276.3</v>
      </c>
      <c r="I397" s="336">
        <f t="shared" si="33"/>
        <v>0</v>
      </c>
      <c r="J397" s="336">
        <f t="shared" si="33"/>
        <v>0</v>
      </c>
      <c r="K397" s="336">
        <f t="shared" si="33"/>
        <v>0</v>
      </c>
    </row>
    <row r="398" spans="1:11" s="324" customFormat="1" ht="15.75" x14ac:dyDescent="0.25">
      <c r="A398" s="335" t="s">
        <v>224</v>
      </c>
      <c r="B398" s="329">
        <v>903</v>
      </c>
      <c r="C398" s="331" t="s">
        <v>315</v>
      </c>
      <c r="D398" s="331" t="s">
        <v>134</v>
      </c>
      <c r="E398" s="331" t="s">
        <v>1522</v>
      </c>
      <c r="F398" s="331" t="s">
        <v>225</v>
      </c>
      <c r="G398" s="336">
        <v>1276.3</v>
      </c>
      <c r="H398" s="336">
        <v>1276.3</v>
      </c>
      <c r="I398" s="325"/>
    </row>
    <row r="399" spans="1:11" ht="78.75" x14ac:dyDescent="0.25">
      <c r="A399" s="335" t="s">
        <v>347</v>
      </c>
      <c r="B399" s="329">
        <v>903</v>
      </c>
      <c r="C399" s="331" t="s">
        <v>315</v>
      </c>
      <c r="D399" s="331" t="s">
        <v>134</v>
      </c>
      <c r="E399" s="331" t="s">
        <v>1256</v>
      </c>
      <c r="F399" s="331"/>
      <c r="G399" s="336">
        <f>G400</f>
        <v>319.7</v>
      </c>
      <c r="H399" s="336">
        <f>H400</f>
        <v>319.7</v>
      </c>
      <c r="I399" s="214"/>
    </row>
    <row r="400" spans="1:11" ht="78.75" x14ac:dyDescent="0.25">
      <c r="A400" s="335" t="s">
        <v>143</v>
      </c>
      <c r="B400" s="329">
        <v>903</v>
      </c>
      <c r="C400" s="331" t="s">
        <v>315</v>
      </c>
      <c r="D400" s="331" t="s">
        <v>134</v>
      </c>
      <c r="E400" s="331" t="s">
        <v>1256</v>
      </c>
      <c r="F400" s="331" t="s">
        <v>144</v>
      </c>
      <c r="G400" s="336">
        <f>G401</f>
        <v>319.7</v>
      </c>
      <c r="H400" s="336">
        <f>H401</f>
        <v>319.7</v>
      </c>
      <c r="I400" s="214"/>
    </row>
    <row r="401" spans="1:9" ht="15.75" x14ac:dyDescent="0.25">
      <c r="A401" s="335" t="s">
        <v>224</v>
      </c>
      <c r="B401" s="329">
        <v>903</v>
      </c>
      <c r="C401" s="331" t="s">
        <v>315</v>
      </c>
      <c r="D401" s="331" t="s">
        <v>134</v>
      </c>
      <c r="E401" s="331" t="s">
        <v>1256</v>
      </c>
      <c r="F401" s="331" t="s">
        <v>225</v>
      </c>
      <c r="G401" s="336">
        <f>319.7</f>
        <v>319.7</v>
      </c>
      <c r="H401" s="336">
        <f t="shared" si="26"/>
        <v>319.7</v>
      </c>
      <c r="I401" s="214"/>
    </row>
    <row r="402" spans="1:9" ht="94.5" hidden="1" x14ac:dyDescent="0.25">
      <c r="A402" s="31" t="s">
        <v>309</v>
      </c>
      <c r="B402" s="329">
        <v>903</v>
      </c>
      <c r="C402" s="331" t="s">
        <v>315</v>
      </c>
      <c r="D402" s="331" t="s">
        <v>134</v>
      </c>
      <c r="E402" s="331" t="s">
        <v>1257</v>
      </c>
      <c r="F402" s="331"/>
      <c r="G402" s="336">
        <f>G403</f>
        <v>0</v>
      </c>
      <c r="H402" s="336">
        <f>H403</f>
        <v>0</v>
      </c>
      <c r="I402" s="214"/>
    </row>
    <row r="403" spans="1:9" ht="78.75" hidden="1" x14ac:dyDescent="0.25">
      <c r="A403" s="335" t="s">
        <v>143</v>
      </c>
      <c r="B403" s="329">
        <v>903</v>
      </c>
      <c r="C403" s="331" t="s">
        <v>315</v>
      </c>
      <c r="D403" s="331" t="s">
        <v>134</v>
      </c>
      <c r="E403" s="331" t="s">
        <v>1257</v>
      </c>
      <c r="F403" s="331" t="s">
        <v>144</v>
      </c>
      <c r="G403" s="336">
        <f>G404</f>
        <v>0</v>
      </c>
      <c r="H403" s="336">
        <f>H404</f>
        <v>0</v>
      </c>
      <c r="I403" s="214"/>
    </row>
    <row r="404" spans="1:9" ht="15.75" hidden="1" x14ac:dyDescent="0.25">
      <c r="A404" s="335" t="s">
        <v>224</v>
      </c>
      <c r="B404" s="329">
        <v>903</v>
      </c>
      <c r="C404" s="331" t="s">
        <v>315</v>
      </c>
      <c r="D404" s="331" t="s">
        <v>134</v>
      </c>
      <c r="E404" s="331" t="s">
        <v>1257</v>
      </c>
      <c r="F404" s="331" t="s">
        <v>225</v>
      </c>
      <c r="G404" s="336"/>
      <c r="H404" s="336">
        <f t="shared" si="26"/>
        <v>0</v>
      </c>
      <c r="I404" s="274">
        <f>12177.1/11326*1000</f>
        <v>1075.1456825004416</v>
      </c>
    </row>
    <row r="405" spans="1:9" ht="63" hidden="1" x14ac:dyDescent="0.25">
      <c r="A405" s="34" t="s">
        <v>805</v>
      </c>
      <c r="B405" s="330">
        <v>903</v>
      </c>
      <c r="C405" s="334" t="s">
        <v>315</v>
      </c>
      <c r="D405" s="334" t="s">
        <v>134</v>
      </c>
      <c r="E405" s="334" t="s">
        <v>340</v>
      </c>
      <c r="F405" s="334"/>
      <c r="G405" s="332">
        <f>G407</f>
        <v>0</v>
      </c>
      <c r="H405" s="332">
        <f>H407</f>
        <v>0</v>
      </c>
      <c r="I405" s="214"/>
    </row>
    <row r="406" spans="1:9" ht="63" hidden="1" x14ac:dyDescent="0.25">
      <c r="A406" s="34" t="s">
        <v>1191</v>
      </c>
      <c r="B406" s="330">
        <v>903</v>
      </c>
      <c r="C406" s="334" t="s">
        <v>315</v>
      </c>
      <c r="D406" s="334" t="s">
        <v>134</v>
      </c>
      <c r="E406" s="334" t="s">
        <v>1025</v>
      </c>
      <c r="F406" s="334"/>
      <c r="G406" s="332">
        <f>G409</f>
        <v>0</v>
      </c>
      <c r="H406" s="332">
        <f>H409</f>
        <v>0</v>
      </c>
      <c r="I406" s="214"/>
    </row>
    <row r="407" spans="1:9" ht="47.25" hidden="1" x14ac:dyDescent="0.25">
      <c r="A407" s="31" t="s">
        <v>1273</v>
      </c>
      <c r="B407" s="329">
        <v>903</v>
      </c>
      <c r="C407" s="331" t="s">
        <v>315</v>
      </c>
      <c r="D407" s="331" t="s">
        <v>134</v>
      </c>
      <c r="E407" s="331" t="s">
        <v>1192</v>
      </c>
      <c r="F407" s="331"/>
      <c r="G407" s="336">
        <f>G408</f>
        <v>0</v>
      </c>
      <c r="H407" s="336">
        <f>H408</f>
        <v>0</v>
      </c>
      <c r="I407" s="214"/>
    </row>
    <row r="408" spans="1:9" ht="31.5" hidden="1" x14ac:dyDescent="0.25">
      <c r="A408" s="335" t="s">
        <v>147</v>
      </c>
      <c r="B408" s="329">
        <v>903</v>
      </c>
      <c r="C408" s="331" t="s">
        <v>315</v>
      </c>
      <c r="D408" s="331" t="s">
        <v>134</v>
      </c>
      <c r="E408" s="331" t="s">
        <v>1192</v>
      </c>
      <c r="F408" s="331" t="s">
        <v>148</v>
      </c>
      <c r="G408" s="336">
        <f>G409</f>
        <v>0</v>
      </c>
      <c r="H408" s="336">
        <f>H409</f>
        <v>0</v>
      </c>
      <c r="I408" s="214"/>
    </row>
    <row r="409" spans="1:9" ht="31.5" hidden="1" x14ac:dyDescent="0.25">
      <c r="A409" s="335" t="s">
        <v>149</v>
      </c>
      <c r="B409" s="329">
        <v>903</v>
      </c>
      <c r="C409" s="331" t="s">
        <v>315</v>
      </c>
      <c r="D409" s="331" t="s">
        <v>134</v>
      </c>
      <c r="E409" s="331" t="s">
        <v>1192</v>
      </c>
      <c r="F409" s="331" t="s">
        <v>150</v>
      </c>
      <c r="G409" s="336">
        <v>0</v>
      </c>
      <c r="H409" s="336">
        <v>0</v>
      </c>
      <c r="I409" s="214"/>
    </row>
    <row r="410" spans="1:9" ht="63" x14ac:dyDescent="0.25">
      <c r="A410" s="41" t="s">
        <v>1424</v>
      </c>
      <c r="B410" s="330">
        <v>903</v>
      </c>
      <c r="C410" s="334" t="s">
        <v>315</v>
      </c>
      <c r="D410" s="334" t="s">
        <v>134</v>
      </c>
      <c r="E410" s="334" t="s">
        <v>728</v>
      </c>
      <c r="F410" s="231"/>
      <c r="G410" s="332">
        <f t="shared" ref="G410:H413" si="34">G411</f>
        <v>793.2</v>
      </c>
      <c r="H410" s="332">
        <f t="shared" si="34"/>
        <v>793.2</v>
      </c>
      <c r="I410" s="214"/>
    </row>
    <row r="411" spans="1:9" ht="47.25" x14ac:dyDescent="0.25">
      <c r="A411" s="41" t="s">
        <v>949</v>
      </c>
      <c r="B411" s="330">
        <v>903</v>
      </c>
      <c r="C411" s="334" t="s">
        <v>315</v>
      </c>
      <c r="D411" s="334" t="s">
        <v>134</v>
      </c>
      <c r="E411" s="334" t="s">
        <v>947</v>
      </c>
      <c r="F411" s="231"/>
      <c r="G411" s="332">
        <f t="shared" si="34"/>
        <v>793.2</v>
      </c>
      <c r="H411" s="332">
        <f t="shared" si="34"/>
        <v>793.2</v>
      </c>
      <c r="I411" s="214"/>
    </row>
    <row r="412" spans="1:9" ht="47.25" x14ac:dyDescent="0.25">
      <c r="A412" s="99" t="s">
        <v>1187</v>
      </c>
      <c r="B412" s="329">
        <v>903</v>
      </c>
      <c r="C412" s="331" t="s">
        <v>315</v>
      </c>
      <c r="D412" s="331" t="s">
        <v>134</v>
      </c>
      <c r="E412" s="331" t="s">
        <v>948</v>
      </c>
      <c r="F412" s="32"/>
      <c r="G412" s="336">
        <f t="shared" si="34"/>
        <v>793.2</v>
      </c>
      <c r="H412" s="336">
        <f t="shared" si="34"/>
        <v>793.2</v>
      </c>
      <c r="I412" s="214"/>
    </row>
    <row r="413" spans="1:9" ht="31.5" x14ac:dyDescent="0.25">
      <c r="A413" s="335" t="s">
        <v>147</v>
      </c>
      <c r="B413" s="329">
        <v>903</v>
      </c>
      <c r="C413" s="331" t="s">
        <v>315</v>
      </c>
      <c r="D413" s="331" t="s">
        <v>134</v>
      </c>
      <c r="E413" s="331" t="s">
        <v>948</v>
      </c>
      <c r="F413" s="32" t="s">
        <v>148</v>
      </c>
      <c r="G413" s="336">
        <f t="shared" si="34"/>
        <v>793.2</v>
      </c>
      <c r="H413" s="336">
        <f t="shared" si="34"/>
        <v>793.2</v>
      </c>
      <c r="I413" s="214"/>
    </row>
    <row r="414" spans="1:9" ht="31.5" x14ac:dyDescent="0.25">
      <c r="A414" s="335" t="s">
        <v>149</v>
      </c>
      <c r="B414" s="329">
        <v>903</v>
      </c>
      <c r="C414" s="331" t="s">
        <v>315</v>
      </c>
      <c r="D414" s="331" t="s">
        <v>134</v>
      </c>
      <c r="E414" s="331" t="s">
        <v>948</v>
      </c>
      <c r="F414" s="32" t="s">
        <v>150</v>
      </c>
      <c r="G414" s="336">
        <f>793.2</f>
        <v>793.2</v>
      </c>
      <c r="H414" s="336">
        <f t="shared" si="26"/>
        <v>793.2</v>
      </c>
      <c r="I414" s="214"/>
    </row>
    <row r="415" spans="1:9" ht="31.5" x14ac:dyDescent="0.25">
      <c r="A415" s="333" t="s">
        <v>349</v>
      </c>
      <c r="B415" s="330">
        <v>903</v>
      </c>
      <c r="C415" s="334" t="s">
        <v>315</v>
      </c>
      <c r="D415" s="334" t="s">
        <v>166</v>
      </c>
      <c r="E415" s="334"/>
      <c r="F415" s="334"/>
      <c r="G415" s="332">
        <f>G416+G426+G438</f>
        <v>17339</v>
      </c>
      <c r="H415" s="332">
        <f>H416+H426+H438</f>
        <v>17339</v>
      </c>
      <c r="I415" s="214"/>
    </row>
    <row r="416" spans="1:9" ht="31.5" x14ac:dyDescent="0.25">
      <c r="A416" s="333" t="s">
        <v>990</v>
      </c>
      <c r="B416" s="330">
        <v>903</v>
      </c>
      <c r="C416" s="334" t="s">
        <v>315</v>
      </c>
      <c r="D416" s="334" t="s">
        <v>166</v>
      </c>
      <c r="E416" s="334" t="s">
        <v>904</v>
      </c>
      <c r="F416" s="334"/>
      <c r="G416" s="332">
        <f>G417</f>
        <v>6870</v>
      </c>
      <c r="H416" s="332">
        <f>H417</f>
        <v>6870</v>
      </c>
      <c r="I416" s="214"/>
    </row>
    <row r="417" spans="1:9" ht="15.75" x14ac:dyDescent="0.25">
      <c r="A417" s="333" t="s">
        <v>991</v>
      </c>
      <c r="B417" s="330">
        <v>903</v>
      </c>
      <c r="C417" s="334" t="s">
        <v>315</v>
      </c>
      <c r="D417" s="334" t="s">
        <v>166</v>
      </c>
      <c r="E417" s="334" t="s">
        <v>905</v>
      </c>
      <c r="F417" s="334"/>
      <c r="G417" s="332">
        <f>G418+G423</f>
        <v>6870</v>
      </c>
      <c r="H417" s="332">
        <f>H418+H423</f>
        <v>6870</v>
      </c>
      <c r="I417" s="214"/>
    </row>
    <row r="418" spans="1:9" ht="31.5" x14ac:dyDescent="0.25">
      <c r="A418" s="335" t="s">
        <v>967</v>
      </c>
      <c r="B418" s="329">
        <v>903</v>
      </c>
      <c r="C418" s="331" t="s">
        <v>315</v>
      </c>
      <c r="D418" s="331" t="s">
        <v>166</v>
      </c>
      <c r="E418" s="331" t="s">
        <v>906</v>
      </c>
      <c r="F418" s="331"/>
      <c r="G418" s="336">
        <f>G419</f>
        <v>6744</v>
      </c>
      <c r="H418" s="336">
        <f>H419</f>
        <v>6744</v>
      </c>
      <c r="I418" s="214"/>
    </row>
    <row r="419" spans="1:9" ht="78.75" x14ac:dyDescent="0.25">
      <c r="A419" s="335" t="s">
        <v>143</v>
      </c>
      <c r="B419" s="329">
        <v>903</v>
      </c>
      <c r="C419" s="331" t="s">
        <v>315</v>
      </c>
      <c r="D419" s="331" t="s">
        <v>166</v>
      </c>
      <c r="E419" s="331" t="s">
        <v>906</v>
      </c>
      <c r="F419" s="331" t="s">
        <v>144</v>
      </c>
      <c r="G419" s="336">
        <f>G420</f>
        <v>6744</v>
      </c>
      <c r="H419" s="336">
        <f>H420</f>
        <v>6744</v>
      </c>
      <c r="I419" s="214"/>
    </row>
    <row r="420" spans="1:9" ht="31.5" x14ac:dyDescent="0.25">
      <c r="A420" s="335" t="s">
        <v>145</v>
      </c>
      <c r="B420" s="329">
        <v>903</v>
      </c>
      <c r="C420" s="331" t="s">
        <v>315</v>
      </c>
      <c r="D420" s="331" t="s">
        <v>166</v>
      </c>
      <c r="E420" s="331" t="s">
        <v>906</v>
      </c>
      <c r="F420" s="331" t="s">
        <v>146</v>
      </c>
      <c r="G420" s="336">
        <f>6744</f>
        <v>6744</v>
      </c>
      <c r="H420" s="336">
        <f t="shared" ref="H420:H503" si="35">G420</f>
        <v>6744</v>
      </c>
      <c r="I420" s="214"/>
    </row>
    <row r="421" spans="1:9" ht="31.5" hidden="1" x14ac:dyDescent="0.25">
      <c r="A421" s="335" t="s">
        <v>147</v>
      </c>
      <c r="B421" s="329">
        <v>903</v>
      </c>
      <c r="C421" s="331" t="s">
        <v>315</v>
      </c>
      <c r="D421" s="331" t="s">
        <v>166</v>
      </c>
      <c r="E421" s="331" t="s">
        <v>906</v>
      </c>
      <c r="F421" s="331" t="s">
        <v>148</v>
      </c>
      <c r="G421" s="336">
        <f>'Пр.4 ведом.20'!G424</f>
        <v>0</v>
      </c>
      <c r="H421" s="336">
        <f t="shared" si="35"/>
        <v>0</v>
      </c>
      <c r="I421" s="214"/>
    </row>
    <row r="422" spans="1:9" ht="31.5" hidden="1" x14ac:dyDescent="0.25">
      <c r="A422" s="335" t="s">
        <v>149</v>
      </c>
      <c r="B422" s="329">
        <v>903</v>
      </c>
      <c r="C422" s="331" t="s">
        <v>315</v>
      </c>
      <c r="D422" s="331" t="s">
        <v>166</v>
      </c>
      <c r="E422" s="331" t="s">
        <v>906</v>
      </c>
      <c r="F422" s="331" t="s">
        <v>150</v>
      </c>
      <c r="G422" s="336">
        <f>'Пр.4 ведом.20'!G425</f>
        <v>0</v>
      </c>
      <c r="H422" s="336">
        <f t="shared" si="35"/>
        <v>0</v>
      </c>
      <c r="I422" s="214"/>
    </row>
    <row r="423" spans="1:9" ht="47.25" x14ac:dyDescent="0.25">
      <c r="A423" s="335" t="s">
        <v>885</v>
      </c>
      <c r="B423" s="329">
        <v>903</v>
      </c>
      <c r="C423" s="331" t="s">
        <v>315</v>
      </c>
      <c r="D423" s="331" t="s">
        <v>166</v>
      </c>
      <c r="E423" s="331" t="s">
        <v>908</v>
      </c>
      <c r="F423" s="331"/>
      <c r="G423" s="336">
        <f>G424</f>
        <v>126</v>
      </c>
      <c r="H423" s="336">
        <f>H424</f>
        <v>126</v>
      </c>
      <c r="I423" s="214"/>
    </row>
    <row r="424" spans="1:9" ht="78.75" x14ac:dyDescent="0.25">
      <c r="A424" s="335" t="s">
        <v>143</v>
      </c>
      <c r="B424" s="329">
        <v>903</v>
      </c>
      <c r="C424" s="331" t="s">
        <v>315</v>
      </c>
      <c r="D424" s="331" t="s">
        <v>166</v>
      </c>
      <c r="E424" s="331" t="s">
        <v>908</v>
      </c>
      <c r="F424" s="331" t="s">
        <v>144</v>
      </c>
      <c r="G424" s="336">
        <f>G425</f>
        <v>126</v>
      </c>
      <c r="H424" s="336">
        <f>H425</f>
        <v>126</v>
      </c>
      <c r="I424" s="214"/>
    </row>
    <row r="425" spans="1:9" ht="31.5" x14ac:dyDescent="0.25">
      <c r="A425" s="335" t="s">
        <v>145</v>
      </c>
      <c r="B425" s="329">
        <v>903</v>
      </c>
      <c r="C425" s="331" t="s">
        <v>315</v>
      </c>
      <c r="D425" s="331" t="s">
        <v>166</v>
      </c>
      <c r="E425" s="331" t="s">
        <v>908</v>
      </c>
      <c r="F425" s="331" t="s">
        <v>146</v>
      </c>
      <c r="G425" s="336">
        <f>126</f>
        <v>126</v>
      </c>
      <c r="H425" s="336">
        <f t="shared" si="35"/>
        <v>126</v>
      </c>
      <c r="I425" s="214"/>
    </row>
    <row r="426" spans="1:9" ht="15.75" x14ac:dyDescent="0.25">
      <c r="A426" s="333" t="s">
        <v>999</v>
      </c>
      <c r="B426" s="330">
        <v>903</v>
      </c>
      <c r="C426" s="334" t="s">
        <v>315</v>
      </c>
      <c r="D426" s="334" t="s">
        <v>166</v>
      </c>
      <c r="E426" s="334" t="s">
        <v>912</v>
      </c>
      <c r="F426" s="334"/>
      <c r="G426" s="332">
        <f>G427</f>
        <v>10209</v>
      </c>
      <c r="H426" s="332">
        <f>H427</f>
        <v>10209</v>
      </c>
      <c r="I426" s="214"/>
    </row>
    <row r="427" spans="1:9" ht="31.5" x14ac:dyDescent="0.25">
      <c r="A427" s="333" t="s">
        <v>1002</v>
      </c>
      <c r="B427" s="330">
        <v>903</v>
      </c>
      <c r="C427" s="334" t="s">
        <v>315</v>
      </c>
      <c r="D427" s="334" t="s">
        <v>166</v>
      </c>
      <c r="E427" s="334" t="s">
        <v>987</v>
      </c>
      <c r="F427" s="334"/>
      <c r="G427" s="332">
        <f>G428+G435</f>
        <v>10209</v>
      </c>
      <c r="H427" s="332">
        <f>H428+H435</f>
        <v>10209</v>
      </c>
      <c r="I427" s="214"/>
    </row>
    <row r="428" spans="1:9" ht="31.5" x14ac:dyDescent="0.25">
      <c r="A428" s="335" t="s">
        <v>974</v>
      </c>
      <c r="B428" s="329">
        <v>903</v>
      </c>
      <c r="C428" s="331" t="s">
        <v>315</v>
      </c>
      <c r="D428" s="331" t="s">
        <v>166</v>
      </c>
      <c r="E428" s="331" t="s">
        <v>988</v>
      </c>
      <c r="F428" s="331"/>
      <c r="G428" s="336">
        <f>G429+G431+G433</f>
        <v>9999</v>
      </c>
      <c r="H428" s="336">
        <f>H429+H431+H433</f>
        <v>9999</v>
      </c>
      <c r="I428" s="214"/>
    </row>
    <row r="429" spans="1:9" ht="78.75" x14ac:dyDescent="0.25">
      <c r="A429" s="335" t="s">
        <v>143</v>
      </c>
      <c r="B429" s="329">
        <v>903</v>
      </c>
      <c r="C429" s="331" t="s">
        <v>315</v>
      </c>
      <c r="D429" s="331" t="s">
        <v>166</v>
      </c>
      <c r="E429" s="331" t="s">
        <v>988</v>
      </c>
      <c r="F429" s="331" t="s">
        <v>144</v>
      </c>
      <c r="G429" s="336">
        <f>G430</f>
        <v>8048</v>
      </c>
      <c r="H429" s="336">
        <f>H430</f>
        <v>8048</v>
      </c>
      <c r="I429" s="214"/>
    </row>
    <row r="430" spans="1:9" ht="31.5" x14ac:dyDescent="0.25">
      <c r="A430" s="335" t="s">
        <v>358</v>
      </c>
      <c r="B430" s="329">
        <v>903</v>
      </c>
      <c r="C430" s="331" t="s">
        <v>315</v>
      </c>
      <c r="D430" s="331" t="s">
        <v>166</v>
      </c>
      <c r="E430" s="331" t="s">
        <v>988</v>
      </c>
      <c r="F430" s="331" t="s">
        <v>225</v>
      </c>
      <c r="G430" s="336">
        <f>8048</f>
        <v>8048</v>
      </c>
      <c r="H430" s="336">
        <f t="shared" si="35"/>
        <v>8048</v>
      </c>
      <c r="I430" s="214"/>
    </row>
    <row r="431" spans="1:9" ht="31.5" x14ac:dyDescent="0.25">
      <c r="A431" s="335" t="s">
        <v>147</v>
      </c>
      <c r="B431" s="329">
        <v>903</v>
      </c>
      <c r="C431" s="331" t="s">
        <v>315</v>
      </c>
      <c r="D431" s="331" t="s">
        <v>166</v>
      </c>
      <c r="E431" s="331" t="s">
        <v>988</v>
      </c>
      <c r="F431" s="331" t="s">
        <v>148</v>
      </c>
      <c r="G431" s="336">
        <f>G432</f>
        <v>1937</v>
      </c>
      <c r="H431" s="336">
        <f>H432</f>
        <v>1937</v>
      </c>
      <c r="I431" s="214"/>
    </row>
    <row r="432" spans="1:9" ht="31.5" x14ac:dyDescent="0.25">
      <c r="A432" s="335" t="s">
        <v>149</v>
      </c>
      <c r="B432" s="329">
        <v>903</v>
      </c>
      <c r="C432" s="331" t="s">
        <v>315</v>
      </c>
      <c r="D432" s="331" t="s">
        <v>166</v>
      </c>
      <c r="E432" s="331" t="s">
        <v>988</v>
      </c>
      <c r="F432" s="331" t="s">
        <v>150</v>
      </c>
      <c r="G432" s="336">
        <f>1937</f>
        <v>1937</v>
      </c>
      <c r="H432" s="336">
        <f t="shared" si="35"/>
        <v>1937</v>
      </c>
      <c r="I432" s="214"/>
    </row>
    <row r="433" spans="1:9" ht="15.75" x14ac:dyDescent="0.25">
      <c r="A433" s="335" t="s">
        <v>151</v>
      </c>
      <c r="B433" s="329">
        <v>903</v>
      </c>
      <c r="C433" s="331" t="s">
        <v>315</v>
      </c>
      <c r="D433" s="331" t="s">
        <v>166</v>
      </c>
      <c r="E433" s="331" t="s">
        <v>988</v>
      </c>
      <c r="F433" s="331" t="s">
        <v>161</v>
      </c>
      <c r="G433" s="336">
        <f>G434</f>
        <v>14</v>
      </c>
      <c r="H433" s="336">
        <f>H434</f>
        <v>14</v>
      </c>
      <c r="I433" s="214"/>
    </row>
    <row r="434" spans="1:9" ht="15.75" x14ac:dyDescent="0.25">
      <c r="A434" s="335" t="s">
        <v>584</v>
      </c>
      <c r="B434" s="329">
        <v>903</v>
      </c>
      <c r="C434" s="331" t="s">
        <v>315</v>
      </c>
      <c r="D434" s="331" t="s">
        <v>166</v>
      </c>
      <c r="E434" s="331" t="s">
        <v>988</v>
      </c>
      <c r="F434" s="331" t="s">
        <v>154</v>
      </c>
      <c r="G434" s="336">
        <f>14</f>
        <v>14</v>
      </c>
      <c r="H434" s="336">
        <f t="shared" si="35"/>
        <v>14</v>
      </c>
      <c r="I434" s="214"/>
    </row>
    <row r="435" spans="1:9" ht="47.25" x14ac:dyDescent="0.25">
      <c r="A435" s="335" t="s">
        <v>885</v>
      </c>
      <c r="B435" s="329">
        <v>903</v>
      </c>
      <c r="C435" s="331" t="s">
        <v>315</v>
      </c>
      <c r="D435" s="331" t="s">
        <v>166</v>
      </c>
      <c r="E435" s="331" t="s">
        <v>989</v>
      </c>
      <c r="F435" s="331"/>
      <c r="G435" s="336">
        <f>G436</f>
        <v>210</v>
      </c>
      <c r="H435" s="336">
        <f>H436</f>
        <v>210</v>
      </c>
      <c r="I435" s="214"/>
    </row>
    <row r="436" spans="1:9" ht="78.75" x14ac:dyDescent="0.25">
      <c r="A436" s="335" t="s">
        <v>143</v>
      </c>
      <c r="B436" s="329">
        <v>903</v>
      </c>
      <c r="C436" s="331" t="s">
        <v>315</v>
      </c>
      <c r="D436" s="331" t="s">
        <v>166</v>
      </c>
      <c r="E436" s="331" t="s">
        <v>989</v>
      </c>
      <c r="F436" s="331" t="s">
        <v>144</v>
      </c>
      <c r="G436" s="336">
        <f>G437</f>
        <v>210</v>
      </c>
      <c r="H436" s="336">
        <f>H437</f>
        <v>210</v>
      </c>
      <c r="I436" s="214"/>
    </row>
    <row r="437" spans="1:9" ht="25.5" customHeight="1" x14ac:dyDescent="0.25">
      <c r="A437" s="335" t="s">
        <v>358</v>
      </c>
      <c r="B437" s="329">
        <v>903</v>
      </c>
      <c r="C437" s="331" t="s">
        <v>315</v>
      </c>
      <c r="D437" s="331" t="s">
        <v>166</v>
      </c>
      <c r="E437" s="331" t="s">
        <v>989</v>
      </c>
      <c r="F437" s="331" t="s">
        <v>225</v>
      </c>
      <c r="G437" s="336">
        <f>210</f>
        <v>210</v>
      </c>
      <c r="H437" s="336">
        <f t="shared" si="35"/>
        <v>210</v>
      </c>
      <c r="I437" s="214"/>
    </row>
    <row r="438" spans="1:9" ht="47.25" x14ac:dyDescent="0.25">
      <c r="A438" s="333" t="s">
        <v>1422</v>
      </c>
      <c r="B438" s="330">
        <v>903</v>
      </c>
      <c r="C438" s="334" t="s">
        <v>315</v>
      </c>
      <c r="D438" s="334" t="s">
        <v>166</v>
      </c>
      <c r="E438" s="334" t="s">
        <v>360</v>
      </c>
      <c r="F438" s="334"/>
      <c r="G438" s="332">
        <f t="shared" ref="G438:H440" si="36">G439</f>
        <v>260</v>
      </c>
      <c r="H438" s="332">
        <f t="shared" si="36"/>
        <v>260</v>
      </c>
      <c r="I438" s="214"/>
    </row>
    <row r="439" spans="1:9" ht="47.25" x14ac:dyDescent="0.25">
      <c r="A439" s="333" t="s">
        <v>380</v>
      </c>
      <c r="B439" s="330">
        <v>903</v>
      </c>
      <c r="C439" s="334" t="s">
        <v>315</v>
      </c>
      <c r="D439" s="334" t="s">
        <v>166</v>
      </c>
      <c r="E439" s="334" t="s">
        <v>381</v>
      </c>
      <c r="F439" s="334"/>
      <c r="G439" s="332">
        <f t="shared" si="36"/>
        <v>260</v>
      </c>
      <c r="H439" s="332">
        <f t="shared" si="36"/>
        <v>260</v>
      </c>
      <c r="I439" s="214"/>
    </row>
    <row r="440" spans="1:9" ht="31.5" x14ac:dyDescent="0.25">
      <c r="A440" s="333" t="s">
        <v>1147</v>
      </c>
      <c r="B440" s="330">
        <v>903</v>
      </c>
      <c r="C440" s="334" t="s">
        <v>315</v>
      </c>
      <c r="D440" s="334" t="s">
        <v>166</v>
      </c>
      <c r="E440" s="334" t="s">
        <v>966</v>
      </c>
      <c r="F440" s="334"/>
      <c r="G440" s="332">
        <f t="shared" si="36"/>
        <v>260</v>
      </c>
      <c r="H440" s="332">
        <f t="shared" si="36"/>
        <v>260</v>
      </c>
      <c r="I440" s="214"/>
    </row>
    <row r="441" spans="1:9" ht="31.5" x14ac:dyDescent="0.25">
      <c r="A441" s="335" t="s">
        <v>1146</v>
      </c>
      <c r="B441" s="329">
        <v>903</v>
      </c>
      <c r="C441" s="331" t="s">
        <v>315</v>
      </c>
      <c r="D441" s="331" t="s">
        <v>166</v>
      </c>
      <c r="E441" s="331" t="s">
        <v>1223</v>
      </c>
      <c r="F441" s="331"/>
      <c r="G441" s="336">
        <f>G442</f>
        <v>260</v>
      </c>
      <c r="H441" s="336">
        <f>H442</f>
        <v>260</v>
      </c>
      <c r="I441" s="214"/>
    </row>
    <row r="442" spans="1:9" ht="31.5" x14ac:dyDescent="0.25">
      <c r="A442" s="335" t="s">
        <v>147</v>
      </c>
      <c r="B442" s="329">
        <v>903</v>
      </c>
      <c r="C442" s="331" t="s">
        <v>315</v>
      </c>
      <c r="D442" s="331" t="s">
        <v>166</v>
      </c>
      <c r="E442" s="331" t="s">
        <v>1223</v>
      </c>
      <c r="F442" s="331" t="s">
        <v>148</v>
      </c>
      <c r="G442" s="336">
        <f>G443</f>
        <v>260</v>
      </c>
      <c r="H442" s="336">
        <f>H443</f>
        <v>260</v>
      </c>
      <c r="I442" s="214"/>
    </row>
    <row r="443" spans="1:9" ht="31.5" x14ac:dyDescent="0.25">
      <c r="A443" s="335" t="s">
        <v>149</v>
      </c>
      <c r="B443" s="329">
        <v>903</v>
      </c>
      <c r="C443" s="331" t="s">
        <v>315</v>
      </c>
      <c r="D443" s="331" t="s">
        <v>166</v>
      </c>
      <c r="E443" s="331" t="s">
        <v>1223</v>
      </c>
      <c r="F443" s="331" t="s">
        <v>150</v>
      </c>
      <c r="G443" s="336">
        <f>260</f>
        <v>260</v>
      </c>
      <c r="H443" s="336">
        <f t="shared" si="35"/>
        <v>260</v>
      </c>
      <c r="I443" s="214"/>
    </row>
    <row r="444" spans="1:9" ht="15.75" x14ac:dyDescent="0.25">
      <c r="A444" s="333" t="s">
        <v>259</v>
      </c>
      <c r="B444" s="330">
        <v>903</v>
      </c>
      <c r="C444" s="334" t="s">
        <v>260</v>
      </c>
      <c r="D444" s="334"/>
      <c r="E444" s="334"/>
      <c r="F444" s="334"/>
      <c r="G444" s="332">
        <f>G445</f>
        <v>1824</v>
      </c>
      <c r="H444" s="332">
        <f>H445</f>
        <v>1834</v>
      </c>
      <c r="I444" s="214"/>
    </row>
    <row r="445" spans="1:9" ht="15.75" x14ac:dyDescent="0.25">
      <c r="A445" s="333" t="s">
        <v>268</v>
      </c>
      <c r="B445" s="330">
        <v>903</v>
      </c>
      <c r="C445" s="334" t="s">
        <v>260</v>
      </c>
      <c r="D445" s="334" t="s">
        <v>231</v>
      </c>
      <c r="E445" s="334"/>
      <c r="F445" s="334"/>
      <c r="G445" s="332">
        <f>G446</f>
        <v>1824</v>
      </c>
      <c r="H445" s="332">
        <f>H446</f>
        <v>1834</v>
      </c>
      <c r="I445" s="214"/>
    </row>
    <row r="446" spans="1:9" ht="47.25" x14ac:dyDescent="0.25">
      <c r="A446" s="333" t="s">
        <v>1422</v>
      </c>
      <c r="B446" s="330">
        <v>903</v>
      </c>
      <c r="C446" s="334" t="s">
        <v>260</v>
      </c>
      <c r="D446" s="334" t="s">
        <v>231</v>
      </c>
      <c r="E446" s="334" t="s">
        <v>360</v>
      </c>
      <c r="F446" s="334"/>
      <c r="G446" s="332">
        <f>G447+G452+G457+G468</f>
        <v>1824</v>
      </c>
      <c r="H446" s="332">
        <f>H447+H452+H457+H468</f>
        <v>1834</v>
      </c>
      <c r="I446" s="214"/>
    </row>
    <row r="447" spans="1:9" ht="31.5" x14ac:dyDescent="0.25">
      <c r="A447" s="333" t="s">
        <v>368</v>
      </c>
      <c r="B447" s="330">
        <v>903</v>
      </c>
      <c r="C447" s="334" t="s">
        <v>260</v>
      </c>
      <c r="D447" s="334" t="s">
        <v>231</v>
      </c>
      <c r="E447" s="334" t="s">
        <v>369</v>
      </c>
      <c r="F447" s="334"/>
      <c r="G447" s="332">
        <f t="shared" ref="G447:H450" si="37">G448</f>
        <v>44</v>
      </c>
      <c r="H447" s="332">
        <f t="shared" si="37"/>
        <v>54</v>
      </c>
      <c r="I447" s="214"/>
    </row>
    <row r="448" spans="1:9" ht="31.5" x14ac:dyDescent="0.25">
      <c r="A448" s="333" t="s">
        <v>976</v>
      </c>
      <c r="B448" s="330">
        <v>903</v>
      </c>
      <c r="C448" s="334" t="s">
        <v>260</v>
      </c>
      <c r="D448" s="334" t="s">
        <v>231</v>
      </c>
      <c r="E448" s="334" t="s">
        <v>975</v>
      </c>
      <c r="F448" s="334"/>
      <c r="G448" s="332">
        <f t="shared" si="37"/>
        <v>44</v>
      </c>
      <c r="H448" s="332">
        <f t="shared" si="37"/>
        <v>54</v>
      </c>
      <c r="I448" s="214"/>
    </row>
    <row r="449" spans="1:9" ht="31.5" x14ac:dyDescent="0.25">
      <c r="A449" s="335" t="s">
        <v>869</v>
      </c>
      <c r="B449" s="329">
        <v>903</v>
      </c>
      <c r="C449" s="331" t="s">
        <v>260</v>
      </c>
      <c r="D449" s="331" t="s">
        <v>231</v>
      </c>
      <c r="E449" s="331" t="s">
        <v>977</v>
      </c>
      <c r="F449" s="331"/>
      <c r="G449" s="336">
        <f t="shared" si="37"/>
        <v>44</v>
      </c>
      <c r="H449" s="336">
        <f t="shared" si="37"/>
        <v>54</v>
      </c>
      <c r="I449" s="214"/>
    </row>
    <row r="450" spans="1:9" ht="21.2" customHeight="1" x14ac:dyDescent="0.25">
      <c r="A450" s="335" t="s">
        <v>264</v>
      </c>
      <c r="B450" s="329">
        <v>903</v>
      </c>
      <c r="C450" s="331" t="s">
        <v>260</v>
      </c>
      <c r="D450" s="331" t="s">
        <v>231</v>
      </c>
      <c r="E450" s="331" t="s">
        <v>977</v>
      </c>
      <c r="F450" s="331" t="s">
        <v>265</v>
      </c>
      <c r="G450" s="336">
        <f>G451</f>
        <v>44</v>
      </c>
      <c r="H450" s="336">
        <f t="shared" si="37"/>
        <v>54</v>
      </c>
      <c r="I450" s="214"/>
    </row>
    <row r="451" spans="1:9" ht="31.5" x14ac:dyDescent="0.25">
      <c r="A451" s="335" t="s">
        <v>266</v>
      </c>
      <c r="B451" s="329">
        <v>903</v>
      </c>
      <c r="C451" s="331" t="s">
        <v>260</v>
      </c>
      <c r="D451" s="331" t="s">
        <v>231</v>
      </c>
      <c r="E451" s="331" t="s">
        <v>977</v>
      </c>
      <c r="F451" s="331" t="s">
        <v>267</v>
      </c>
      <c r="G451" s="336">
        <v>44</v>
      </c>
      <c r="H451" s="336">
        <v>54</v>
      </c>
      <c r="I451" s="214"/>
    </row>
    <row r="452" spans="1:9" ht="31.5" x14ac:dyDescent="0.25">
      <c r="A452" s="333" t="s">
        <v>371</v>
      </c>
      <c r="B452" s="330">
        <v>903</v>
      </c>
      <c r="C452" s="330">
        <v>10</v>
      </c>
      <c r="D452" s="334" t="s">
        <v>231</v>
      </c>
      <c r="E452" s="334" t="s">
        <v>372</v>
      </c>
      <c r="F452" s="334"/>
      <c r="G452" s="332">
        <f>G454</f>
        <v>420</v>
      </c>
      <c r="H452" s="332">
        <f>H454</f>
        <v>420</v>
      </c>
      <c r="I452" s="214"/>
    </row>
    <row r="453" spans="1:9" ht="31.5" x14ac:dyDescent="0.25">
      <c r="A453" s="333" t="s">
        <v>1148</v>
      </c>
      <c r="B453" s="330">
        <v>903</v>
      </c>
      <c r="C453" s="330">
        <v>10</v>
      </c>
      <c r="D453" s="334" t="s">
        <v>231</v>
      </c>
      <c r="E453" s="334" t="s">
        <v>978</v>
      </c>
      <c r="F453" s="334"/>
      <c r="G453" s="332">
        <f t="shared" ref="G453:H455" si="38">G454</f>
        <v>420</v>
      </c>
      <c r="H453" s="332">
        <f t="shared" si="38"/>
        <v>420</v>
      </c>
      <c r="I453" s="214"/>
    </row>
    <row r="454" spans="1:9" ht="15.75" x14ac:dyDescent="0.25">
      <c r="A454" s="335" t="s">
        <v>1203</v>
      </c>
      <c r="B454" s="329">
        <v>903</v>
      </c>
      <c r="C454" s="331" t="s">
        <v>260</v>
      </c>
      <c r="D454" s="331" t="s">
        <v>231</v>
      </c>
      <c r="E454" s="331" t="s">
        <v>979</v>
      </c>
      <c r="F454" s="331"/>
      <c r="G454" s="336">
        <f t="shared" si="38"/>
        <v>420</v>
      </c>
      <c r="H454" s="336">
        <f t="shared" si="38"/>
        <v>420</v>
      </c>
      <c r="I454" s="214"/>
    </row>
    <row r="455" spans="1:9" ht="22.7" customHeight="1" x14ac:dyDescent="0.25">
      <c r="A455" s="335" t="s">
        <v>264</v>
      </c>
      <c r="B455" s="329">
        <v>903</v>
      </c>
      <c r="C455" s="331" t="s">
        <v>260</v>
      </c>
      <c r="D455" s="331" t="s">
        <v>231</v>
      </c>
      <c r="E455" s="331" t="s">
        <v>979</v>
      </c>
      <c r="F455" s="331" t="s">
        <v>265</v>
      </c>
      <c r="G455" s="336">
        <f t="shared" si="38"/>
        <v>420</v>
      </c>
      <c r="H455" s="336">
        <f t="shared" si="38"/>
        <v>420</v>
      </c>
      <c r="I455" s="214"/>
    </row>
    <row r="456" spans="1:9" ht="31.5" x14ac:dyDescent="0.25">
      <c r="A456" s="335" t="s">
        <v>364</v>
      </c>
      <c r="B456" s="329">
        <v>903</v>
      </c>
      <c r="C456" s="331" t="s">
        <v>260</v>
      </c>
      <c r="D456" s="331" t="s">
        <v>231</v>
      </c>
      <c r="E456" s="331" t="s">
        <v>979</v>
      </c>
      <c r="F456" s="331" t="s">
        <v>365</v>
      </c>
      <c r="G456" s="336">
        <f>420</f>
        <v>420</v>
      </c>
      <c r="H456" s="336">
        <f t="shared" si="35"/>
        <v>420</v>
      </c>
      <c r="I456" s="214"/>
    </row>
    <row r="457" spans="1:9" ht="15.75" x14ac:dyDescent="0.25">
      <c r="A457" s="333" t="s">
        <v>374</v>
      </c>
      <c r="B457" s="330">
        <v>903</v>
      </c>
      <c r="C457" s="330">
        <v>10</v>
      </c>
      <c r="D457" s="334" t="s">
        <v>231</v>
      </c>
      <c r="E457" s="334" t="s">
        <v>375</v>
      </c>
      <c r="F457" s="334"/>
      <c r="G457" s="332">
        <f>G462+G458</f>
        <v>1110</v>
      </c>
      <c r="H457" s="332">
        <f>H462+H458</f>
        <v>1110</v>
      </c>
      <c r="I457" s="214"/>
    </row>
    <row r="458" spans="1:9" ht="31.5" x14ac:dyDescent="0.25">
      <c r="A458" s="333" t="s">
        <v>1205</v>
      </c>
      <c r="B458" s="330">
        <v>903</v>
      </c>
      <c r="C458" s="334" t="s">
        <v>260</v>
      </c>
      <c r="D458" s="334" t="s">
        <v>231</v>
      </c>
      <c r="E458" s="334" t="s">
        <v>981</v>
      </c>
      <c r="F458" s="334"/>
      <c r="G458" s="332">
        <f t="shared" ref="G458:H460" si="39">G459</f>
        <v>630</v>
      </c>
      <c r="H458" s="332">
        <f t="shared" si="39"/>
        <v>630</v>
      </c>
      <c r="I458" s="214"/>
    </row>
    <row r="459" spans="1:9" ht="47.25" x14ac:dyDescent="0.25">
      <c r="A459" s="99" t="s">
        <v>1206</v>
      </c>
      <c r="B459" s="329">
        <v>903</v>
      </c>
      <c r="C459" s="331" t="s">
        <v>260</v>
      </c>
      <c r="D459" s="331" t="s">
        <v>231</v>
      </c>
      <c r="E459" s="331" t="s">
        <v>982</v>
      </c>
      <c r="F459" s="331"/>
      <c r="G459" s="336">
        <f t="shared" si="39"/>
        <v>630</v>
      </c>
      <c r="H459" s="336">
        <f t="shared" si="39"/>
        <v>630</v>
      </c>
      <c r="I459" s="214"/>
    </row>
    <row r="460" spans="1:9" ht="31.5" x14ac:dyDescent="0.25">
      <c r="A460" s="335" t="s">
        <v>264</v>
      </c>
      <c r="B460" s="329">
        <v>903</v>
      </c>
      <c r="C460" s="331" t="s">
        <v>260</v>
      </c>
      <c r="D460" s="331" t="s">
        <v>231</v>
      </c>
      <c r="E460" s="331" t="s">
        <v>982</v>
      </c>
      <c r="F460" s="331" t="s">
        <v>265</v>
      </c>
      <c r="G460" s="336">
        <f t="shared" si="39"/>
        <v>630</v>
      </c>
      <c r="H460" s="336">
        <f t="shared" si="39"/>
        <v>630</v>
      </c>
      <c r="I460" s="214"/>
    </row>
    <row r="461" spans="1:9" ht="31.5" x14ac:dyDescent="0.25">
      <c r="A461" s="335" t="s">
        <v>364</v>
      </c>
      <c r="B461" s="329">
        <v>903</v>
      </c>
      <c r="C461" s="331" t="s">
        <v>260</v>
      </c>
      <c r="D461" s="331" t="s">
        <v>231</v>
      </c>
      <c r="E461" s="331" t="s">
        <v>982</v>
      </c>
      <c r="F461" s="331" t="s">
        <v>365</v>
      </c>
      <c r="G461" s="336">
        <f>630</f>
        <v>630</v>
      </c>
      <c r="H461" s="336">
        <f t="shared" si="35"/>
        <v>630</v>
      </c>
      <c r="I461" s="214"/>
    </row>
    <row r="462" spans="1:9" ht="31.5" x14ac:dyDescent="0.25">
      <c r="A462" s="333" t="s">
        <v>980</v>
      </c>
      <c r="B462" s="330">
        <v>903</v>
      </c>
      <c r="C462" s="330">
        <v>10</v>
      </c>
      <c r="D462" s="334" t="s">
        <v>231</v>
      </c>
      <c r="E462" s="334" t="s">
        <v>983</v>
      </c>
      <c r="F462" s="334"/>
      <c r="G462" s="332">
        <f>G463+G466</f>
        <v>480</v>
      </c>
      <c r="H462" s="332">
        <f>H463+H466</f>
        <v>480</v>
      </c>
      <c r="I462" s="214"/>
    </row>
    <row r="463" spans="1:9" ht="31.5" x14ac:dyDescent="0.25">
      <c r="A463" s="335" t="s">
        <v>1149</v>
      </c>
      <c r="B463" s="329">
        <v>903</v>
      </c>
      <c r="C463" s="331" t="s">
        <v>260</v>
      </c>
      <c r="D463" s="331" t="s">
        <v>231</v>
      </c>
      <c r="E463" s="331" t="s">
        <v>984</v>
      </c>
      <c r="F463" s="331"/>
      <c r="G463" s="336">
        <f>G464</f>
        <v>270</v>
      </c>
      <c r="H463" s="336">
        <f>H464</f>
        <v>270</v>
      </c>
      <c r="I463" s="214"/>
    </row>
    <row r="464" spans="1:9" ht="31.5" x14ac:dyDescent="0.25">
      <c r="A464" s="335" t="s">
        <v>147</v>
      </c>
      <c r="B464" s="329">
        <v>903</v>
      </c>
      <c r="C464" s="331" t="s">
        <v>260</v>
      </c>
      <c r="D464" s="331" t="s">
        <v>231</v>
      </c>
      <c r="E464" s="331" t="s">
        <v>984</v>
      </c>
      <c r="F464" s="331" t="s">
        <v>148</v>
      </c>
      <c r="G464" s="336">
        <f>G465</f>
        <v>270</v>
      </c>
      <c r="H464" s="336">
        <f>H465</f>
        <v>270</v>
      </c>
      <c r="I464" s="214"/>
    </row>
    <row r="465" spans="1:9" ht="31.5" x14ac:dyDescent="0.25">
      <c r="A465" s="335" t="s">
        <v>149</v>
      </c>
      <c r="B465" s="329">
        <v>903</v>
      </c>
      <c r="C465" s="331" t="s">
        <v>260</v>
      </c>
      <c r="D465" s="331" t="s">
        <v>231</v>
      </c>
      <c r="E465" s="331" t="s">
        <v>984</v>
      </c>
      <c r="F465" s="331" t="s">
        <v>150</v>
      </c>
      <c r="G465" s="336">
        <f>270</f>
        <v>270</v>
      </c>
      <c r="H465" s="336">
        <f t="shared" si="35"/>
        <v>270</v>
      </c>
      <c r="I465" s="214"/>
    </row>
    <row r="466" spans="1:9" s="213" customFormat="1" ht="31.5" x14ac:dyDescent="0.25">
      <c r="A466" s="335" t="s">
        <v>264</v>
      </c>
      <c r="B466" s="329">
        <v>903</v>
      </c>
      <c r="C466" s="331" t="s">
        <v>260</v>
      </c>
      <c r="D466" s="331" t="s">
        <v>231</v>
      </c>
      <c r="E466" s="331" t="s">
        <v>984</v>
      </c>
      <c r="F466" s="331" t="s">
        <v>265</v>
      </c>
      <c r="G466" s="336">
        <f>G467</f>
        <v>210</v>
      </c>
      <c r="H466" s="336">
        <f>H467</f>
        <v>210</v>
      </c>
      <c r="I466" s="214"/>
    </row>
    <row r="467" spans="1:9" s="213" customFormat="1" ht="31.5" x14ac:dyDescent="0.25">
      <c r="A467" s="335" t="s">
        <v>364</v>
      </c>
      <c r="B467" s="329">
        <v>903</v>
      </c>
      <c r="C467" s="331" t="s">
        <v>260</v>
      </c>
      <c r="D467" s="331" t="s">
        <v>231</v>
      </c>
      <c r="E467" s="331" t="s">
        <v>984</v>
      </c>
      <c r="F467" s="331" t="s">
        <v>365</v>
      </c>
      <c r="G467" s="336">
        <f>210</f>
        <v>210</v>
      </c>
      <c r="H467" s="336">
        <f t="shared" si="35"/>
        <v>210</v>
      </c>
      <c r="I467" s="214"/>
    </row>
    <row r="468" spans="1:9" ht="31.5" x14ac:dyDescent="0.25">
      <c r="A468" s="333" t="s">
        <v>377</v>
      </c>
      <c r="B468" s="330">
        <v>903</v>
      </c>
      <c r="C468" s="334" t="s">
        <v>260</v>
      </c>
      <c r="D468" s="334" t="s">
        <v>231</v>
      </c>
      <c r="E468" s="334" t="s">
        <v>378</v>
      </c>
      <c r="F468" s="334"/>
      <c r="G468" s="332">
        <f t="shared" ref="G468:H471" si="40">G469</f>
        <v>250</v>
      </c>
      <c r="H468" s="332">
        <f t="shared" si="40"/>
        <v>250</v>
      </c>
      <c r="I468" s="214"/>
    </row>
    <row r="469" spans="1:9" ht="47.25" x14ac:dyDescent="0.25">
      <c r="A469" s="333" t="s">
        <v>1208</v>
      </c>
      <c r="B469" s="330">
        <v>903</v>
      </c>
      <c r="C469" s="334" t="s">
        <v>260</v>
      </c>
      <c r="D469" s="334" t="s">
        <v>231</v>
      </c>
      <c r="E469" s="334" t="s">
        <v>986</v>
      </c>
      <c r="F469" s="334"/>
      <c r="G469" s="332">
        <f t="shared" si="40"/>
        <v>250</v>
      </c>
      <c r="H469" s="332">
        <f t="shared" si="40"/>
        <v>250</v>
      </c>
      <c r="I469" s="214"/>
    </row>
    <row r="470" spans="1:9" ht="47.25" x14ac:dyDescent="0.25">
      <c r="A470" s="335" t="s">
        <v>1207</v>
      </c>
      <c r="B470" s="329">
        <v>903</v>
      </c>
      <c r="C470" s="331" t="s">
        <v>260</v>
      </c>
      <c r="D470" s="331" t="s">
        <v>231</v>
      </c>
      <c r="E470" s="331" t="s">
        <v>985</v>
      </c>
      <c r="F470" s="331"/>
      <c r="G470" s="336">
        <f t="shared" si="40"/>
        <v>250</v>
      </c>
      <c r="H470" s="336">
        <f t="shared" si="40"/>
        <v>250</v>
      </c>
      <c r="I470" s="214"/>
    </row>
    <row r="471" spans="1:9" ht="17.45" customHeight="1" x14ac:dyDescent="0.25">
      <c r="A471" s="335" t="s">
        <v>264</v>
      </c>
      <c r="B471" s="329">
        <v>903</v>
      </c>
      <c r="C471" s="331" t="s">
        <v>260</v>
      </c>
      <c r="D471" s="331" t="s">
        <v>231</v>
      </c>
      <c r="E471" s="331" t="s">
        <v>985</v>
      </c>
      <c r="F471" s="331" t="s">
        <v>265</v>
      </c>
      <c r="G471" s="336">
        <f t="shared" si="40"/>
        <v>250</v>
      </c>
      <c r="H471" s="336">
        <f t="shared" si="40"/>
        <v>250</v>
      </c>
      <c r="I471" s="214"/>
    </row>
    <row r="472" spans="1:9" ht="31.5" x14ac:dyDescent="0.25">
      <c r="A472" s="335" t="s">
        <v>364</v>
      </c>
      <c r="B472" s="329">
        <v>903</v>
      </c>
      <c r="C472" s="331" t="s">
        <v>260</v>
      </c>
      <c r="D472" s="331" t="s">
        <v>231</v>
      </c>
      <c r="E472" s="331" t="s">
        <v>985</v>
      </c>
      <c r="F472" s="331" t="s">
        <v>365</v>
      </c>
      <c r="G472" s="336">
        <f>250</f>
        <v>250</v>
      </c>
      <c r="H472" s="336">
        <f t="shared" si="35"/>
        <v>250</v>
      </c>
      <c r="I472" s="214"/>
    </row>
    <row r="473" spans="1:9" s="213" customFormat="1" ht="15.75" x14ac:dyDescent="0.25">
      <c r="A473" s="333" t="s">
        <v>598</v>
      </c>
      <c r="B473" s="330">
        <v>903</v>
      </c>
      <c r="C473" s="334" t="s">
        <v>254</v>
      </c>
      <c r="D473" s="331"/>
      <c r="E473" s="331"/>
      <c r="F473" s="331"/>
      <c r="G473" s="332">
        <f>G474</f>
        <v>5479</v>
      </c>
      <c r="H473" s="332">
        <f>H474</f>
        <v>5479</v>
      </c>
      <c r="I473" s="214"/>
    </row>
    <row r="474" spans="1:9" s="213" customFormat="1" ht="15.75" x14ac:dyDescent="0.25">
      <c r="A474" s="333" t="s">
        <v>599</v>
      </c>
      <c r="B474" s="330">
        <v>903</v>
      </c>
      <c r="C474" s="334" t="s">
        <v>254</v>
      </c>
      <c r="D474" s="334" t="s">
        <v>229</v>
      </c>
      <c r="E474" s="334"/>
      <c r="F474" s="334"/>
      <c r="G474" s="332">
        <f>G475+G487</f>
        <v>5479</v>
      </c>
      <c r="H474" s="332">
        <f>H475+H487</f>
        <v>5479</v>
      </c>
      <c r="I474" s="214"/>
    </row>
    <row r="475" spans="1:9" s="213" customFormat="1" ht="15.75" x14ac:dyDescent="0.25">
      <c r="A475" s="333" t="s">
        <v>157</v>
      </c>
      <c r="B475" s="330">
        <v>903</v>
      </c>
      <c r="C475" s="334" t="s">
        <v>254</v>
      </c>
      <c r="D475" s="334" t="s">
        <v>229</v>
      </c>
      <c r="E475" s="334" t="s">
        <v>912</v>
      </c>
      <c r="F475" s="334"/>
      <c r="G475" s="332">
        <f>G476</f>
        <v>5419</v>
      </c>
      <c r="H475" s="332">
        <f>H476</f>
        <v>5419</v>
      </c>
      <c r="I475" s="214"/>
    </row>
    <row r="476" spans="1:9" s="213" customFormat="1" ht="15.75" x14ac:dyDescent="0.25">
      <c r="A476" s="333" t="s">
        <v>1090</v>
      </c>
      <c r="B476" s="330">
        <v>903</v>
      </c>
      <c r="C476" s="334" t="s">
        <v>254</v>
      </c>
      <c r="D476" s="334" t="s">
        <v>229</v>
      </c>
      <c r="E476" s="334" t="s">
        <v>1089</v>
      </c>
      <c r="F476" s="334"/>
      <c r="G476" s="332">
        <f>G477+G484</f>
        <v>5419</v>
      </c>
      <c r="H476" s="332">
        <f>H477+H484</f>
        <v>5419</v>
      </c>
      <c r="I476" s="214"/>
    </row>
    <row r="477" spans="1:9" s="213" customFormat="1" ht="15.75" x14ac:dyDescent="0.25">
      <c r="A477" s="335" t="s">
        <v>834</v>
      </c>
      <c r="B477" s="329">
        <v>903</v>
      </c>
      <c r="C477" s="331" t="s">
        <v>254</v>
      </c>
      <c r="D477" s="331" t="s">
        <v>229</v>
      </c>
      <c r="E477" s="331" t="s">
        <v>1091</v>
      </c>
      <c r="F477" s="331"/>
      <c r="G477" s="336">
        <f>G478+G480+G482</f>
        <v>5209</v>
      </c>
      <c r="H477" s="336">
        <f>H478+H480+H482</f>
        <v>5209</v>
      </c>
      <c r="I477" s="214"/>
    </row>
    <row r="478" spans="1:9" s="213" customFormat="1" ht="78.75" x14ac:dyDescent="0.25">
      <c r="A478" s="335" t="s">
        <v>143</v>
      </c>
      <c r="B478" s="329">
        <v>903</v>
      </c>
      <c r="C478" s="331" t="s">
        <v>254</v>
      </c>
      <c r="D478" s="331" t="s">
        <v>229</v>
      </c>
      <c r="E478" s="331" t="s">
        <v>1091</v>
      </c>
      <c r="F478" s="331" t="s">
        <v>144</v>
      </c>
      <c r="G478" s="336">
        <f>G479</f>
        <v>4500</v>
      </c>
      <c r="H478" s="336">
        <f>H479</f>
        <v>4500</v>
      </c>
      <c r="I478" s="214"/>
    </row>
    <row r="479" spans="1:9" s="213" customFormat="1" ht="15.75" x14ac:dyDescent="0.25">
      <c r="A479" s="335" t="s">
        <v>224</v>
      </c>
      <c r="B479" s="329">
        <v>903</v>
      </c>
      <c r="C479" s="331" t="s">
        <v>254</v>
      </c>
      <c r="D479" s="331" t="s">
        <v>229</v>
      </c>
      <c r="E479" s="331" t="s">
        <v>1091</v>
      </c>
      <c r="F479" s="331" t="s">
        <v>225</v>
      </c>
      <c r="G479" s="337">
        <v>4500</v>
      </c>
      <c r="H479" s="337">
        <f>G479</f>
        <v>4500</v>
      </c>
      <c r="I479" s="214"/>
    </row>
    <row r="480" spans="1:9" s="213" customFormat="1" ht="31.5" x14ac:dyDescent="0.25">
      <c r="A480" s="335" t="s">
        <v>147</v>
      </c>
      <c r="B480" s="329">
        <v>903</v>
      </c>
      <c r="C480" s="331" t="s">
        <v>254</v>
      </c>
      <c r="D480" s="331" t="s">
        <v>229</v>
      </c>
      <c r="E480" s="331" t="s">
        <v>1091</v>
      </c>
      <c r="F480" s="331" t="s">
        <v>148</v>
      </c>
      <c r="G480" s="336">
        <f>G481</f>
        <v>659</v>
      </c>
      <c r="H480" s="336">
        <f>H481</f>
        <v>659</v>
      </c>
      <c r="I480" s="214"/>
    </row>
    <row r="481" spans="1:9" s="213" customFormat="1" ht="31.5" x14ac:dyDescent="0.25">
      <c r="A481" s="335" t="s">
        <v>149</v>
      </c>
      <c r="B481" s="329">
        <v>903</v>
      </c>
      <c r="C481" s="331" t="s">
        <v>254</v>
      </c>
      <c r="D481" s="331" t="s">
        <v>229</v>
      </c>
      <c r="E481" s="331" t="s">
        <v>1091</v>
      </c>
      <c r="F481" s="331" t="s">
        <v>150</v>
      </c>
      <c r="G481" s="337">
        <f>659</f>
        <v>659</v>
      </c>
      <c r="H481" s="337">
        <f>G481</f>
        <v>659</v>
      </c>
      <c r="I481" s="214"/>
    </row>
    <row r="482" spans="1:9" s="213" customFormat="1" ht="15.75" x14ac:dyDescent="0.25">
      <c r="A482" s="335" t="s">
        <v>151</v>
      </c>
      <c r="B482" s="329">
        <v>903</v>
      </c>
      <c r="C482" s="331" t="s">
        <v>254</v>
      </c>
      <c r="D482" s="331" t="s">
        <v>229</v>
      </c>
      <c r="E482" s="331" t="s">
        <v>1091</v>
      </c>
      <c r="F482" s="331" t="s">
        <v>161</v>
      </c>
      <c r="G482" s="336">
        <f>G483</f>
        <v>50</v>
      </c>
      <c r="H482" s="336">
        <f>H483</f>
        <v>50</v>
      </c>
      <c r="I482" s="214"/>
    </row>
    <row r="483" spans="1:9" s="213" customFormat="1" ht="15.75" x14ac:dyDescent="0.25">
      <c r="A483" s="335" t="s">
        <v>584</v>
      </c>
      <c r="B483" s="329">
        <v>903</v>
      </c>
      <c r="C483" s="331" t="s">
        <v>254</v>
      </c>
      <c r="D483" s="331" t="s">
        <v>229</v>
      </c>
      <c r="E483" s="331" t="s">
        <v>1091</v>
      </c>
      <c r="F483" s="331" t="s">
        <v>154</v>
      </c>
      <c r="G483" s="336">
        <f>50</f>
        <v>50</v>
      </c>
      <c r="H483" s="336">
        <f>G483</f>
        <v>50</v>
      </c>
      <c r="I483" s="214"/>
    </row>
    <row r="484" spans="1:9" s="213" customFormat="1" ht="47.25" x14ac:dyDescent="0.25">
      <c r="A484" s="335" t="s">
        <v>885</v>
      </c>
      <c r="B484" s="329">
        <v>903</v>
      </c>
      <c r="C484" s="331" t="s">
        <v>254</v>
      </c>
      <c r="D484" s="331" t="s">
        <v>229</v>
      </c>
      <c r="E484" s="331" t="s">
        <v>1092</v>
      </c>
      <c r="F484" s="331"/>
      <c r="G484" s="336">
        <f>G485</f>
        <v>210</v>
      </c>
      <c r="H484" s="336">
        <f>H485</f>
        <v>210</v>
      </c>
      <c r="I484" s="214"/>
    </row>
    <row r="485" spans="1:9" s="213" customFormat="1" ht="78.75" x14ac:dyDescent="0.25">
      <c r="A485" s="335" t="s">
        <v>143</v>
      </c>
      <c r="B485" s="329">
        <v>903</v>
      </c>
      <c r="C485" s="331" t="s">
        <v>254</v>
      </c>
      <c r="D485" s="331" t="s">
        <v>229</v>
      </c>
      <c r="E485" s="331" t="s">
        <v>1092</v>
      </c>
      <c r="F485" s="331" t="s">
        <v>144</v>
      </c>
      <c r="G485" s="336">
        <f>G486</f>
        <v>210</v>
      </c>
      <c r="H485" s="336">
        <f>H486</f>
        <v>210</v>
      </c>
      <c r="I485" s="214"/>
    </row>
    <row r="486" spans="1:9" s="213" customFormat="1" ht="15.75" x14ac:dyDescent="0.25">
      <c r="A486" s="335" t="s">
        <v>224</v>
      </c>
      <c r="B486" s="329">
        <v>903</v>
      </c>
      <c r="C486" s="331" t="s">
        <v>254</v>
      </c>
      <c r="D486" s="331" t="s">
        <v>229</v>
      </c>
      <c r="E486" s="331" t="s">
        <v>1092</v>
      </c>
      <c r="F486" s="331" t="s">
        <v>225</v>
      </c>
      <c r="G486" s="336">
        <f>210</f>
        <v>210</v>
      </c>
      <c r="H486" s="336">
        <f>G486</f>
        <v>210</v>
      </c>
      <c r="I486" s="214"/>
    </row>
    <row r="487" spans="1:9" s="213" customFormat="1" ht="63" x14ac:dyDescent="0.25">
      <c r="A487" s="41" t="s">
        <v>1424</v>
      </c>
      <c r="B487" s="330">
        <v>903</v>
      </c>
      <c r="C487" s="334" t="s">
        <v>254</v>
      </c>
      <c r="D487" s="334" t="s">
        <v>229</v>
      </c>
      <c r="E487" s="334" t="s">
        <v>728</v>
      </c>
      <c r="F487" s="231"/>
      <c r="G487" s="332">
        <f>G489</f>
        <v>60</v>
      </c>
      <c r="H487" s="332">
        <f>H489</f>
        <v>60</v>
      </c>
      <c r="I487" s="214"/>
    </row>
    <row r="488" spans="1:9" s="213" customFormat="1" ht="47.25" x14ac:dyDescent="0.25">
      <c r="A488" s="41" t="s">
        <v>949</v>
      </c>
      <c r="B488" s="330">
        <v>903</v>
      </c>
      <c r="C488" s="334" t="s">
        <v>254</v>
      </c>
      <c r="D488" s="334" t="s">
        <v>229</v>
      </c>
      <c r="E488" s="334" t="s">
        <v>947</v>
      </c>
      <c r="F488" s="231"/>
      <c r="G488" s="332">
        <f t="shared" ref="G488:H490" si="41">G489</f>
        <v>60</v>
      </c>
      <c r="H488" s="332">
        <f t="shared" si="41"/>
        <v>60</v>
      </c>
      <c r="I488" s="214"/>
    </row>
    <row r="489" spans="1:9" s="213" customFormat="1" ht="47.25" x14ac:dyDescent="0.25">
      <c r="A489" s="99" t="s">
        <v>1157</v>
      </c>
      <c r="B489" s="329">
        <v>903</v>
      </c>
      <c r="C489" s="331" t="s">
        <v>254</v>
      </c>
      <c r="D489" s="331" t="s">
        <v>229</v>
      </c>
      <c r="E489" s="331" t="s">
        <v>948</v>
      </c>
      <c r="F489" s="32"/>
      <c r="G489" s="336">
        <f t="shared" si="41"/>
        <v>60</v>
      </c>
      <c r="H489" s="336">
        <f t="shared" si="41"/>
        <v>60</v>
      </c>
      <c r="I489" s="214"/>
    </row>
    <row r="490" spans="1:9" s="213" customFormat="1" ht="31.5" x14ac:dyDescent="0.25">
      <c r="A490" s="335" t="s">
        <v>147</v>
      </c>
      <c r="B490" s="329">
        <v>903</v>
      </c>
      <c r="C490" s="331" t="s">
        <v>254</v>
      </c>
      <c r="D490" s="331" t="s">
        <v>229</v>
      </c>
      <c r="E490" s="331" t="s">
        <v>948</v>
      </c>
      <c r="F490" s="32" t="s">
        <v>148</v>
      </c>
      <c r="G490" s="336">
        <f t="shared" si="41"/>
        <v>60</v>
      </c>
      <c r="H490" s="336">
        <f t="shared" si="41"/>
        <v>60</v>
      </c>
      <c r="I490" s="214"/>
    </row>
    <row r="491" spans="1:9" s="213" customFormat="1" ht="31.5" x14ac:dyDescent="0.25">
      <c r="A491" s="335" t="s">
        <v>149</v>
      </c>
      <c r="B491" s="329">
        <v>903</v>
      </c>
      <c r="C491" s="331" t="s">
        <v>254</v>
      </c>
      <c r="D491" s="331" t="s">
        <v>229</v>
      </c>
      <c r="E491" s="331" t="s">
        <v>948</v>
      </c>
      <c r="F491" s="32" t="s">
        <v>150</v>
      </c>
      <c r="G491" s="336">
        <f>60</f>
        <v>60</v>
      </c>
      <c r="H491" s="336">
        <f>G491</f>
        <v>60</v>
      </c>
      <c r="I491" s="214"/>
    </row>
    <row r="492" spans="1:9" ht="47.25" x14ac:dyDescent="0.25">
      <c r="A492" s="330" t="s">
        <v>403</v>
      </c>
      <c r="B492" s="330">
        <v>905</v>
      </c>
      <c r="C492" s="331"/>
      <c r="D492" s="331"/>
      <c r="E492" s="331"/>
      <c r="F492" s="331"/>
      <c r="G492" s="332">
        <f>G493+G525</f>
        <v>18309.22</v>
      </c>
      <c r="H492" s="332">
        <f>H493+H525</f>
        <v>15282.82</v>
      </c>
      <c r="I492" s="214"/>
    </row>
    <row r="493" spans="1:9" ht="15.75" x14ac:dyDescent="0.25">
      <c r="A493" s="333" t="s">
        <v>133</v>
      </c>
      <c r="B493" s="330">
        <v>905</v>
      </c>
      <c r="C493" s="334" t="s">
        <v>134</v>
      </c>
      <c r="D493" s="331"/>
      <c r="E493" s="331"/>
      <c r="F493" s="331"/>
      <c r="G493" s="332">
        <f>G494+G511</f>
        <v>17128.22</v>
      </c>
      <c r="H493" s="332">
        <f>H494+H511</f>
        <v>14101.82</v>
      </c>
      <c r="I493" s="214"/>
    </row>
    <row r="494" spans="1:9" ht="63" x14ac:dyDescent="0.25">
      <c r="A494" s="333" t="s">
        <v>165</v>
      </c>
      <c r="B494" s="330">
        <v>905</v>
      </c>
      <c r="C494" s="334" t="s">
        <v>134</v>
      </c>
      <c r="D494" s="334" t="s">
        <v>166</v>
      </c>
      <c r="E494" s="334"/>
      <c r="F494" s="334"/>
      <c r="G494" s="332">
        <f>G495</f>
        <v>10962</v>
      </c>
      <c r="H494" s="332">
        <f>H495</f>
        <v>10962</v>
      </c>
      <c r="I494" s="214"/>
    </row>
    <row r="495" spans="1:9" ht="31.5" x14ac:dyDescent="0.25">
      <c r="A495" s="333" t="s">
        <v>990</v>
      </c>
      <c r="B495" s="330">
        <v>905</v>
      </c>
      <c r="C495" s="334" t="s">
        <v>134</v>
      </c>
      <c r="D495" s="334" t="s">
        <v>166</v>
      </c>
      <c r="E495" s="334" t="s">
        <v>904</v>
      </c>
      <c r="F495" s="334"/>
      <c r="G495" s="332">
        <f>G496+G507</f>
        <v>10962</v>
      </c>
      <c r="H495" s="332">
        <f>H496+H507</f>
        <v>10962</v>
      </c>
      <c r="I495" s="214"/>
    </row>
    <row r="496" spans="1:9" ht="15.75" x14ac:dyDescent="0.25">
      <c r="A496" s="333" t="s">
        <v>991</v>
      </c>
      <c r="B496" s="330">
        <v>905</v>
      </c>
      <c r="C496" s="334" t="s">
        <v>134</v>
      </c>
      <c r="D496" s="334" t="s">
        <v>166</v>
      </c>
      <c r="E496" s="334" t="s">
        <v>905</v>
      </c>
      <c r="F496" s="334"/>
      <c r="G496" s="332">
        <f>G497+G504</f>
        <v>10940</v>
      </c>
      <c r="H496" s="332">
        <f>H497+H504</f>
        <v>10940</v>
      </c>
      <c r="I496" s="214"/>
    </row>
    <row r="497" spans="1:9" ht="31.5" x14ac:dyDescent="0.25">
      <c r="A497" s="335" t="s">
        <v>967</v>
      </c>
      <c r="B497" s="329">
        <v>905</v>
      </c>
      <c r="C497" s="331" t="s">
        <v>134</v>
      </c>
      <c r="D497" s="331" t="s">
        <v>166</v>
      </c>
      <c r="E497" s="331" t="s">
        <v>906</v>
      </c>
      <c r="F497" s="331"/>
      <c r="G497" s="336">
        <f>G498+G500+G502</f>
        <v>10604</v>
      </c>
      <c r="H497" s="336">
        <f>H498+H500+H502</f>
        <v>10604</v>
      </c>
      <c r="I497" s="214"/>
    </row>
    <row r="498" spans="1:9" ht="78.75" x14ac:dyDescent="0.25">
      <c r="A498" s="335" t="s">
        <v>143</v>
      </c>
      <c r="B498" s="329">
        <v>905</v>
      </c>
      <c r="C498" s="331" t="s">
        <v>134</v>
      </c>
      <c r="D498" s="331" t="s">
        <v>166</v>
      </c>
      <c r="E498" s="331" t="s">
        <v>906</v>
      </c>
      <c r="F498" s="331" t="s">
        <v>144</v>
      </c>
      <c r="G498" s="336">
        <f>G499</f>
        <v>10033</v>
      </c>
      <c r="H498" s="336">
        <f>H499</f>
        <v>10033</v>
      </c>
      <c r="I498" s="214"/>
    </row>
    <row r="499" spans="1:9" ht="31.5" x14ac:dyDescent="0.25">
      <c r="A499" s="335" t="s">
        <v>145</v>
      </c>
      <c r="B499" s="329">
        <v>905</v>
      </c>
      <c r="C499" s="331" t="s">
        <v>134</v>
      </c>
      <c r="D499" s="331" t="s">
        <v>166</v>
      </c>
      <c r="E499" s="331" t="s">
        <v>906</v>
      </c>
      <c r="F499" s="331" t="s">
        <v>146</v>
      </c>
      <c r="G499" s="336">
        <f>10033</f>
        <v>10033</v>
      </c>
      <c r="H499" s="336">
        <f t="shared" si="35"/>
        <v>10033</v>
      </c>
      <c r="I499" s="214"/>
    </row>
    <row r="500" spans="1:9" ht="31.5" x14ac:dyDescent="0.25">
      <c r="A500" s="335" t="s">
        <v>147</v>
      </c>
      <c r="B500" s="329">
        <v>905</v>
      </c>
      <c r="C500" s="331" t="s">
        <v>134</v>
      </c>
      <c r="D500" s="331" t="s">
        <v>166</v>
      </c>
      <c r="E500" s="331" t="s">
        <v>906</v>
      </c>
      <c r="F500" s="331" t="s">
        <v>148</v>
      </c>
      <c r="G500" s="336">
        <f>G501</f>
        <v>440</v>
      </c>
      <c r="H500" s="336">
        <f>H501</f>
        <v>440</v>
      </c>
      <c r="I500" s="214"/>
    </row>
    <row r="501" spans="1:9" ht="31.5" x14ac:dyDescent="0.25">
      <c r="A501" s="335" t="s">
        <v>149</v>
      </c>
      <c r="B501" s="329">
        <v>905</v>
      </c>
      <c r="C501" s="331" t="s">
        <v>134</v>
      </c>
      <c r="D501" s="331" t="s">
        <v>166</v>
      </c>
      <c r="E501" s="331" t="s">
        <v>906</v>
      </c>
      <c r="F501" s="331" t="s">
        <v>150</v>
      </c>
      <c r="G501" s="336">
        <f>440</f>
        <v>440</v>
      </c>
      <c r="H501" s="336">
        <f t="shared" si="35"/>
        <v>440</v>
      </c>
      <c r="I501" s="214"/>
    </row>
    <row r="502" spans="1:9" ht="15.75" x14ac:dyDescent="0.25">
      <c r="A502" s="335" t="s">
        <v>151</v>
      </c>
      <c r="B502" s="329">
        <v>905</v>
      </c>
      <c r="C502" s="331" t="s">
        <v>134</v>
      </c>
      <c r="D502" s="331" t="s">
        <v>166</v>
      </c>
      <c r="E502" s="331" t="s">
        <v>906</v>
      </c>
      <c r="F502" s="331" t="s">
        <v>161</v>
      </c>
      <c r="G502" s="336">
        <f>G503</f>
        <v>131</v>
      </c>
      <c r="H502" s="336">
        <f>H503</f>
        <v>131</v>
      </c>
      <c r="I502" s="214"/>
    </row>
    <row r="503" spans="1:9" ht="15.75" x14ac:dyDescent="0.25">
      <c r="A503" s="335" t="s">
        <v>584</v>
      </c>
      <c r="B503" s="329">
        <v>905</v>
      </c>
      <c r="C503" s="331" t="s">
        <v>134</v>
      </c>
      <c r="D503" s="331" t="s">
        <v>166</v>
      </c>
      <c r="E503" s="331" t="s">
        <v>906</v>
      </c>
      <c r="F503" s="331" t="s">
        <v>154</v>
      </c>
      <c r="G503" s="336">
        <f>131</f>
        <v>131</v>
      </c>
      <c r="H503" s="336">
        <f t="shared" si="35"/>
        <v>131</v>
      </c>
      <c r="I503" s="214"/>
    </row>
    <row r="504" spans="1:9" ht="47.25" x14ac:dyDescent="0.25">
      <c r="A504" s="335" t="s">
        <v>885</v>
      </c>
      <c r="B504" s="329">
        <v>905</v>
      </c>
      <c r="C504" s="331" t="s">
        <v>134</v>
      </c>
      <c r="D504" s="331" t="s">
        <v>166</v>
      </c>
      <c r="E504" s="331" t="s">
        <v>908</v>
      </c>
      <c r="F504" s="331"/>
      <c r="G504" s="336">
        <f>G505</f>
        <v>336</v>
      </c>
      <c r="H504" s="336">
        <f>H505</f>
        <v>336</v>
      </c>
      <c r="I504" s="214"/>
    </row>
    <row r="505" spans="1:9" ht="78.75" x14ac:dyDescent="0.25">
      <c r="A505" s="335" t="s">
        <v>143</v>
      </c>
      <c r="B505" s="329">
        <v>905</v>
      </c>
      <c r="C505" s="331" t="s">
        <v>134</v>
      </c>
      <c r="D505" s="331" t="s">
        <v>166</v>
      </c>
      <c r="E505" s="331" t="s">
        <v>908</v>
      </c>
      <c r="F505" s="331" t="s">
        <v>144</v>
      </c>
      <c r="G505" s="336">
        <f>G506</f>
        <v>336</v>
      </c>
      <c r="H505" s="336">
        <f>H506</f>
        <v>336</v>
      </c>
      <c r="I505" s="214"/>
    </row>
    <row r="506" spans="1:9" ht="31.5" x14ac:dyDescent="0.25">
      <c r="A506" s="335" t="s">
        <v>145</v>
      </c>
      <c r="B506" s="329">
        <v>905</v>
      </c>
      <c r="C506" s="331" t="s">
        <v>134</v>
      </c>
      <c r="D506" s="331" t="s">
        <v>166</v>
      </c>
      <c r="E506" s="331" t="s">
        <v>908</v>
      </c>
      <c r="F506" s="331" t="s">
        <v>146</v>
      </c>
      <c r="G506" s="336">
        <f>336</f>
        <v>336</v>
      </c>
      <c r="H506" s="336">
        <f t="shared" ref="H506:H575" si="42">G506</f>
        <v>336</v>
      </c>
      <c r="I506" s="214"/>
    </row>
    <row r="507" spans="1:9" s="213" customFormat="1" ht="31.5" x14ac:dyDescent="0.25">
      <c r="A507" s="333" t="s">
        <v>932</v>
      </c>
      <c r="B507" s="330">
        <v>905</v>
      </c>
      <c r="C507" s="334" t="s">
        <v>134</v>
      </c>
      <c r="D507" s="334" t="s">
        <v>166</v>
      </c>
      <c r="E507" s="334" t="s">
        <v>909</v>
      </c>
      <c r="F507" s="334"/>
      <c r="G507" s="332">
        <f t="shared" ref="G507:H509" si="43">G508</f>
        <v>22</v>
      </c>
      <c r="H507" s="332">
        <f t="shared" si="43"/>
        <v>22</v>
      </c>
      <c r="I507" s="214"/>
    </row>
    <row r="508" spans="1:9" s="213" customFormat="1" ht="94.5" x14ac:dyDescent="0.25">
      <c r="A508" s="31" t="s">
        <v>1408</v>
      </c>
      <c r="B508" s="329">
        <v>905</v>
      </c>
      <c r="C508" s="331" t="s">
        <v>134</v>
      </c>
      <c r="D508" s="331" t="s">
        <v>166</v>
      </c>
      <c r="E508" s="331" t="s">
        <v>1407</v>
      </c>
      <c r="F508" s="331"/>
      <c r="G508" s="336">
        <f t="shared" si="43"/>
        <v>22</v>
      </c>
      <c r="H508" s="336">
        <f t="shared" si="43"/>
        <v>22</v>
      </c>
      <c r="I508" s="214"/>
    </row>
    <row r="509" spans="1:9" s="213" customFormat="1" ht="78.75" x14ac:dyDescent="0.25">
      <c r="A509" s="335" t="s">
        <v>143</v>
      </c>
      <c r="B509" s="329">
        <v>905</v>
      </c>
      <c r="C509" s="331" t="s">
        <v>134</v>
      </c>
      <c r="D509" s="331" t="s">
        <v>166</v>
      </c>
      <c r="E509" s="331" t="s">
        <v>1407</v>
      </c>
      <c r="F509" s="331" t="s">
        <v>144</v>
      </c>
      <c r="G509" s="336">
        <f>G510</f>
        <v>22</v>
      </c>
      <c r="H509" s="336">
        <f t="shared" si="43"/>
        <v>22</v>
      </c>
      <c r="I509" s="214"/>
    </row>
    <row r="510" spans="1:9" s="213" customFormat="1" ht="31.5" x14ac:dyDescent="0.25">
      <c r="A510" s="335" t="s">
        <v>145</v>
      </c>
      <c r="B510" s="329">
        <v>905</v>
      </c>
      <c r="C510" s="331" t="s">
        <v>134</v>
      </c>
      <c r="D510" s="331" t="s">
        <v>166</v>
      </c>
      <c r="E510" s="331" t="s">
        <v>1407</v>
      </c>
      <c r="F510" s="331" t="s">
        <v>146</v>
      </c>
      <c r="G510" s="336">
        <f>22</f>
        <v>22</v>
      </c>
      <c r="H510" s="336">
        <f>G510</f>
        <v>22</v>
      </c>
      <c r="I510" s="214"/>
    </row>
    <row r="511" spans="1:9" ht="15.75" x14ac:dyDescent="0.25">
      <c r="A511" s="333" t="s">
        <v>155</v>
      </c>
      <c r="B511" s="330">
        <v>905</v>
      </c>
      <c r="C511" s="334" t="s">
        <v>134</v>
      </c>
      <c r="D511" s="334" t="s">
        <v>156</v>
      </c>
      <c r="E511" s="334"/>
      <c r="F511" s="334"/>
      <c r="G511" s="332">
        <f>G512+G520</f>
        <v>6166.22</v>
      </c>
      <c r="H511" s="332">
        <f>H512+H520</f>
        <v>3139.82</v>
      </c>
      <c r="I511" s="214"/>
    </row>
    <row r="512" spans="1:9" ht="15.75" x14ac:dyDescent="0.25">
      <c r="A512" s="333" t="s">
        <v>157</v>
      </c>
      <c r="B512" s="330">
        <v>905</v>
      </c>
      <c r="C512" s="334" t="s">
        <v>134</v>
      </c>
      <c r="D512" s="334" t="s">
        <v>156</v>
      </c>
      <c r="E512" s="334" t="s">
        <v>912</v>
      </c>
      <c r="F512" s="334"/>
      <c r="G512" s="332">
        <f>G513</f>
        <v>2900</v>
      </c>
      <c r="H512" s="332">
        <f>H513</f>
        <v>2900</v>
      </c>
      <c r="I512" s="214"/>
    </row>
    <row r="513" spans="1:13" ht="31.5" x14ac:dyDescent="0.25">
      <c r="A513" s="333" t="s">
        <v>916</v>
      </c>
      <c r="B513" s="330">
        <v>905</v>
      </c>
      <c r="C513" s="334" t="s">
        <v>134</v>
      </c>
      <c r="D513" s="334" t="s">
        <v>156</v>
      </c>
      <c r="E513" s="334" t="s">
        <v>911</v>
      </c>
      <c r="F513" s="334"/>
      <c r="G513" s="332">
        <f>G514+G517</f>
        <v>2900</v>
      </c>
      <c r="H513" s="332">
        <f>H514+H517</f>
        <v>2900</v>
      </c>
      <c r="I513" s="214"/>
    </row>
    <row r="514" spans="1:13" ht="47.25" x14ac:dyDescent="0.25">
      <c r="A514" s="335" t="s">
        <v>404</v>
      </c>
      <c r="B514" s="329">
        <v>905</v>
      </c>
      <c r="C514" s="331" t="s">
        <v>134</v>
      </c>
      <c r="D514" s="331" t="s">
        <v>156</v>
      </c>
      <c r="E514" s="331" t="s">
        <v>1169</v>
      </c>
      <c r="F514" s="331"/>
      <c r="G514" s="336">
        <f>G515</f>
        <v>2900</v>
      </c>
      <c r="H514" s="336">
        <f>H515</f>
        <v>2900</v>
      </c>
      <c r="I514" s="214"/>
    </row>
    <row r="515" spans="1:13" ht="31.5" x14ac:dyDescent="0.25">
      <c r="A515" s="335" t="s">
        <v>147</v>
      </c>
      <c r="B515" s="329">
        <v>905</v>
      </c>
      <c r="C515" s="331" t="s">
        <v>134</v>
      </c>
      <c r="D515" s="331" t="s">
        <v>156</v>
      </c>
      <c r="E515" s="331" t="s">
        <v>1169</v>
      </c>
      <c r="F515" s="331" t="s">
        <v>148</v>
      </c>
      <c r="G515" s="336">
        <f>G516</f>
        <v>2900</v>
      </c>
      <c r="H515" s="336">
        <f>H516</f>
        <v>2900</v>
      </c>
      <c r="I515" s="214"/>
    </row>
    <row r="516" spans="1:13" ht="31.5" x14ac:dyDescent="0.25">
      <c r="A516" s="335" t="s">
        <v>149</v>
      </c>
      <c r="B516" s="329">
        <v>905</v>
      </c>
      <c r="C516" s="331" t="s">
        <v>134</v>
      </c>
      <c r="D516" s="331" t="s">
        <v>156</v>
      </c>
      <c r="E516" s="331" t="s">
        <v>1169</v>
      </c>
      <c r="F516" s="331" t="s">
        <v>150</v>
      </c>
      <c r="G516" s="336">
        <f>2900</f>
        <v>2900</v>
      </c>
      <c r="H516" s="336">
        <f t="shared" si="42"/>
        <v>2900</v>
      </c>
      <c r="I516" s="214"/>
    </row>
    <row r="517" spans="1:13" ht="31.5" hidden="1" x14ac:dyDescent="0.25">
      <c r="A517" s="335" t="s">
        <v>1004</v>
      </c>
      <c r="B517" s="329">
        <v>905</v>
      </c>
      <c r="C517" s="331" t="s">
        <v>134</v>
      </c>
      <c r="D517" s="331" t="s">
        <v>156</v>
      </c>
      <c r="E517" s="331" t="s">
        <v>1170</v>
      </c>
      <c r="F517" s="331"/>
      <c r="G517" s="336">
        <f>'Пр.4 ведом.20'!G522</f>
        <v>0</v>
      </c>
      <c r="H517" s="336">
        <f t="shared" si="42"/>
        <v>0</v>
      </c>
      <c r="I517" s="214"/>
    </row>
    <row r="518" spans="1:13" ht="31.5" hidden="1" x14ac:dyDescent="0.25">
      <c r="A518" s="335" t="s">
        <v>147</v>
      </c>
      <c r="B518" s="329">
        <v>905</v>
      </c>
      <c r="C518" s="331" t="s">
        <v>134</v>
      </c>
      <c r="D518" s="331" t="s">
        <v>156</v>
      </c>
      <c r="E518" s="331" t="s">
        <v>1170</v>
      </c>
      <c r="F518" s="331" t="s">
        <v>148</v>
      </c>
      <c r="G518" s="336">
        <f>'Пр.4 ведом.20'!G523</f>
        <v>0</v>
      </c>
      <c r="H518" s="336">
        <f t="shared" si="42"/>
        <v>0</v>
      </c>
      <c r="I518" s="214"/>
    </row>
    <row r="519" spans="1:13" ht="31.5" hidden="1" x14ac:dyDescent="0.25">
      <c r="A519" s="335" t="s">
        <v>149</v>
      </c>
      <c r="B519" s="329">
        <v>905</v>
      </c>
      <c r="C519" s="331" t="s">
        <v>134</v>
      </c>
      <c r="D519" s="331" t="s">
        <v>156</v>
      </c>
      <c r="E519" s="331" t="s">
        <v>1170</v>
      </c>
      <c r="F519" s="331" t="s">
        <v>150</v>
      </c>
      <c r="G519" s="336">
        <f>'Пр.4 ведом.20'!G524</f>
        <v>0</v>
      </c>
      <c r="H519" s="336">
        <f t="shared" si="42"/>
        <v>0</v>
      </c>
      <c r="I519" s="214"/>
    </row>
    <row r="520" spans="1:13" ht="63" x14ac:dyDescent="0.25">
      <c r="A520" s="333" t="s">
        <v>1428</v>
      </c>
      <c r="B520" s="330">
        <v>905</v>
      </c>
      <c r="C520" s="334" t="s">
        <v>134</v>
      </c>
      <c r="D520" s="334" t="s">
        <v>156</v>
      </c>
      <c r="E520" s="334" t="s">
        <v>806</v>
      </c>
      <c r="F520" s="334"/>
      <c r="G520" s="332">
        <f t="shared" ref="G520:H523" si="44">G521</f>
        <v>3266.2200000000003</v>
      </c>
      <c r="H520" s="332">
        <f t="shared" si="44"/>
        <v>239.82000000000016</v>
      </c>
      <c r="I520" s="214"/>
    </row>
    <row r="521" spans="1:13" ht="31.5" x14ac:dyDescent="0.25">
      <c r="A521" s="333" t="s">
        <v>1003</v>
      </c>
      <c r="B521" s="330">
        <v>905</v>
      </c>
      <c r="C521" s="334" t="s">
        <v>134</v>
      </c>
      <c r="D521" s="334" t="s">
        <v>156</v>
      </c>
      <c r="E521" s="334" t="s">
        <v>1182</v>
      </c>
      <c r="F521" s="334"/>
      <c r="G521" s="332">
        <f t="shared" si="44"/>
        <v>3266.2200000000003</v>
      </c>
      <c r="H521" s="332">
        <f t="shared" si="44"/>
        <v>239.82000000000016</v>
      </c>
      <c r="I521" s="214"/>
    </row>
    <row r="522" spans="1:13" ht="31.5" x14ac:dyDescent="0.25">
      <c r="A522" s="335" t="s">
        <v>816</v>
      </c>
      <c r="B522" s="329">
        <v>905</v>
      </c>
      <c r="C522" s="331" t="s">
        <v>134</v>
      </c>
      <c r="D522" s="331" t="s">
        <v>156</v>
      </c>
      <c r="E522" s="331" t="s">
        <v>1183</v>
      </c>
      <c r="F522" s="331"/>
      <c r="G522" s="336">
        <f t="shared" si="44"/>
        <v>3266.2200000000003</v>
      </c>
      <c r="H522" s="336">
        <f t="shared" si="44"/>
        <v>239.82000000000016</v>
      </c>
      <c r="I522" s="214"/>
    </row>
    <row r="523" spans="1:13" ht="31.5" x14ac:dyDescent="0.25">
      <c r="A523" s="335" t="s">
        <v>147</v>
      </c>
      <c r="B523" s="329">
        <v>905</v>
      </c>
      <c r="C523" s="331" t="s">
        <v>134</v>
      </c>
      <c r="D523" s="331" t="s">
        <v>156</v>
      </c>
      <c r="E523" s="331" t="s">
        <v>1183</v>
      </c>
      <c r="F523" s="331" t="s">
        <v>148</v>
      </c>
      <c r="G523" s="336">
        <f t="shared" si="44"/>
        <v>3266.2200000000003</v>
      </c>
      <c r="H523" s="336">
        <f t="shared" si="44"/>
        <v>239.82000000000016</v>
      </c>
      <c r="I523" s="214"/>
    </row>
    <row r="524" spans="1:13" ht="31.5" x14ac:dyDescent="0.25">
      <c r="A524" s="335" t="s">
        <v>149</v>
      </c>
      <c r="B524" s="329">
        <v>905</v>
      </c>
      <c r="C524" s="331" t="s">
        <v>134</v>
      </c>
      <c r="D524" s="331" t="s">
        <v>156</v>
      </c>
      <c r="E524" s="331" t="s">
        <v>1183</v>
      </c>
      <c r="F524" s="331" t="s">
        <v>150</v>
      </c>
      <c r="G524" s="336">
        <f>239.82+3026.4</f>
        <v>3266.2200000000003</v>
      </c>
      <c r="H524" s="336">
        <f>G524-3026.4</f>
        <v>239.82000000000016</v>
      </c>
      <c r="I524" s="214"/>
    </row>
    <row r="525" spans="1:13" ht="15.75" x14ac:dyDescent="0.25">
      <c r="A525" s="41" t="s">
        <v>406</v>
      </c>
      <c r="B525" s="330">
        <v>905</v>
      </c>
      <c r="C525" s="334" t="s">
        <v>250</v>
      </c>
      <c r="D525" s="334"/>
      <c r="E525" s="334"/>
      <c r="F525" s="334"/>
      <c r="G525" s="332">
        <f t="shared" ref="G525:H527" si="45">G526</f>
        <v>1181</v>
      </c>
      <c r="H525" s="332">
        <f t="shared" si="45"/>
        <v>1181</v>
      </c>
      <c r="I525" s="214"/>
      <c r="M525" s="22"/>
    </row>
    <row r="526" spans="1:13" ht="15.75" x14ac:dyDescent="0.25">
      <c r="A526" s="41" t="s">
        <v>407</v>
      </c>
      <c r="B526" s="330">
        <v>905</v>
      </c>
      <c r="C526" s="334" t="s">
        <v>250</v>
      </c>
      <c r="D526" s="334" t="s">
        <v>134</v>
      </c>
      <c r="E526" s="334"/>
      <c r="F526" s="334"/>
      <c r="G526" s="332">
        <f t="shared" si="45"/>
        <v>1181</v>
      </c>
      <c r="H526" s="332">
        <f t="shared" si="45"/>
        <v>1181</v>
      </c>
      <c r="I526" s="214"/>
    </row>
    <row r="527" spans="1:13" ht="15.75" x14ac:dyDescent="0.25">
      <c r="A527" s="333" t="s">
        <v>157</v>
      </c>
      <c r="B527" s="330">
        <v>905</v>
      </c>
      <c r="C527" s="334" t="s">
        <v>250</v>
      </c>
      <c r="D527" s="334" t="s">
        <v>134</v>
      </c>
      <c r="E527" s="334" t="s">
        <v>912</v>
      </c>
      <c r="F527" s="334"/>
      <c r="G527" s="332">
        <f t="shared" si="45"/>
        <v>1181</v>
      </c>
      <c r="H527" s="332">
        <f t="shared" si="45"/>
        <v>1181</v>
      </c>
      <c r="I527" s="214"/>
    </row>
    <row r="528" spans="1:13" ht="31.5" x14ac:dyDescent="0.25">
      <c r="A528" s="333" t="s">
        <v>916</v>
      </c>
      <c r="B528" s="330">
        <v>905</v>
      </c>
      <c r="C528" s="334" t="s">
        <v>250</v>
      </c>
      <c r="D528" s="334" t="s">
        <v>134</v>
      </c>
      <c r="E528" s="334" t="s">
        <v>911</v>
      </c>
      <c r="F528" s="334"/>
      <c r="G528" s="332">
        <f>G529+G532</f>
        <v>1181</v>
      </c>
      <c r="H528" s="332">
        <f>H529+H532</f>
        <v>1181</v>
      </c>
      <c r="I528" s="214"/>
    </row>
    <row r="529" spans="1:9" ht="31.5" x14ac:dyDescent="0.25">
      <c r="A529" s="338" t="s">
        <v>414</v>
      </c>
      <c r="B529" s="329">
        <v>905</v>
      </c>
      <c r="C529" s="331" t="s">
        <v>250</v>
      </c>
      <c r="D529" s="331" t="s">
        <v>134</v>
      </c>
      <c r="E529" s="331" t="s">
        <v>1097</v>
      </c>
      <c r="F529" s="331"/>
      <c r="G529" s="336">
        <f>G530</f>
        <v>270.39999999999998</v>
      </c>
      <c r="H529" s="336">
        <f>H530</f>
        <v>270.39999999999998</v>
      </c>
      <c r="I529" s="214"/>
    </row>
    <row r="530" spans="1:9" ht="31.5" x14ac:dyDescent="0.25">
      <c r="A530" s="335" t="s">
        <v>147</v>
      </c>
      <c r="B530" s="329">
        <v>905</v>
      </c>
      <c r="C530" s="331" t="s">
        <v>250</v>
      </c>
      <c r="D530" s="331" t="s">
        <v>134</v>
      </c>
      <c r="E530" s="331" t="s">
        <v>1097</v>
      </c>
      <c r="F530" s="331" t="s">
        <v>148</v>
      </c>
      <c r="G530" s="336">
        <f>G531</f>
        <v>270.39999999999998</v>
      </c>
      <c r="H530" s="336">
        <f>H531</f>
        <v>270.39999999999998</v>
      </c>
      <c r="I530" s="214"/>
    </row>
    <row r="531" spans="1:9" ht="31.5" x14ac:dyDescent="0.25">
      <c r="A531" s="335" t="s">
        <v>149</v>
      </c>
      <c r="B531" s="329">
        <v>905</v>
      </c>
      <c r="C531" s="331" t="s">
        <v>250</v>
      </c>
      <c r="D531" s="331" t="s">
        <v>134</v>
      </c>
      <c r="E531" s="331" t="s">
        <v>1097</v>
      </c>
      <c r="F531" s="331" t="s">
        <v>150</v>
      </c>
      <c r="G531" s="336">
        <f>270.4</f>
        <v>270.39999999999998</v>
      </c>
      <c r="H531" s="336">
        <f t="shared" si="42"/>
        <v>270.39999999999998</v>
      </c>
      <c r="I531" s="214"/>
    </row>
    <row r="532" spans="1:9" ht="31.5" x14ac:dyDescent="0.25">
      <c r="A532" s="338" t="s">
        <v>1005</v>
      </c>
      <c r="B532" s="329">
        <v>905</v>
      </c>
      <c r="C532" s="331" t="s">
        <v>250</v>
      </c>
      <c r="D532" s="331" t="s">
        <v>134</v>
      </c>
      <c r="E532" s="331" t="s">
        <v>1098</v>
      </c>
      <c r="F532" s="331"/>
      <c r="G532" s="336">
        <f>G533</f>
        <v>910.6</v>
      </c>
      <c r="H532" s="336">
        <f>H533</f>
        <v>910.6</v>
      </c>
      <c r="I532" s="214"/>
    </row>
    <row r="533" spans="1:9" ht="31.5" x14ac:dyDescent="0.25">
      <c r="A533" s="335" t="s">
        <v>147</v>
      </c>
      <c r="B533" s="329">
        <v>905</v>
      </c>
      <c r="C533" s="331" t="s">
        <v>250</v>
      </c>
      <c r="D533" s="331" t="s">
        <v>134</v>
      </c>
      <c r="E533" s="331" t="s">
        <v>1098</v>
      </c>
      <c r="F533" s="331" t="s">
        <v>148</v>
      </c>
      <c r="G533" s="336">
        <f>G534</f>
        <v>910.6</v>
      </c>
      <c r="H533" s="336">
        <f>H534</f>
        <v>910.6</v>
      </c>
      <c r="I533" s="214"/>
    </row>
    <row r="534" spans="1:9" ht="31.5" x14ac:dyDescent="0.25">
      <c r="A534" s="335" t="s">
        <v>149</v>
      </c>
      <c r="B534" s="329">
        <v>905</v>
      </c>
      <c r="C534" s="331" t="s">
        <v>250</v>
      </c>
      <c r="D534" s="331" t="s">
        <v>134</v>
      </c>
      <c r="E534" s="331" t="s">
        <v>1098</v>
      </c>
      <c r="F534" s="331" t="s">
        <v>150</v>
      </c>
      <c r="G534" s="336">
        <f>910.6</f>
        <v>910.6</v>
      </c>
      <c r="H534" s="336">
        <f t="shared" si="42"/>
        <v>910.6</v>
      </c>
      <c r="I534" s="214"/>
    </row>
    <row r="535" spans="1:9" ht="31.5" x14ac:dyDescent="0.25">
      <c r="A535" s="330" t="s">
        <v>419</v>
      </c>
      <c r="B535" s="330">
        <v>906</v>
      </c>
      <c r="C535" s="334"/>
      <c r="D535" s="334"/>
      <c r="E535" s="334"/>
      <c r="F535" s="334"/>
      <c r="G535" s="332">
        <f>G546+G536</f>
        <v>365898.4</v>
      </c>
      <c r="H535" s="332">
        <f>H546+H536</f>
        <v>365906.9</v>
      </c>
      <c r="I535" s="214"/>
    </row>
    <row r="536" spans="1:9" ht="15.75" x14ac:dyDescent="0.25">
      <c r="A536" s="333" t="s">
        <v>133</v>
      </c>
      <c r="B536" s="330">
        <v>906</v>
      </c>
      <c r="C536" s="334" t="s">
        <v>134</v>
      </c>
      <c r="D536" s="334"/>
      <c r="E536" s="334"/>
      <c r="F536" s="334"/>
      <c r="G536" s="332">
        <f t="shared" ref="G536:H539" si="46">G537</f>
        <v>50</v>
      </c>
      <c r="H536" s="332">
        <f t="shared" si="46"/>
        <v>50</v>
      </c>
      <c r="I536" s="214"/>
    </row>
    <row r="537" spans="1:9" ht="15.75" x14ac:dyDescent="0.25">
      <c r="A537" s="34" t="s">
        <v>155</v>
      </c>
      <c r="B537" s="330">
        <v>906</v>
      </c>
      <c r="C537" s="334" t="s">
        <v>134</v>
      </c>
      <c r="D537" s="334" t="s">
        <v>156</v>
      </c>
      <c r="E537" s="334"/>
      <c r="F537" s="334"/>
      <c r="G537" s="332">
        <f t="shared" si="46"/>
        <v>50</v>
      </c>
      <c r="H537" s="332">
        <f t="shared" si="46"/>
        <v>50</v>
      </c>
      <c r="I537" s="214"/>
    </row>
    <row r="538" spans="1:9" ht="47.25" x14ac:dyDescent="0.25">
      <c r="A538" s="333" t="s">
        <v>1423</v>
      </c>
      <c r="B538" s="330">
        <v>906</v>
      </c>
      <c r="C538" s="334" t="s">
        <v>134</v>
      </c>
      <c r="D538" s="334" t="s">
        <v>156</v>
      </c>
      <c r="E538" s="334" t="s">
        <v>351</v>
      </c>
      <c r="F538" s="334"/>
      <c r="G538" s="332">
        <f t="shared" si="46"/>
        <v>50</v>
      </c>
      <c r="H538" s="332">
        <f t="shared" si="46"/>
        <v>50</v>
      </c>
      <c r="I538" s="214"/>
    </row>
    <row r="539" spans="1:9" ht="31.5" x14ac:dyDescent="0.25">
      <c r="A539" s="221" t="s">
        <v>1225</v>
      </c>
      <c r="B539" s="330">
        <v>906</v>
      </c>
      <c r="C539" s="334" t="s">
        <v>134</v>
      </c>
      <c r="D539" s="334" t="s">
        <v>156</v>
      </c>
      <c r="E539" s="334" t="s">
        <v>1226</v>
      </c>
      <c r="F539" s="334"/>
      <c r="G539" s="332">
        <f t="shared" si="46"/>
        <v>50</v>
      </c>
      <c r="H539" s="332">
        <f t="shared" si="46"/>
        <v>50</v>
      </c>
      <c r="I539" s="214"/>
    </row>
    <row r="540" spans="1:9" ht="31.5" x14ac:dyDescent="0.25">
      <c r="A540" s="98" t="s">
        <v>352</v>
      </c>
      <c r="B540" s="329">
        <v>906</v>
      </c>
      <c r="C540" s="331" t="s">
        <v>134</v>
      </c>
      <c r="D540" s="331" t="s">
        <v>156</v>
      </c>
      <c r="E540" s="331" t="s">
        <v>1227</v>
      </c>
      <c r="F540" s="331"/>
      <c r="G540" s="336">
        <f>G541</f>
        <v>50</v>
      </c>
      <c r="H540" s="336">
        <f>H541</f>
        <v>50</v>
      </c>
      <c r="I540" s="214"/>
    </row>
    <row r="541" spans="1:9" ht="31.5" x14ac:dyDescent="0.25">
      <c r="A541" s="335" t="s">
        <v>147</v>
      </c>
      <c r="B541" s="329">
        <v>906</v>
      </c>
      <c r="C541" s="331" t="s">
        <v>134</v>
      </c>
      <c r="D541" s="331" t="s">
        <v>156</v>
      </c>
      <c r="E541" s="331" t="s">
        <v>1227</v>
      </c>
      <c r="F541" s="331" t="s">
        <v>148</v>
      </c>
      <c r="G541" s="336">
        <f>G542</f>
        <v>50</v>
      </c>
      <c r="H541" s="336">
        <f>H542</f>
        <v>50</v>
      </c>
      <c r="I541" s="214"/>
    </row>
    <row r="542" spans="1:9" ht="31.5" x14ac:dyDescent="0.25">
      <c r="A542" s="335" t="s">
        <v>149</v>
      </c>
      <c r="B542" s="329">
        <v>906</v>
      </c>
      <c r="C542" s="331" t="s">
        <v>134</v>
      </c>
      <c r="D542" s="331" t="s">
        <v>156</v>
      </c>
      <c r="E542" s="331" t="s">
        <v>1227</v>
      </c>
      <c r="F542" s="331" t="s">
        <v>150</v>
      </c>
      <c r="G542" s="336">
        <f>50</f>
        <v>50</v>
      </c>
      <c r="H542" s="336">
        <f t="shared" si="42"/>
        <v>50</v>
      </c>
      <c r="I542" s="214"/>
    </row>
    <row r="543" spans="1:9" ht="31.5" hidden="1" x14ac:dyDescent="0.25">
      <c r="A543" s="31" t="s">
        <v>796</v>
      </c>
      <c r="B543" s="329">
        <v>906</v>
      </c>
      <c r="C543" s="331" t="s">
        <v>134</v>
      </c>
      <c r="D543" s="331" t="s">
        <v>156</v>
      </c>
      <c r="E543" s="331" t="s">
        <v>1260</v>
      </c>
      <c r="F543" s="331"/>
      <c r="G543" s="336">
        <f>'Пр.4 ведом.20'!G554</f>
        <v>0</v>
      </c>
      <c r="H543" s="336">
        <f t="shared" si="42"/>
        <v>0</v>
      </c>
      <c r="I543" s="214"/>
    </row>
    <row r="544" spans="1:9" ht="31.5" hidden="1" x14ac:dyDescent="0.25">
      <c r="A544" s="335" t="s">
        <v>147</v>
      </c>
      <c r="B544" s="329">
        <v>906</v>
      </c>
      <c r="C544" s="331" t="s">
        <v>134</v>
      </c>
      <c r="D544" s="331" t="s">
        <v>156</v>
      </c>
      <c r="E544" s="331" t="s">
        <v>1260</v>
      </c>
      <c r="F544" s="331" t="s">
        <v>148</v>
      </c>
      <c r="G544" s="336">
        <f>'Пр.4 ведом.20'!G555</f>
        <v>0</v>
      </c>
      <c r="H544" s="336">
        <f t="shared" si="42"/>
        <v>0</v>
      </c>
      <c r="I544" s="214"/>
    </row>
    <row r="545" spans="1:9" ht="31.5" hidden="1" x14ac:dyDescent="0.25">
      <c r="A545" s="335" t="s">
        <v>149</v>
      </c>
      <c r="B545" s="329">
        <v>906</v>
      </c>
      <c r="C545" s="331" t="s">
        <v>134</v>
      </c>
      <c r="D545" s="331" t="s">
        <v>156</v>
      </c>
      <c r="E545" s="331" t="s">
        <v>1260</v>
      </c>
      <c r="F545" s="331" t="s">
        <v>150</v>
      </c>
      <c r="G545" s="336">
        <f>'Пр.4 ведом.20'!G556</f>
        <v>0</v>
      </c>
      <c r="H545" s="336">
        <f t="shared" si="42"/>
        <v>0</v>
      </c>
      <c r="I545" s="214"/>
    </row>
    <row r="546" spans="1:9" ht="15.75" x14ac:dyDescent="0.25">
      <c r="A546" s="333" t="s">
        <v>279</v>
      </c>
      <c r="B546" s="330">
        <v>906</v>
      </c>
      <c r="C546" s="334" t="s">
        <v>280</v>
      </c>
      <c r="D546" s="334"/>
      <c r="E546" s="334"/>
      <c r="F546" s="334"/>
      <c r="G546" s="332">
        <f>G547+G618+G736+G746+G702</f>
        <v>365848.4</v>
      </c>
      <c r="H546" s="332">
        <f>H547+H618+H736+H746+H702</f>
        <v>365856.9</v>
      </c>
      <c r="I546" s="214"/>
    </row>
    <row r="547" spans="1:9" ht="15.75" x14ac:dyDescent="0.25">
      <c r="A547" s="333" t="s">
        <v>420</v>
      </c>
      <c r="B547" s="330">
        <v>906</v>
      </c>
      <c r="C547" s="334" t="s">
        <v>280</v>
      </c>
      <c r="D547" s="334" t="s">
        <v>134</v>
      </c>
      <c r="E547" s="334"/>
      <c r="F547" s="334"/>
      <c r="G547" s="332">
        <f>G548+G601+G613</f>
        <v>109970.90000000001</v>
      </c>
      <c r="H547" s="332">
        <f>H548+H601+H613</f>
        <v>109970.90000000001</v>
      </c>
      <c r="I547" s="214"/>
    </row>
    <row r="548" spans="1:9" ht="47.25" x14ac:dyDescent="0.25">
      <c r="A548" s="333" t="s">
        <v>1429</v>
      </c>
      <c r="B548" s="330">
        <v>906</v>
      </c>
      <c r="C548" s="334" t="s">
        <v>280</v>
      </c>
      <c r="D548" s="334" t="s">
        <v>134</v>
      </c>
      <c r="E548" s="334" t="s">
        <v>422</v>
      </c>
      <c r="F548" s="334"/>
      <c r="G548" s="332">
        <f>G549+G573</f>
        <v>109506.6</v>
      </c>
      <c r="H548" s="332">
        <f>H549+H573</f>
        <v>109506.6</v>
      </c>
      <c r="I548" s="214"/>
    </row>
    <row r="549" spans="1:9" ht="31.5" x14ac:dyDescent="0.25">
      <c r="A549" s="333" t="s">
        <v>423</v>
      </c>
      <c r="B549" s="330">
        <v>906</v>
      </c>
      <c r="C549" s="334" t="s">
        <v>280</v>
      </c>
      <c r="D549" s="334" t="s">
        <v>134</v>
      </c>
      <c r="E549" s="334" t="s">
        <v>424</v>
      </c>
      <c r="F549" s="334"/>
      <c r="G549" s="332">
        <f>G550+G557</f>
        <v>97867.5</v>
      </c>
      <c r="H549" s="332">
        <f>H550+H557</f>
        <v>97867.5</v>
      </c>
      <c r="I549" s="214"/>
    </row>
    <row r="550" spans="1:9" ht="31.5" x14ac:dyDescent="0.25">
      <c r="A550" s="333" t="s">
        <v>1028</v>
      </c>
      <c r="B550" s="330">
        <v>906</v>
      </c>
      <c r="C550" s="334" t="s">
        <v>280</v>
      </c>
      <c r="D550" s="334" t="s">
        <v>134</v>
      </c>
      <c r="E550" s="334" t="s">
        <v>1006</v>
      </c>
      <c r="F550" s="334"/>
      <c r="G550" s="332">
        <f>G551+G554</f>
        <v>12027</v>
      </c>
      <c r="H550" s="332">
        <f>H551+H554</f>
        <v>12027</v>
      </c>
      <c r="I550" s="214"/>
    </row>
    <row r="551" spans="1:9" ht="39.75" customHeight="1" x14ac:dyDescent="0.25">
      <c r="A551" s="335" t="s">
        <v>1063</v>
      </c>
      <c r="B551" s="329">
        <v>906</v>
      </c>
      <c r="C551" s="331" t="s">
        <v>280</v>
      </c>
      <c r="D551" s="331" t="s">
        <v>134</v>
      </c>
      <c r="E551" s="331" t="s">
        <v>1062</v>
      </c>
      <c r="F551" s="331"/>
      <c r="G551" s="336">
        <f>G552</f>
        <v>7224.3</v>
      </c>
      <c r="H551" s="336">
        <f>H552</f>
        <v>7224.3</v>
      </c>
      <c r="I551" s="214"/>
    </row>
    <row r="552" spans="1:9" ht="31.5" x14ac:dyDescent="0.25">
      <c r="A552" s="335" t="s">
        <v>288</v>
      </c>
      <c r="B552" s="329">
        <v>906</v>
      </c>
      <c r="C552" s="331" t="s">
        <v>280</v>
      </c>
      <c r="D552" s="331" t="s">
        <v>134</v>
      </c>
      <c r="E552" s="331" t="s">
        <v>1062</v>
      </c>
      <c r="F552" s="331" t="s">
        <v>289</v>
      </c>
      <c r="G552" s="336">
        <f>G553</f>
        <v>7224.3</v>
      </c>
      <c r="H552" s="336">
        <f>H553</f>
        <v>7224.3</v>
      </c>
      <c r="I552" s="214"/>
    </row>
    <row r="553" spans="1:9" ht="15.75" x14ac:dyDescent="0.25">
      <c r="A553" s="335" t="s">
        <v>290</v>
      </c>
      <c r="B553" s="329">
        <v>906</v>
      </c>
      <c r="C553" s="331" t="s">
        <v>280</v>
      </c>
      <c r="D553" s="331" t="s">
        <v>134</v>
      </c>
      <c r="E553" s="331" t="s">
        <v>1062</v>
      </c>
      <c r="F553" s="331" t="s">
        <v>291</v>
      </c>
      <c r="G553" s="336">
        <f>7224.3</f>
        <v>7224.3</v>
      </c>
      <c r="H553" s="336">
        <f t="shared" si="42"/>
        <v>7224.3</v>
      </c>
      <c r="I553" s="214"/>
    </row>
    <row r="554" spans="1:9" s="213" customFormat="1" ht="63" x14ac:dyDescent="0.25">
      <c r="A554" s="335" t="s">
        <v>1238</v>
      </c>
      <c r="B554" s="329">
        <v>906</v>
      </c>
      <c r="C554" s="331" t="s">
        <v>280</v>
      </c>
      <c r="D554" s="331" t="s">
        <v>134</v>
      </c>
      <c r="E554" s="331" t="s">
        <v>1064</v>
      </c>
      <c r="F554" s="331"/>
      <c r="G554" s="336">
        <f>G555</f>
        <v>4802.7</v>
      </c>
      <c r="H554" s="336">
        <f>H555</f>
        <v>4802.7</v>
      </c>
      <c r="I554" s="214"/>
    </row>
    <row r="555" spans="1:9" s="213" customFormat="1" ht="31.5" x14ac:dyDescent="0.25">
      <c r="A555" s="335" t="s">
        <v>288</v>
      </c>
      <c r="B555" s="329">
        <v>906</v>
      </c>
      <c r="C555" s="331" t="s">
        <v>280</v>
      </c>
      <c r="D555" s="331" t="s">
        <v>134</v>
      </c>
      <c r="E555" s="331" t="s">
        <v>1064</v>
      </c>
      <c r="F555" s="331" t="s">
        <v>289</v>
      </c>
      <c r="G555" s="336">
        <f>G556</f>
        <v>4802.7</v>
      </c>
      <c r="H555" s="336">
        <f>H556</f>
        <v>4802.7</v>
      </c>
      <c r="I555" s="214"/>
    </row>
    <row r="556" spans="1:9" s="213" customFormat="1" ht="15.75" x14ac:dyDescent="0.25">
      <c r="A556" s="335" t="s">
        <v>290</v>
      </c>
      <c r="B556" s="329">
        <v>906</v>
      </c>
      <c r="C556" s="331" t="s">
        <v>280</v>
      </c>
      <c r="D556" s="331" t="s">
        <v>134</v>
      </c>
      <c r="E556" s="331" t="s">
        <v>1064</v>
      </c>
      <c r="F556" s="331" t="s">
        <v>291</v>
      </c>
      <c r="G556" s="336">
        <f>4802.7</f>
        <v>4802.7</v>
      </c>
      <c r="H556" s="336">
        <f t="shared" ref="H556" si="47">G556</f>
        <v>4802.7</v>
      </c>
      <c r="I556" s="214"/>
    </row>
    <row r="557" spans="1:9" ht="47.25" x14ac:dyDescent="0.25">
      <c r="A557" s="333" t="s">
        <v>971</v>
      </c>
      <c r="B557" s="330">
        <v>906</v>
      </c>
      <c r="C557" s="334" t="s">
        <v>280</v>
      </c>
      <c r="D557" s="334" t="s">
        <v>134</v>
      </c>
      <c r="E557" s="334" t="s">
        <v>1021</v>
      </c>
      <c r="F557" s="334"/>
      <c r="G557" s="44">
        <f>G561+G564+G567+G570+G558</f>
        <v>85840.5</v>
      </c>
      <c r="H557" s="44">
        <f>H561+H564+H567+H570+H558</f>
        <v>85840.5</v>
      </c>
      <c r="I557" s="214"/>
    </row>
    <row r="558" spans="1:9" s="324" customFormat="1" ht="94.5" x14ac:dyDescent="0.25">
      <c r="A558" s="31" t="s">
        <v>309</v>
      </c>
      <c r="B558" s="329">
        <v>906</v>
      </c>
      <c r="C558" s="331" t="s">
        <v>280</v>
      </c>
      <c r="D558" s="331" t="s">
        <v>134</v>
      </c>
      <c r="E558" s="331" t="s">
        <v>1517</v>
      </c>
      <c r="F558" s="331"/>
      <c r="G558" s="337">
        <f>G559</f>
        <v>2916.1</v>
      </c>
      <c r="H558" s="337">
        <f>H559</f>
        <v>2916.1</v>
      </c>
      <c r="I558" s="325"/>
    </row>
    <row r="559" spans="1:9" s="324" customFormat="1" ht="31.5" x14ac:dyDescent="0.25">
      <c r="A559" s="335" t="s">
        <v>288</v>
      </c>
      <c r="B559" s="329">
        <v>906</v>
      </c>
      <c r="C559" s="331" t="s">
        <v>280</v>
      </c>
      <c r="D559" s="331" t="s">
        <v>134</v>
      </c>
      <c r="E559" s="331" t="s">
        <v>1517</v>
      </c>
      <c r="F559" s="331" t="s">
        <v>289</v>
      </c>
      <c r="G559" s="337">
        <f>G560</f>
        <v>2916.1</v>
      </c>
      <c r="H559" s="337">
        <f>H560</f>
        <v>2916.1</v>
      </c>
      <c r="I559" s="325"/>
    </row>
    <row r="560" spans="1:9" s="324" customFormat="1" ht="15.75" x14ac:dyDescent="0.25">
      <c r="A560" s="335" t="s">
        <v>290</v>
      </c>
      <c r="B560" s="329">
        <v>906</v>
      </c>
      <c r="C560" s="331" t="s">
        <v>280</v>
      </c>
      <c r="D560" s="331" t="s">
        <v>134</v>
      </c>
      <c r="E560" s="331" t="s">
        <v>1517</v>
      </c>
      <c r="F560" s="331" t="s">
        <v>291</v>
      </c>
      <c r="G560" s="337">
        <v>2916.1</v>
      </c>
      <c r="H560" s="337">
        <v>2916.1</v>
      </c>
      <c r="I560" s="325"/>
    </row>
    <row r="561" spans="1:9" ht="66.75" customHeight="1" x14ac:dyDescent="0.25">
      <c r="A561" s="31" t="s">
        <v>305</v>
      </c>
      <c r="B561" s="329">
        <v>906</v>
      </c>
      <c r="C561" s="331" t="s">
        <v>280</v>
      </c>
      <c r="D561" s="331" t="s">
        <v>134</v>
      </c>
      <c r="E561" s="331" t="s">
        <v>1020</v>
      </c>
      <c r="F561" s="331"/>
      <c r="G561" s="336">
        <f>G562</f>
        <v>559.70000000000005</v>
      </c>
      <c r="H561" s="336">
        <f>H562</f>
        <v>559.70000000000005</v>
      </c>
      <c r="I561" s="214"/>
    </row>
    <row r="562" spans="1:9" ht="31.5" x14ac:dyDescent="0.25">
      <c r="A562" s="335" t="s">
        <v>288</v>
      </c>
      <c r="B562" s="329">
        <v>906</v>
      </c>
      <c r="C562" s="331" t="s">
        <v>280</v>
      </c>
      <c r="D562" s="331" t="s">
        <v>134</v>
      </c>
      <c r="E562" s="331" t="s">
        <v>1020</v>
      </c>
      <c r="F562" s="331" t="s">
        <v>289</v>
      </c>
      <c r="G562" s="336">
        <f>G563</f>
        <v>559.70000000000005</v>
      </c>
      <c r="H562" s="336">
        <f>H563</f>
        <v>559.70000000000005</v>
      </c>
      <c r="I562" s="214"/>
    </row>
    <row r="563" spans="1:9" ht="15.75" x14ac:dyDescent="0.25">
      <c r="A563" s="335" t="s">
        <v>290</v>
      </c>
      <c r="B563" s="329">
        <v>906</v>
      </c>
      <c r="C563" s="331" t="s">
        <v>280</v>
      </c>
      <c r="D563" s="331" t="s">
        <v>134</v>
      </c>
      <c r="E563" s="331" t="s">
        <v>1020</v>
      </c>
      <c r="F563" s="331" t="s">
        <v>291</v>
      </c>
      <c r="G563" s="336">
        <f>559.7</f>
        <v>559.70000000000005</v>
      </c>
      <c r="H563" s="336">
        <f t="shared" si="42"/>
        <v>559.70000000000005</v>
      </c>
      <c r="I563" s="214"/>
    </row>
    <row r="564" spans="1:9" ht="63" x14ac:dyDescent="0.25">
      <c r="A564" s="31" t="s">
        <v>307</v>
      </c>
      <c r="B564" s="329">
        <v>906</v>
      </c>
      <c r="C564" s="331" t="s">
        <v>280</v>
      </c>
      <c r="D564" s="331" t="s">
        <v>134</v>
      </c>
      <c r="E564" s="331" t="s">
        <v>1023</v>
      </c>
      <c r="F564" s="331"/>
      <c r="G564" s="336">
        <f>G565</f>
        <v>1629.3</v>
      </c>
      <c r="H564" s="336">
        <f>H565</f>
        <v>1629.3</v>
      </c>
      <c r="I564" s="214"/>
    </row>
    <row r="565" spans="1:9" ht="31.5" x14ac:dyDescent="0.25">
      <c r="A565" s="335" t="s">
        <v>288</v>
      </c>
      <c r="B565" s="329">
        <v>906</v>
      </c>
      <c r="C565" s="331" t="s">
        <v>280</v>
      </c>
      <c r="D565" s="331" t="s">
        <v>134</v>
      </c>
      <c r="E565" s="331" t="s">
        <v>1023</v>
      </c>
      <c r="F565" s="331" t="s">
        <v>289</v>
      </c>
      <c r="G565" s="336">
        <f>G566</f>
        <v>1629.3</v>
      </c>
      <c r="H565" s="336">
        <f>H566</f>
        <v>1629.3</v>
      </c>
      <c r="I565" s="214"/>
    </row>
    <row r="566" spans="1:9" ht="15.75" x14ac:dyDescent="0.25">
      <c r="A566" s="335" t="s">
        <v>290</v>
      </c>
      <c r="B566" s="329">
        <v>906</v>
      </c>
      <c r="C566" s="331" t="s">
        <v>280</v>
      </c>
      <c r="D566" s="331" t="s">
        <v>134</v>
      </c>
      <c r="E566" s="331" t="s">
        <v>1023</v>
      </c>
      <c r="F566" s="331" t="s">
        <v>291</v>
      </c>
      <c r="G566" s="336">
        <f>1629.3</f>
        <v>1629.3</v>
      </c>
      <c r="H566" s="336">
        <f t="shared" si="42"/>
        <v>1629.3</v>
      </c>
      <c r="I566" s="214"/>
    </row>
    <row r="567" spans="1:9" ht="94.5" x14ac:dyDescent="0.25">
      <c r="A567" s="31" t="s">
        <v>437</v>
      </c>
      <c r="B567" s="329">
        <v>906</v>
      </c>
      <c r="C567" s="331" t="s">
        <v>280</v>
      </c>
      <c r="D567" s="331" t="s">
        <v>134</v>
      </c>
      <c r="E567" s="331" t="s">
        <v>1022</v>
      </c>
      <c r="F567" s="331"/>
      <c r="G567" s="336">
        <f>G568</f>
        <v>80735.399999999994</v>
      </c>
      <c r="H567" s="336">
        <f>H568</f>
        <v>80735.399999999994</v>
      </c>
      <c r="I567" s="214"/>
    </row>
    <row r="568" spans="1:9" ht="31.5" x14ac:dyDescent="0.25">
      <c r="A568" s="335" t="s">
        <v>288</v>
      </c>
      <c r="B568" s="329">
        <v>906</v>
      </c>
      <c r="C568" s="331" t="s">
        <v>280</v>
      </c>
      <c r="D568" s="331" t="s">
        <v>134</v>
      </c>
      <c r="E568" s="331" t="s">
        <v>1022</v>
      </c>
      <c r="F568" s="331" t="s">
        <v>289</v>
      </c>
      <c r="G568" s="336">
        <f>G569</f>
        <v>80735.399999999994</v>
      </c>
      <c r="H568" s="336">
        <f>H569</f>
        <v>80735.399999999994</v>
      </c>
      <c r="I568" s="214"/>
    </row>
    <row r="569" spans="1:9" ht="15.75" x14ac:dyDescent="0.25">
      <c r="A569" s="335" t="s">
        <v>290</v>
      </c>
      <c r="B569" s="329">
        <v>906</v>
      </c>
      <c r="C569" s="331" t="s">
        <v>280</v>
      </c>
      <c r="D569" s="331" t="s">
        <v>134</v>
      </c>
      <c r="E569" s="331" t="s">
        <v>1022</v>
      </c>
      <c r="F569" s="331" t="s">
        <v>291</v>
      </c>
      <c r="G569" s="336">
        <f>80735.4</f>
        <v>80735.399999999994</v>
      </c>
      <c r="H569" s="336">
        <f t="shared" si="42"/>
        <v>80735.399999999994</v>
      </c>
      <c r="I569" s="214"/>
    </row>
    <row r="570" spans="1:9" ht="94.5" hidden="1" x14ac:dyDescent="0.25">
      <c r="A570" s="31" t="s">
        <v>309</v>
      </c>
      <c r="B570" s="329">
        <v>906</v>
      </c>
      <c r="C570" s="331" t="s">
        <v>280</v>
      </c>
      <c r="D570" s="331" t="s">
        <v>134</v>
      </c>
      <c r="E570" s="331" t="s">
        <v>1024</v>
      </c>
      <c r="F570" s="331"/>
      <c r="G570" s="336">
        <f>G571</f>
        <v>0</v>
      </c>
      <c r="H570" s="336">
        <f>H571</f>
        <v>0</v>
      </c>
      <c r="I570" s="214"/>
    </row>
    <row r="571" spans="1:9" ht="31.5" hidden="1" x14ac:dyDescent="0.25">
      <c r="A571" s="335" t="s">
        <v>288</v>
      </c>
      <c r="B571" s="329">
        <v>906</v>
      </c>
      <c r="C571" s="331" t="s">
        <v>280</v>
      </c>
      <c r="D571" s="331" t="s">
        <v>134</v>
      </c>
      <c r="E571" s="331" t="s">
        <v>1024</v>
      </c>
      <c r="F571" s="331" t="s">
        <v>289</v>
      </c>
      <c r="G571" s="336">
        <f>G572</f>
        <v>0</v>
      </c>
      <c r="H571" s="336">
        <f>H572</f>
        <v>0</v>
      </c>
      <c r="I571" s="214"/>
    </row>
    <row r="572" spans="1:9" ht="15.75" hidden="1" x14ac:dyDescent="0.25">
      <c r="A572" s="335" t="s">
        <v>290</v>
      </c>
      <c r="B572" s="329">
        <v>906</v>
      </c>
      <c r="C572" s="331" t="s">
        <v>280</v>
      </c>
      <c r="D572" s="331" t="s">
        <v>134</v>
      </c>
      <c r="E572" s="331" t="s">
        <v>1024</v>
      </c>
      <c r="F572" s="331" t="s">
        <v>291</v>
      </c>
      <c r="G572" s="336"/>
      <c r="H572" s="336"/>
      <c r="I572" s="214"/>
    </row>
    <row r="573" spans="1:9" ht="31.5" x14ac:dyDescent="0.25">
      <c r="A573" s="333" t="s">
        <v>427</v>
      </c>
      <c r="B573" s="330">
        <v>906</v>
      </c>
      <c r="C573" s="334" t="s">
        <v>280</v>
      </c>
      <c r="D573" s="334" t="s">
        <v>134</v>
      </c>
      <c r="E573" s="334" t="s">
        <v>428</v>
      </c>
      <c r="F573" s="334"/>
      <c r="G573" s="332">
        <f>G574+G584+G594+G606</f>
        <v>11639.1</v>
      </c>
      <c r="H573" s="332">
        <f>H574+H584+H594+H606</f>
        <v>11639.1</v>
      </c>
      <c r="I573" s="214"/>
    </row>
    <row r="574" spans="1:9" ht="31.5" x14ac:dyDescent="0.25">
      <c r="A574" s="333" t="s">
        <v>1007</v>
      </c>
      <c r="B574" s="330">
        <v>906</v>
      </c>
      <c r="C574" s="334" t="s">
        <v>280</v>
      </c>
      <c r="D574" s="334" t="s">
        <v>134</v>
      </c>
      <c r="E574" s="334" t="s">
        <v>1008</v>
      </c>
      <c r="F574" s="334"/>
      <c r="G574" s="332">
        <f>G575+G578+G581</f>
        <v>5071.3999999999996</v>
      </c>
      <c r="H574" s="332">
        <f>H575+H578+H581</f>
        <v>5071.3999999999996</v>
      </c>
      <c r="I574" s="214"/>
    </row>
    <row r="575" spans="1:9" ht="31.5" hidden="1" x14ac:dyDescent="0.25">
      <c r="A575" s="335" t="s">
        <v>294</v>
      </c>
      <c r="B575" s="329">
        <v>906</v>
      </c>
      <c r="C575" s="331" t="s">
        <v>280</v>
      </c>
      <c r="D575" s="331" t="s">
        <v>134</v>
      </c>
      <c r="E575" s="331" t="s">
        <v>1009</v>
      </c>
      <c r="F575" s="331"/>
      <c r="G575" s="336">
        <f>'Пр.4 ведом.20'!G586</f>
        <v>574</v>
      </c>
      <c r="H575" s="336">
        <f t="shared" si="42"/>
        <v>574</v>
      </c>
      <c r="I575" s="214"/>
    </row>
    <row r="576" spans="1:9" ht="31.5" hidden="1" x14ac:dyDescent="0.25">
      <c r="A576" s="335" t="s">
        <v>288</v>
      </c>
      <c r="B576" s="329">
        <v>906</v>
      </c>
      <c r="C576" s="331" t="s">
        <v>280</v>
      </c>
      <c r="D576" s="331" t="s">
        <v>134</v>
      </c>
      <c r="E576" s="331" t="s">
        <v>1009</v>
      </c>
      <c r="F576" s="331" t="s">
        <v>289</v>
      </c>
      <c r="G576" s="336">
        <f>'Пр.4 ведом.20'!G587</f>
        <v>574</v>
      </c>
      <c r="H576" s="336">
        <f t="shared" ref="H576:H652" si="48">G576</f>
        <v>574</v>
      </c>
      <c r="I576" s="214"/>
    </row>
    <row r="577" spans="1:9" ht="15.75" hidden="1" x14ac:dyDescent="0.25">
      <c r="A577" s="335" t="s">
        <v>290</v>
      </c>
      <c r="B577" s="329">
        <v>906</v>
      </c>
      <c r="C577" s="331" t="s">
        <v>280</v>
      </c>
      <c r="D577" s="331" t="s">
        <v>134</v>
      </c>
      <c r="E577" s="331" t="s">
        <v>1009</v>
      </c>
      <c r="F577" s="331" t="s">
        <v>291</v>
      </c>
      <c r="G577" s="336">
        <f>'Пр.4 ведом.20'!G588</f>
        <v>574</v>
      </c>
      <c r="H577" s="336">
        <f t="shared" si="48"/>
        <v>574</v>
      </c>
      <c r="I577" s="214"/>
    </row>
    <row r="578" spans="1:9" ht="31.5" hidden="1" x14ac:dyDescent="0.25">
      <c r="A578" s="335" t="s">
        <v>296</v>
      </c>
      <c r="B578" s="329">
        <v>906</v>
      </c>
      <c r="C578" s="331" t="s">
        <v>280</v>
      </c>
      <c r="D578" s="331" t="s">
        <v>134</v>
      </c>
      <c r="E578" s="331" t="s">
        <v>1010</v>
      </c>
      <c r="F578" s="331"/>
      <c r="G578" s="336">
        <f>'Пр.4 ведом.20'!G589</f>
        <v>67.400000000000006</v>
      </c>
      <c r="H578" s="336">
        <f t="shared" si="48"/>
        <v>67.400000000000006</v>
      </c>
      <c r="I578" s="214"/>
    </row>
    <row r="579" spans="1:9" ht="31.5" hidden="1" x14ac:dyDescent="0.25">
      <c r="A579" s="335" t="s">
        <v>288</v>
      </c>
      <c r="B579" s="329">
        <v>906</v>
      </c>
      <c r="C579" s="331" t="s">
        <v>280</v>
      </c>
      <c r="D579" s="331" t="s">
        <v>134</v>
      </c>
      <c r="E579" s="331" t="s">
        <v>1010</v>
      </c>
      <c r="F579" s="331" t="s">
        <v>289</v>
      </c>
      <c r="G579" s="336">
        <f>'Пр.4 ведом.20'!G590</f>
        <v>67.400000000000006</v>
      </c>
      <c r="H579" s="336">
        <f t="shared" si="48"/>
        <v>67.400000000000006</v>
      </c>
      <c r="I579" s="214"/>
    </row>
    <row r="580" spans="1:9" ht="15.75" hidden="1" x14ac:dyDescent="0.25">
      <c r="A580" s="335" t="s">
        <v>290</v>
      </c>
      <c r="B580" s="329">
        <v>906</v>
      </c>
      <c r="C580" s="331" t="s">
        <v>280</v>
      </c>
      <c r="D580" s="331" t="s">
        <v>134</v>
      </c>
      <c r="E580" s="331" t="s">
        <v>1010</v>
      </c>
      <c r="F580" s="331" t="s">
        <v>291</v>
      </c>
      <c r="G580" s="336">
        <f>'Пр.4 ведом.20'!G591</f>
        <v>67.400000000000006</v>
      </c>
      <c r="H580" s="336">
        <f t="shared" si="48"/>
        <v>67.400000000000006</v>
      </c>
      <c r="I580" s="214"/>
    </row>
    <row r="581" spans="1:9" ht="31.5" x14ac:dyDescent="0.25">
      <c r="A581" s="338" t="s">
        <v>431</v>
      </c>
      <c r="B581" s="329">
        <v>906</v>
      </c>
      <c r="C581" s="331" t="s">
        <v>280</v>
      </c>
      <c r="D581" s="331" t="s">
        <v>134</v>
      </c>
      <c r="E581" s="331" t="s">
        <v>1011</v>
      </c>
      <c r="F581" s="331"/>
      <c r="G581" s="336">
        <f>G582</f>
        <v>4430</v>
      </c>
      <c r="H581" s="336">
        <f>H582</f>
        <v>4430</v>
      </c>
      <c r="I581" s="214"/>
    </row>
    <row r="582" spans="1:9" ht="31.5" x14ac:dyDescent="0.25">
      <c r="A582" s="335" t="s">
        <v>288</v>
      </c>
      <c r="B582" s="329">
        <v>906</v>
      </c>
      <c r="C582" s="331" t="s">
        <v>280</v>
      </c>
      <c r="D582" s="331" t="s">
        <v>134</v>
      </c>
      <c r="E582" s="331" t="s">
        <v>1011</v>
      </c>
      <c r="F582" s="331" t="s">
        <v>289</v>
      </c>
      <c r="G582" s="336">
        <f>G583</f>
        <v>4430</v>
      </c>
      <c r="H582" s="336">
        <f>H583</f>
        <v>4430</v>
      </c>
      <c r="I582" s="214"/>
    </row>
    <row r="583" spans="1:9" ht="15.75" x14ac:dyDescent="0.25">
      <c r="A583" s="335" t="s">
        <v>290</v>
      </c>
      <c r="B583" s="329">
        <v>906</v>
      </c>
      <c r="C583" s="331" t="s">
        <v>280</v>
      </c>
      <c r="D583" s="331" t="s">
        <v>134</v>
      </c>
      <c r="E583" s="331" t="s">
        <v>1011</v>
      </c>
      <c r="F583" s="331" t="s">
        <v>291</v>
      </c>
      <c r="G583" s="336">
        <f>4430</f>
        <v>4430</v>
      </c>
      <c r="H583" s="336">
        <f t="shared" si="48"/>
        <v>4430</v>
      </c>
      <c r="I583" s="214"/>
    </row>
    <row r="584" spans="1:9" ht="31.5" x14ac:dyDescent="0.25">
      <c r="A584" s="227" t="s">
        <v>1077</v>
      </c>
      <c r="B584" s="330">
        <v>906</v>
      </c>
      <c r="C584" s="334" t="s">
        <v>280</v>
      </c>
      <c r="D584" s="334" t="s">
        <v>134</v>
      </c>
      <c r="E584" s="334" t="s">
        <v>1012</v>
      </c>
      <c r="F584" s="334"/>
      <c r="G584" s="44">
        <f>G585+G588+G591</f>
        <v>4610</v>
      </c>
      <c r="H584" s="44">
        <f>H585+H588+H591</f>
        <v>4610</v>
      </c>
      <c r="I584" s="214"/>
    </row>
    <row r="585" spans="1:9" ht="31.5" hidden="1" x14ac:dyDescent="0.25">
      <c r="A585" s="335" t="s">
        <v>300</v>
      </c>
      <c r="B585" s="329">
        <v>906</v>
      </c>
      <c r="C585" s="331" t="s">
        <v>280</v>
      </c>
      <c r="D585" s="331" t="s">
        <v>134</v>
      </c>
      <c r="E585" s="331" t="s">
        <v>1013</v>
      </c>
      <c r="F585" s="331"/>
      <c r="G585" s="336">
        <f>'Пр.4 ведом.20'!G596</f>
        <v>0</v>
      </c>
      <c r="H585" s="336">
        <f t="shared" si="48"/>
        <v>0</v>
      </c>
      <c r="I585" s="214"/>
    </row>
    <row r="586" spans="1:9" ht="31.5" hidden="1" x14ac:dyDescent="0.25">
      <c r="A586" s="335" t="s">
        <v>288</v>
      </c>
      <c r="B586" s="329">
        <v>906</v>
      </c>
      <c r="C586" s="331" t="s">
        <v>280</v>
      </c>
      <c r="D586" s="331" t="s">
        <v>134</v>
      </c>
      <c r="E586" s="331" t="s">
        <v>1013</v>
      </c>
      <c r="F586" s="331" t="s">
        <v>289</v>
      </c>
      <c r="G586" s="336">
        <f>'Пр.4 ведом.20'!G597</f>
        <v>0</v>
      </c>
      <c r="H586" s="336">
        <f t="shared" si="48"/>
        <v>0</v>
      </c>
      <c r="I586" s="214"/>
    </row>
    <row r="587" spans="1:9" ht="15.75" hidden="1" x14ac:dyDescent="0.25">
      <c r="A587" s="335" t="s">
        <v>290</v>
      </c>
      <c r="B587" s="329">
        <v>906</v>
      </c>
      <c r="C587" s="331" t="s">
        <v>280</v>
      </c>
      <c r="D587" s="331" t="s">
        <v>134</v>
      </c>
      <c r="E587" s="331" t="s">
        <v>1013</v>
      </c>
      <c r="F587" s="331" t="s">
        <v>291</v>
      </c>
      <c r="G587" s="336">
        <f>'Пр.4 ведом.20'!G598</f>
        <v>0</v>
      </c>
      <c r="H587" s="336">
        <f t="shared" si="48"/>
        <v>0</v>
      </c>
      <c r="I587" s="214"/>
    </row>
    <row r="588" spans="1:9" ht="31.5" x14ac:dyDescent="0.25">
      <c r="A588" s="60" t="s">
        <v>787</v>
      </c>
      <c r="B588" s="329">
        <v>906</v>
      </c>
      <c r="C588" s="331" t="s">
        <v>280</v>
      </c>
      <c r="D588" s="331" t="s">
        <v>134</v>
      </c>
      <c r="E588" s="331" t="s">
        <v>1014</v>
      </c>
      <c r="F588" s="331"/>
      <c r="G588" s="336">
        <f>G589</f>
        <v>2850</v>
      </c>
      <c r="H588" s="336">
        <f>H589</f>
        <v>2850</v>
      </c>
      <c r="I588" s="214"/>
    </row>
    <row r="589" spans="1:9" ht="31.5" x14ac:dyDescent="0.25">
      <c r="A589" s="338" t="s">
        <v>288</v>
      </c>
      <c r="B589" s="329">
        <v>906</v>
      </c>
      <c r="C589" s="331" t="s">
        <v>280</v>
      </c>
      <c r="D589" s="331" t="s">
        <v>134</v>
      </c>
      <c r="E589" s="331" t="s">
        <v>1014</v>
      </c>
      <c r="F589" s="331" t="s">
        <v>289</v>
      </c>
      <c r="G589" s="336">
        <f>G590</f>
        <v>2850</v>
      </c>
      <c r="H589" s="336">
        <f>H590</f>
        <v>2850</v>
      </c>
      <c r="I589" s="214"/>
    </row>
    <row r="590" spans="1:9" ht="15.75" x14ac:dyDescent="0.25">
      <c r="A590" s="192" t="s">
        <v>290</v>
      </c>
      <c r="B590" s="329">
        <v>906</v>
      </c>
      <c r="C590" s="331" t="s">
        <v>280</v>
      </c>
      <c r="D590" s="331" t="s">
        <v>134</v>
      </c>
      <c r="E590" s="331" t="s">
        <v>1014</v>
      </c>
      <c r="F590" s="331" t="s">
        <v>291</v>
      </c>
      <c r="G590" s="336">
        <f>2850</f>
        <v>2850</v>
      </c>
      <c r="H590" s="336">
        <f t="shared" si="48"/>
        <v>2850</v>
      </c>
      <c r="I590" s="214"/>
    </row>
    <row r="591" spans="1:9" ht="47.25" x14ac:dyDescent="0.25">
      <c r="A591" s="60" t="s">
        <v>788</v>
      </c>
      <c r="B591" s="329">
        <v>906</v>
      </c>
      <c r="C591" s="331" t="s">
        <v>280</v>
      </c>
      <c r="D591" s="331" t="s">
        <v>134</v>
      </c>
      <c r="E591" s="331" t="s">
        <v>1015</v>
      </c>
      <c r="F591" s="331"/>
      <c r="G591" s="336">
        <f>G592</f>
        <v>1760</v>
      </c>
      <c r="H591" s="336">
        <f>H592</f>
        <v>1760</v>
      </c>
      <c r="I591" s="214"/>
    </row>
    <row r="592" spans="1:9" ht="31.5" x14ac:dyDescent="0.25">
      <c r="A592" s="338" t="s">
        <v>288</v>
      </c>
      <c r="B592" s="329">
        <v>906</v>
      </c>
      <c r="C592" s="331" t="s">
        <v>280</v>
      </c>
      <c r="D592" s="331" t="s">
        <v>134</v>
      </c>
      <c r="E592" s="331" t="s">
        <v>1015</v>
      </c>
      <c r="F592" s="331" t="s">
        <v>289</v>
      </c>
      <c r="G592" s="336">
        <f>G593</f>
        <v>1760</v>
      </c>
      <c r="H592" s="336">
        <f>H593</f>
        <v>1760</v>
      </c>
      <c r="I592" s="214"/>
    </row>
    <row r="593" spans="1:9" ht="15.75" x14ac:dyDescent="0.25">
      <c r="A593" s="192" t="s">
        <v>290</v>
      </c>
      <c r="B593" s="329">
        <v>906</v>
      </c>
      <c r="C593" s="331" t="s">
        <v>280</v>
      </c>
      <c r="D593" s="331" t="s">
        <v>134</v>
      </c>
      <c r="E593" s="331" t="s">
        <v>1015</v>
      </c>
      <c r="F593" s="331" t="s">
        <v>291</v>
      </c>
      <c r="G593" s="336">
        <f>1760</f>
        <v>1760</v>
      </c>
      <c r="H593" s="336">
        <f t="shared" si="48"/>
        <v>1760</v>
      </c>
      <c r="I593" s="214"/>
    </row>
    <row r="594" spans="1:9" ht="63" x14ac:dyDescent="0.25">
      <c r="A594" s="333" t="s">
        <v>1016</v>
      </c>
      <c r="B594" s="330">
        <v>906</v>
      </c>
      <c r="C594" s="334" t="s">
        <v>280</v>
      </c>
      <c r="D594" s="334" t="s">
        <v>134</v>
      </c>
      <c r="E594" s="334" t="s">
        <v>1017</v>
      </c>
      <c r="F594" s="334"/>
      <c r="G594" s="332">
        <f>G595+G598</f>
        <v>291.10000000000002</v>
      </c>
      <c r="H594" s="332">
        <f>H595+H598</f>
        <v>291.10000000000002</v>
      </c>
      <c r="I594" s="214"/>
    </row>
    <row r="595" spans="1:9" ht="120.2" customHeight="1" x14ac:dyDescent="0.25">
      <c r="A595" s="335" t="s">
        <v>1463</v>
      </c>
      <c r="B595" s="329">
        <v>906</v>
      </c>
      <c r="C595" s="331" t="s">
        <v>280</v>
      </c>
      <c r="D595" s="331" t="s">
        <v>134</v>
      </c>
      <c r="E595" s="331" t="s">
        <v>1018</v>
      </c>
      <c r="F595" s="331"/>
      <c r="G595" s="336">
        <f>G596</f>
        <v>124.4</v>
      </c>
      <c r="H595" s="336">
        <f>H596</f>
        <v>124.4</v>
      </c>
      <c r="I595" s="214"/>
    </row>
    <row r="596" spans="1:9" ht="31.5" x14ac:dyDescent="0.25">
      <c r="A596" s="338" t="s">
        <v>288</v>
      </c>
      <c r="B596" s="329">
        <v>906</v>
      </c>
      <c r="C596" s="331" t="s">
        <v>280</v>
      </c>
      <c r="D596" s="331" t="s">
        <v>134</v>
      </c>
      <c r="E596" s="331" t="s">
        <v>1018</v>
      </c>
      <c r="F596" s="331" t="s">
        <v>289</v>
      </c>
      <c r="G596" s="336">
        <f>G597</f>
        <v>124.4</v>
      </c>
      <c r="H596" s="336">
        <f>H597</f>
        <v>124.4</v>
      </c>
      <c r="I596" s="214"/>
    </row>
    <row r="597" spans="1:9" ht="15.75" x14ac:dyDescent="0.25">
      <c r="A597" s="192" t="s">
        <v>290</v>
      </c>
      <c r="B597" s="329">
        <v>906</v>
      </c>
      <c r="C597" s="331" t="s">
        <v>280</v>
      </c>
      <c r="D597" s="331" t="s">
        <v>134</v>
      </c>
      <c r="E597" s="331" t="s">
        <v>1018</v>
      </c>
      <c r="F597" s="331" t="s">
        <v>291</v>
      </c>
      <c r="G597" s="336">
        <f>124.4</f>
        <v>124.4</v>
      </c>
      <c r="H597" s="336">
        <f t="shared" si="48"/>
        <v>124.4</v>
      </c>
      <c r="I597" s="214"/>
    </row>
    <row r="598" spans="1:9" ht="126" x14ac:dyDescent="0.25">
      <c r="A598" s="335" t="s">
        <v>439</v>
      </c>
      <c r="B598" s="329">
        <v>906</v>
      </c>
      <c r="C598" s="331" t="s">
        <v>280</v>
      </c>
      <c r="D598" s="331" t="s">
        <v>134</v>
      </c>
      <c r="E598" s="331" t="s">
        <v>1019</v>
      </c>
      <c r="F598" s="331"/>
      <c r="G598" s="336">
        <f>G599</f>
        <v>166.7</v>
      </c>
      <c r="H598" s="336">
        <f>H599</f>
        <v>166.7</v>
      </c>
      <c r="I598" s="214"/>
    </row>
    <row r="599" spans="1:9" ht="31.5" x14ac:dyDescent="0.25">
      <c r="A599" s="335" t="s">
        <v>288</v>
      </c>
      <c r="B599" s="329">
        <v>906</v>
      </c>
      <c r="C599" s="331" t="s">
        <v>280</v>
      </c>
      <c r="D599" s="331" t="s">
        <v>134</v>
      </c>
      <c r="E599" s="331" t="s">
        <v>1019</v>
      </c>
      <c r="F599" s="331" t="s">
        <v>289</v>
      </c>
      <c r="G599" s="336">
        <f>G600</f>
        <v>166.7</v>
      </c>
      <c r="H599" s="336">
        <f>H600</f>
        <v>166.7</v>
      </c>
      <c r="I599" s="214"/>
    </row>
    <row r="600" spans="1:9" ht="15.75" x14ac:dyDescent="0.25">
      <c r="A600" s="335" t="s">
        <v>290</v>
      </c>
      <c r="B600" s="329">
        <v>906</v>
      </c>
      <c r="C600" s="331" t="s">
        <v>280</v>
      </c>
      <c r="D600" s="331" t="s">
        <v>134</v>
      </c>
      <c r="E600" s="331" t="s">
        <v>1019</v>
      </c>
      <c r="F600" s="331" t="s">
        <v>291</v>
      </c>
      <c r="G600" s="336">
        <f>166.7</f>
        <v>166.7</v>
      </c>
      <c r="H600" s="336">
        <f t="shared" si="48"/>
        <v>166.7</v>
      </c>
      <c r="I600" s="214"/>
    </row>
    <row r="601" spans="1:9" ht="63" hidden="1" x14ac:dyDescent="0.25">
      <c r="A601" s="34" t="s">
        <v>805</v>
      </c>
      <c r="B601" s="330">
        <v>906</v>
      </c>
      <c r="C601" s="334" t="s">
        <v>280</v>
      </c>
      <c r="D601" s="334" t="s">
        <v>134</v>
      </c>
      <c r="E601" s="334" t="s">
        <v>340</v>
      </c>
      <c r="F601" s="334"/>
      <c r="G601" s="332">
        <f>G602</f>
        <v>0</v>
      </c>
      <c r="H601" s="332">
        <f>H602</f>
        <v>0</v>
      </c>
      <c r="I601" s="214"/>
    </row>
    <row r="602" spans="1:9" ht="63" hidden="1" x14ac:dyDescent="0.25">
      <c r="A602" s="34" t="s">
        <v>1162</v>
      </c>
      <c r="B602" s="330">
        <v>906</v>
      </c>
      <c r="C602" s="334" t="s">
        <v>280</v>
      </c>
      <c r="D602" s="334" t="s">
        <v>134</v>
      </c>
      <c r="E602" s="334" t="s">
        <v>1025</v>
      </c>
      <c r="F602" s="334"/>
      <c r="G602" s="332">
        <f>G603</f>
        <v>0</v>
      </c>
      <c r="H602" s="332">
        <f>H603</f>
        <v>0</v>
      </c>
      <c r="I602" s="214"/>
    </row>
    <row r="603" spans="1:9" ht="47.25" hidden="1" x14ac:dyDescent="0.25">
      <c r="A603" s="31" t="s">
        <v>1274</v>
      </c>
      <c r="B603" s="329">
        <v>906</v>
      </c>
      <c r="C603" s="331" t="s">
        <v>280</v>
      </c>
      <c r="D603" s="331" t="s">
        <v>134</v>
      </c>
      <c r="E603" s="331" t="s">
        <v>1026</v>
      </c>
      <c r="F603" s="331"/>
      <c r="G603" s="336">
        <f>'Пр.4 ведом.20'!G621</f>
        <v>0</v>
      </c>
      <c r="H603" s="336">
        <f t="shared" si="48"/>
        <v>0</v>
      </c>
      <c r="I603" s="214"/>
    </row>
    <row r="604" spans="1:9" ht="31.5" hidden="1" x14ac:dyDescent="0.25">
      <c r="A604" s="31" t="s">
        <v>288</v>
      </c>
      <c r="B604" s="329">
        <v>906</v>
      </c>
      <c r="C604" s="331" t="s">
        <v>280</v>
      </c>
      <c r="D604" s="331" t="s">
        <v>134</v>
      </c>
      <c r="E604" s="331" t="s">
        <v>1026</v>
      </c>
      <c r="F604" s="331" t="s">
        <v>289</v>
      </c>
      <c r="G604" s="336">
        <f>'Пр.4 ведом.20'!G622</f>
        <v>0</v>
      </c>
      <c r="H604" s="336">
        <f t="shared" si="48"/>
        <v>0</v>
      </c>
      <c r="I604" s="214"/>
    </row>
    <row r="605" spans="1:9" ht="15.75" hidden="1" x14ac:dyDescent="0.25">
      <c r="A605" s="31" t="s">
        <v>290</v>
      </c>
      <c r="B605" s="329">
        <v>906</v>
      </c>
      <c r="C605" s="331" t="s">
        <v>280</v>
      </c>
      <c r="D605" s="331" t="s">
        <v>134</v>
      </c>
      <c r="E605" s="331" t="s">
        <v>1026</v>
      </c>
      <c r="F605" s="331" t="s">
        <v>291</v>
      </c>
      <c r="G605" s="336">
        <f>'Пр.4 ведом.20'!G623</f>
        <v>0</v>
      </c>
      <c r="H605" s="336">
        <f t="shared" si="48"/>
        <v>0</v>
      </c>
      <c r="I605" s="214"/>
    </row>
    <row r="606" spans="1:9" s="213" customFormat="1" ht="94.5" x14ac:dyDescent="0.25">
      <c r="A606" s="333" t="s">
        <v>1400</v>
      </c>
      <c r="B606" s="330">
        <v>906</v>
      </c>
      <c r="C606" s="334" t="s">
        <v>280</v>
      </c>
      <c r="D606" s="334" t="s">
        <v>134</v>
      </c>
      <c r="E606" s="334" t="s">
        <v>1398</v>
      </c>
      <c r="F606" s="334"/>
      <c r="G606" s="332">
        <f>G607+G610</f>
        <v>1666.6</v>
      </c>
      <c r="H606" s="332">
        <f>H607+H610</f>
        <v>1666.6</v>
      </c>
      <c r="I606" s="214"/>
    </row>
    <row r="607" spans="1:9" s="213" customFormat="1" ht="94.5" x14ac:dyDescent="0.25">
      <c r="A607" s="151" t="s">
        <v>1464</v>
      </c>
      <c r="B607" s="329">
        <v>906</v>
      </c>
      <c r="C607" s="331" t="s">
        <v>280</v>
      </c>
      <c r="D607" s="331" t="s">
        <v>134</v>
      </c>
      <c r="E607" s="331" t="s">
        <v>1402</v>
      </c>
      <c r="F607" s="331"/>
      <c r="G607" s="336">
        <f>G608</f>
        <v>0</v>
      </c>
      <c r="H607" s="336">
        <f>H608</f>
        <v>0</v>
      </c>
      <c r="I607" s="214"/>
    </row>
    <row r="608" spans="1:9" s="213" customFormat="1" ht="31.5" x14ac:dyDescent="0.25">
      <c r="A608" s="335" t="s">
        <v>288</v>
      </c>
      <c r="B608" s="329">
        <v>906</v>
      </c>
      <c r="C608" s="331" t="s">
        <v>280</v>
      </c>
      <c r="D608" s="331" t="s">
        <v>134</v>
      </c>
      <c r="E608" s="331" t="s">
        <v>1402</v>
      </c>
      <c r="F608" s="331" t="s">
        <v>289</v>
      </c>
      <c r="G608" s="336">
        <f>G609</f>
        <v>0</v>
      </c>
      <c r="H608" s="336">
        <f>H609</f>
        <v>0</v>
      </c>
      <c r="I608" s="214"/>
    </row>
    <row r="609" spans="1:9" s="213" customFormat="1" ht="15.75" x14ac:dyDescent="0.25">
      <c r="A609" s="335" t="s">
        <v>290</v>
      </c>
      <c r="B609" s="329">
        <v>906</v>
      </c>
      <c r="C609" s="331" t="s">
        <v>280</v>
      </c>
      <c r="D609" s="331" t="s">
        <v>134</v>
      </c>
      <c r="E609" s="331" t="s">
        <v>1402</v>
      </c>
      <c r="F609" s="331" t="s">
        <v>291</v>
      </c>
      <c r="G609" s="336">
        <v>0</v>
      </c>
      <c r="H609" s="336">
        <v>0</v>
      </c>
      <c r="I609" s="214"/>
    </row>
    <row r="610" spans="1:9" s="213" customFormat="1" ht="81.75" customHeight="1" x14ac:dyDescent="0.25">
      <c r="A610" s="151" t="s">
        <v>1453</v>
      </c>
      <c r="B610" s="329">
        <v>906</v>
      </c>
      <c r="C610" s="331" t="s">
        <v>280</v>
      </c>
      <c r="D610" s="331" t="s">
        <v>134</v>
      </c>
      <c r="E610" s="331" t="s">
        <v>1401</v>
      </c>
      <c r="F610" s="331"/>
      <c r="G610" s="336">
        <f>G611</f>
        <v>1666.6</v>
      </c>
      <c r="H610" s="336">
        <f>H611</f>
        <v>1666.6</v>
      </c>
      <c r="I610" s="214"/>
    </row>
    <row r="611" spans="1:9" s="213" customFormat="1" ht="31.5" x14ac:dyDescent="0.25">
      <c r="A611" s="335" t="s">
        <v>288</v>
      </c>
      <c r="B611" s="329">
        <v>906</v>
      </c>
      <c r="C611" s="331" t="s">
        <v>280</v>
      </c>
      <c r="D611" s="331" t="s">
        <v>134</v>
      </c>
      <c r="E611" s="331" t="s">
        <v>1401</v>
      </c>
      <c r="F611" s="331" t="s">
        <v>289</v>
      </c>
      <c r="G611" s="336">
        <f>G612</f>
        <v>1666.6</v>
      </c>
      <c r="H611" s="336">
        <f>H612</f>
        <v>1666.6</v>
      </c>
      <c r="I611" s="214"/>
    </row>
    <row r="612" spans="1:9" s="213" customFormat="1" ht="15.75" x14ac:dyDescent="0.25">
      <c r="A612" s="335" t="s">
        <v>290</v>
      </c>
      <c r="B612" s="329">
        <v>906</v>
      </c>
      <c r="C612" s="331" t="s">
        <v>280</v>
      </c>
      <c r="D612" s="331" t="s">
        <v>134</v>
      </c>
      <c r="E612" s="331" t="s">
        <v>1401</v>
      </c>
      <c r="F612" s="331" t="s">
        <v>291</v>
      </c>
      <c r="G612" s="336">
        <f>1666.6</f>
        <v>1666.6</v>
      </c>
      <c r="H612" s="336">
        <f>G612</f>
        <v>1666.6</v>
      </c>
      <c r="I612" s="214"/>
    </row>
    <row r="613" spans="1:9" ht="63" x14ac:dyDescent="0.25">
      <c r="A613" s="41" t="s">
        <v>730</v>
      </c>
      <c r="B613" s="330">
        <v>906</v>
      </c>
      <c r="C613" s="334" t="s">
        <v>280</v>
      </c>
      <c r="D613" s="334" t="s">
        <v>134</v>
      </c>
      <c r="E613" s="334" t="s">
        <v>728</v>
      </c>
      <c r="F613" s="231"/>
      <c r="G613" s="332">
        <f>G615</f>
        <v>464.3</v>
      </c>
      <c r="H613" s="332">
        <f>H615</f>
        <v>464.3</v>
      </c>
      <c r="I613" s="214"/>
    </row>
    <row r="614" spans="1:9" ht="47.25" x14ac:dyDescent="0.25">
      <c r="A614" s="41" t="s">
        <v>949</v>
      </c>
      <c r="B614" s="330">
        <v>906</v>
      </c>
      <c r="C614" s="334" t="s">
        <v>280</v>
      </c>
      <c r="D614" s="334" t="s">
        <v>134</v>
      </c>
      <c r="E614" s="334" t="s">
        <v>947</v>
      </c>
      <c r="F614" s="231"/>
      <c r="G614" s="332">
        <f t="shared" ref="G614:H616" si="49">G615</f>
        <v>464.3</v>
      </c>
      <c r="H614" s="332">
        <f t="shared" si="49"/>
        <v>464.3</v>
      </c>
      <c r="I614" s="214"/>
    </row>
    <row r="615" spans="1:9" ht="47.25" x14ac:dyDescent="0.25">
      <c r="A615" s="99" t="s">
        <v>803</v>
      </c>
      <c r="B615" s="329">
        <v>906</v>
      </c>
      <c r="C615" s="331" t="s">
        <v>280</v>
      </c>
      <c r="D615" s="331" t="s">
        <v>134</v>
      </c>
      <c r="E615" s="331" t="s">
        <v>1027</v>
      </c>
      <c r="F615" s="32"/>
      <c r="G615" s="336">
        <f t="shared" si="49"/>
        <v>464.3</v>
      </c>
      <c r="H615" s="336">
        <f t="shared" si="49"/>
        <v>464.3</v>
      </c>
      <c r="I615" s="214"/>
    </row>
    <row r="616" spans="1:9" ht="31.5" x14ac:dyDescent="0.25">
      <c r="A616" s="338" t="s">
        <v>288</v>
      </c>
      <c r="B616" s="329">
        <v>906</v>
      </c>
      <c r="C616" s="331" t="s">
        <v>280</v>
      </c>
      <c r="D616" s="331" t="s">
        <v>134</v>
      </c>
      <c r="E616" s="331" t="s">
        <v>1027</v>
      </c>
      <c r="F616" s="32" t="s">
        <v>289</v>
      </c>
      <c r="G616" s="336">
        <f t="shared" si="49"/>
        <v>464.3</v>
      </c>
      <c r="H616" s="336">
        <f t="shared" si="49"/>
        <v>464.3</v>
      </c>
      <c r="I616" s="214"/>
    </row>
    <row r="617" spans="1:9" ht="15.75" x14ac:dyDescent="0.25">
      <c r="A617" s="192" t="s">
        <v>290</v>
      </c>
      <c r="B617" s="329">
        <v>906</v>
      </c>
      <c r="C617" s="331" t="s">
        <v>280</v>
      </c>
      <c r="D617" s="331" t="s">
        <v>134</v>
      </c>
      <c r="E617" s="331" t="s">
        <v>1027</v>
      </c>
      <c r="F617" s="32" t="s">
        <v>291</v>
      </c>
      <c r="G617" s="336">
        <f>464.3</f>
        <v>464.3</v>
      </c>
      <c r="H617" s="336">
        <f t="shared" si="48"/>
        <v>464.3</v>
      </c>
      <c r="I617" s="214"/>
    </row>
    <row r="618" spans="1:9" ht="15.75" x14ac:dyDescent="0.25">
      <c r="A618" s="333" t="s">
        <v>441</v>
      </c>
      <c r="B618" s="330">
        <v>906</v>
      </c>
      <c r="C618" s="334" t="s">
        <v>280</v>
      </c>
      <c r="D618" s="334" t="s">
        <v>229</v>
      </c>
      <c r="E618" s="334"/>
      <c r="F618" s="334"/>
      <c r="G618" s="332">
        <f>G619+G692+G697</f>
        <v>194965.7</v>
      </c>
      <c r="H618" s="332">
        <f>H619+H692+H697</f>
        <v>194974.2</v>
      </c>
      <c r="I618" s="214"/>
    </row>
    <row r="619" spans="1:9" ht="47.25" x14ac:dyDescent="0.25">
      <c r="A619" s="333" t="s">
        <v>1430</v>
      </c>
      <c r="B619" s="330">
        <v>906</v>
      </c>
      <c r="C619" s="334" t="s">
        <v>280</v>
      </c>
      <c r="D619" s="334" t="s">
        <v>229</v>
      </c>
      <c r="E619" s="334" t="s">
        <v>422</v>
      </c>
      <c r="F619" s="334"/>
      <c r="G619" s="332">
        <f>G620+G653</f>
        <v>194242.40000000002</v>
      </c>
      <c r="H619" s="332">
        <f>H620+H653</f>
        <v>194250.90000000002</v>
      </c>
      <c r="I619" s="214"/>
    </row>
    <row r="620" spans="1:9" ht="31.5" x14ac:dyDescent="0.25">
      <c r="A620" s="333" t="s">
        <v>423</v>
      </c>
      <c r="B620" s="330">
        <v>906</v>
      </c>
      <c r="C620" s="334" t="s">
        <v>280</v>
      </c>
      <c r="D620" s="334" t="s">
        <v>229</v>
      </c>
      <c r="E620" s="334" t="s">
        <v>424</v>
      </c>
      <c r="F620" s="334"/>
      <c r="G620" s="332">
        <f>G621+G631</f>
        <v>183876.30000000002</v>
      </c>
      <c r="H620" s="332">
        <f>H621+H631</f>
        <v>183876.30000000002</v>
      </c>
      <c r="I620" s="214"/>
    </row>
    <row r="621" spans="1:9" ht="31.5" x14ac:dyDescent="0.25">
      <c r="A621" s="333" t="s">
        <v>1028</v>
      </c>
      <c r="B621" s="330">
        <v>906</v>
      </c>
      <c r="C621" s="334" t="s">
        <v>280</v>
      </c>
      <c r="D621" s="334" t="s">
        <v>229</v>
      </c>
      <c r="E621" s="334" t="s">
        <v>1006</v>
      </c>
      <c r="F621" s="334"/>
      <c r="G621" s="332">
        <f>G622+G625+G628</f>
        <v>28803</v>
      </c>
      <c r="H621" s="332">
        <f>H622+H625+H628</f>
        <v>28803</v>
      </c>
      <c r="I621" s="214"/>
    </row>
    <row r="622" spans="1:9" ht="47.25" x14ac:dyDescent="0.25">
      <c r="A622" s="335" t="s">
        <v>1457</v>
      </c>
      <c r="B622" s="329">
        <v>906</v>
      </c>
      <c r="C622" s="331" t="s">
        <v>280</v>
      </c>
      <c r="D622" s="331" t="s">
        <v>229</v>
      </c>
      <c r="E622" s="331" t="s">
        <v>1065</v>
      </c>
      <c r="F622" s="331"/>
      <c r="G622" s="336">
        <f>G623</f>
        <v>9775.4</v>
      </c>
      <c r="H622" s="336">
        <f>H623</f>
        <v>9775.4</v>
      </c>
      <c r="I622" s="214"/>
    </row>
    <row r="623" spans="1:9" ht="31.5" x14ac:dyDescent="0.25">
      <c r="A623" s="335" t="s">
        <v>288</v>
      </c>
      <c r="B623" s="329">
        <v>906</v>
      </c>
      <c r="C623" s="331" t="s">
        <v>280</v>
      </c>
      <c r="D623" s="331" t="s">
        <v>229</v>
      </c>
      <c r="E623" s="331" t="s">
        <v>1065</v>
      </c>
      <c r="F623" s="331" t="s">
        <v>289</v>
      </c>
      <c r="G623" s="336">
        <f>G624</f>
        <v>9775.4</v>
      </c>
      <c r="H623" s="336">
        <f>H624</f>
        <v>9775.4</v>
      </c>
      <c r="I623" s="214"/>
    </row>
    <row r="624" spans="1:9" ht="15.75" x14ac:dyDescent="0.25">
      <c r="A624" s="335" t="s">
        <v>290</v>
      </c>
      <c r="B624" s="329">
        <v>906</v>
      </c>
      <c r="C624" s="331" t="s">
        <v>280</v>
      </c>
      <c r="D624" s="331" t="s">
        <v>229</v>
      </c>
      <c r="E624" s="331" t="s">
        <v>1065</v>
      </c>
      <c r="F624" s="331" t="s">
        <v>291</v>
      </c>
      <c r="G624" s="336">
        <f>9765.4+10</f>
        <v>9775.4</v>
      </c>
      <c r="H624" s="336">
        <f t="shared" si="48"/>
        <v>9775.4</v>
      </c>
      <c r="I624" s="214"/>
    </row>
    <row r="625" spans="1:9" ht="47.25" x14ac:dyDescent="0.25">
      <c r="A625" s="335" t="s">
        <v>1069</v>
      </c>
      <c r="B625" s="329">
        <v>906</v>
      </c>
      <c r="C625" s="331" t="s">
        <v>280</v>
      </c>
      <c r="D625" s="331" t="s">
        <v>229</v>
      </c>
      <c r="E625" s="331" t="s">
        <v>1066</v>
      </c>
      <c r="F625" s="331"/>
      <c r="G625" s="336">
        <f>G626</f>
        <v>12351.7</v>
      </c>
      <c r="H625" s="336">
        <f>H626</f>
        <v>12351.7</v>
      </c>
      <c r="I625" s="214"/>
    </row>
    <row r="626" spans="1:9" ht="31.5" x14ac:dyDescent="0.25">
      <c r="A626" s="335" t="s">
        <v>288</v>
      </c>
      <c r="B626" s="329">
        <v>906</v>
      </c>
      <c r="C626" s="331" t="s">
        <v>280</v>
      </c>
      <c r="D626" s="331" t="s">
        <v>229</v>
      </c>
      <c r="E626" s="331" t="s">
        <v>1066</v>
      </c>
      <c r="F626" s="331" t="s">
        <v>289</v>
      </c>
      <c r="G626" s="336">
        <f>G627</f>
        <v>12351.7</v>
      </c>
      <c r="H626" s="336">
        <f>H627</f>
        <v>12351.7</v>
      </c>
      <c r="I626" s="214"/>
    </row>
    <row r="627" spans="1:9" ht="15.75" x14ac:dyDescent="0.25">
      <c r="A627" s="335" t="s">
        <v>290</v>
      </c>
      <c r="B627" s="329">
        <v>906</v>
      </c>
      <c r="C627" s="331" t="s">
        <v>280</v>
      </c>
      <c r="D627" s="331" t="s">
        <v>229</v>
      </c>
      <c r="E627" s="331" t="s">
        <v>1066</v>
      </c>
      <c r="F627" s="331" t="s">
        <v>291</v>
      </c>
      <c r="G627" s="336">
        <f>12351.7</f>
        <v>12351.7</v>
      </c>
      <c r="H627" s="336">
        <f t="shared" si="48"/>
        <v>12351.7</v>
      </c>
      <c r="I627" s="214"/>
    </row>
    <row r="628" spans="1:9" ht="47.25" x14ac:dyDescent="0.25">
      <c r="A628" s="335" t="s">
        <v>1070</v>
      </c>
      <c r="B628" s="329">
        <v>906</v>
      </c>
      <c r="C628" s="331" t="s">
        <v>280</v>
      </c>
      <c r="D628" s="331" t="s">
        <v>229</v>
      </c>
      <c r="E628" s="331" t="s">
        <v>1067</v>
      </c>
      <c r="F628" s="331"/>
      <c r="G628" s="336">
        <f>G629</f>
        <v>6675.9</v>
      </c>
      <c r="H628" s="336">
        <f>H629</f>
        <v>6675.9</v>
      </c>
      <c r="I628" s="214"/>
    </row>
    <row r="629" spans="1:9" ht="31.5" x14ac:dyDescent="0.25">
      <c r="A629" s="335" t="s">
        <v>288</v>
      </c>
      <c r="B629" s="329">
        <v>906</v>
      </c>
      <c r="C629" s="331" t="s">
        <v>280</v>
      </c>
      <c r="D629" s="331" t="s">
        <v>229</v>
      </c>
      <c r="E629" s="331" t="s">
        <v>1067</v>
      </c>
      <c r="F629" s="331" t="s">
        <v>289</v>
      </c>
      <c r="G629" s="336">
        <f>G630</f>
        <v>6675.9</v>
      </c>
      <c r="H629" s="336">
        <f>H630</f>
        <v>6675.9</v>
      </c>
      <c r="I629" s="214"/>
    </row>
    <row r="630" spans="1:9" ht="15.75" x14ac:dyDescent="0.25">
      <c r="A630" s="335" t="s">
        <v>290</v>
      </c>
      <c r="B630" s="329">
        <v>906</v>
      </c>
      <c r="C630" s="331" t="s">
        <v>280</v>
      </c>
      <c r="D630" s="331" t="s">
        <v>229</v>
      </c>
      <c r="E630" s="331" t="s">
        <v>1067</v>
      </c>
      <c r="F630" s="331" t="s">
        <v>291</v>
      </c>
      <c r="G630" s="336">
        <f>6675.9</f>
        <v>6675.9</v>
      </c>
      <c r="H630" s="336">
        <f t="shared" si="48"/>
        <v>6675.9</v>
      </c>
      <c r="I630" s="214"/>
    </row>
    <row r="631" spans="1:9" ht="47.25" x14ac:dyDescent="0.25">
      <c r="A631" s="333" t="s">
        <v>971</v>
      </c>
      <c r="B631" s="330">
        <v>906</v>
      </c>
      <c r="C631" s="334" t="s">
        <v>280</v>
      </c>
      <c r="D631" s="334" t="s">
        <v>229</v>
      </c>
      <c r="E631" s="334" t="s">
        <v>1021</v>
      </c>
      <c r="F631" s="334"/>
      <c r="G631" s="44">
        <f>G638+G641+G644+G647+G650+G635+G632</f>
        <v>155073.30000000002</v>
      </c>
      <c r="H631" s="44">
        <f>H638+H641+H644+H647+H650+H635+H632</f>
        <v>155073.30000000002</v>
      </c>
      <c r="I631" s="214"/>
    </row>
    <row r="632" spans="1:9" s="324" customFormat="1" ht="63" x14ac:dyDescent="0.25">
      <c r="A632" s="335" t="s">
        <v>1525</v>
      </c>
      <c r="B632" s="329">
        <v>906</v>
      </c>
      <c r="C632" s="331" t="s">
        <v>280</v>
      </c>
      <c r="D632" s="331" t="s">
        <v>229</v>
      </c>
      <c r="E632" s="331" t="s">
        <v>1526</v>
      </c>
      <c r="F632" s="331"/>
      <c r="G632" s="337">
        <f>G633</f>
        <v>2636.6</v>
      </c>
      <c r="H632" s="337">
        <f>H633</f>
        <v>2636.6</v>
      </c>
      <c r="I632" s="325"/>
    </row>
    <row r="633" spans="1:9" s="324" customFormat="1" ht="31.5" x14ac:dyDescent="0.25">
      <c r="A633" s="335" t="s">
        <v>288</v>
      </c>
      <c r="B633" s="329">
        <v>906</v>
      </c>
      <c r="C633" s="331" t="s">
        <v>280</v>
      </c>
      <c r="D633" s="331" t="s">
        <v>229</v>
      </c>
      <c r="E633" s="331" t="s">
        <v>1526</v>
      </c>
      <c r="F633" s="331" t="s">
        <v>289</v>
      </c>
      <c r="G633" s="337">
        <f>G634</f>
        <v>2636.6</v>
      </c>
      <c r="H633" s="337">
        <f>H634</f>
        <v>2636.6</v>
      </c>
      <c r="I633" s="325"/>
    </row>
    <row r="634" spans="1:9" s="324" customFormat="1" ht="15.75" x14ac:dyDescent="0.25">
      <c r="A634" s="335" t="s">
        <v>290</v>
      </c>
      <c r="B634" s="329">
        <v>906</v>
      </c>
      <c r="C634" s="331" t="s">
        <v>280</v>
      </c>
      <c r="D634" s="331" t="s">
        <v>229</v>
      </c>
      <c r="E634" s="331" t="s">
        <v>1526</v>
      </c>
      <c r="F634" s="331" t="s">
        <v>291</v>
      </c>
      <c r="G634" s="337">
        <v>2636.6</v>
      </c>
      <c r="H634" s="337">
        <v>2636.6</v>
      </c>
      <c r="I634" s="325"/>
    </row>
    <row r="635" spans="1:9" s="122" customFormat="1" ht="94.5" x14ac:dyDescent="0.25">
      <c r="A635" s="31" t="s">
        <v>480</v>
      </c>
      <c r="B635" s="329">
        <v>906</v>
      </c>
      <c r="C635" s="331" t="s">
        <v>280</v>
      </c>
      <c r="D635" s="331" t="s">
        <v>229</v>
      </c>
      <c r="E635" s="331" t="s">
        <v>1517</v>
      </c>
      <c r="F635" s="331"/>
      <c r="G635" s="337">
        <f>G636</f>
        <v>4841</v>
      </c>
      <c r="H635" s="337">
        <f>H636</f>
        <v>4841</v>
      </c>
      <c r="I635" s="216"/>
    </row>
    <row r="636" spans="1:9" s="122" customFormat="1" ht="31.5" x14ac:dyDescent="0.25">
      <c r="A636" s="335" t="s">
        <v>288</v>
      </c>
      <c r="B636" s="329">
        <v>906</v>
      </c>
      <c r="C636" s="331" t="s">
        <v>280</v>
      </c>
      <c r="D636" s="331" t="s">
        <v>229</v>
      </c>
      <c r="E636" s="331" t="s">
        <v>1517</v>
      </c>
      <c r="F636" s="331" t="s">
        <v>289</v>
      </c>
      <c r="G636" s="337">
        <f>G637</f>
        <v>4841</v>
      </c>
      <c r="H636" s="337">
        <f>H637</f>
        <v>4841</v>
      </c>
      <c r="I636" s="216"/>
    </row>
    <row r="637" spans="1:9" s="122" customFormat="1" ht="15.75" x14ac:dyDescent="0.25">
      <c r="A637" s="335" t="s">
        <v>290</v>
      </c>
      <c r="B637" s="329">
        <v>906</v>
      </c>
      <c r="C637" s="331" t="s">
        <v>280</v>
      </c>
      <c r="D637" s="331" t="s">
        <v>229</v>
      </c>
      <c r="E637" s="331" t="s">
        <v>1517</v>
      </c>
      <c r="F637" s="331" t="s">
        <v>291</v>
      </c>
      <c r="G637" s="337">
        <v>4841</v>
      </c>
      <c r="H637" s="337">
        <v>4841</v>
      </c>
      <c r="I637" s="216"/>
    </row>
    <row r="638" spans="1:9" ht="78.75" x14ac:dyDescent="0.25">
      <c r="A638" s="31" t="s">
        <v>476</v>
      </c>
      <c r="B638" s="329">
        <v>906</v>
      </c>
      <c r="C638" s="331" t="s">
        <v>280</v>
      </c>
      <c r="D638" s="331" t="s">
        <v>229</v>
      </c>
      <c r="E638" s="331" t="s">
        <v>1049</v>
      </c>
      <c r="F638" s="331"/>
      <c r="G638" s="336">
        <f>G639</f>
        <v>143160</v>
      </c>
      <c r="H638" s="336">
        <f>H639</f>
        <v>143160</v>
      </c>
      <c r="I638" s="214"/>
    </row>
    <row r="639" spans="1:9" ht="31.5" x14ac:dyDescent="0.25">
      <c r="A639" s="335" t="s">
        <v>288</v>
      </c>
      <c r="B639" s="329">
        <v>906</v>
      </c>
      <c r="C639" s="331" t="s">
        <v>280</v>
      </c>
      <c r="D639" s="331" t="s">
        <v>229</v>
      </c>
      <c r="E639" s="331" t="s">
        <v>1049</v>
      </c>
      <c r="F639" s="331" t="s">
        <v>289</v>
      </c>
      <c r="G639" s="336">
        <f>G640</f>
        <v>143160</v>
      </c>
      <c r="H639" s="336">
        <f>H640</f>
        <v>143160</v>
      </c>
      <c r="I639" s="214"/>
    </row>
    <row r="640" spans="1:9" ht="15.75" x14ac:dyDescent="0.25">
      <c r="A640" s="335" t="s">
        <v>290</v>
      </c>
      <c r="B640" s="329">
        <v>906</v>
      </c>
      <c r="C640" s="331" t="s">
        <v>280</v>
      </c>
      <c r="D640" s="331" t="s">
        <v>229</v>
      </c>
      <c r="E640" s="331" t="s">
        <v>1049</v>
      </c>
      <c r="F640" s="331" t="s">
        <v>291</v>
      </c>
      <c r="G640" s="336">
        <f>143160</f>
        <v>143160</v>
      </c>
      <c r="H640" s="336">
        <f t="shared" si="48"/>
        <v>143160</v>
      </c>
      <c r="I640" s="214"/>
    </row>
    <row r="641" spans="1:9" ht="63" x14ac:dyDescent="0.25">
      <c r="A641" s="31" t="s">
        <v>305</v>
      </c>
      <c r="B641" s="329">
        <v>906</v>
      </c>
      <c r="C641" s="331" t="s">
        <v>280</v>
      </c>
      <c r="D641" s="331" t="s">
        <v>229</v>
      </c>
      <c r="E641" s="331" t="s">
        <v>1020</v>
      </c>
      <c r="F641" s="331"/>
      <c r="G641" s="336">
        <f>G642</f>
        <v>1245.5999999999999</v>
      </c>
      <c r="H641" s="336">
        <f>H642</f>
        <v>1245.5999999999999</v>
      </c>
      <c r="I641" s="214"/>
    </row>
    <row r="642" spans="1:9" ht="31.5" x14ac:dyDescent="0.25">
      <c r="A642" s="335" t="s">
        <v>288</v>
      </c>
      <c r="B642" s="329">
        <v>906</v>
      </c>
      <c r="C642" s="331" t="s">
        <v>280</v>
      </c>
      <c r="D642" s="331" t="s">
        <v>229</v>
      </c>
      <c r="E642" s="331" t="s">
        <v>1020</v>
      </c>
      <c r="F642" s="331" t="s">
        <v>289</v>
      </c>
      <c r="G642" s="336">
        <f>G643</f>
        <v>1245.5999999999999</v>
      </c>
      <c r="H642" s="336">
        <f>H643</f>
        <v>1245.5999999999999</v>
      </c>
      <c r="I642" s="214"/>
    </row>
    <row r="643" spans="1:9" ht="15.75" x14ac:dyDescent="0.25">
      <c r="A643" s="335" t="s">
        <v>290</v>
      </c>
      <c r="B643" s="329">
        <v>906</v>
      </c>
      <c r="C643" s="331" t="s">
        <v>280</v>
      </c>
      <c r="D643" s="331" t="s">
        <v>229</v>
      </c>
      <c r="E643" s="331" t="s">
        <v>1020</v>
      </c>
      <c r="F643" s="331" t="s">
        <v>291</v>
      </c>
      <c r="G643" s="336">
        <f>1245.6</f>
        <v>1245.5999999999999</v>
      </c>
      <c r="H643" s="336">
        <f t="shared" si="48"/>
        <v>1245.5999999999999</v>
      </c>
      <c r="I643" s="214"/>
    </row>
    <row r="644" spans="1:9" ht="63" x14ac:dyDescent="0.25">
      <c r="A644" s="31" t="s">
        <v>307</v>
      </c>
      <c r="B644" s="329">
        <v>906</v>
      </c>
      <c r="C644" s="331" t="s">
        <v>280</v>
      </c>
      <c r="D644" s="331" t="s">
        <v>229</v>
      </c>
      <c r="E644" s="331" t="s">
        <v>1023</v>
      </c>
      <c r="F644" s="331"/>
      <c r="G644" s="336">
        <f>G645</f>
        <v>2266.6999999999998</v>
      </c>
      <c r="H644" s="336">
        <f>H645</f>
        <v>2266.6999999999998</v>
      </c>
      <c r="I644" s="214"/>
    </row>
    <row r="645" spans="1:9" ht="31.5" x14ac:dyDescent="0.25">
      <c r="A645" s="335" t="s">
        <v>288</v>
      </c>
      <c r="B645" s="329">
        <v>906</v>
      </c>
      <c r="C645" s="331" t="s">
        <v>280</v>
      </c>
      <c r="D645" s="331" t="s">
        <v>229</v>
      </c>
      <c r="E645" s="331" t="s">
        <v>1023</v>
      </c>
      <c r="F645" s="331" t="s">
        <v>289</v>
      </c>
      <c r="G645" s="336">
        <f>G646</f>
        <v>2266.6999999999998</v>
      </c>
      <c r="H645" s="336">
        <f>H646</f>
        <v>2266.6999999999998</v>
      </c>
      <c r="I645" s="214"/>
    </row>
    <row r="646" spans="1:9" ht="15.75" x14ac:dyDescent="0.25">
      <c r="A646" s="335" t="s">
        <v>290</v>
      </c>
      <c r="B646" s="329">
        <v>906</v>
      </c>
      <c r="C646" s="331" t="s">
        <v>280</v>
      </c>
      <c r="D646" s="331" t="s">
        <v>229</v>
      </c>
      <c r="E646" s="331" t="s">
        <v>1023</v>
      </c>
      <c r="F646" s="331" t="s">
        <v>291</v>
      </c>
      <c r="G646" s="336">
        <f>2266.7</f>
        <v>2266.6999999999998</v>
      </c>
      <c r="H646" s="336">
        <f t="shared" si="48"/>
        <v>2266.6999999999998</v>
      </c>
      <c r="I646" s="214"/>
    </row>
    <row r="647" spans="1:9" ht="47.25" x14ac:dyDescent="0.25">
      <c r="A647" s="31" t="s">
        <v>478</v>
      </c>
      <c r="B647" s="329">
        <v>906</v>
      </c>
      <c r="C647" s="331" t="s">
        <v>280</v>
      </c>
      <c r="D647" s="331" t="s">
        <v>229</v>
      </c>
      <c r="E647" s="331" t="s">
        <v>1050</v>
      </c>
      <c r="F647" s="331"/>
      <c r="G647" s="336">
        <f>G648</f>
        <v>923.4</v>
      </c>
      <c r="H647" s="336">
        <f>H648</f>
        <v>923.4</v>
      </c>
      <c r="I647" s="214"/>
    </row>
    <row r="648" spans="1:9" ht="31.5" x14ac:dyDescent="0.25">
      <c r="A648" s="335" t="s">
        <v>288</v>
      </c>
      <c r="B648" s="329">
        <v>906</v>
      </c>
      <c r="C648" s="331" t="s">
        <v>280</v>
      </c>
      <c r="D648" s="331" t="s">
        <v>229</v>
      </c>
      <c r="E648" s="331" t="s">
        <v>1050</v>
      </c>
      <c r="F648" s="331" t="s">
        <v>289</v>
      </c>
      <c r="G648" s="336">
        <f>G649</f>
        <v>923.4</v>
      </c>
      <c r="H648" s="336">
        <f>H649</f>
        <v>923.4</v>
      </c>
      <c r="I648" s="214"/>
    </row>
    <row r="649" spans="1:9" ht="15.75" x14ac:dyDescent="0.25">
      <c r="A649" s="335" t="s">
        <v>290</v>
      </c>
      <c r="B649" s="329">
        <v>906</v>
      </c>
      <c r="C649" s="331" t="s">
        <v>280</v>
      </c>
      <c r="D649" s="331" t="s">
        <v>229</v>
      </c>
      <c r="E649" s="331" t="s">
        <v>1050</v>
      </c>
      <c r="F649" s="331" t="s">
        <v>291</v>
      </c>
      <c r="G649" s="336">
        <f>923.4</f>
        <v>923.4</v>
      </c>
      <c r="H649" s="336">
        <f t="shared" si="48"/>
        <v>923.4</v>
      </c>
      <c r="I649" s="214"/>
    </row>
    <row r="650" spans="1:9" ht="94.5" hidden="1" x14ac:dyDescent="0.25">
      <c r="A650" s="31" t="s">
        <v>480</v>
      </c>
      <c r="B650" s="329">
        <v>906</v>
      </c>
      <c r="C650" s="331" t="s">
        <v>280</v>
      </c>
      <c r="D650" s="331" t="s">
        <v>229</v>
      </c>
      <c r="E650" s="331" t="s">
        <v>1024</v>
      </c>
      <c r="F650" s="331"/>
      <c r="G650" s="336">
        <f>G651</f>
        <v>0</v>
      </c>
      <c r="H650" s="336">
        <f>H651</f>
        <v>0</v>
      </c>
      <c r="I650" s="214"/>
    </row>
    <row r="651" spans="1:9" ht="31.5" hidden="1" x14ac:dyDescent="0.25">
      <c r="A651" s="335" t="s">
        <v>288</v>
      </c>
      <c r="B651" s="329">
        <v>906</v>
      </c>
      <c r="C651" s="331" t="s">
        <v>280</v>
      </c>
      <c r="D651" s="331" t="s">
        <v>229</v>
      </c>
      <c r="E651" s="331" t="s">
        <v>1024</v>
      </c>
      <c r="F651" s="331" t="s">
        <v>289</v>
      </c>
      <c r="G651" s="336">
        <f>G652</f>
        <v>0</v>
      </c>
      <c r="H651" s="336">
        <f>H652</f>
        <v>0</v>
      </c>
      <c r="I651" s="214"/>
    </row>
    <row r="652" spans="1:9" ht="15.75" hidden="1" x14ac:dyDescent="0.25">
      <c r="A652" s="335" t="s">
        <v>290</v>
      </c>
      <c r="B652" s="329">
        <v>906</v>
      </c>
      <c r="C652" s="331" t="s">
        <v>280</v>
      </c>
      <c r="D652" s="331" t="s">
        <v>229</v>
      </c>
      <c r="E652" s="331" t="s">
        <v>1024</v>
      </c>
      <c r="F652" s="331" t="s">
        <v>291</v>
      </c>
      <c r="G652" s="336"/>
      <c r="H652" s="336">
        <f t="shared" si="48"/>
        <v>0</v>
      </c>
      <c r="I652" s="214"/>
    </row>
    <row r="653" spans="1:9" ht="31.5" x14ac:dyDescent="0.25">
      <c r="A653" s="269" t="s">
        <v>446</v>
      </c>
      <c r="B653" s="330">
        <v>906</v>
      </c>
      <c r="C653" s="334" t="s">
        <v>280</v>
      </c>
      <c r="D653" s="334" t="s">
        <v>229</v>
      </c>
      <c r="E653" s="334" t="s">
        <v>447</v>
      </c>
      <c r="F653" s="334"/>
      <c r="G653" s="332">
        <f>G654+G667+G674+G681+G688</f>
        <v>10366.099999999999</v>
      </c>
      <c r="H653" s="332">
        <f>H654+H667+H674+H681+H688</f>
        <v>10374.599999999999</v>
      </c>
      <c r="I653" s="214"/>
    </row>
    <row r="654" spans="1:9" ht="31.5" x14ac:dyDescent="0.25">
      <c r="A654" s="333" t="s">
        <v>1029</v>
      </c>
      <c r="B654" s="272">
        <v>906</v>
      </c>
      <c r="C654" s="334" t="s">
        <v>280</v>
      </c>
      <c r="D654" s="334" t="s">
        <v>229</v>
      </c>
      <c r="E654" s="334" t="s">
        <v>1030</v>
      </c>
      <c r="F654" s="334"/>
      <c r="G654" s="332">
        <f>G655+G658+G661+G664</f>
        <v>1746</v>
      </c>
      <c r="H654" s="332">
        <f>H655+H658+H661+H664</f>
        <v>1746</v>
      </c>
      <c r="I654" s="214"/>
    </row>
    <row r="655" spans="1:9" ht="31.5" hidden="1" x14ac:dyDescent="0.25">
      <c r="A655" s="335" t="s">
        <v>456</v>
      </c>
      <c r="B655" s="37">
        <v>906</v>
      </c>
      <c r="C655" s="331" t="s">
        <v>280</v>
      </c>
      <c r="D655" s="331" t="s">
        <v>229</v>
      </c>
      <c r="E655" s="331" t="s">
        <v>1034</v>
      </c>
      <c r="F655" s="331"/>
      <c r="G655" s="336">
        <f>'Пр.4 ведом.20'!G666</f>
        <v>0</v>
      </c>
      <c r="H655" s="336">
        <f t="shared" ref="H655:H718" si="50">G655</f>
        <v>0</v>
      </c>
      <c r="I655" s="214"/>
    </row>
    <row r="656" spans="1:9" ht="31.5" hidden="1" x14ac:dyDescent="0.25">
      <c r="A656" s="335" t="s">
        <v>288</v>
      </c>
      <c r="B656" s="37">
        <v>906</v>
      </c>
      <c r="C656" s="331" t="s">
        <v>280</v>
      </c>
      <c r="D656" s="331" t="s">
        <v>229</v>
      </c>
      <c r="E656" s="331" t="s">
        <v>1034</v>
      </c>
      <c r="F656" s="331" t="s">
        <v>289</v>
      </c>
      <c r="G656" s="336">
        <f>'Пр.4 ведом.20'!G667</f>
        <v>0</v>
      </c>
      <c r="H656" s="336">
        <f t="shared" si="50"/>
        <v>0</v>
      </c>
      <c r="I656" s="214"/>
    </row>
    <row r="657" spans="1:9" ht="15.75" hidden="1" x14ac:dyDescent="0.25">
      <c r="A657" s="335" t="s">
        <v>290</v>
      </c>
      <c r="B657" s="37">
        <v>906</v>
      </c>
      <c r="C657" s="331" t="s">
        <v>280</v>
      </c>
      <c r="D657" s="331" t="s">
        <v>229</v>
      </c>
      <c r="E657" s="331" t="s">
        <v>1034</v>
      </c>
      <c r="F657" s="331" t="s">
        <v>291</v>
      </c>
      <c r="G657" s="336">
        <f>'Пр.4 ведом.20'!G668</f>
        <v>0</v>
      </c>
      <c r="H657" s="336">
        <f t="shared" si="50"/>
        <v>0</v>
      </c>
      <c r="I657" s="214"/>
    </row>
    <row r="658" spans="1:9" ht="31.5" hidden="1" x14ac:dyDescent="0.25">
      <c r="A658" s="335" t="s">
        <v>294</v>
      </c>
      <c r="B658" s="37">
        <v>906</v>
      </c>
      <c r="C658" s="331" t="s">
        <v>280</v>
      </c>
      <c r="D658" s="331" t="s">
        <v>229</v>
      </c>
      <c r="E658" s="331" t="s">
        <v>1035</v>
      </c>
      <c r="F658" s="331"/>
      <c r="G658" s="336">
        <f>'Пр.4 ведом.20'!G669</f>
        <v>1522</v>
      </c>
      <c r="H658" s="336">
        <f t="shared" si="50"/>
        <v>1522</v>
      </c>
      <c r="I658" s="214"/>
    </row>
    <row r="659" spans="1:9" ht="31.5" hidden="1" x14ac:dyDescent="0.25">
      <c r="A659" s="335" t="s">
        <v>288</v>
      </c>
      <c r="B659" s="37">
        <v>906</v>
      </c>
      <c r="C659" s="331" t="s">
        <v>280</v>
      </c>
      <c r="D659" s="331" t="s">
        <v>229</v>
      </c>
      <c r="E659" s="331" t="s">
        <v>1035</v>
      </c>
      <c r="F659" s="331" t="s">
        <v>289</v>
      </c>
      <c r="G659" s="336">
        <f>'Пр.4 ведом.20'!G670</f>
        <v>1522</v>
      </c>
      <c r="H659" s="336">
        <f t="shared" si="50"/>
        <v>1522</v>
      </c>
      <c r="I659" s="214"/>
    </row>
    <row r="660" spans="1:9" ht="15.75" hidden="1" x14ac:dyDescent="0.25">
      <c r="A660" s="335" t="s">
        <v>290</v>
      </c>
      <c r="B660" s="37">
        <v>906</v>
      </c>
      <c r="C660" s="331" t="s">
        <v>280</v>
      </c>
      <c r="D660" s="331" t="s">
        <v>229</v>
      </c>
      <c r="E660" s="331" t="s">
        <v>1035</v>
      </c>
      <c r="F660" s="331" t="s">
        <v>291</v>
      </c>
      <c r="G660" s="336">
        <f>'Пр.4 ведом.20'!G671</f>
        <v>1522</v>
      </c>
      <c r="H660" s="336">
        <f t="shared" si="50"/>
        <v>1522</v>
      </c>
      <c r="I660" s="214"/>
    </row>
    <row r="661" spans="1:9" ht="31.5" hidden="1" x14ac:dyDescent="0.25">
      <c r="A661" s="335" t="s">
        <v>296</v>
      </c>
      <c r="B661" s="37">
        <v>906</v>
      </c>
      <c r="C661" s="331" t="s">
        <v>280</v>
      </c>
      <c r="D661" s="331" t="s">
        <v>229</v>
      </c>
      <c r="E661" s="331" t="s">
        <v>1036</v>
      </c>
      <c r="F661" s="331"/>
      <c r="G661" s="336">
        <f>G662</f>
        <v>0</v>
      </c>
      <c r="H661" s="336">
        <f>H662</f>
        <v>0</v>
      </c>
      <c r="I661" s="214"/>
    </row>
    <row r="662" spans="1:9" ht="31.5" hidden="1" x14ac:dyDescent="0.25">
      <c r="A662" s="335" t="s">
        <v>288</v>
      </c>
      <c r="B662" s="37">
        <v>906</v>
      </c>
      <c r="C662" s="331" t="s">
        <v>280</v>
      </c>
      <c r="D662" s="331" t="s">
        <v>229</v>
      </c>
      <c r="E662" s="331" t="s">
        <v>1036</v>
      </c>
      <c r="F662" s="331" t="s">
        <v>289</v>
      </c>
      <c r="G662" s="336">
        <f>G663</f>
        <v>0</v>
      </c>
      <c r="H662" s="336">
        <f>H663</f>
        <v>0</v>
      </c>
      <c r="I662" s="214"/>
    </row>
    <row r="663" spans="1:9" ht="15.75" hidden="1" x14ac:dyDescent="0.25">
      <c r="A663" s="335" t="s">
        <v>290</v>
      </c>
      <c r="B663" s="37">
        <v>906</v>
      </c>
      <c r="C663" s="331" t="s">
        <v>280</v>
      </c>
      <c r="D663" s="331" t="s">
        <v>229</v>
      </c>
      <c r="E663" s="331" t="s">
        <v>1036</v>
      </c>
      <c r="F663" s="331" t="s">
        <v>291</v>
      </c>
      <c r="G663" s="336">
        <v>0</v>
      </c>
      <c r="H663" s="336">
        <v>0</v>
      </c>
      <c r="I663" s="214"/>
    </row>
    <row r="664" spans="1:9" ht="31.5" x14ac:dyDescent="0.25">
      <c r="A664" s="335" t="s">
        <v>298</v>
      </c>
      <c r="B664" s="37">
        <v>906</v>
      </c>
      <c r="C664" s="331" t="s">
        <v>280</v>
      </c>
      <c r="D664" s="331" t="s">
        <v>229</v>
      </c>
      <c r="E664" s="331" t="s">
        <v>1037</v>
      </c>
      <c r="F664" s="331"/>
      <c r="G664" s="336">
        <f>G665</f>
        <v>224</v>
      </c>
      <c r="H664" s="336">
        <f>H665</f>
        <v>224</v>
      </c>
      <c r="I664" s="214"/>
    </row>
    <row r="665" spans="1:9" ht="31.5" x14ac:dyDescent="0.25">
      <c r="A665" s="335" t="s">
        <v>288</v>
      </c>
      <c r="B665" s="37">
        <v>906</v>
      </c>
      <c r="C665" s="331" t="s">
        <v>280</v>
      </c>
      <c r="D665" s="331" t="s">
        <v>229</v>
      </c>
      <c r="E665" s="331" t="s">
        <v>1037</v>
      </c>
      <c r="F665" s="331" t="s">
        <v>289</v>
      </c>
      <c r="G665" s="336">
        <f>G666</f>
        <v>224</v>
      </c>
      <c r="H665" s="336">
        <f>H666</f>
        <v>224</v>
      </c>
      <c r="I665" s="214"/>
    </row>
    <row r="666" spans="1:9" ht="15.75" x14ac:dyDescent="0.25">
      <c r="A666" s="335" t="s">
        <v>290</v>
      </c>
      <c r="B666" s="37">
        <v>906</v>
      </c>
      <c r="C666" s="331" t="s">
        <v>280</v>
      </c>
      <c r="D666" s="331" t="s">
        <v>229</v>
      </c>
      <c r="E666" s="331" t="s">
        <v>1037</v>
      </c>
      <c r="F666" s="331" t="s">
        <v>291</v>
      </c>
      <c r="G666" s="336">
        <f>224</f>
        <v>224</v>
      </c>
      <c r="H666" s="336">
        <f t="shared" si="50"/>
        <v>224</v>
      </c>
      <c r="I666" s="214"/>
    </row>
    <row r="667" spans="1:9" ht="31.5" x14ac:dyDescent="0.25">
      <c r="A667" s="333" t="s">
        <v>1031</v>
      </c>
      <c r="B667" s="272">
        <v>906</v>
      </c>
      <c r="C667" s="334" t="s">
        <v>280</v>
      </c>
      <c r="D667" s="334" t="s">
        <v>229</v>
      </c>
      <c r="E667" s="334" t="s">
        <v>1032</v>
      </c>
      <c r="F667" s="334"/>
      <c r="G667" s="332">
        <f>G668+G671</f>
        <v>3943.4</v>
      </c>
      <c r="H667" s="332">
        <f>H668+H671</f>
        <v>3951.9</v>
      </c>
      <c r="I667" s="214"/>
    </row>
    <row r="668" spans="1:9" ht="49.7" customHeight="1" x14ac:dyDescent="0.25">
      <c r="A668" s="338" t="s">
        <v>619</v>
      </c>
      <c r="B668" s="37">
        <v>906</v>
      </c>
      <c r="C668" s="331" t="s">
        <v>280</v>
      </c>
      <c r="D668" s="331" t="s">
        <v>229</v>
      </c>
      <c r="E668" s="331" t="s">
        <v>1038</v>
      </c>
      <c r="F668" s="331"/>
      <c r="G668" s="336">
        <f>G669</f>
        <v>2200</v>
      </c>
      <c r="H668" s="336">
        <f>H669</f>
        <v>2200</v>
      </c>
      <c r="I668" s="214"/>
    </row>
    <row r="669" spans="1:9" ht="31.5" x14ac:dyDescent="0.25">
      <c r="A669" s="335" t="s">
        <v>288</v>
      </c>
      <c r="B669" s="37">
        <v>906</v>
      </c>
      <c r="C669" s="331" t="s">
        <v>280</v>
      </c>
      <c r="D669" s="331" t="s">
        <v>229</v>
      </c>
      <c r="E669" s="331" t="s">
        <v>1038</v>
      </c>
      <c r="F669" s="331" t="s">
        <v>289</v>
      </c>
      <c r="G669" s="336">
        <f>G670</f>
        <v>2200</v>
      </c>
      <c r="H669" s="336">
        <f>H670</f>
        <v>2200</v>
      </c>
      <c r="I669" s="214"/>
    </row>
    <row r="670" spans="1:9" ht="15.75" x14ac:dyDescent="0.25">
      <c r="A670" s="335" t="s">
        <v>290</v>
      </c>
      <c r="B670" s="37">
        <v>906</v>
      </c>
      <c r="C670" s="331" t="s">
        <v>280</v>
      </c>
      <c r="D670" s="331" t="s">
        <v>229</v>
      </c>
      <c r="E670" s="331" t="s">
        <v>1038</v>
      </c>
      <c r="F670" s="331" t="s">
        <v>291</v>
      </c>
      <c r="G670" s="336">
        <f>2200</f>
        <v>2200</v>
      </c>
      <c r="H670" s="336">
        <f t="shared" si="50"/>
        <v>2200</v>
      </c>
      <c r="I670" s="214"/>
    </row>
    <row r="671" spans="1:9" ht="31.5" x14ac:dyDescent="0.25">
      <c r="A671" s="335" t="s">
        <v>472</v>
      </c>
      <c r="B671" s="37">
        <v>906</v>
      </c>
      <c r="C671" s="331" t="s">
        <v>280</v>
      </c>
      <c r="D671" s="331" t="s">
        <v>229</v>
      </c>
      <c r="E671" s="331" t="s">
        <v>1039</v>
      </c>
      <c r="F671" s="331"/>
      <c r="G671" s="336">
        <f>G672</f>
        <v>1743.4</v>
      </c>
      <c r="H671" s="336">
        <f>H672</f>
        <v>1751.9</v>
      </c>
      <c r="I671" s="214"/>
    </row>
    <row r="672" spans="1:9" ht="31.5" x14ac:dyDescent="0.25">
      <c r="A672" s="335" t="s">
        <v>288</v>
      </c>
      <c r="B672" s="37">
        <v>906</v>
      </c>
      <c r="C672" s="331" t="s">
        <v>280</v>
      </c>
      <c r="D672" s="331" t="s">
        <v>229</v>
      </c>
      <c r="E672" s="331" t="s">
        <v>1039</v>
      </c>
      <c r="F672" s="331" t="s">
        <v>289</v>
      </c>
      <c r="G672" s="336">
        <f>G673</f>
        <v>1743.4</v>
      </c>
      <c r="H672" s="336">
        <f>H673</f>
        <v>1751.9</v>
      </c>
      <c r="I672" s="214"/>
    </row>
    <row r="673" spans="1:9" ht="15.75" x14ac:dyDescent="0.25">
      <c r="A673" s="335" t="s">
        <v>290</v>
      </c>
      <c r="B673" s="37">
        <v>906</v>
      </c>
      <c r="C673" s="331" t="s">
        <v>280</v>
      </c>
      <c r="D673" s="331" t="s">
        <v>229</v>
      </c>
      <c r="E673" s="331" t="s">
        <v>1039</v>
      </c>
      <c r="F673" s="331" t="s">
        <v>291</v>
      </c>
      <c r="G673" s="336">
        <v>1743.4</v>
      </c>
      <c r="H673" s="336">
        <v>1751.9</v>
      </c>
      <c r="I673" s="214"/>
    </row>
    <row r="674" spans="1:9" ht="31.5" x14ac:dyDescent="0.25">
      <c r="A674" s="333" t="s">
        <v>1033</v>
      </c>
      <c r="B674" s="272">
        <v>906</v>
      </c>
      <c r="C674" s="334" t="s">
        <v>280</v>
      </c>
      <c r="D674" s="334" t="s">
        <v>229</v>
      </c>
      <c r="E674" s="334" t="s">
        <v>1040</v>
      </c>
      <c r="F674" s="334"/>
      <c r="G674" s="44">
        <f>G675+G678</f>
        <v>1364.7</v>
      </c>
      <c r="H674" s="44">
        <f>H675+H678</f>
        <v>1364.7</v>
      </c>
      <c r="I674" s="214"/>
    </row>
    <row r="675" spans="1:9" ht="47.25" x14ac:dyDescent="0.25">
      <c r="A675" s="335" t="s">
        <v>454</v>
      </c>
      <c r="B675" s="37">
        <v>906</v>
      </c>
      <c r="C675" s="331" t="s">
        <v>280</v>
      </c>
      <c r="D675" s="331" t="s">
        <v>229</v>
      </c>
      <c r="E675" s="331" t="s">
        <v>1041</v>
      </c>
      <c r="F675" s="331"/>
      <c r="G675" s="336">
        <f>G676</f>
        <v>868</v>
      </c>
      <c r="H675" s="336">
        <f>H676</f>
        <v>868</v>
      </c>
      <c r="I675" s="214"/>
    </row>
    <row r="676" spans="1:9" ht="31.5" x14ac:dyDescent="0.25">
      <c r="A676" s="335" t="s">
        <v>288</v>
      </c>
      <c r="B676" s="37">
        <v>906</v>
      </c>
      <c r="C676" s="331" t="s">
        <v>280</v>
      </c>
      <c r="D676" s="331" t="s">
        <v>229</v>
      </c>
      <c r="E676" s="331" t="s">
        <v>1041</v>
      </c>
      <c r="F676" s="331" t="s">
        <v>289</v>
      </c>
      <c r="G676" s="336">
        <f>G677</f>
        <v>868</v>
      </c>
      <c r="H676" s="336">
        <f>H677</f>
        <v>868</v>
      </c>
      <c r="I676" s="214"/>
    </row>
    <row r="677" spans="1:9" ht="15.75" x14ac:dyDescent="0.25">
      <c r="A677" s="335" t="s">
        <v>290</v>
      </c>
      <c r="B677" s="37">
        <v>906</v>
      </c>
      <c r="C677" s="331" t="s">
        <v>280</v>
      </c>
      <c r="D677" s="331" t="s">
        <v>229</v>
      </c>
      <c r="E677" s="331" t="s">
        <v>1041</v>
      </c>
      <c r="F677" s="331" t="s">
        <v>291</v>
      </c>
      <c r="G677" s="336">
        <f>868</f>
        <v>868</v>
      </c>
      <c r="H677" s="336">
        <f t="shared" si="50"/>
        <v>868</v>
      </c>
      <c r="I677" s="214"/>
    </row>
    <row r="678" spans="1:9" ht="47.25" x14ac:dyDescent="0.25">
      <c r="A678" s="335" t="s">
        <v>474</v>
      </c>
      <c r="B678" s="37">
        <v>906</v>
      </c>
      <c r="C678" s="331" t="s">
        <v>280</v>
      </c>
      <c r="D678" s="331" t="s">
        <v>229</v>
      </c>
      <c r="E678" s="331" t="s">
        <v>1042</v>
      </c>
      <c r="F678" s="331"/>
      <c r="G678" s="336">
        <f>G679</f>
        <v>496.7</v>
      </c>
      <c r="H678" s="336">
        <f>H679</f>
        <v>496.7</v>
      </c>
      <c r="I678" s="214"/>
    </row>
    <row r="679" spans="1:9" ht="31.5" x14ac:dyDescent="0.25">
      <c r="A679" s="270" t="s">
        <v>288</v>
      </c>
      <c r="B679" s="329">
        <v>906</v>
      </c>
      <c r="C679" s="331" t="s">
        <v>280</v>
      </c>
      <c r="D679" s="331" t="s">
        <v>229</v>
      </c>
      <c r="E679" s="331" t="s">
        <v>1042</v>
      </c>
      <c r="F679" s="331" t="s">
        <v>289</v>
      </c>
      <c r="G679" s="336">
        <f>G680</f>
        <v>496.7</v>
      </c>
      <c r="H679" s="336">
        <f>H680</f>
        <v>496.7</v>
      </c>
      <c r="I679" s="214"/>
    </row>
    <row r="680" spans="1:9" ht="15.75" x14ac:dyDescent="0.25">
      <c r="A680" s="335" t="s">
        <v>290</v>
      </c>
      <c r="B680" s="329">
        <v>906</v>
      </c>
      <c r="C680" s="331" t="s">
        <v>280</v>
      </c>
      <c r="D680" s="331" t="s">
        <v>229</v>
      </c>
      <c r="E680" s="331" t="s">
        <v>1042</v>
      </c>
      <c r="F680" s="331" t="s">
        <v>291</v>
      </c>
      <c r="G680" s="336">
        <f>496.7</f>
        <v>496.7</v>
      </c>
      <c r="H680" s="336">
        <f t="shared" si="50"/>
        <v>496.7</v>
      </c>
      <c r="I680" s="214"/>
    </row>
    <row r="681" spans="1:9" ht="31.5" x14ac:dyDescent="0.25">
      <c r="A681" s="227" t="s">
        <v>1077</v>
      </c>
      <c r="B681" s="330">
        <v>906</v>
      </c>
      <c r="C681" s="334" t="s">
        <v>280</v>
      </c>
      <c r="D681" s="334" t="s">
        <v>229</v>
      </c>
      <c r="E681" s="334" t="s">
        <v>1043</v>
      </c>
      <c r="F681" s="334"/>
      <c r="G681" s="44">
        <f>G682+G685</f>
        <v>2634</v>
      </c>
      <c r="H681" s="44">
        <f>H682+H685</f>
        <v>2634</v>
      </c>
      <c r="I681" s="214"/>
    </row>
    <row r="682" spans="1:9" ht="31.5" hidden="1" x14ac:dyDescent="0.25">
      <c r="A682" s="335" t="s">
        <v>817</v>
      </c>
      <c r="B682" s="329">
        <v>906</v>
      </c>
      <c r="C682" s="331" t="s">
        <v>280</v>
      </c>
      <c r="D682" s="331" t="s">
        <v>229</v>
      </c>
      <c r="E682" s="331" t="s">
        <v>1045</v>
      </c>
      <c r="F682" s="331"/>
      <c r="G682" s="336">
        <f>'Пр.4 ведом.20'!G693</f>
        <v>0</v>
      </c>
      <c r="H682" s="336">
        <f t="shared" si="50"/>
        <v>0</v>
      </c>
      <c r="I682" s="214"/>
    </row>
    <row r="683" spans="1:9" ht="31.5" hidden="1" x14ac:dyDescent="0.25">
      <c r="A683" s="335" t="s">
        <v>288</v>
      </c>
      <c r="B683" s="329">
        <v>906</v>
      </c>
      <c r="C683" s="331" t="s">
        <v>280</v>
      </c>
      <c r="D683" s="331" t="s">
        <v>229</v>
      </c>
      <c r="E683" s="331" t="s">
        <v>1045</v>
      </c>
      <c r="F683" s="331" t="s">
        <v>289</v>
      </c>
      <c r="G683" s="336">
        <f>'Пр.4 ведом.20'!G694</f>
        <v>0</v>
      </c>
      <c r="H683" s="336">
        <f t="shared" si="50"/>
        <v>0</v>
      </c>
      <c r="I683" s="214"/>
    </row>
    <row r="684" spans="1:9" ht="15.75" hidden="1" x14ac:dyDescent="0.25">
      <c r="A684" s="335" t="s">
        <v>290</v>
      </c>
      <c r="B684" s="329">
        <v>906</v>
      </c>
      <c r="C684" s="331" t="s">
        <v>280</v>
      </c>
      <c r="D684" s="331" t="s">
        <v>229</v>
      </c>
      <c r="E684" s="331" t="s">
        <v>1045</v>
      </c>
      <c r="F684" s="331" t="s">
        <v>291</v>
      </c>
      <c r="G684" s="336">
        <f>'Пр.4 ведом.20'!G695</f>
        <v>0</v>
      </c>
      <c r="H684" s="336">
        <f t="shared" si="50"/>
        <v>0</v>
      </c>
      <c r="I684" s="214"/>
    </row>
    <row r="685" spans="1:9" ht="31.5" x14ac:dyDescent="0.25">
      <c r="A685" s="60" t="s">
        <v>787</v>
      </c>
      <c r="B685" s="329">
        <v>906</v>
      </c>
      <c r="C685" s="331" t="s">
        <v>280</v>
      </c>
      <c r="D685" s="331" t="s">
        <v>229</v>
      </c>
      <c r="E685" s="331" t="s">
        <v>1046</v>
      </c>
      <c r="F685" s="331"/>
      <c r="G685" s="336">
        <f>G686</f>
        <v>2634</v>
      </c>
      <c r="H685" s="336">
        <f>H686</f>
        <v>2634</v>
      </c>
      <c r="I685" s="214"/>
    </row>
    <row r="686" spans="1:9" ht="31.5" x14ac:dyDescent="0.25">
      <c r="A686" s="338" t="s">
        <v>288</v>
      </c>
      <c r="B686" s="329">
        <v>906</v>
      </c>
      <c r="C686" s="331" t="s">
        <v>280</v>
      </c>
      <c r="D686" s="331" t="s">
        <v>229</v>
      </c>
      <c r="E686" s="331" t="s">
        <v>1046</v>
      </c>
      <c r="F686" s="331" t="s">
        <v>289</v>
      </c>
      <c r="G686" s="336">
        <f>G687</f>
        <v>2634</v>
      </c>
      <c r="H686" s="336">
        <f>H687</f>
        <v>2634</v>
      </c>
      <c r="I686" s="214"/>
    </row>
    <row r="687" spans="1:9" ht="15.75" x14ac:dyDescent="0.25">
      <c r="A687" s="192" t="s">
        <v>290</v>
      </c>
      <c r="B687" s="329">
        <v>906</v>
      </c>
      <c r="C687" s="331" t="s">
        <v>280</v>
      </c>
      <c r="D687" s="331" t="s">
        <v>229</v>
      </c>
      <c r="E687" s="331" t="s">
        <v>1046</v>
      </c>
      <c r="F687" s="331" t="s">
        <v>291</v>
      </c>
      <c r="G687" s="336">
        <f>2634</f>
        <v>2634</v>
      </c>
      <c r="H687" s="336">
        <f t="shared" si="50"/>
        <v>2634</v>
      </c>
      <c r="I687" s="214"/>
    </row>
    <row r="688" spans="1:9" ht="31.5" x14ac:dyDescent="0.25">
      <c r="A688" s="225" t="s">
        <v>1048</v>
      </c>
      <c r="B688" s="330">
        <v>906</v>
      </c>
      <c r="C688" s="334" t="s">
        <v>280</v>
      </c>
      <c r="D688" s="334" t="s">
        <v>229</v>
      </c>
      <c r="E688" s="334" t="s">
        <v>1044</v>
      </c>
      <c r="F688" s="334"/>
      <c r="G688" s="332">
        <f t="shared" ref="G688:H690" si="51">G689</f>
        <v>678</v>
      </c>
      <c r="H688" s="332">
        <f t="shared" si="51"/>
        <v>678</v>
      </c>
      <c r="I688" s="214"/>
    </row>
    <row r="689" spans="1:9" ht="50.25" customHeight="1" x14ac:dyDescent="0.25">
      <c r="A689" s="192" t="s">
        <v>874</v>
      </c>
      <c r="B689" s="329">
        <v>906</v>
      </c>
      <c r="C689" s="331" t="s">
        <v>280</v>
      </c>
      <c r="D689" s="331" t="s">
        <v>229</v>
      </c>
      <c r="E689" s="331" t="s">
        <v>1047</v>
      </c>
      <c r="F689" s="331"/>
      <c r="G689" s="336">
        <f t="shared" si="51"/>
        <v>678</v>
      </c>
      <c r="H689" s="336">
        <f t="shared" si="51"/>
        <v>678</v>
      </c>
      <c r="I689" s="214"/>
    </row>
    <row r="690" spans="1:9" ht="31.5" x14ac:dyDescent="0.25">
      <c r="A690" s="31" t="s">
        <v>288</v>
      </c>
      <c r="B690" s="329">
        <v>906</v>
      </c>
      <c r="C690" s="331" t="s">
        <v>280</v>
      </c>
      <c r="D690" s="331" t="s">
        <v>229</v>
      </c>
      <c r="E690" s="331" t="s">
        <v>1047</v>
      </c>
      <c r="F690" s="331" t="s">
        <v>289</v>
      </c>
      <c r="G690" s="336">
        <f t="shared" si="51"/>
        <v>678</v>
      </c>
      <c r="H690" s="336">
        <f t="shared" si="51"/>
        <v>678</v>
      </c>
      <c r="I690" s="214"/>
    </row>
    <row r="691" spans="1:9" ht="15.75" x14ac:dyDescent="0.25">
      <c r="A691" s="31" t="s">
        <v>290</v>
      </c>
      <c r="B691" s="329">
        <v>906</v>
      </c>
      <c r="C691" s="331" t="s">
        <v>280</v>
      </c>
      <c r="D691" s="331" t="s">
        <v>229</v>
      </c>
      <c r="E691" s="331" t="s">
        <v>1047</v>
      </c>
      <c r="F691" s="331" t="s">
        <v>291</v>
      </c>
      <c r="G691" s="336">
        <f>678</f>
        <v>678</v>
      </c>
      <c r="H691" s="336">
        <f t="shared" si="50"/>
        <v>678</v>
      </c>
      <c r="I691" s="214"/>
    </row>
    <row r="692" spans="1:9" ht="63" hidden="1" x14ac:dyDescent="0.25">
      <c r="A692" s="34" t="s">
        <v>805</v>
      </c>
      <c r="B692" s="330">
        <v>906</v>
      </c>
      <c r="C692" s="334" t="s">
        <v>280</v>
      </c>
      <c r="D692" s="334" t="s">
        <v>229</v>
      </c>
      <c r="E692" s="334" t="s">
        <v>340</v>
      </c>
      <c r="F692" s="334"/>
      <c r="G692" s="332">
        <f>G693</f>
        <v>0</v>
      </c>
      <c r="H692" s="332">
        <f>H693</f>
        <v>0</v>
      </c>
      <c r="I692" s="214"/>
    </row>
    <row r="693" spans="1:9" ht="63" hidden="1" x14ac:dyDescent="0.25">
      <c r="A693" s="34" t="s">
        <v>1190</v>
      </c>
      <c r="B693" s="330">
        <v>906</v>
      </c>
      <c r="C693" s="334" t="s">
        <v>280</v>
      </c>
      <c r="D693" s="334" t="s">
        <v>229</v>
      </c>
      <c r="E693" s="334" t="s">
        <v>1025</v>
      </c>
      <c r="F693" s="334"/>
      <c r="G693" s="332">
        <f>G694</f>
        <v>0</v>
      </c>
      <c r="H693" s="332">
        <f>H694</f>
        <v>0</v>
      </c>
      <c r="I693" s="214"/>
    </row>
    <row r="694" spans="1:9" ht="47.25" hidden="1" x14ac:dyDescent="0.25">
      <c r="A694" s="31" t="s">
        <v>1274</v>
      </c>
      <c r="B694" s="329">
        <v>906</v>
      </c>
      <c r="C694" s="331" t="s">
        <v>280</v>
      </c>
      <c r="D694" s="331" t="s">
        <v>229</v>
      </c>
      <c r="E694" s="331" t="s">
        <v>1026</v>
      </c>
      <c r="F694" s="331"/>
      <c r="G694" s="336">
        <f>G695</f>
        <v>0</v>
      </c>
      <c r="H694" s="336">
        <f t="shared" si="50"/>
        <v>0</v>
      </c>
      <c r="I694" s="214"/>
    </row>
    <row r="695" spans="1:9" ht="31.5" hidden="1" x14ac:dyDescent="0.25">
      <c r="A695" s="31" t="s">
        <v>288</v>
      </c>
      <c r="B695" s="329">
        <v>906</v>
      </c>
      <c r="C695" s="331" t="s">
        <v>280</v>
      </c>
      <c r="D695" s="331" t="s">
        <v>229</v>
      </c>
      <c r="E695" s="331" t="s">
        <v>1026</v>
      </c>
      <c r="F695" s="331" t="s">
        <v>289</v>
      </c>
      <c r="G695" s="336">
        <f>G696</f>
        <v>0</v>
      </c>
      <c r="H695" s="336">
        <f t="shared" si="50"/>
        <v>0</v>
      </c>
      <c r="I695" s="214"/>
    </row>
    <row r="696" spans="1:9" ht="15.75" hidden="1" x14ac:dyDescent="0.25">
      <c r="A696" s="31" t="s">
        <v>290</v>
      </c>
      <c r="B696" s="329">
        <v>906</v>
      </c>
      <c r="C696" s="331" t="s">
        <v>280</v>
      </c>
      <c r="D696" s="331" t="s">
        <v>229</v>
      </c>
      <c r="E696" s="331" t="s">
        <v>1026</v>
      </c>
      <c r="F696" s="331" t="s">
        <v>291</v>
      </c>
      <c r="G696" s="336">
        <v>0</v>
      </c>
      <c r="H696" s="336">
        <v>0</v>
      </c>
      <c r="I696" s="214"/>
    </row>
    <row r="697" spans="1:9" ht="63" x14ac:dyDescent="0.25">
      <c r="A697" s="41" t="s">
        <v>1424</v>
      </c>
      <c r="B697" s="330">
        <v>906</v>
      </c>
      <c r="C697" s="334" t="s">
        <v>280</v>
      </c>
      <c r="D697" s="334" t="s">
        <v>229</v>
      </c>
      <c r="E697" s="334" t="s">
        <v>728</v>
      </c>
      <c r="F697" s="231"/>
      <c r="G697" s="332">
        <f t="shared" ref="G697:H700" si="52">G698</f>
        <v>723.3</v>
      </c>
      <c r="H697" s="332">
        <f t="shared" si="52"/>
        <v>723.3</v>
      </c>
      <c r="I697" s="214"/>
    </row>
    <row r="698" spans="1:9" ht="47.25" x14ac:dyDescent="0.25">
      <c r="A698" s="41" t="s">
        <v>949</v>
      </c>
      <c r="B698" s="330">
        <v>906</v>
      </c>
      <c r="C698" s="334" t="s">
        <v>280</v>
      </c>
      <c r="D698" s="334" t="s">
        <v>229</v>
      </c>
      <c r="E698" s="334" t="s">
        <v>947</v>
      </c>
      <c r="F698" s="231"/>
      <c r="G698" s="332">
        <f t="shared" si="52"/>
        <v>723.3</v>
      </c>
      <c r="H698" s="332">
        <f t="shared" si="52"/>
        <v>723.3</v>
      </c>
      <c r="I698" s="214"/>
    </row>
    <row r="699" spans="1:9" ht="47.25" x14ac:dyDescent="0.25">
      <c r="A699" s="99" t="s">
        <v>803</v>
      </c>
      <c r="B699" s="329">
        <v>906</v>
      </c>
      <c r="C699" s="331" t="s">
        <v>280</v>
      </c>
      <c r="D699" s="331" t="s">
        <v>229</v>
      </c>
      <c r="E699" s="331" t="s">
        <v>1027</v>
      </c>
      <c r="F699" s="32"/>
      <c r="G699" s="336">
        <f t="shared" si="52"/>
        <v>723.3</v>
      </c>
      <c r="H699" s="336">
        <f t="shared" si="52"/>
        <v>723.3</v>
      </c>
      <c r="I699" s="214"/>
    </row>
    <row r="700" spans="1:9" ht="31.5" x14ac:dyDescent="0.25">
      <c r="A700" s="338" t="s">
        <v>288</v>
      </c>
      <c r="B700" s="329">
        <v>906</v>
      </c>
      <c r="C700" s="331" t="s">
        <v>280</v>
      </c>
      <c r="D700" s="331" t="s">
        <v>229</v>
      </c>
      <c r="E700" s="331" t="s">
        <v>1027</v>
      </c>
      <c r="F700" s="32" t="s">
        <v>289</v>
      </c>
      <c r="G700" s="336">
        <f t="shared" si="52"/>
        <v>723.3</v>
      </c>
      <c r="H700" s="336">
        <f t="shared" si="52"/>
        <v>723.3</v>
      </c>
      <c r="I700" s="214"/>
    </row>
    <row r="701" spans="1:9" ht="15.75" x14ac:dyDescent="0.25">
      <c r="A701" s="192" t="s">
        <v>290</v>
      </c>
      <c r="B701" s="329">
        <v>906</v>
      </c>
      <c r="C701" s="331" t="s">
        <v>280</v>
      </c>
      <c r="D701" s="331" t="s">
        <v>229</v>
      </c>
      <c r="E701" s="331" t="s">
        <v>1027</v>
      </c>
      <c r="F701" s="32" t="s">
        <v>291</v>
      </c>
      <c r="G701" s="336">
        <f>723.3</f>
        <v>723.3</v>
      </c>
      <c r="H701" s="336">
        <f t="shared" si="50"/>
        <v>723.3</v>
      </c>
      <c r="I701" s="214"/>
    </row>
    <row r="702" spans="1:9" ht="15.75" x14ac:dyDescent="0.25">
      <c r="A702" s="333" t="s">
        <v>281</v>
      </c>
      <c r="B702" s="330">
        <v>906</v>
      </c>
      <c r="C702" s="334" t="s">
        <v>280</v>
      </c>
      <c r="D702" s="334" t="s">
        <v>231</v>
      </c>
      <c r="E702" s="334"/>
      <c r="F702" s="334"/>
      <c r="G702" s="44">
        <f>G703+G731</f>
        <v>35276.899999999994</v>
      </c>
      <c r="H702" s="44">
        <f>H703+H731</f>
        <v>35276.899999999994</v>
      </c>
      <c r="I702" s="214"/>
    </row>
    <row r="703" spans="1:9" ht="47.25" x14ac:dyDescent="0.25">
      <c r="A703" s="333" t="s">
        <v>442</v>
      </c>
      <c r="B703" s="330">
        <v>906</v>
      </c>
      <c r="C703" s="334" t="s">
        <v>280</v>
      </c>
      <c r="D703" s="334" t="s">
        <v>231</v>
      </c>
      <c r="E703" s="334" t="s">
        <v>422</v>
      </c>
      <c r="F703" s="334"/>
      <c r="G703" s="44">
        <f>G704+G722</f>
        <v>34976.199999999997</v>
      </c>
      <c r="H703" s="44">
        <f>H704+H722</f>
        <v>34976.199999999997</v>
      </c>
      <c r="I703" s="214"/>
    </row>
    <row r="704" spans="1:9" ht="31.5" x14ac:dyDescent="0.25">
      <c r="A704" s="333" t="s">
        <v>423</v>
      </c>
      <c r="B704" s="330">
        <v>906</v>
      </c>
      <c r="C704" s="334" t="s">
        <v>280</v>
      </c>
      <c r="D704" s="334" t="s">
        <v>231</v>
      </c>
      <c r="E704" s="334" t="s">
        <v>424</v>
      </c>
      <c r="F704" s="334"/>
      <c r="G704" s="44">
        <f>G706+G709</f>
        <v>34237.199999999997</v>
      </c>
      <c r="H704" s="44">
        <f>H706+H709</f>
        <v>34237.199999999997</v>
      </c>
      <c r="I704" s="214"/>
    </row>
    <row r="705" spans="1:9" ht="31.5" x14ac:dyDescent="0.25">
      <c r="A705" s="333" t="s">
        <v>1028</v>
      </c>
      <c r="B705" s="330">
        <v>906</v>
      </c>
      <c r="C705" s="334" t="s">
        <v>280</v>
      </c>
      <c r="D705" s="334" t="s">
        <v>231</v>
      </c>
      <c r="E705" s="334" t="s">
        <v>1006</v>
      </c>
      <c r="F705" s="334"/>
      <c r="G705" s="44">
        <f t="shared" ref="G705:H707" si="53">G706</f>
        <v>32615</v>
      </c>
      <c r="H705" s="44">
        <f t="shared" si="53"/>
        <v>32615</v>
      </c>
      <c r="I705" s="214"/>
    </row>
    <row r="706" spans="1:9" ht="47.25" x14ac:dyDescent="0.25">
      <c r="A706" s="335" t="s">
        <v>286</v>
      </c>
      <c r="B706" s="329">
        <v>906</v>
      </c>
      <c r="C706" s="331" t="s">
        <v>280</v>
      </c>
      <c r="D706" s="331" t="s">
        <v>231</v>
      </c>
      <c r="E706" s="331" t="s">
        <v>1051</v>
      </c>
      <c r="F706" s="331"/>
      <c r="G706" s="336">
        <f t="shared" si="53"/>
        <v>32615</v>
      </c>
      <c r="H706" s="336">
        <f t="shared" si="53"/>
        <v>32615</v>
      </c>
      <c r="I706" s="214"/>
    </row>
    <row r="707" spans="1:9" ht="31.5" x14ac:dyDescent="0.25">
      <c r="A707" s="335" t="s">
        <v>288</v>
      </c>
      <c r="B707" s="329">
        <v>906</v>
      </c>
      <c r="C707" s="331" t="s">
        <v>280</v>
      </c>
      <c r="D707" s="331" t="s">
        <v>231</v>
      </c>
      <c r="E707" s="331" t="s">
        <v>1051</v>
      </c>
      <c r="F707" s="331" t="s">
        <v>289</v>
      </c>
      <c r="G707" s="336">
        <f t="shared" si="53"/>
        <v>32615</v>
      </c>
      <c r="H707" s="336">
        <f t="shared" si="53"/>
        <v>32615</v>
      </c>
      <c r="I707" s="214"/>
    </row>
    <row r="708" spans="1:9" ht="15.75" x14ac:dyDescent="0.25">
      <c r="A708" s="335" t="s">
        <v>290</v>
      </c>
      <c r="B708" s="329">
        <v>906</v>
      </c>
      <c r="C708" s="331" t="s">
        <v>280</v>
      </c>
      <c r="D708" s="331" t="s">
        <v>231</v>
      </c>
      <c r="E708" s="331" t="s">
        <v>1051</v>
      </c>
      <c r="F708" s="331" t="s">
        <v>291</v>
      </c>
      <c r="G708" s="336">
        <f>32615</f>
        <v>32615</v>
      </c>
      <c r="H708" s="336">
        <f t="shared" si="50"/>
        <v>32615</v>
      </c>
      <c r="I708" s="214"/>
    </row>
    <row r="709" spans="1:9" ht="47.25" x14ac:dyDescent="0.25">
      <c r="A709" s="333" t="s">
        <v>971</v>
      </c>
      <c r="B709" s="330">
        <v>906</v>
      </c>
      <c r="C709" s="334" t="s">
        <v>280</v>
      </c>
      <c r="D709" s="334" t="s">
        <v>231</v>
      </c>
      <c r="E709" s="334" t="s">
        <v>1021</v>
      </c>
      <c r="F709" s="334"/>
      <c r="G709" s="44">
        <f>G713+G716+G719+G710</f>
        <v>1622.1999999999998</v>
      </c>
      <c r="H709" s="44">
        <f>H713+H716+H719+H710</f>
        <v>1622.1999999999998</v>
      </c>
      <c r="I709" s="214"/>
    </row>
    <row r="710" spans="1:9" s="324" customFormat="1" ht="94.5" x14ac:dyDescent="0.25">
      <c r="A710" s="31" t="s">
        <v>309</v>
      </c>
      <c r="B710" s="329">
        <v>906</v>
      </c>
      <c r="C710" s="331" t="s">
        <v>280</v>
      </c>
      <c r="D710" s="331" t="s">
        <v>231</v>
      </c>
      <c r="E710" s="331" t="s">
        <v>1517</v>
      </c>
      <c r="F710" s="331"/>
      <c r="G710" s="337">
        <f>G711</f>
        <v>903.4</v>
      </c>
      <c r="H710" s="337">
        <f>H711</f>
        <v>903.4</v>
      </c>
      <c r="I710" s="325"/>
    </row>
    <row r="711" spans="1:9" s="324" customFormat="1" ht="31.5" x14ac:dyDescent="0.25">
      <c r="A711" s="335" t="s">
        <v>288</v>
      </c>
      <c r="B711" s="329">
        <v>906</v>
      </c>
      <c r="C711" s="331" t="s">
        <v>280</v>
      </c>
      <c r="D711" s="331" t="s">
        <v>231</v>
      </c>
      <c r="E711" s="331" t="s">
        <v>1517</v>
      </c>
      <c r="F711" s="331" t="s">
        <v>289</v>
      </c>
      <c r="G711" s="337">
        <f>G712</f>
        <v>903.4</v>
      </c>
      <c r="H711" s="337">
        <f>H712</f>
        <v>903.4</v>
      </c>
      <c r="I711" s="325"/>
    </row>
    <row r="712" spans="1:9" s="324" customFormat="1" ht="15.75" x14ac:dyDescent="0.25">
      <c r="A712" s="335" t="s">
        <v>290</v>
      </c>
      <c r="B712" s="329">
        <v>906</v>
      </c>
      <c r="C712" s="331" t="s">
        <v>280</v>
      </c>
      <c r="D712" s="331" t="s">
        <v>231</v>
      </c>
      <c r="E712" s="331" t="s">
        <v>1517</v>
      </c>
      <c r="F712" s="331" t="s">
        <v>291</v>
      </c>
      <c r="G712" s="337">
        <f>903.4</f>
        <v>903.4</v>
      </c>
      <c r="H712" s="337">
        <v>903.4</v>
      </c>
      <c r="I712" s="325"/>
    </row>
    <row r="713" spans="1:9" ht="63" x14ac:dyDescent="0.25">
      <c r="A713" s="31" t="s">
        <v>305</v>
      </c>
      <c r="B713" s="329">
        <v>906</v>
      </c>
      <c r="C713" s="331" t="s">
        <v>280</v>
      </c>
      <c r="D713" s="331" t="s">
        <v>231</v>
      </c>
      <c r="E713" s="331" t="s">
        <v>1020</v>
      </c>
      <c r="F713" s="331"/>
      <c r="G713" s="336">
        <f>G714</f>
        <v>169.3</v>
      </c>
      <c r="H713" s="336">
        <f>H714</f>
        <v>169.3</v>
      </c>
      <c r="I713" s="214"/>
    </row>
    <row r="714" spans="1:9" ht="31.5" x14ac:dyDescent="0.25">
      <c r="A714" s="335" t="s">
        <v>288</v>
      </c>
      <c r="B714" s="329">
        <v>906</v>
      </c>
      <c r="C714" s="331" t="s">
        <v>280</v>
      </c>
      <c r="D714" s="331" t="s">
        <v>231</v>
      </c>
      <c r="E714" s="331" t="s">
        <v>1020</v>
      </c>
      <c r="F714" s="331" t="s">
        <v>289</v>
      </c>
      <c r="G714" s="336">
        <f>G715</f>
        <v>169.3</v>
      </c>
      <c r="H714" s="336">
        <f>H715</f>
        <v>169.3</v>
      </c>
      <c r="I714" s="214"/>
    </row>
    <row r="715" spans="1:9" ht="15.75" x14ac:dyDescent="0.25">
      <c r="A715" s="335" t="s">
        <v>290</v>
      </c>
      <c r="B715" s="329">
        <v>906</v>
      </c>
      <c r="C715" s="331" t="s">
        <v>280</v>
      </c>
      <c r="D715" s="331" t="s">
        <v>231</v>
      </c>
      <c r="E715" s="331" t="s">
        <v>1020</v>
      </c>
      <c r="F715" s="331" t="s">
        <v>291</v>
      </c>
      <c r="G715" s="336">
        <f>169.3</f>
        <v>169.3</v>
      </c>
      <c r="H715" s="336">
        <f t="shared" si="50"/>
        <v>169.3</v>
      </c>
      <c r="I715" s="214"/>
    </row>
    <row r="716" spans="1:9" ht="63" x14ac:dyDescent="0.25">
      <c r="A716" s="31" t="s">
        <v>307</v>
      </c>
      <c r="B716" s="329">
        <v>906</v>
      </c>
      <c r="C716" s="331" t="s">
        <v>280</v>
      </c>
      <c r="D716" s="331" t="s">
        <v>231</v>
      </c>
      <c r="E716" s="331" t="s">
        <v>1023</v>
      </c>
      <c r="F716" s="331"/>
      <c r="G716" s="336">
        <f>G717</f>
        <v>549.5</v>
      </c>
      <c r="H716" s="336">
        <f>H717</f>
        <v>549.5</v>
      </c>
      <c r="I716" s="214"/>
    </row>
    <row r="717" spans="1:9" ht="31.5" x14ac:dyDescent="0.25">
      <c r="A717" s="335" t="s">
        <v>288</v>
      </c>
      <c r="B717" s="329">
        <v>906</v>
      </c>
      <c r="C717" s="331" t="s">
        <v>280</v>
      </c>
      <c r="D717" s="331" t="s">
        <v>231</v>
      </c>
      <c r="E717" s="331" t="s">
        <v>1023</v>
      </c>
      <c r="F717" s="331" t="s">
        <v>289</v>
      </c>
      <c r="G717" s="336">
        <f>G718</f>
        <v>549.5</v>
      </c>
      <c r="H717" s="336">
        <f>H718</f>
        <v>549.5</v>
      </c>
      <c r="I717" s="214"/>
    </row>
    <row r="718" spans="1:9" ht="15.75" x14ac:dyDescent="0.25">
      <c r="A718" s="335" t="s">
        <v>290</v>
      </c>
      <c r="B718" s="329">
        <v>906</v>
      </c>
      <c r="C718" s="331" t="s">
        <v>280</v>
      </c>
      <c r="D718" s="331" t="s">
        <v>231</v>
      </c>
      <c r="E718" s="331" t="s">
        <v>1023</v>
      </c>
      <c r="F718" s="331" t="s">
        <v>291</v>
      </c>
      <c r="G718" s="336">
        <f>549.5</f>
        <v>549.5</v>
      </c>
      <c r="H718" s="336">
        <f t="shared" si="50"/>
        <v>549.5</v>
      </c>
      <c r="I718" s="214"/>
    </row>
    <row r="719" spans="1:9" ht="94.5" hidden="1" x14ac:dyDescent="0.25">
      <c r="A719" s="31" t="s">
        <v>309</v>
      </c>
      <c r="B719" s="329">
        <v>906</v>
      </c>
      <c r="C719" s="331" t="s">
        <v>280</v>
      </c>
      <c r="D719" s="331" t="s">
        <v>231</v>
      </c>
      <c r="E719" s="331" t="s">
        <v>1024</v>
      </c>
      <c r="F719" s="331"/>
      <c r="G719" s="336">
        <f>G720</f>
        <v>0</v>
      </c>
      <c r="H719" s="336">
        <f>H720</f>
        <v>0</v>
      </c>
      <c r="I719" s="214"/>
    </row>
    <row r="720" spans="1:9" ht="31.5" hidden="1" x14ac:dyDescent="0.25">
      <c r="A720" s="335" t="s">
        <v>288</v>
      </c>
      <c r="B720" s="329">
        <v>906</v>
      </c>
      <c r="C720" s="331" t="s">
        <v>280</v>
      </c>
      <c r="D720" s="331" t="s">
        <v>231</v>
      </c>
      <c r="E720" s="331" t="s">
        <v>1024</v>
      </c>
      <c r="F720" s="331" t="s">
        <v>289</v>
      </c>
      <c r="G720" s="336">
        <f>G721</f>
        <v>0</v>
      </c>
      <c r="H720" s="336">
        <f>H721</f>
        <v>0</v>
      </c>
      <c r="I720" s="214"/>
    </row>
    <row r="721" spans="1:9" ht="15.75" hidden="1" x14ac:dyDescent="0.25">
      <c r="A721" s="335" t="s">
        <v>290</v>
      </c>
      <c r="B721" s="329">
        <v>906</v>
      </c>
      <c r="C721" s="331" t="s">
        <v>280</v>
      </c>
      <c r="D721" s="331" t="s">
        <v>231</v>
      </c>
      <c r="E721" s="331" t="s">
        <v>1024</v>
      </c>
      <c r="F721" s="331" t="s">
        <v>291</v>
      </c>
      <c r="G721" s="336"/>
      <c r="H721" s="336">
        <f t="shared" ref="H721:H788" si="54">G721</f>
        <v>0</v>
      </c>
      <c r="I721" s="214"/>
    </row>
    <row r="722" spans="1:9" ht="31.5" x14ac:dyDescent="0.25">
      <c r="A722" s="34" t="s">
        <v>721</v>
      </c>
      <c r="B722" s="330">
        <v>906</v>
      </c>
      <c r="C722" s="334" t="s">
        <v>280</v>
      </c>
      <c r="D722" s="334" t="s">
        <v>231</v>
      </c>
      <c r="E722" s="334" t="s">
        <v>463</v>
      </c>
      <c r="F722" s="334"/>
      <c r="G722" s="44">
        <f>G723+G727</f>
        <v>739</v>
      </c>
      <c r="H722" s="44">
        <f>H723+H727</f>
        <v>739</v>
      </c>
      <c r="I722" s="214"/>
    </row>
    <row r="723" spans="1:9" ht="31.5" hidden="1" x14ac:dyDescent="0.25">
      <c r="A723" s="333" t="s">
        <v>1052</v>
      </c>
      <c r="B723" s="330">
        <v>906</v>
      </c>
      <c r="C723" s="334" t="s">
        <v>280</v>
      </c>
      <c r="D723" s="334" t="s">
        <v>231</v>
      </c>
      <c r="E723" s="334" t="s">
        <v>1233</v>
      </c>
      <c r="F723" s="334"/>
      <c r="G723" s="44">
        <f>G724</f>
        <v>50</v>
      </c>
      <c r="H723" s="44">
        <f>H724</f>
        <v>50</v>
      </c>
      <c r="I723" s="214"/>
    </row>
    <row r="724" spans="1:9" ht="31.5" hidden="1" x14ac:dyDescent="0.25">
      <c r="A724" s="45" t="s">
        <v>789</v>
      </c>
      <c r="B724" s="329">
        <v>906</v>
      </c>
      <c r="C724" s="331" t="s">
        <v>280</v>
      </c>
      <c r="D724" s="331" t="s">
        <v>231</v>
      </c>
      <c r="E724" s="331" t="s">
        <v>1234</v>
      </c>
      <c r="F724" s="331"/>
      <c r="G724" s="336">
        <f>'Пр.4 ведом.20'!G766</f>
        <v>50</v>
      </c>
      <c r="H724" s="336">
        <f t="shared" si="54"/>
        <v>50</v>
      </c>
      <c r="I724" s="214"/>
    </row>
    <row r="725" spans="1:9" ht="31.5" hidden="1" x14ac:dyDescent="0.25">
      <c r="A725" s="31" t="s">
        <v>288</v>
      </c>
      <c r="B725" s="329">
        <v>906</v>
      </c>
      <c r="C725" s="331" t="s">
        <v>280</v>
      </c>
      <c r="D725" s="331" t="s">
        <v>231</v>
      </c>
      <c r="E725" s="331" t="s">
        <v>1234</v>
      </c>
      <c r="F725" s="331" t="s">
        <v>289</v>
      </c>
      <c r="G725" s="336">
        <f>'Пр.4 ведом.20'!G767</f>
        <v>50</v>
      </c>
      <c r="H725" s="336">
        <f t="shared" si="54"/>
        <v>50</v>
      </c>
      <c r="I725" s="214"/>
    </row>
    <row r="726" spans="1:9" ht="15.75" hidden="1" x14ac:dyDescent="0.25">
      <c r="A726" s="31" t="s">
        <v>290</v>
      </c>
      <c r="B726" s="329">
        <v>906</v>
      </c>
      <c r="C726" s="331" t="s">
        <v>280</v>
      </c>
      <c r="D726" s="331" t="s">
        <v>231</v>
      </c>
      <c r="E726" s="331" t="s">
        <v>1234</v>
      </c>
      <c r="F726" s="331" t="s">
        <v>291</v>
      </c>
      <c r="G726" s="336">
        <f>'Пр.4 ведом.20'!G768</f>
        <v>50</v>
      </c>
      <c r="H726" s="336">
        <f t="shared" si="54"/>
        <v>50</v>
      </c>
      <c r="I726" s="214"/>
    </row>
    <row r="727" spans="1:9" ht="31.5" x14ac:dyDescent="0.25">
      <c r="A727" s="227" t="s">
        <v>1077</v>
      </c>
      <c r="B727" s="330">
        <v>906</v>
      </c>
      <c r="C727" s="334" t="s">
        <v>280</v>
      </c>
      <c r="D727" s="334" t="s">
        <v>231</v>
      </c>
      <c r="E727" s="334" t="s">
        <v>1053</v>
      </c>
      <c r="F727" s="334"/>
      <c r="G727" s="44">
        <f t="shared" ref="G727:H729" si="55">G728</f>
        <v>689</v>
      </c>
      <c r="H727" s="44">
        <f t="shared" si="55"/>
        <v>689</v>
      </c>
      <c r="I727" s="214"/>
    </row>
    <row r="728" spans="1:9" ht="31.5" x14ac:dyDescent="0.25">
      <c r="A728" s="45" t="s">
        <v>787</v>
      </c>
      <c r="B728" s="329">
        <v>906</v>
      </c>
      <c r="C728" s="331" t="s">
        <v>280</v>
      </c>
      <c r="D728" s="331" t="s">
        <v>231</v>
      </c>
      <c r="E728" s="331" t="s">
        <v>1054</v>
      </c>
      <c r="F728" s="331"/>
      <c r="G728" s="336">
        <f t="shared" si="55"/>
        <v>689</v>
      </c>
      <c r="H728" s="336">
        <f t="shared" si="55"/>
        <v>689</v>
      </c>
      <c r="I728" s="214"/>
    </row>
    <row r="729" spans="1:9" ht="31.5" x14ac:dyDescent="0.25">
      <c r="A729" s="335" t="s">
        <v>288</v>
      </c>
      <c r="B729" s="329">
        <v>906</v>
      </c>
      <c r="C729" s="331" t="s">
        <v>280</v>
      </c>
      <c r="D729" s="331" t="s">
        <v>231</v>
      </c>
      <c r="E729" s="331" t="s">
        <v>1054</v>
      </c>
      <c r="F729" s="331" t="s">
        <v>289</v>
      </c>
      <c r="G729" s="336">
        <f t="shared" si="55"/>
        <v>689</v>
      </c>
      <c r="H729" s="336">
        <f t="shared" si="55"/>
        <v>689</v>
      </c>
      <c r="I729" s="214"/>
    </row>
    <row r="730" spans="1:9" ht="15.75" x14ac:dyDescent="0.25">
      <c r="A730" s="31" t="s">
        <v>290</v>
      </c>
      <c r="B730" s="329">
        <v>906</v>
      </c>
      <c r="C730" s="331" t="s">
        <v>280</v>
      </c>
      <c r="D730" s="331" t="s">
        <v>231</v>
      </c>
      <c r="E730" s="331" t="s">
        <v>1054</v>
      </c>
      <c r="F730" s="331" t="s">
        <v>291</v>
      </c>
      <c r="G730" s="336">
        <f>689</f>
        <v>689</v>
      </c>
      <c r="H730" s="336">
        <f t="shared" si="54"/>
        <v>689</v>
      </c>
      <c r="I730" s="214"/>
    </row>
    <row r="731" spans="1:9" ht="63" x14ac:dyDescent="0.25">
      <c r="A731" s="41" t="s">
        <v>1424</v>
      </c>
      <c r="B731" s="330">
        <v>906</v>
      </c>
      <c r="C731" s="334" t="s">
        <v>280</v>
      </c>
      <c r="D731" s="334" t="s">
        <v>231</v>
      </c>
      <c r="E731" s="334" t="s">
        <v>728</v>
      </c>
      <c r="F731" s="231"/>
      <c r="G731" s="44">
        <f>G733</f>
        <v>300.7</v>
      </c>
      <c r="H731" s="44">
        <f>H733</f>
        <v>300.7</v>
      </c>
      <c r="I731" s="214"/>
    </row>
    <row r="732" spans="1:9" ht="47.25" x14ac:dyDescent="0.25">
      <c r="A732" s="41" t="s">
        <v>949</v>
      </c>
      <c r="B732" s="330">
        <v>906</v>
      </c>
      <c r="C732" s="334" t="s">
        <v>280</v>
      </c>
      <c r="D732" s="334" t="s">
        <v>1055</v>
      </c>
      <c r="E732" s="334" t="s">
        <v>947</v>
      </c>
      <c r="F732" s="231"/>
      <c r="G732" s="44">
        <f t="shared" ref="G732:H734" si="56">G733</f>
        <v>300.7</v>
      </c>
      <c r="H732" s="44">
        <f t="shared" si="56"/>
        <v>300.7</v>
      </c>
      <c r="I732" s="214"/>
    </row>
    <row r="733" spans="1:9" ht="47.25" x14ac:dyDescent="0.25">
      <c r="A733" s="99" t="s">
        <v>803</v>
      </c>
      <c r="B733" s="329">
        <v>906</v>
      </c>
      <c r="C733" s="331" t="s">
        <v>280</v>
      </c>
      <c r="D733" s="331" t="s">
        <v>231</v>
      </c>
      <c r="E733" s="331" t="s">
        <v>1027</v>
      </c>
      <c r="F733" s="32"/>
      <c r="G733" s="336">
        <f t="shared" si="56"/>
        <v>300.7</v>
      </c>
      <c r="H733" s="336">
        <f t="shared" si="56"/>
        <v>300.7</v>
      </c>
      <c r="I733" s="214"/>
    </row>
    <row r="734" spans="1:9" ht="31.5" x14ac:dyDescent="0.25">
      <c r="A734" s="338" t="s">
        <v>288</v>
      </c>
      <c r="B734" s="329">
        <v>906</v>
      </c>
      <c r="C734" s="331" t="s">
        <v>280</v>
      </c>
      <c r="D734" s="331" t="s">
        <v>231</v>
      </c>
      <c r="E734" s="331" t="s">
        <v>1027</v>
      </c>
      <c r="F734" s="32" t="s">
        <v>289</v>
      </c>
      <c r="G734" s="336">
        <f t="shared" si="56"/>
        <v>300.7</v>
      </c>
      <c r="H734" s="336">
        <f t="shared" si="56"/>
        <v>300.7</v>
      </c>
      <c r="I734" s="214"/>
    </row>
    <row r="735" spans="1:9" ht="15.75" x14ac:dyDescent="0.25">
      <c r="A735" s="192" t="s">
        <v>290</v>
      </c>
      <c r="B735" s="329">
        <v>906</v>
      </c>
      <c r="C735" s="331" t="s">
        <v>280</v>
      </c>
      <c r="D735" s="331" t="s">
        <v>231</v>
      </c>
      <c r="E735" s="331" t="s">
        <v>1027</v>
      </c>
      <c r="F735" s="32" t="s">
        <v>291</v>
      </c>
      <c r="G735" s="336">
        <f>300.7</f>
        <v>300.7</v>
      </c>
      <c r="H735" s="336">
        <f t="shared" si="54"/>
        <v>300.7</v>
      </c>
      <c r="I735" s="214"/>
    </row>
    <row r="736" spans="1:9" ht="15.75" x14ac:dyDescent="0.25">
      <c r="A736" s="333" t="s">
        <v>482</v>
      </c>
      <c r="B736" s="330">
        <v>906</v>
      </c>
      <c r="C736" s="334" t="s">
        <v>280</v>
      </c>
      <c r="D736" s="334" t="s">
        <v>280</v>
      </c>
      <c r="E736" s="334"/>
      <c r="F736" s="334"/>
      <c r="G736" s="332">
        <f>G737</f>
        <v>5804.9</v>
      </c>
      <c r="H736" s="332">
        <f>H737</f>
        <v>5804.9</v>
      </c>
      <c r="I736" s="214"/>
    </row>
    <row r="737" spans="1:9" ht="47.25" x14ac:dyDescent="0.25">
      <c r="A737" s="333" t="s">
        <v>1430</v>
      </c>
      <c r="B737" s="330">
        <v>906</v>
      </c>
      <c r="C737" s="334" t="s">
        <v>280</v>
      </c>
      <c r="D737" s="334" t="s">
        <v>280</v>
      </c>
      <c r="E737" s="334" t="s">
        <v>422</v>
      </c>
      <c r="F737" s="334"/>
      <c r="G737" s="332">
        <f t="shared" ref="G737:H737" si="57">G738</f>
        <v>5804.9</v>
      </c>
      <c r="H737" s="332">
        <f t="shared" si="57"/>
        <v>5804.9</v>
      </c>
      <c r="I737" s="214"/>
    </row>
    <row r="738" spans="1:9" ht="31.5" x14ac:dyDescent="0.25">
      <c r="A738" s="333" t="s">
        <v>483</v>
      </c>
      <c r="B738" s="330">
        <v>906</v>
      </c>
      <c r="C738" s="334" t="s">
        <v>280</v>
      </c>
      <c r="D738" s="334" t="s">
        <v>484</v>
      </c>
      <c r="E738" s="334" t="s">
        <v>485</v>
      </c>
      <c r="F738" s="334"/>
      <c r="G738" s="332">
        <f>G739</f>
        <v>5804.9</v>
      </c>
      <c r="H738" s="332">
        <f>H739</f>
        <v>5804.9</v>
      </c>
      <c r="I738" s="214"/>
    </row>
    <row r="739" spans="1:9" ht="31.5" x14ac:dyDescent="0.25">
      <c r="A739" s="333" t="s">
        <v>1056</v>
      </c>
      <c r="B739" s="330">
        <v>906</v>
      </c>
      <c r="C739" s="334" t="s">
        <v>280</v>
      </c>
      <c r="D739" s="334" t="s">
        <v>280</v>
      </c>
      <c r="E739" s="334" t="s">
        <v>1057</v>
      </c>
      <c r="F739" s="334"/>
      <c r="G739" s="332">
        <f>G740+G743</f>
        <v>5804.9</v>
      </c>
      <c r="H739" s="332">
        <f>H740+H743</f>
        <v>5804.9</v>
      </c>
      <c r="I739" s="214"/>
    </row>
    <row r="740" spans="1:9" ht="31.5" x14ac:dyDescent="0.25">
      <c r="A740" s="31" t="s">
        <v>1235</v>
      </c>
      <c r="B740" s="329">
        <v>906</v>
      </c>
      <c r="C740" s="331" t="s">
        <v>280</v>
      </c>
      <c r="D740" s="331" t="s">
        <v>280</v>
      </c>
      <c r="E740" s="331" t="s">
        <v>1058</v>
      </c>
      <c r="F740" s="331"/>
      <c r="G740" s="336">
        <f>G741</f>
        <v>3584</v>
      </c>
      <c r="H740" s="336">
        <f>H741</f>
        <v>3584</v>
      </c>
      <c r="I740" s="214"/>
    </row>
    <row r="741" spans="1:9" ht="31.5" x14ac:dyDescent="0.25">
      <c r="A741" s="335" t="s">
        <v>288</v>
      </c>
      <c r="B741" s="329">
        <v>906</v>
      </c>
      <c r="C741" s="331" t="s">
        <v>280</v>
      </c>
      <c r="D741" s="331" t="s">
        <v>280</v>
      </c>
      <c r="E741" s="331" t="s">
        <v>1058</v>
      </c>
      <c r="F741" s="331" t="s">
        <v>289</v>
      </c>
      <c r="G741" s="336">
        <f>G742</f>
        <v>3584</v>
      </c>
      <c r="H741" s="336">
        <f>H742</f>
        <v>3584</v>
      </c>
      <c r="I741" s="214"/>
    </row>
    <row r="742" spans="1:9" ht="15.75" x14ac:dyDescent="0.25">
      <c r="A742" s="335" t="s">
        <v>290</v>
      </c>
      <c r="B742" s="329">
        <v>906</v>
      </c>
      <c r="C742" s="331" t="s">
        <v>280</v>
      </c>
      <c r="D742" s="331" t="s">
        <v>280</v>
      </c>
      <c r="E742" s="331" t="s">
        <v>1058</v>
      </c>
      <c r="F742" s="331" t="s">
        <v>291</v>
      </c>
      <c r="G742" s="336">
        <f>3584</f>
        <v>3584</v>
      </c>
      <c r="H742" s="336">
        <f t="shared" si="54"/>
        <v>3584</v>
      </c>
      <c r="I742" s="214"/>
    </row>
    <row r="743" spans="1:9" ht="31.5" x14ac:dyDescent="0.25">
      <c r="A743" s="31" t="s">
        <v>1454</v>
      </c>
      <c r="B743" s="329">
        <v>906</v>
      </c>
      <c r="C743" s="331" t="s">
        <v>280</v>
      </c>
      <c r="D743" s="331" t="s">
        <v>280</v>
      </c>
      <c r="E743" s="331" t="s">
        <v>1059</v>
      </c>
      <c r="F743" s="331"/>
      <c r="G743" s="336">
        <f>G744</f>
        <v>2220.9</v>
      </c>
      <c r="H743" s="336">
        <f>H744</f>
        <v>2220.9</v>
      </c>
      <c r="I743" s="214"/>
    </row>
    <row r="744" spans="1:9" ht="31.5" x14ac:dyDescent="0.25">
      <c r="A744" s="335" t="s">
        <v>288</v>
      </c>
      <c r="B744" s="329">
        <v>906</v>
      </c>
      <c r="C744" s="331" t="s">
        <v>280</v>
      </c>
      <c r="D744" s="331" t="s">
        <v>280</v>
      </c>
      <c r="E744" s="331" t="s">
        <v>1059</v>
      </c>
      <c r="F744" s="331" t="s">
        <v>289</v>
      </c>
      <c r="G744" s="336">
        <f>G745</f>
        <v>2220.9</v>
      </c>
      <c r="H744" s="336">
        <f>H745</f>
        <v>2220.9</v>
      </c>
      <c r="I744" s="214"/>
    </row>
    <row r="745" spans="1:9" ht="15.75" x14ac:dyDescent="0.25">
      <c r="A745" s="335" t="s">
        <v>290</v>
      </c>
      <c r="B745" s="329">
        <v>906</v>
      </c>
      <c r="C745" s="331" t="s">
        <v>280</v>
      </c>
      <c r="D745" s="331" t="s">
        <v>280</v>
      </c>
      <c r="E745" s="331" t="s">
        <v>1059</v>
      </c>
      <c r="F745" s="331" t="s">
        <v>291</v>
      </c>
      <c r="G745" s="336">
        <v>2220.9</v>
      </c>
      <c r="H745" s="336">
        <f t="shared" si="54"/>
        <v>2220.9</v>
      </c>
      <c r="I745" s="214"/>
    </row>
    <row r="746" spans="1:9" ht="15.75" x14ac:dyDescent="0.25">
      <c r="A746" s="333" t="s">
        <v>311</v>
      </c>
      <c r="B746" s="330">
        <v>906</v>
      </c>
      <c r="C746" s="334" t="s">
        <v>280</v>
      </c>
      <c r="D746" s="334" t="s">
        <v>235</v>
      </c>
      <c r="E746" s="334"/>
      <c r="F746" s="334"/>
      <c r="G746" s="332">
        <f>G747+G757</f>
        <v>19830</v>
      </c>
      <c r="H746" s="332">
        <f>H747+H757</f>
        <v>19830</v>
      </c>
      <c r="I746" s="214"/>
    </row>
    <row r="747" spans="1:9" ht="31.5" x14ac:dyDescent="0.25">
      <c r="A747" s="333" t="s">
        <v>990</v>
      </c>
      <c r="B747" s="330">
        <v>906</v>
      </c>
      <c r="C747" s="334" t="s">
        <v>280</v>
      </c>
      <c r="D747" s="334" t="s">
        <v>235</v>
      </c>
      <c r="E747" s="334" t="s">
        <v>904</v>
      </c>
      <c r="F747" s="334"/>
      <c r="G747" s="332">
        <f>G748</f>
        <v>5585</v>
      </c>
      <c r="H747" s="332">
        <f>H748</f>
        <v>5585</v>
      </c>
      <c r="I747" s="214"/>
    </row>
    <row r="748" spans="1:9" ht="15.75" x14ac:dyDescent="0.25">
      <c r="A748" s="333" t="s">
        <v>991</v>
      </c>
      <c r="B748" s="330">
        <v>906</v>
      </c>
      <c r="C748" s="334" t="s">
        <v>280</v>
      </c>
      <c r="D748" s="334" t="s">
        <v>235</v>
      </c>
      <c r="E748" s="334" t="s">
        <v>905</v>
      </c>
      <c r="F748" s="334"/>
      <c r="G748" s="332">
        <f>G749+G754</f>
        <v>5585</v>
      </c>
      <c r="H748" s="332">
        <f>H749+H754</f>
        <v>5585</v>
      </c>
      <c r="I748" s="214"/>
    </row>
    <row r="749" spans="1:9" ht="31.5" x14ac:dyDescent="0.25">
      <c r="A749" s="335" t="s">
        <v>967</v>
      </c>
      <c r="B749" s="329">
        <v>906</v>
      </c>
      <c r="C749" s="331" t="s">
        <v>280</v>
      </c>
      <c r="D749" s="331" t="s">
        <v>235</v>
      </c>
      <c r="E749" s="331" t="s">
        <v>906</v>
      </c>
      <c r="F749" s="331"/>
      <c r="G749" s="336">
        <f>G750+G752</f>
        <v>5459</v>
      </c>
      <c r="H749" s="336">
        <f>H750+H752</f>
        <v>5459</v>
      </c>
      <c r="I749" s="214"/>
    </row>
    <row r="750" spans="1:9" ht="78.75" x14ac:dyDescent="0.25">
      <c r="A750" s="335" t="s">
        <v>143</v>
      </c>
      <c r="B750" s="329">
        <v>906</v>
      </c>
      <c r="C750" s="331" t="s">
        <v>280</v>
      </c>
      <c r="D750" s="331" t="s">
        <v>235</v>
      </c>
      <c r="E750" s="331" t="s">
        <v>906</v>
      </c>
      <c r="F750" s="331" t="s">
        <v>144</v>
      </c>
      <c r="G750" s="336">
        <f>G751</f>
        <v>5247</v>
      </c>
      <c r="H750" s="336">
        <f>H751</f>
        <v>5247</v>
      </c>
      <c r="I750" s="214"/>
    </row>
    <row r="751" spans="1:9" ht="31.5" x14ac:dyDescent="0.25">
      <c r="A751" s="335" t="s">
        <v>145</v>
      </c>
      <c r="B751" s="329">
        <v>906</v>
      </c>
      <c r="C751" s="331" t="s">
        <v>280</v>
      </c>
      <c r="D751" s="331" t="s">
        <v>235</v>
      </c>
      <c r="E751" s="331" t="s">
        <v>906</v>
      </c>
      <c r="F751" s="331" t="s">
        <v>146</v>
      </c>
      <c r="G751" s="336">
        <f>5247</f>
        <v>5247</v>
      </c>
      <c r="H751" s="336">
        <f t="shared" si="54"/>
        <v>5247</v>
      </c>
      <c r="I751" s="214"/>
    </row>
    <row r="752" spans="1:9" ht="31.5" x14ac:dyDescent="0.25">
      <c r="A752" s="335" t="s">
        <v>147</v>
      </c>
      <c r="B752" s="329">
        <v>906</v>
      </c>
      <c r="C752" s="331" t="s">
        <v>280</v>
      </c>
      <c r="D752" s="331" t="s">
        <v>235</v>
      </c>
      <c r="E752" s="331" t="s">
        <v>906</v>
      </c>
      <c r="F752" s="331" t="s">
        <v>148</v>
      </c>
      <c r="G752" s="336">
        <f>G753</f>
        <v>212</v>
      </c>
      <c r="H752" s="336">
        <f>H753</f>
        <v>212</v>
      </c>
      <c r="I752" s="214"/>
    </row>
    <row r="753" spans="1:9" ht="31.5" x14ac:dyDescent="0.25">
      <c r="A753" s="335" t="s">
        <v>149</v>
      </c>
      <c r="B753" s="329">
        <v>906</v>
      </c>
      <c r="C753" s="331" t="s">
        <v>280</v>
      </c>
      <c r="D753" s="331" t="s">
        <v>235</v>
      </c>
      <c r="E753" s="331" t="s">
        <v>906</v>
      </c>
      <c r="F753" s="331" t="s">
        <v>150</v>
      </c>
      <c r="G753" s="336">
        <f>212</f>
        <v>212</v>
      </c>
      <c r="H753" s="336">
        <f t="shared" si="54"/>
        <v>212</v>
      </c>
      <c r="I753" s="214"/>
    </row>
    <row r="754" spans="1:9" ht="47.25" x14ac:dyDescent="0.25">
      <c r="A754" s="335" t="s">
        <v>885</v>
      </c>
      <c r="B754" s="329">
        <v>906</v>
      </c>
      <c r="C754" s="331" t="s">
        <v>280</v>
      </c>
      <c r="D754" s="331" t="s">
        <v>235</v>
      </c>
      <c r="E754" s="331" t="s">
        <v>908</v>
      </c>
      <c r="F754" s="331"/>
      <c r="G754" s="336">
        <f>G755</f>
        <v>126</v>
      </c>
      <c r="H754" s="336">
        <f>H755</f>
        <v>126</v>
      </c>
      <c r="I754" s="214"/>
    </row>
    <row r="755" spans="1:9" ht="78.75" x14ac:dyDescent="0.25">
      <c r="A755" s="335" t="s">
        <v>143</v>
      </c>
      <c r="B755" s="329">
        <v>906</v>
      </c>
      <c r="C755" s="331" t="s">
        <v>280</v>
      </c>
      <c r="D755" s="331" t="s">
        <v>235</v>
      </c>
      <c r="E755" s="331" t="s">
        <v>908</v>
      </c>
      <c r="F755" s="331" t="s">
        <v>144</v>
      </c>
      <c r="G755" s="336">
        <f>G756</f>
        <v>126</v>
      </c>
      <c r="H755" s="336">
        <f>H756</f>
        <v>126</v>
      </c>
      <c r="I755" s="214"/>
    </row>
    <row r="756" spans="1:9" ht="31.5" x14ac:dyDescent="0.25">
      <c r="A756" s="335" t="s">
        <v>145</v>
      </c>
      <c r="B756" s="329">
        <v>906</v>
      </c>
      <c r="C756" s="331" t="s">
        <v>280</v>
      </c>
      <c r="D756" s="331" t="s">
        <v>235</v>
      </c>
      <c r="E756" s="331" t="s">
        <v>908</v>
      </c>
      <c r="F756" s="331" t="s">
        <v>146</v>
      </c>
      <c r="G756" s="336">
        <f>126</f>
        <v>126</v>
      </c>
      <c r="H756" s="336">
        <f t="shared" si="54"/>
        <v>126</v>
      </c>
      <c r="I756" s="214"/>
    </row>
    <row r="757" spans="1:9" ht="15.75" x14ac:dyDescent="0.25">
      <c r="A757" s="333" t="s">
        <v>157</v>
      </c>
      <c r="B757" s="330">
        <v>906</v>
      </c>
      <c r="C757" s="334" t="s">
        <v>280</v>
      </c>
      <c r="D757" s="334" t="s">
        <v>235</v>
      </c>
      <c r="E757" s="334" t="s">
        <v>912</v>
      </c>
      <c r="F757" s="334"/>
      <c r="G757" s="332">
        <f>G758+G762</f>
        <v>14245</v>
      </c>
      <c r="H757" s="332">
        <f>H758+H762</f>
        <v>14245</v>
      </c>
      <c r="I757" s="214"/>
    </row>
    <row r="758" spans="1:9" ht="31.5" x14ac:dyDescent="0.25">
      <c r="A758" s="333" t="s">
        <v>916</v>
      </c>
      <c r="B758" s="330">
        <v>906</v>
      </c>
      <c r="C758" s="334" t="s">
        <v>280</v>
      </c>
      <c r="D758" s="334" t="s">
        <v>235</v>
      </c>
      <c r="E758" s="334" t="s">
        <v>911</v>
      </c>
      <c r="F758" s="334"/>
      <c r="G758" s="332">
        <f t="shared" ref="G758:H760" si="58">G759</f>
        <v>300</v>
      </c>
      <c r="H758" s="332">
        <f t="shared" si="58"/>
        <v>300</v>
      </c>
      <c r="I758" s="214"/>
    </row>
    <row r="759" spans="1:9" ht="15.75" x14ac:dyDescent="0.25">
      <c r="A759" s="335" t="s">
        <v>494</v>
      </c>
      <c r="B759" s="329">
        <v>906</v>
      </c>
      <c r="C759" s="331" t="s">
        <v>280</v>
      </c>
      <c r="D759" s="331" t="s">
        <v>235</v>
      </c>
      <c r="E759" s="331" t="s">
        <v>1060</v>
      </c>
      <c r="F759" s="331"/>
      <c r="G759" s="336">
        <f t="shared" si="58"/>
        <v>300</v>
      </c>
      <c r="H759" s="336">
        <f t="shared" si="58"/>
        <v>300</v>
      </c>
      <c r="I759" s="214"/>
    </row>
    <row r="760" spans="1:9" ht="31.5" x14ac:dyDescent="0.25">
      <c r="A760" s="335" t="s">
        <v>147</v>
      </c>
      <c r="B760" s="329">
        <v>906</v>
      </c>
      <c r="C760" s="331" t="s">
        <v>280</v>
      </c>
      <c r="D760" s="331" t="s">
        <v>235</v>
      </c>
      <c r="E760" s="331" t="s">
        <v>1060</v>
      </c>
      <c r="F760" s="331" t="s">
        <v>148</v>
      </c>
      <c r="G760" s="336">
        <f t="shared" si="58"/>
        <v>300</v>
      </c>
      <c r="H760" s="336">
        <f t="shared" si="58"/>
        <v>300</v>
      </c>
      <c r="I760" s="214"/>
    </row>
    <row r="761" spans="1:9" ht="31.5" x14ac:dyDescent="0.25">
      <c r="A761" s="335" t="s">
        <v>149</v>
      </c>
      <c r="B761" s="329">
        <v>906</v>
      </c>
      <c r="C761" s="331" t="s">
        <v>280</v>
      </c>
      <c r="D761" s="331" t="s">
        <v>235</v>
      </c>
      <c r="E761" s="331" t="s">
        <v>1060</v>
      </c>
      <c r="F761" s="331" t="s">
        <v>150</v>
      </c>
      <c r="G761" s="336">
        <f>300</f>
        <v>300</v>
      </c>
      <c r="H761" s="336">
        <f t="shared" si="54"/>
        <v>300</v>
      </c>
      <c r="I761" s="214"/>
    </row>
    <row r="762" spans="1:9" ht="31.5" x14ac:dyDescent="0.25">
      <c r="A762" s="333" t="s">
        <v>1002</v>
      </c>
      <c r="B762" s="330">
        <v>906</v>
      </c>
      <c r="C762" s="334" t="s">
        <v>280</v>
      </c>
      <c r="D762" s="334" t="s">
        <v>235</v>
      </c>
      <c r="E762" s="334" t="s">
        <v>987</v>
      </c>
      <c r="F762" s="334"/>
      <c r="G762" s="332">
        <f>G763+G770</f>
        <v>13945</v>
      </c>
      <c r="H762" s="332">
        <f>H763+H770</f>
        <v>13945</v>
      </c>
      <c r="I762" s="214"/>
    </row>
    <row r="763" spans="1:9" ht="31.5" x14ac:dyDescent="0.25">
      <c r="A763" s="335" t="s">
        <v>1280</v>
      </c>
      <c r="B763" s="329">
        <v>906</v>
      </c>
      <c r="C763" s="331" t="s">
        <v>280</v>
      </c>
      <c r="D763" s="331" t="s">
        <v>235</v>
      </c>
      <c r="E763" s="331" t="s">
        <v>988</v>
      </c>
      <c r="F763" s="331"/>
      <c r="G763" s="336">
        <f>G764+G766+G768</f>
        <v>13609</v>
      </c>
      <c r="H763" s="336">
        <f>H764+H766+H768</f>
        <v>13609</v>
      </c>
      <c r="I763" s="214"/>
    </row>
    <row r="764" spans="1:9" ht="78.75" x14ac:dyDescent="0.25">
      <c r="A764" s="335" t="s">
        <v>143</v>
      </c>
      <c r="B764" s="329">
        <v>906</v>
      </c>
      <c r="C764" s="331" t="s">
        <v>280</v>
      </c>
      <c r="D764" s="331" t="s">
        <v>235</v>
      </c>
      <c r="E764" s="331" t="s">
        <v>988</v>
      </c>
      <c r="F764" s="331" t="s">
        <v>144</v>
      </c>
      <c r="G764" s="336">
        <f>G765</f>
        <v>12517</v>
      </c>
      <c r="H764" s="336">
        <f t="shared" si="54"/>
        <v>12517</v>
      </c>
      <c r="I764" s="214"/>
    </row>
    <row r="765" spans="1:9" ht="31.5" x14ac:dyDescent="0.25">
      <c r="A765" s="335" t="s">
        <v>358</v>
      </c>
      <c r="B765" s="329">
        <v>906</v>
      </c>
      <c r="C765" s="331" t="s">
        <v>280</v>
      </c>
      <c r="D765" s="331" t="s">
        <v>235</v>
      </c>
      <c r="E765" s="331" t="s">
        <v>988</v>
      </c>
      <c r="F765" s="331" t="s">
        <v>225</v>
      </c>
      <c r="G765" s="336">
        <f>12517</f>
        <v>12517</v>
      </c>
      <c r="H765" s="336">
        <f t="shared" si="54"/>
        <v>12517</v>
      </c>
      <c r="I765" s="214"/>
    </row>
    <row r="766" spans="1:9" ht="31.5" x14ac:dyDescent="0.25">
      <c r="A766" s="335" t="s">
        <v>147</v>
      </c>
      <c r="B766" s="329">
        <v>906</v>
      </c>
      <c r="C766" s="331" t="s">
        <v>280</v>
      </c>
      <c r="D766" s="331" t="s">
        <v>235</v>
      </c>
      <c r="E766" s="331" t="s">
        <v>988</v>
      </c>
      <c r="F766" s="331" t="s">
        <v>148</v>
      </c>
      <c r="G766" s="336">
        <f>G767</f>
        <v>1077</v>
      </c>
      <c r="H766" s="336">
        <f t="shared" si="54"/>
        <v>1077</v>
      </c>
      <c r="I766" s="214"/>
    </row>
    <row r="767" spans="1:9" ht="31.5" x14ac:dyDescent="0.25">
      <c r="A767" s="335" t="s">
        <v>149</v>
      </c>
      <c r="B767" s="329">
        <v>906</v>
      </c>
      <c r="C767" s="331" t="s">
        <v>280</v>
      </c>
      <c r="D767" s="331" t="s">
        <v>235</v>
      </c>
      <c r="E767" s="331" t="s">
        <v>988</v>
      </c>
      <c r="F767" s="331" t="s">
        <v>150</v>
      </c>
      <c r="G767" s="336">
        <f>1077</f>
        <v>1077</v>
      </c>
      <c r="H767" s="336">
        <f t="shared" si="54"/>
        <v>1077</v>
      </c>
      <c r="I767" s="214"/>
    </row>
    <row r="768" spans="1:9" ht="15.75" x14ac:dyDescent="0.25">
      <c r="A768" s="335" t="s">
        <v>151</v>
      </c>
      <c r="B768" s="329">
        <v>906</v>
      </c>
      <c r="C768" s="331" t="s">
        <v>280</v>
      </c>
      <c r="D768" s="331" t="s">
        <v>235</v>
      </c>
      <c r="E768" s="331" t="s">
        <v>988</v>
      </c>
      <c r="F768" s="331" t="s">
        <v>161</v>
      </c>
      <c r="G768" s="336">
        <f>G769</f>
        <v>15</v>
      </c>
      <c r="H768" s="336">
        <f t="shared" si="54"/>
        <v>15</v>
      </c>
      <c r="I768" s="214"/>
    </row>
    <row r="769" spans="1:9" ht="15.75" x14ac:dyDescent="0.25">
      <c r="A769" s="335" t="s">
        <v>584</v>
      </c>
      <c r="B769" s="329">
        <v>906</v>
      </c>
      <c r="C769" s="331" t="s">
        <v>280</v>
      </c>
      <c r="D769" s="331" t="s">
        <v>235</v>
      </c>
      <c r="E769" s="331" t="s">
        <v>988</v>
      </c>
      <c r="F769" s="331" t="s">
        <v>154</v>
      </c>
      <c r="G769" s="336">
        <f>15</f>
        <v>15</v>
      </c>
      <c r="H769" s="336">
        <f t="shared" si="54"/>
        <v>15</v>
      </c>
      <c r="I769" s="214"/>
    </row>
    <row r="770" spans="1:9" ht="47.25" x14ac:dyDescent="0.25">
      <c r="A770" s="335" t="s">
        <v>885</v>
      </c>
      <c r="B770" s="329">
        <v>906</v>
      </c>
      <c r="C770" s="331" t="s">
        <v>280</v>
      </c>
      <c r="D770" s="331" t="s">
        <v>235</v>
      </c>
      <c r="E770" s="331" t="s">
        <v>989</v>
      </c>
      <c r="F770" s="331"/>
      <c r="G770" s="336">
        <f>G771</f>
        <v>336</v>
      </c>
      <c r="H770" s="336">
        <f>H771</f>
        <v>336</v>
      </c>
      <c r="I770" s="214"/>
    </row>
    <row r="771" spans="1:9" ht="78.75" x14ac:dyDescent="0.25">
      <c r="A771" s="335" t="s">
        <v>143</v>
      </c>
      <c r="B771" s="329">
        <v>906</v>
      </c>
      <c r="C771" s="331" t="s">
        <v>280</v>
      </c>
      <c r="D771" s="331" t="s">
        <v>235</v>
      </c>
      <c r="E771" s="331" t="s">
        <v>989</v>
      </c>
      <c r="F771" s="331" t="s">
        <v>144</v>
      </c>
      <c r="G771" s="336">
        <f>G772</f>
        <v>336</v>
      </c>
      <c r="H771" s="336">
        <f>H772</f>
        <v>336</v>
      </c>
      <c r="I771" s="214"/>
    </row>
    <row r="772" spans="1:9" ht="31.5" x14ac:dyDescent="0.25">
      <c r="A772" s="335" t="s">
        <v>358</v>
      </c>
      <c r="B772" s="329">
        <v>906</v>
      </c>
      <c r="C772" s="331" t="s">
        <v>280</v>
      </c>
      <c r="D772" s="331" t="s">
        <v>235</v>
      </c>
      <c r="E772" s="331" t="s">
        <v>989</v>
      </c>
      <c r="F772" s="331" t="s">
        <v>225</v>
      </c>
      <c r="G772" s="336">
        <f>336</f>
        <v>336</v>
      </c>
      <c r="H772" s="336">
        <f t="shared" si="54"/>
        <v>336</v>
      </c>
      <c r="I772" s="214"/>
    </row>
    <row r="773" spans="1:9" ht="31.5" x14ac:dyDescent="0.25">
      <c r="A773" s="330" t="s">
        <v>496</v>
      </c>
      <c r="B773" s="330">
        <v>907</v>
      </c>
      <c r="C773" s="331"/>
      <c r="D773" s="331"/>
      <c r="E773" s="331"/>
      <c r="F773" s="331"/>
      <c r="G773" s="332">
        <f>G781+G774</f>
        <v>58805.599999999999</v>
      </c>
      <c r="H773" s="332">
        <f>H781+H774</f>
        <v>58805.599999999999</v>
      </c>
      <c r="I773" s="214"/>
    </row>
    <row r="774" spans="1:9" s="213" customFormat="1" ht="15.75" x14ac:dyDescent="0.25">
      <c r="A774" s="333" t="s">
        <v>133</v>
      </c>
      <c r="B774" s="330">
        <v>907</v>
      </c>
      <c r="C774" s="334" t="s">
        <v>134</v>
      </c>
      <c r="D774" s="334"/>
      <c r="E774" s="334"/>
      <c r="F774" s="334"/>
      <c r="G774" s="332">
        <f t="shared" ref="G774:H775" si="59">G775</f>
        <v>70</v>
      </c>
      <c r="H774" s="332">
        <f t="shared" si="59"/>
        <v>70</v>
      </c>
      <c r="I774" s="214"/>
    </row>
    <row r="775" spans="1:9" s="213" customFormat="1" ht="15.75" x14ac:dyDescent="0.25">
      <c r="A775" s="34" t="s">
        <v>155</v>
      </c>
      <c r="B775" s="330">
        <v>907</v>
      </c>
      <c r="C775" s="334" t="s">
        <v>134</v>
      </c>
      <c r="D775" s="334" t="s">
        <v>156</v>
      </c>
      <c r="E775" s="334"/>
      <c r="F775" s="334"/>
      <c r="G775" s="332">
        <f t="shared" si="59"/>
        <v>70</v>
      </c>
      <c r="H775" s="332">
        <f t="shared" si="59"/>
        <v>70</v>
      </c>
      <c r="I775" s="214"/>
    </row>
    <row r="776" spans="1:9" s="213" customFormat="1" ht="47.25" x14ac:dyDescent="0.25">
      <c r="A776" s="333" t="s">
        <v>1423</v>
      </c>
      <c r="B776" s="330">
        <v>907</v>
      </c>
      <c r="C776" s="334" t="s">
        <v>134</v>
      </c>
      <c r="D776" s="334" t="s">
        <v>156</v>
      </c>
      <c r="E776" s="334" t="s">
        <v>351</v>
      </c>
      <c r="F776" s="334"/>
      <c r="G776" s="332">
        <f t="shared" ref="G776:H779" si="60">G777</f>
        <v>70</v>
      </c>
      <c r="H776" s="332">
        <f t="shared" si="60"/>
        <v>70</v>
      </c>
      <c r="I776" s="214"/>
    </row>
    <row r="777" spans="1:9" s="213" customFormat="1" ht="31.5" x14ac:dyDescent="0.25">
      <c r="A777" s="221" t="s">
        <v>1225</v>
      </c>
      <c r="B777" s="330">
        <v>907</v>
      </c>
      <c r="C777" s="334" t="s">
        <v>134</v>
      </c>
      <c r="D777" s="334" t="s">
        <v>156</v>
      </c>
      <c r="E777" s="334" t="s">
        <v>1226</v>
      </c>
      <c r="F777" s="334"/>
      <c r="G777" s="332">
        <f t="shared" si="60"/>
        <v>70</v>
      </c>
      <c r="H777" s="332">
        <f t="shared" si="60"/>
        <v>70</v>
      </c>
      <c r="I777" s="214"/>
    </row>
    <row r="778" spans="1:9" s="213" customFormat="1" ht="31.5" x14ac:dyDescent="0.25">
      <c r="A778" s="98" t="s">
        <v>352</v>
      </c>
      <c r="B778" s="329">
        <v>907</v>
      </c>
      <c r="C778" s="331" t="s">
        <v>134</v>
      </c>
      <c r="D778" s="331" t="s">
        <v>156</v>
      </c>
      <c r="E778" s="331" t="s">
        <v>1227</v>
      </c>
      <c r="F778" s="331"/>
      <c r="G778" s="336">
        <f t="shared" si="60"/>
        <v>70</v>
      </c>
      <c r="H778" s="336">
        <f t="shared" si="60"/>
        <v>70</v>
      </c>
      <c r="I778" s="214"/>
    </row>
    <row r="779" spans="1:9" s="213" customFormat="1" ht="31.5" x14ac:dyDescent="0.25">
      <c r="A779" s="335" t="s">
        <v>147</v>
      </c>
      <c r="B779" s="329">
        <v>907</v>
      </c>
      <c r="C779" s="331" t="s">
        <v>134</v>
      </c>
      <c r="D779" s="331" t="s">
        <v>156</v>
      </c>
      <c r="E779" s="331" t="s">
        <v>1227</v>
      </c>
      <c r="F779" s="331" t="s">
        <v>148</v>
      </c>
      <c r="G779" s="336">
        <f t="shared" si="60"/>
        <v>70</v>
      </c>
      <c r="H779" s="336">
        <f t="shared" si="60"/>
        <v>70</v>
      </c>
      <c r="I779" s="214"/>
    </row>
    <row r="780" spans="1:9" s="213" customFormat="1" ht="31.5" x14ac:dyDescent="0.25">
      <c r="A780" s="335" t="s">
        <v>149</v>
      </c>
      <c r="B780" s="329">
        <v>907</v>
      </c>
      <c r="C780" s="331" t="s">
        <v>134</v>
      </c>
      <c r="D780" s="331" t="s">
        <v>156</v>
      </c>
      <c r="E780" s="331" t="s">
        <v>1227</v>
      </c>
      <c r="F780" s="331" t="s">
        <v>150</v>
      </c>
      <c r="G780" s="336">
        <f>70</f>
        <v>70</v>
      </c>
      <c r="H780" s="336">
        <f t="shared" ref="H780" si="61">G780</f>
        <v>70</v>
      </c>
      <c r="I780" s="214"/>
    </row>
    <row r="781" spans="1:9" ht="15.75" x14ac:dyDescent="0.25">
      <c r="A781" s="333" t="s">
        <v>506</v>
      </c>
      <c r="B781" s="330">
        <v>907</v>
      </c>
      <c r="C781" s="334" t="s">
        <v>507</v>
      </c>
      <c r="D781" s="331"/>
      <c r="E781" s="331"/>
      <c r="F781" s="331"/>
      <c r="G781" s="332">
        <f>G782+G821</f>
        <v>58735.6</v>
      </c>
      <c r="H781" s="332">
        <f>H782+H821</f>
        <v>58735.6</v>
      </c>
      <c r="I781" s="214"/>
    </row>
    <row r="782" spans="1:9" ht="15.75" x14ac:dyDescent="0.25">
      <c r="A782" s="333" t="s">
        <v>508</v>
      </c>
      <c r="B782" s="330">
        <v>907</v>
      </c>
      <c r="C782" s="334" t="s">
        <v>507</v>
      </c>
      <c r="D782" s="334" t="s">
        <v>134</v>
      </c>
      <c r="E782" s="331"/>
      <c r="F782" s="331"/>
      <c r="G782" s="332">
        <f>G783+G816</f>
        <v>46979.6</v>
      </c>
      <c r="H782" s="332">
        <f>H783+H816</f>
        <v>46979.6</v>
      </c>
      <c r="I782" s="214"/>
    </row>
    <row r="783" spans="1:9" ht="47.25" x14ac:dyDescent="0.25">
      <c r="A783" s="333" t="s">
        <v>1432</v>
      </c>
      <c r="B783" s="330">
        <v>907</v>
      </c>
      <c r="C783" s="334" t="s">
        <v>507</v>
      </c>
      <c r="D783" s="334" t="s">
        <v>134</v>
      </c>
      <c r="E783" s="334" t="s">
        <v>498</v>
      </c>
      <c r="F783" s="334"/>
      <c r="G783" s="332">
        <f>G784</f>
        <v>46439.5</v>
      </c>
      <c r="H783" s="332">
        <f>H784</f>
        <v>46439.5</v>
      </c>
      <c r="I783" s="214"/>
    </row>
    <row r="784" spans="1:9" ht="47.25" x14ac:dyDescent="0.25">
      <c r="A784" s="333" t="s">
        <v>1431</v>
      </c>
      <c r="B784" s="330">
        <v>907</v>
      </c>
      <c r="C784" s="334" t="s">
        <v>507</v>
      </c>
      <c r="D784" s="334" t="s">
        <v>134</v>
      </c>
      <c r="E784" s="334" t="s">
        <v>510</v>
      </c>
      <c r="F784" s="334"/>
      <c r="G784" s="332">
        <f>G785+G795+G805+G812</f>
        <v>46439.5</v>
      </c>
      <c r="H784" s="332">
        <f>H785+H795+H805+H812</f>
        <v>46439.5</v>
      </c>
      <c r="I784" s="214"/>
    </row>
    <row r="785" spans="1:9" ht="31.5" x14ac:dyDescent="0.25">
      <c r="A785" s="333" t="s">
        <v>1028</v>
      </c>
      <c r="B785" s="330">
        <v>907</v>
      </c>
      <c r="C785" s="334" t="s">
        <v>507</v>
      </c>
      <c r="D785" s="334" t="s">
        <v>134</v>
      </c>
      <c r="E785" s="334" t="s">
        <v>1061</v>
      </c>
      <c r="F785" s="334"/>
      <c r="G785" s="332">
        <f>G786+G789+G792</f>
        <v>44582</v>
      </c>
      <c r="H785" s="332">
        <f>H786+H789+H792</f>
        <v>44582</v>
      </c>
      <c r="I785" s="214"/>
    </row>
    <row r="786" spans="1:9" ht="47.25" x14ac:dyDescent="0.25">
      <c r="A786" s="335" t="s">
        <v>837</v>
      </c>
      <c r="B786" s="329">
        <v>907</v>
      </c>
      <c r="C786" s="331" t="s">
        <v>507</v>
      </c>
      <c r="D786" s="331" t="s">
        <v>134</v>
      </c>
      <c r="E786" s="331" t="s">
        <v>1071</v>
      </c>
      <c r="F786" s="331"/>
      <c r="G786" s="336">
        <f>G787</f>
        <v>13108</v>
      </c>
      <c r="H786" s="336">
        <f>H787</f>
        <v>13108</v>
      </c>
      <c r="I786" s="214"/>
    </row>
    <row r="787" spans="1:9" ht="31.5" x14ac:dyDescent="0.25">
      <c r="A787" s="335" t="s">
        <v>288</v>
      </c>
      <c r="B787" s="329">
        <v>907</v>
      </c>
      <c r="C787" s="331" t="s">
        <v>507</v>
      </c>
      <c r="D787" s="331" t="s">
        <v>134</v>
      </c>
      <c r="E787" s="331" t="s">
        <v>1071</v>
      </c>
      <c r="F787" s="331" t="s">
        <v>289</v>
      </c>
      <c r="G787" s="336">
        <f>G788</f>
        <v>13108</v>
      </c>
      <c r="H787" s="336">
        <f>H788</f>
        <v>13108</v>
      </c>
      <c r="I787" s="214"/>
    </row>
    <row r="788" spans="1:9" ht="15.75" x14ac:dyDescent="0.25">
      <c r="A788" s="335" t="s">
        <v>290</v>
      </c>
      <c r="B788" s="329">
        <v>907</v>
      </c>
      <c r="C788" s="331" t="s">
        <v>507</v>
      </c>
      <c r="D788" s="331" t="s">
        <v>134</v>
      </c>
      <c r="E788" s="331" t="s">
        <v>1071</v>
      </c>
      <c r="F788" s="331" t="s">
        <v>291</v>
      </c>
      <c r="G788" s="336">
        <f>13108</f>
        <v>13108</v>
      </c>
      <c r="H788" s="336">
        <f t="shared" si="54"/>
        <v>13108</v>
      </c>
      <c r="I788" s="214"/>
    </row>
    <row r="789" spans="1:9" ht="47.25" x14ac:dyDescent="0.25">
      <c r="A789" s="335" t="s">
        <v>858</v>
      </c>
      <c r="B789" s="329">
        <v>907</v>
      </c>
      <c r="C789" s="331" t="s">
        <v>507</v>
      </c>
      <c r="D789" s="331" t="s">
        <v>134</v>
      </c>
      <c r="E789" s="331" t="s">
        <v>1072</v>
      </c>
      <c r="F789" s="331"/>
      <c r="G789" s="336">
        <f>G790</f>
        <v>12897</v>
      </c>
      <c r="H789" s="336">
        <f>H790</f>
        <v>12897</v>
      </c>
      <c r="I789" s="214"/>
    </row>
    <row r="790" spans="1:9" ht="31.5" x14ac:dyDescent="0.25">
      <c r="A790" s="335" t="s">
        <v>288</v>
      </c>
      <c r="B790" s="329">
        <v>907</v>
      </c>
      <c r="C790" s="331" t="s">
        <v>507</v>
      </c>
      <c r="D790" s="331" t="s">
        <v>134</v>
      </c>
      <c r="E790" s="331" t="s">
        <v>1072</v>
      </c>
      <c r="F790" s="331" t="s">
        <v>289</v>
      </c>
      <c r="G790" s="336">
        <f>G791</f>
        <v>12897</v>
      </c>
      <c r="H790" s="336">
        <f>H791</f>
        <v>12897</v>
      </c>
      <c r="I790" s="214"/>
    </row>
    <row r="791" spans="1:9" ht="15.75" x14ac:dyDescent="0.25">
      <c r="A791" s="335" t="s">
        <v>290</v>
      </c>
      <c r="B791" s="329">
        <v>907</v>
      </c>
      <c r="C791" s="331" t="s">
        <v>507</v>
      </c>
      <c r="D791" s="331" t="s">
        <v>134</v>
      </c>
      <c r="E791" s="331" t="s">
        <v>1072</v>
      </c>
      <c r="F791" s="331" t="s">
        <v>291</v>
      </c>
      <c r="G791" s="336">
        <f>12897</f>
        <v>12897</v>
      </c>
      <c r="H791" s="336">
        <f t="shared" ref="H791:H849" si="62">G791</f>
        <v>12897</v>
      </c>
      <c r="I791" s="214"/>
    </row>
    <row r="792" spans="1:9" ht="47.25" x14ac:dyDescent="0.25">
      <c r="A792" s="335" t="s">
        <v>859</v>
      </c>
      <c r="B792" s="329">
        <v>907</v>
      </c>
      <c r="C792" s="331" t="s">
        <v>507</v>
      </c>
      <c r="D792" s="331" t="s">
        <v>134</v>
      </c>
      <c r="E792" s="331" t="s">
        <v>1073</v>
      </c>
      <c r="F792" s="331"/>
      <c r="G792" s="336">
        <f>G793</f>
        <v>18577</v>
      </c>
      <c r="H792" s="336">
        <f>H793</f>
        <v>18577</v>
      </c>
      <c r="I792" s="214"/>
    </row>
    <row r="793" spans="1:9" ht="31.5" x14ac:dyDescent="0.25">
      <c r="A793" s="335" t="s">
        <v>288</v>
      </c>
      <c r="B793" s="329">
        <v>907</v>
      </c>
      <c r="C793" s="331" t="s">
        <v>507</v>
      </c>
      <c r="D793" s="331" t="s">
        <v>134</v>
      </c>
      <c r="E793" s="331" t="s">
        <v>1073</v>
      </c>
      <c r="F793" s="331" t="s">
        <v>289</v>
      </c>
      <c r="G793" s="336">
        <f>G794</f>
        <v>18577</v>
      </c>
      <c r="H793" s="336">
        <f>H794</f>
        <v>18577</v>
      </c>
      <c r="I793" s="214"/>
    </row>
    <row r="794" spans="1:9" ht="15.75" x14ac:dyDescent="0.25">
      <c r="A794" s="335" t="s">
        <v>290</v>
      </c>
      <c r="B794" s="329">
        <v>907</v>
      </c>
      <c r="C794" s="331" t="s">
        <v>507</v>
      </c>
      <c r="D794" s="331" t="s">
        <v>134</v>
      </c>
      <c r="E794" s="331" t="s">
        <v>1073</v>
      </c>
      <c r="F794" s="331" t="s">
        <v>291</v>
      </c>
      <c r="G794" s="336">
        <f>18577</f>
        <v>18577</v>
      </c>
      <c r="H794" s="336">
        <f t="shared" si="62"/>
        <v>18577</v>
      </c>
      <c r="I794" s="214"/>
    </row>
    <row r="795" spans="1:9" ht="31.5" hidden="1" x14ac:dyDescent="0.25">
      <c r="A795" s="333" t="s">
        <v>1074</v>
      </c>
      <c r="B795" s="330">
        <v>907</v>
      </c>
      <c r="C795" s="334" t="s">
        <v>507</v>
      </c>
      <c r="D795" s="334" t="s">
        <v>134</v>
      </c>
      <c r="E795" s="334" t="s">
        <v>1075</v>
      </c>
      <c r="F795" s="334"/>
      <c r="G795" s="44">
        <f>G796+G799+G802</f>
        <v>288</v>
      </c>
      <c r="H795" s="44">
        <f>H796+H799+H802</f>
        <v>288</v>
      </c>
      <c r="I795" s="214"/>
    </row>
    <row r="796" spans="1:9" ht="31.5" hidden="1" x14ac:dyDescent="0.25">
      <c r="A796" s="335" t="s">
        <v>294</v>
      </c>
      <c r="B796" s="329">
        <v>907</v>
      </c>
      <c r="C796" s="331" t="s">
        <v>507</v>
      </c>
      <c r="D796" s="331" t="s">
        <v>134</v>
      </c>
      <c r="E796" s="331" t="s">
        <v>1079</v>
      </c>
      <c r="F796" s="331"/>
      <c r="G796" s="336">
        <f>'Пр.4 ведом.20'!G845</f>
        <v>252</v>
      </c>
      <c r="H796" s="336">
        <f t="shared" si="62"/>
        <v>252</v>
      </c>
      <c r="I796" s="214"/>
    </row>
    <row r="797" spans="1:9" ht="31.5" hidden="1" x14ac:dyDescent="0.25">
      <c r="A797" s="335" t="s">
        <v>288</v>
      </c>
      <c r="B797" s="329">
        <v>907</v>
      </c>
      <c r="C797" s="331" t="s">
        <v>507</v>
      </c>
      <c r="D797" s="331" t="s">
        <v>134</v>
      </c>
      <c r="E797" s="331" t="s">
        <v>1079</v>
      </c>
      <c r="F797" s="331" t="s">
        <v>289</v>
      </c>
      <c r="G797" s="336">
        <f>'Пр.4 ведом.20'!G846</f>
        <v>252</v>
      </c>
      <c r="H797" s="336">
        <f t="shared" si="62"/>
        <v>252</v>
      </c>
      <c r="I797" s="214"/>
    </row>
    <row r="798" spans="1:9" ht="15.75" hidden="1" x14ac:dyDescent="0.25">
      <c r="A798" s="335" t="s">
        <v>290</v>
      </c>
      <c r="B798" s="329">
        <v>907</v>
      </c>
      <c r="C798" s="331" t="s">
        <v>507</v>
      </c>
      <c r="D798" s="331" t="s">
        <v>134</v>
      </c>
      <c r="E798" s="331" t="s">
        <v>1079</v>
      </c>
      <c r="F798" s="331" t="s">
        <v>291</v>
      </c>
      <c r="G798" s="336">
        <f>'Пр.4 ведом.20'!G847</f>
        <v>252</v>
      </c>
      <c r="H798" s="336">
        <f t="shared" si="62"/>
        <v>252</v>
      </c>
      <c r="I798" s="214"/>
    </row>
    <row r="799" spans="1:9" ht="31.5" hidden="1" x14ac:dyDescent="0.25">
      <c r="A799" s="335" t="s">
        <v>296</v>
      </c>
      <c r="B799" s="329">
        <v>907</v>
      </c>
      <c r="C799" s="331" t="s">
        <v>507</v>
      </c>
      <c r="D799" s="331" t="s">
        <v>134</v>
      </c>
      <c r="E799" s="331" t="s">
        <v>1080</v>
      </c>
      <c r="F799" s="331"/>
      <c r="G799" s="336">
        <f>'Пр.4 ведом.20'!G848</f>
        <v>0</v>
      </c>
      <c r="H799" s="336">
        <f t="shared" si="62"/>
        <v>0</v>
      </c>
      <c r="I799" s="214"/>
    </row>
    <row r="800" spans="1:9" ht="31.5" hidden="1" x14ac:dyDescent="0.25">
      <c r="A800" s="335" t="s">
        <v>288</v>
      </c>
      <c r="B800" s="329">
        <v>907</v>
      </c>
      <c r="C800" s="331" t="s">
        <v>507</v>
      </c>
      <c r="D800" s="331" t="s">
        <v>134</v>
      </c>
      <c r="E800" s="331" t="s">
        <v>1080</v>
      </c>
      <c r="F800" s="331" t="s">
        <v>289</v>
      </c>
      <c r="G800" s="336">
        <f>'Пр.4 ведом.20'!G849</f>
        <v>0</v>
      </c>
      <c r="H800" s="336">
        <f t="shared" si="62"/>
        <v>0</v>
      </c>
      <c r="I800" s="214"/>
    </row>
    <row r="801" spans="1:9" ht="15.75" hidden="1" x14ac:dyDescent="0.25">
      <c r="A801" s="335" t="s">
        <v>290</v>
      </c>
      <c r="B801" s="329">
        <v>907</v>
      </c>
      <c r="C801" s="331" t="s">
        <v>507</v>
      </c>
      <c r="D801" s="331" t="s">
        <v>134</v>
      </c>
      <c r="E801" s="331" t="s">
        <v>1080</v>
      </c>
      <c r="F801" s="331" t="s">
        <v>291</v>
      </c>
      <c r="G801" s="336">
        <f>'Пр.4 ведом.20'!G850</f>
        <v>0</v>
      </c>
      <c r="H801" s="336">
        <f t="shared" si="62"/>
        <v>0</v>
      </c>
      <c r="I801" s="214"/>
    </row>
    <row r="802" spans="1:9" ht="15.75" x14ac:dyDescent="0.25">
      <c r="A802" s="335" t="s">
        <v>876</v>
      </c>
      <c r="B802" s="329">
        <v>907</v>
      </c>
      <c r="C802" s="331" t="s">
        <v>507</v>
      </c>
      <c r="D802" s="331" t="s">
        <v>134</v>
      </c>
      <c r="E802" s="331" t="s">
        <v>1081</v>
      </c>
      <c r="F802" s="331"/>
      <c r="G802" s="336">
        <f>G803</f>
        <v>36</v>
      </c>
      <c r="H802" s="336">
        <f>H803</f>
        <v>36</v>
      </c>
      <c r="I802" s="214"/>
    </row>
    <row r="803" spans="1:9" ht="31.5" x14ac:dyDescent="0.25">
      <c r="A803" s="335" t="s">
        <v>288</v>
      </c>
      <c r="B803" s="329">
        <v>907</v>
      </c>
      <c r="C803" s="331" t="s">
        <v>507</v>
      </c>
      <c r="D803" s="331" t="s">
        <v>134</v>
      </c>
      <c r="E803" s="331" t="s">
        <v>1081</v>
      </c>
      <c r="F803" s="331" t="s">
        <v>289</v>
      </c>
      <c r="G803" s="336">
        <f>G804</f>
        <v>36</v>
      </c>
      <c r="H803" s="336">
        <f>H804</f>
        <v>36</v>
      </c>
      <c r="I803" s="214"/>
    </row>
    <row r="804" spans="1:9" ht="15.75" x14ac:dyDescent="0.25">
      <c r="A804" s="335" t="s">
        <v>290</v>
      </c>
      <c r="B804" s="329">
        <v>907</v>
      </c>
      <c r="C804" s="331" t="s">
        <v>507</v>
      </c>
      <c r="D804" s="331" t="s">
        <v>134</v>
      </c>
      <c r="E804" s="331" t="s">
        <v>1081</v>
      </c>
      <c r="F804" s="331" t="s">
        <v>291</v>
      </c>
      <c r="G804" s="336">
        <f>36</f>
        <v>36</v>
      </c>
      <c r="H804" s="336">
        <f t="shared" si="62"/>
        <v>36</v>
      </c>
      <c r="I804" s="214"/>
    </row>
    <row r="805" spans="1:9" ht="31.5" x14ac:dyDescent="0.25">
      <c r="A805" s="333" t="s">
        <v>1076</v>
      </c>
      <c r="B805" s="330">
        <v>907</v>
      </c>
      <c r="C805" s="334" t="s">
        <v>507</v>
      </c>
      <c r="D805" s="334" t="s">
        <v>134</v>
      </c>
      <c r="E805" s="334" t="s">
        <v>1078</v>
      </c>
      <c r="F805" s="334"/>
      <c r="G805" s="332">
        <f>G806+G809</f>
        <v>756</v>
      </c>
      <c r="H805" s="332">
        <f>H806+H809</f>
        <v>756</v>
      </c>
      <c r="I805" s="214"/>
    </row>
    <row r="806" spans="1:9" ht="31.5" hidden="1" x14ac:dyDescent="0.25">
      <c r="A806" s="335" t="s">
        <v>817</v>
      </c>
      <c r="B806" s="329">
        <v>907</v>
      </c>
      <c r="C806" s="331" t="s">
        <v>507</v>
      </c>
      <c r="D806" s="331" t="s">
        <v>134</v>
      </c>
      <c r="E806" s="331" t="s">
        <v>1082</v>
      </c>
      <c r="F806" s="331"/>
      <c r="G806" s="336">
        <f>'Пр.4 ведом.20'!G855</f>
        <v>0</v>
      </c>
      <c r="H806" s="336">
        <f t="shared" si="62"/>
        <v>0</v>
      </c>
      <c r="I806" s="214"/>
    </row>
    <row r="807" spans="1:9" ht="31.5" hidden="1" x14ac:dyDescent="0.25">
      <c r="A807" s="335" t="s">
        <v>288</v>
      </c>
      <c r="B807" s="329">
        <v>907</v>
      </c>
      <c r="C807" s="331" t="s">
        <v>507</v>
      </c>
      <c r="D807" s="331" t="s">
        <v>134</v>
      </c>
      <c r="E807" s="331" t="s">
        <v>1082</v>
      </c>
      <c r="F807" s="331" t="s">
        <v>289</v>
      </c>
      <c r="G807" s="336">
        <f>'Пр.4 ведом.20'!G856</f>
        <v>0</v>
      </c>
      <c r="H807" s="336">
        <f t="shared" si="62"/>
        <v>0</v>
      </c>
      <c r="I807" s="214"/>
    </row>
    <row r="808" spans="1:9" ht="15.75" hidden="1" x14ac:dyDescent="0.25">
      <c r="A808" s="335" t="s">
        <v>290</v>
      </c>
      <c r="B808" s="329">
        <v>907</v>
      </c>
      <c r="C808" s="331" t="s">
        <v>507</v>
      </c>
      <c r="D808" s="331" t="s">
        <v>134</v>
      </c>
      <c r="E808" s="331" t="s">
        <v>1082</v>
      </c>
      <c r="F808" s="331" t="s">
        <v>291</v>
      </c>
      <c r="G808" s="336">
        <f>'Пр.4 ведом.20'!G857</f>
        <v>0</v>
      </c>
      <c r="H808" s="336">
        <f t="shared" si="62"/>
        <v>0</v>
      </c>
      <c r="I808" s="214"/>
    </row>
    <row r="809" spans="1:9" ht="31.5" x14ac:dyDescent="0.25">
      <c r="A809" s="45" t="s">
        <v>787</v>
      </c>
      <c r="B809" s="329">
        <v>907</v>
      </c>
      <c r="C809" s="331" t="s">
        <v>507</v>
      </c>
      <c r="D809" s="331" t="s">
        <v>134</v>
      </c>
      <c r="E809" s="331" t="s">
        <v>1083</v>
      </c>
      <c r="F809" s="331"/>
      <c r="G809" s="336">
        <f>G810</f>
        <v>756</v>
      </c>
      <c r="H809" s="336">
        <f>H810</f>
        <v>756</v>
      </c>
      <c r="I809" s="214"/>
    </row>
    <row r="810" spans="1:9" ht="31.5" x14ac:dyDescent="0.25">
      <c r="A810" s="31" t="s">
        <v>288</v>
      </c>
      <c r="B810" s="329">
        <v>907</v>
      </c>
      <c r="C810" s="331" t="s">
        <v>507</v>
      </c>
      <c r="D810" s="331" t="s">
        <v>134</v>
      </c>
      <c r="E810" s="331" t="s">
        <v>1083</v>
      </c>
      <c r="F810" s="331" t="s">
        <v>289</v>
      </c>
      <c r="G810" s="336">
        <f>G811</f>
        <v>756</v>
      </c>
      <c r="H810" s="336">
        <f>H811</f>
        <v>756</v>
      </c>
      <c r="I810" s="214"/>
    </row>
    <row r="811" spans="1:9" ht="15.75" x14ac:dyDescent="0.25">
      <c r="A811" s="31" t="s">
        <v>290</v>
      </c>
      <c r="B811" s="329">
        <v>907</v>
      </c>
      <c r="C811" s="331" t="s">
        <v>507</v>
      </c>
      <c r="D811" s="331" t="s">
        <v>134</v>
      </c>
      <c r="E811" s="331" t="s">
        <v>1083</v>
      </c>
      <c r="F811" s="331" t="s">
        <v>291</v>
      </c>
      <c r="G811" s="336">
        <f>756</f>
        <v>756</v>
      </c>
      <c r="H811" s="336">
        <f t="shared" si="62"/>
        <v>756</v>
      </c>
      <c r="I811" s="214"/>
    </row>
    <row r="812" spans="1:9" ht="47.25" x14ac:dyDescent="0.25">
      <c r="A812" s="333" t="s">
        <v>971</v>
      </c>
      <c r="B812" s="330">
        <v>907</v>
      </c>
      <c r="C812" s="334" t="s">
        <v>507</v>
      </c>
      <c r="D812" s="334" t="s">
        <v>134</v>
      </c>
      <c r="E812" s="334" t="s">
        <v>1084</v>
      </c>
      <c r="F812" s="334"/>
      <c r="G812" s="332">
        <f>G813</f>
        <v>813.5</v>
      </c>
      <c r="H812" s="332">
        <f>H813</f>
        <v>813.5</v>
      </c>
      <c r="I812" s="214"/>
    </row>
    <row r="813" spans="1:9" ht="94.5" x14ac:dyDescent="0.25">
      <c r="A813" s="31" t="s">
        <v>309</v>
      </c>
      <c r="B813" s="329">
        <v>907</v>
      </c>
      <c r="C813" s="331" t="s">
        <v>507</v>
      </c>
      <c r="D813" s="331" t="s">
        <v>134</v>
      </c>
      <c r="E813" s="331" t="s">
        <v>1519</v>
      </c>
      <c r="F813" s="331"/>
      <c r="G813" s="336">
        <f t="shared" ref="G813:H814" si="63">G814</f>
        <v>813.5</v>
      </c>
      <c r="H813" s="336">
        <f t="shared" si="63"/>
        <v>813.5</v>
      </c>
      <c r="I813" s="214"/>
    </row>
    <row r="814" spans="1:9" ht="31.5" x14ac:dyDescent="0.25">
      <c r="A814" s="335" t="s">
        <v>288</v>
      </c>
      <c r="B814" s="329">
        <v>907</v>
      </c>
      <c r="C814" s="331" t="s">
        <v>507</v>
      </c>
      <c r="D814" s="331" t="s">
        <v>134</v>
      </c>
      <c r="E814" s="331" t="s">
        <v>1519</v>
      </c>
      <c r="F814" s="331" t="s">
        <v>289</v>
      </c>
      <c r="G814" s="336">
        <f t="shared" si="63"/>
        <v>813.5</v>
      </c>
      <c r="H814" s="336">
        <f t="shared" si="63"/>
        <v>813.5</v>
      </c>
      <c r="I814" s="214"/>
    </row>
    <row r="815" spans="1:9" ht="15.75" x14ac:dyDescent="0.25">
      <c r="A815" s="335" t="s">
        <v>290</v>
      </c>
      <c r="B815" s="329">
        <v>907</v>
      </c>
      <c r="C815" s="331" t="s">
        <v>507</v>
      </c>
      <c r="D815" s="331" t="s">
        <v>134</v>
      </c>
      <c r="E815" s="331" t="s">
        <v>1519</v>
      </c>
      <c r="F815" s="331" t="s">
        <v>291</v>
      </c>
      <c r="G815" s="336">
        <f>813.5</f>
        <v>813.5</v>
      </c>
      <c r="H815" s="336">
        <f t="shared" si="62"/>
        <v>813.5</v>
      </c>
      <c r="I815" s="274">
        <f>12177.1/11326*870.2</f>
        <v>935.59177291188428</v>
      </c>
    </row>
    <row r="816" spans="1:9" ht="63" x14ac:dyDescent="0.25">
      <c r="A816" s="41" t="s">
        <v>1424</v>
      </c>
      <c r="B816" s="330">
        <v>907</v>
      </c>
      <c r="C816" s="334" t="s">
        <v>507</v>
      </c>
      <c r="D816" s="334" t="s">
        <v>134</v>
      </c>
      <c r="E816" s="334" t="s">
        <v>728</v>
      </c>
      <c r="F816" s="231"/>
      <c r="G816" s="332">
        <f t="shared" ref="G816:H819" si="64">G817</f>
        <v>540.1</v>
      </c>
      <c r="H816" s="332">
        <f t="shared" si="64"/>
        <v>540.1</v>
      </c>
      <c r="I816" s="214"/>
    </row>
    <row r="817" spans="1:9" ht="47.25" x14ac:dyDescent="0.25">
      <c r="A817" s="41" t="s">
        <v>949</v>
      </c>
      <c r="B817" s="330">
        <v>907</v>
      </c>
      <c r="C817" s="334" t="s">
        <v>507</v>
      </c>
      <c r="D817" s="334" t="s">
        <v>134</v>
      </c>
      <c r="E817" s="334" t="s">
        <v>947</v>
      </c>
      <c r="F817" s="231"/>
      <c r="G817" s="332">
        <f t="shared" si="64"/>
        <v>540.1</v>
      </c>
      <c r="H817" s="332">
        <f t="shared" si="64"/>
        <v>540.1</v>
      </c>
      <c r="I817" s="214"/>
    </row>
    <row r="818" spans="1:9" ht="47.25" x14ac:dyDescent="0.25">
      <c r="A818" s="99" t="s">
        <v>803</v>
      </c>
      <c r="B818" s="329">
        <v>907</v>
      </c>
      <c r="C818" s="331" t="s">
        <v>507</v>
      </c>
      <c r="D818" s="331" t="s">
        <v>134</v>
      </c>
      <c r="E818" s="331" t="s">
        <v>1027</v>
      </c>
      <c r="F818" s="32"/>
      <c r="G818" s="336">
        <f t="shared" si="64"/>
        <v>540.1</v>
      </c>
      <c r="H818" s="336">
        <f t="shared" si="64"/>
        <v>540.1</v>
      </c>
      <c r="I818" s="214"/>
    </row>
    <row r="819" spans="1:9" ht="31.5" x14ac:dyDescent="0.25">
      <c r="A819" s="338" t="s">
        <v>288</v>
      </c>
      <c r="B819" s="329">
        <v>907</v>
      </c>
      <c r="C819" s="331" t="s">
        <v>507</v>
      </c>
      <c r="D819" s="331" t="s">
        <v>134</v>
      </c>
      <c r="E819" s="331" t="s">
        <v>1027</v>
      </c>
      <c r="F819" s="32" t="s">
        <v>289</v>
      </c>
      <c r="G819" s="336">
        <f t="shared" si="64"/>
        <v>540.1</v>
      </c>
      <c r="H819" s="336">
        <f t="shared" si="64"/>
        <v>540.1</v>
      </c>
      <c r="I819" s="214"/>
    </row>
    <row r="820" spans="1:9" ht="15.75" x14ac:dyDescent="0.25">
      <c r="A820" s="192" t="s">
        <v>290</v>
      </c>
      <c r="B820" s="329">
        <v>907</v>
      </c>
      <c r="C820" s="331" t="s">
        <v>507</v>
      </c>
      <c r="D820" s="331" t="s">
        <v>134</v>
      </c>
      <c r="E820" s="331" t="s">
        <v>1027</v>
      </c>
      <c r="F820" s="32" t="s">
        <v>291</v>
      </c>
      <c r="G820" s="336">
        <f>540.1</f>
        <v>540.1</v>
      </c>
      <c r="H820" s="336">
        <f t="shared" si="62"/>
        <v>540.1</v>
      </c>
      <c r="I820" s="214"/>
    </row>
    <row r="821" spans="1:9" ht="31.5" x14ac:dyDescent="0.25">
      <c r="A821" s="333" t="s">
        <v>516</v>
      </c>
      <c r="B821" s="330">
        <v>907</v>
      </c>
      <c r="C821" s="334" t="s">
        <v>507</v>
      </c>
      <c r="D821" s="334" t="s">
        <v>250</v>
      </c>
      <c r="E821" s="334"/>
      <c r="F821" s="334"/>
      <c r="G821" s="332">
        <f>G822+G830+G842</f>
        <v>11756</v>
      </c>
      <c r="H821" s="332">
        <f>H822+H830+H842</f>
        <v>11756</v>
      </c>
      <c r="I821" s="214"/>
    </row>
    <row r="822" spans="1:9" ht="31.5" x14ac:dyDescent="0.25">
      <c r="A822" s="333" t="s">
        <v>990</v>
      </c>
      <c r="B822" s="330">
        <v>907</v>
      </c>
      <c r="C822" s="334" t="s">
        <v>507</v>
      </c>
      <c r="D822" s="334" t="s">
        <v>250</v>
      </c>
      <c r="E822" s="334" t="s">
        <v>904</v>
      </c>
      <c r="F822" s="334"/>
      <c r="G822" s="332">
        <f>G823</f>
        <v>4531</v>
      </c>
      <c r="H822" s="332">
        <f>H823</f>
        <v>4531</v>
      </c>
      <c r="I822" s="214"/>
    </row>
    <row r="823" spans="1:9" ht="15.75" x14ac:dyDescent="0.25">
      <c r="A823" s="333" t="s">
        <v>991</v>
      </c>
      <c r="B823" s="330">
        <v>907</v>
      </c>
      <c r="C823" s="334" t="s">
        <v>507</v>
      </c>
      <c r="D823" s="334" t="s">
        <v>250</v>
      </c>
      <c r="E823" s="334" t="s">
        <v>905</v>
      </c>
      <c r="F823" s="334"/>
      <c r="G823" s="332">
        <f>G824+G827</f>
        <v>4531</v>
      </c>
      <c r="H823" s="332">
        <f>H824+H827</f>
        <v>4531</v>
      </c>
      <c r="I823" s="214"/>
    </row>
    <row r="824" spans="1:9" ht="31.5" x14ac:dyDescent="0.25">
      <c r="A824" s="335" t="s">
        <v>967</v>
      </c>
      <c r="B824" s="329">
        <v>907</v>
      </c>
      <c r="C824" s="331" t="s">
        <v>507</v>
      </c>
      <c r="D824" s="331" t="s">
        <v>250</v>
      </c>
      <c r="E824" s="331" t="s">
        <v>906</v>
      </c>
      <c r="F824" s="331"/>
      <c r="G824" s="336">
        <f>G825</f>
        <v>4447</v>
      </c>
      <c r="H824" s="336">
        <f>H825</f>
        <v>4447</v>
      </c>
      <c r="I824" s="214"/>
    </row>
    <row r="825" spans="1:9" ht="78.75" x14ac:dyDescent="0.25">
      <c r="A825" s="335" t="s">
        <v>143</v>
      </c>
      <c r="B825" s="329">
        <v>907</v>
      </c>
      <c r="C825" s="331" t="s">
        <v>507</v>
      </c>
      <c r="D825" s="331" t="s">
        <v>250</v>
      </c>
      <c r="E825" s="331" t="s">
        <v>906</v>
      </c>
      <c r="F825" s="331" t="s">
        <v>144</v>
      </c>
      <c r="G825" s="336">
        <f>G826</f>
        <v>4447</v>
      </c>
      <c r="H825" s="336">
        <f>H826</f>
        <v>4447</v>
      </c>
      <c r="I825" s="214"/>
    </row>
    <row r="826" spans="1:9" ht="31.5" x14ac:dyDescent="0.25">
      <c r="A826" s="335" t="s">
        <v>145</v>
      </c>
      <c r="B826" s="329">
        <v>907</v>
      </c>
      <c r="C826" s="331" t="s">
        <v>507</v>
      </c>
      <c r="D826" s="331" t="s">
        <v>250</v>
      </c>
      <c r="E826" s="331" t="s">
        <v>906</v>
      </c>
      <c r="F826" s="331" t="s">
        <v>146</v>
      </c>
      <c r="G826" s="336">
        <f>4447</f>
        <v>4447</v>
      </c>
      <c r="H826" s="336">
        <f t="shared" si="62"/>
        <v>4447</v>
      </c>
      <c r="I826" s="214"/>
    </row>
    <row r="827" spans="1:9" ht="47.25" x14ac:dyDescent="0.25">
      <c r="A827" s="335" t="s">
        <v>885</v>
      </c>
      <c r="B827" s="329">
        <v>907</v>
      </c>
      <c r="C827" s="331" t="s">
        <v>507</v>
      </c>
      <c r="D827" s="331" t="s">
        <v>250</v>
      </c>
      <c r="E827" s="331" t="s">
        <v>908</v>
      </c>
      <c r="F827" s="331"/>
      <c r="G827" s="336">
        <f>G828</f>
        <v>84</v>
      </c>
      <c r="H827" s="336">
        <f>H828</f>
        <v>84</v>
      </c>
      <c r="I827" s="214"/>
    </row>
    <row r="828" spans="1:9" ht="78.75" x14ac:dyDescent="0.25">
      <c r="A828" s="335" t="s">
        <v>143</v>
      </c>
      <c r="B828" s="329">
        <v>907</v>
      </c>
      <c r="C828" s="331" t="s">
        <v>507</v>
      </c>
      <c r="D828" s="331" t="s">
        <v>250</v>
      </c>
      <c r="E828" s="331" t="s">
        <v>908</v>
      </c>
      <c r="F828" s="331" t="s">
        <v>144</v>
      </c>
      <c r="G828" s="336">
        <f>G829</f>
        <v>84</v>
      </c>
      <c r="H828" s="336">
        <f>H829</f>
        <v>84</v>
      </c>
      <c r="I828" s="214"/>
    </row>
    <row r="829" spans="1:9" ht="31.5" x14ac:dyDescent="0.25">
      <c r="A829" s="335" t="s">
        <v>145</v>
      </c>
      <c r="B829" s="329">
        <v>907</v>
      </c>
      <c r="C829" s="331" t="s">
        <v>507</v>
      </c>
      <c r="D829" s="331" t="s">
        <v>250</v>
      </c>
      <c r="E829" s="331" t="s">
        <v>908</v>
      </c>
      <c r="F829" s="331" t="s">
        <v>146</v>
      </c>
      <c r="G829" s="336">
        <f>84</f>
        <v>84</v>
      </c>
      <c r="H829" s="336">
        <f t="shared" si="62"/>
        <v>84</v>
      </c>
      <c r="I829" s="214"/>
    </row>
    <row r="830" spans="1:9" ht="15.75" x14ac:dyDescent="0.25">
      <c r="A830" s="333" t="s">
        <v>157</v>
      </c>
      <c r="B830" s="330">
        <v>907</v>
      </c>
      <c r="C830" s="334" t="s">
        <v>507</v>
      </c>
      <c r="D830" s="334" t="s">
        <v>250</v>
      </c>
      <c r="E830" s="334" t="s">
        <v>912</v>
      </c>
      <c r="F830" s="334"/>
      <c r="G830" s="332">
        <f>G831</f>
        <v>5225</v>
      </c>
      <c r="H830" s="332">
        <f>H831</f>
        <v>5225</v>
      </c>
      <c r="I830" s="214"/>
    </row>
    <row r="831" spans="1:9" ht="31.5" x14ac:dyDescent="0.25">
      <c r="A831" s="333" t="s">
        <v>1002</v>
      </c>
      <c r="B831" s="330">
        <v>907</v>
      </c>
      <c r="C831" s="334" t="s">
        <v>507</v>
      </c>
      <c r="D831" s="334" t="s">
        <v>250</v>
      </c>
      <c r="E831" s="334" t="s">
        <v>987</v>
      </c>
      <c r="F831" s="334"/>
      <c r="G831" s="332">
        <f>G832+G839</f>
        <v>5225</v>
      </c>
      <c r="H831" s="332">
        <f>H832+H839</f>
        <v>5225</v>
      </c>
      <c r="I831" s="214"/>
    </row>
    <row r="832" spans="1:9" ht="31.5" x14ac:dyDescent="0.25">
      <c r="A832" s="335" t="s">
        <v>974</v>
      </c>
      <c r="B832" s="329">
        <v>907</v>
      </c>
      <c r="C832" s="331" t="s">
        <v>507</v>
      </c>
      <c r="D832" s="331" t="s">
        <v>250</v>
      </c>
      <c r="E832" s="331" t="s">
        <v>988</v>
      </c>
      <c r="F832" s="331"/>
      <c r="G832" s="336">
        <f>G833+G835+G837</f>
        <v>5015</v>
      </c>
      <c r="H832" s="336">
        <f>H833+H835+H837</f>
        <v>5015</v>
      </c>
      <c r="I832" s="214"/>
    </row>
    <row r="833" spans="1:9" ht="78.75" x14ac:dyDescent="0.25">
      <c r="A833" s="335" t="s">
        <v>143</v>
      </c>
      <c r="B833" s="329">
        <v>907</v>
      </c>
      <c r="C833" s="331" t="s">
        <v>507</v>
      </c>
      <c r="D833" s="331" t="s">
        <v>250</v>
      </c>
      <c r="E833" s="331" t="s">
        <v>988</v>
      </c>
      <c r="F833" s="331" t="s">
        <v>144</v>
      </c>
      <c r="G833" s="336">
        <f>G834</f>
        <v>4454</v>
      </c>
      <c r="H833" s="336">
        <f>H834</f>
        <v>4454</v>
      </c>
      <c r="I833" s="214"/>
    </row>
    <row r="834" spans="1:9" ht="19.5" customHeight="1" x14ac:dyDescent="0.25">
      <c r="A834" s="335" t="s">
        <v>358</v>
      </c>
      <c r="B834" s="329">
        <v>907</v>
      </c>
      <c r="C834" s="331" t="s">
        <v>507</v>
      </c>
      <c r="D834" s="331" t="s">
        <v>250</v>
      </c>
      <c r="E834" s="331" t="s">
        <v>988</v>
      </c>
      <c r="F834" s="331" t="s">
        <v>225</v>
      </c>
      <c r="G834" s="336">
        <v>4454</v>
      </c>
      <c r="H834" s="336">
        <f t="shared" si="62"/>
        <v>4454</v>
      </c>
      <c r="I834" s="214"/>
    </row>
    <row r="835" spans="1:9" ht="31.5" x14ac:dyDescent="0.25">
      <c r="A835" s="335" t="s">
        <v>147</v>
      </c>
      <c r="B835" s="329">
        <v>907</v>
      </c>
      <c r="C835" s="331" t="s">
        <v>507</v>
      </c>
      <c r="D835" s="331" t="s">
        <v>250</v>
      </c>
      <c r="E835" s="331" t="s">
        <v>988</v>
      </c>
      <c r="F835" s="331" t="s">
        <v>148</v>
      </c>
      <c r="G835" s="336">
        <f>G836</f>
        <v>510</v>
      </c>
      <c r="H835" s="336">
        <f>H836</f>
        <v>510</v>
      </c>
      <c r="I835" s="214"/>
    </row>
    <row r="836" spans="1:9" ht="31.5" x14ac:dyDescent="0.25">
      <c r="A836" s="335" t="s">
        <v>149</v>
      </c>
      <c r="B836" s="329">
        <v>907</v>
      </c>
      <c r="C836" s="331" t="s">
        <v>507</v>
      </c>
      <c r="D836" s="331" t="s">
        <v>250</v>
      </c>
      <c r="E836" s="331" t="s">
        <v>988</v>
      </c>
      <c r="F836" s="331" t="s">
        <v>150</v>
      </c>
      <c r="G836" s="336">
        <f>510</f>
        <v>510</v>
      </c>
      <c r="H836" s="336">
        <f t="shared" si="62"/>
        <v>510</v>
      </c>
      <c r="I836" s="214"/>
    </row>
    <row r="837" spans="1:9" ht="15.75" x14ac:dyDescent="0.25">
      <c r="A837" s="335" t="s">
        <v>151</v>
      </c>
      <c r="B837" s="329">
        <v>907</v>
      </c>
      <c r="C837" s="331" t="s">
        <v>507</v>
      </c>
      <c r="D837" s="331" t="s">
        <v>250</v>
      </c>
      <c r="E837" s="331" t="s">
        <v>988</v>
      </c>
      <c r="F837" s="331" t="s">
        <v>161</v>
      </c>
      <c r="G837" s="336">
        <f>G838</f>
        <v>51</v>
      </c>
      <c r="H837" s="336">
        <f>H838</f>
        <v>51</v>
      </c>
      <c r="I837" s="214"/>
    </row>
    <row r="838" spans="1:9" ht="15.75" x14ac:dyDescent="0.25">
      <c r="A838" s="335" t="s">
        <v>584</v>
      </c>
      <c r="B838" s="329">
        <v>907</v>
      </c>
      <c r="C838" s="331" t="s">
        <v>507</v>
      </c>
      <c r="D838" s="331" t="s">
        <v>250</v>
      </c>
      <c r="E838" s="331" t="s">
        <v>988</v>
      </c>
      <c r="F838" s="331" t="s">
        <v>154</v>
      </c>
      <c r="G838" s="336">
        <f>51</f>
        <v>51</v>
      </c>
      <c r="H838" s="336">
        <f t="shared" si="62"/>
        <v>51</v>
      </c>
      <c r="I838" s="214"/>
    </row>
    <row r="839" spans="1:9" ht="47.25" x14ac:dyDescent="0.25">
      <c r="A839" s="335" t="s">
        <v>885</v>
      </c>
      <c r="B839" s="329">
        <v>907</v>
      </c>
      <c r="C839" s="331" t="s">
        <v>507</v>
      </c>
      <c r="D839" s="331" t="s">
        <v>250</v>
      </c>
      <c r="E839" s="331" t="s">
        <v>989</v>
      </c>
      <c r="F839" s="331"/>
      <c r="G839" s="336">
        <f>G840</f>
        <v>210</v>
      </c>
      <c r="H839" s="336">
        <f>H840</f>
        <v>210</v>
      </c>
      <c r="I839" s="214"/>
    </row>
    <row r="840" spans="1:9" ht="78.75" x14ac:dyDescent="0.25">
      <c r="A840" s="335" t="s">
        <v>143</v>
      </c>
      <c r="B840" s="329">
        <v>907</v>
      </c>
      <c r="C840" s="331" t="s">
        <v>507</v>
      </c>
      <c r="D840" s="331" t="s">
        <v>250</v>
      </c>
      <c r="E840" s="331" t="s">
        <v>989</v>
      </c>
      <c r="F840" s="331" t="s">
        <v>144</v>
      </c>
      <c r="G840" s="336">
        <f>G841</f>
        <v>210</v>
      </c>
      <c r="H840" s="336">
        <f>H841</f>
        <v>210</v>
      </c>
      <c r="I840" s="214"/>
    </row>
    <row r="841" spans="1:9" ht="19.5" customHeight="1" x14ac:dyDescent="0.25">
      <c r="A841" s="335" t="s">
        <v>358</v>
      </c>
      <c r="B841" s="329">
        <v>907</v>
      </c>
      <c r="C841" s="331" t="s">
        <v>507</v>
      </c>
      <c r="D841" s="331" t="s">
        <v>250</v>
      </c>
      <c r="E841" s="331" t="s">
        <v>989</v>
      </c>
      <c r="F841" s="331" t="s">
        <v>225</v>
      </c>
      <c r="G841" s="336">
        <f>210</f>
        <v>210</v>
      </c>
      <c r="H841" s="336">
        <f t="shared" si="62"/>
        <v>210</v>
      </c>
      <c r="I841" s="214"/>
    </row>
    <row r="842" spans="1:9" ht="47.25" x14ac:dyDescent="0.25">
      <c r="A842" s="41" t="s">
        <v>1432</v>
      </c>
      <c r="B842" s="330">
        <v>907</v>
      </c>
      <c r="C842" s="334" t="s">
        <v>507</v>
      </c>
      <c r="D842" s="334" t="s">
        <v>250</v>
      </c>
      <c r="E842" s="327" t="s">
        <v>498</v>
      </c>
      <c r="F842" s="334"/>
      <c r="G842" s="332">
        <f t="shared" ref="G842:H844" si="65">G843</f>
        <v>2000</v>
      </c>
      <c r="H842" s="332">
        <f t="shared" si="65"/>
        <v>2000</v>
      </c>
      <c r="I842" s="214"/>
    </row>
    <row r="843" spans="1:9" ht="47.25" x14ac:dyDescent="0.25">
      <c r="A843" s="58" t="s">
        <v>1433</v>
      </c>
      <c r="B843" s="330">
        <v>907</v>
      </c>
      <c r="C843" s="334" t="s">
        <v>507</v>
      </c>
      <c r="D843" s="334" t="s">
        <v>250</v>
      </c>
      <c r="E843" s="327" t="s">
        <v>518</v>
      </c>
      <c r="F843" s="334"/>
      <c r="G843" s="332">
        <f t="shared" si="65"/>
        <v>2000</v>
      </c>
      <c r="H843" s="332">
        <f t="shared" si="65"/>
        <v>2000</v>
      </c>
      <c r="I843" s="214"/>
    </row>
    <row r="844" spans="1:9" ht="31.5" x14ac:dyDescent="0.25">
      <c r="A844" s="58" t="s">
        <v>1086</v>
      </c>
      <c r="B844" s="330">
        <v>907</v>
      </c>
      <c r="C844" s="334" t="s">
        <v>507</v>
      </c>
      <c r="D844" s="334" t="s">
        <v>250</v>
      </c>
      <c r="E844" s="327" t="s">
        <v>1087</v>
      </c>
      <c r="F844" s="334"/>
      <c r="G844" s="332">
        <f t="shared" si="65"/>
        <v>2000</v>
      </c>
      <c r="H844" s="332">
        <f t="shared" si="65"/>
        <v>2000</v>
      </c>
      <c r="I844" s="214"/>
    </row>
    <row r="845" spans="1:9" ht="15.75" x14ac:dyDescent="0.25">
      <c r="A845" s="338" t="s">
        <v>1088</v>
      </c>
      <c r="B845" s="329">
        <v>907</v>
      </c>
      <c r="C845" s="331" t="s">
        <v>507</v>
      </c>
      <c r="D845" s="331" t="s">
        <v>250</v>
      </c>
      <c r="E845" s="339" t="s">
        <v>1236</v>
      </c>
      <c r="F845" s="331"/>
      <c r="G845" s="336">
        <f>G846+G848</f>
        <v>2000</v>
      </c>
      <c r="H845" s="336">
        <f>H846+H848</f>
        <v>2000</v>
      </c>
      <c r="I845" s="214"/>
    </row>
    <row r="846" spans="1:9" ht="78.75" x14ac:dyDescent="0.25">
      <c r="A846" s="335" t="s">
        <v>143</v>
      </c>
      <c r="B846" s="329">
        <v>907</v>
      </c>
      <c r="C846" s="331" t="s">
        <v>507</v>
      </c>
      <c r="D846" s="331" t="s">
        <v>250</v>
      </c>
      <c r="E846" s="339" t="s">
        <v>1236</v>
      </c>
      <c r="F846" s="331" t="s">
        <v>144</v>
      </c>
      <c r="G846" s="336">
        <f>G847</f>
        <v>1500</v>
      </c>
      <c r="H846" s="336">
        <f>H847</f>
        <v>1500</v>
      </c>
      <c r="I846" s="214"/>
    </row>
    <row r="847" spans="1:9" ht="31.5" x14ac:dyDescent="0.25">
      <c r="A847" s="335" t="s">
        <v>358</v>
      </c>
      <c r="B847" s="329">
        <v>907</v>
      </c>
      <c r="C847" s="331" t="s">
        <v>507</v>
      </c>
      <c r="D847" s="331" t="s">
        <v>250</v>
      </c>
      <c r="E847" s="339" t="s">
        <v>1236</v>
      </c>
      <c r="F847" s="331" t="s">
        <v>225</v>
      </c>
      <c r="G847" s="336">
        <f>1500</f>
        <v>1500</v>
      </c>
      <c r="H847" s="336">
        <f t="shared" si="62"/>
        <v>1500</v>
      </c>
      <c r="I847" s="214"/>
    </row>
    <row r="848" spans="1:9" ht="31.5" x14ac:dyDescent="0.25">
      <c r="A848" s="338" t="s">
        <v>147</v>
      </c>
      <c r="B848" s="329">
        <v>907</v>
      </c>
      <c r="C848" s="331" t="s">
        <v>507</v>
      </c>
      <c r="D848" s="331" t="s">
        <v>250</v>
      </c>
      <c r="E848" s="339" t="s">
        <v>1236</v>
      </c>
      <c r="F848" s="331" t="s">
        <v>148</v>
      </c>
      <c r="G848" s="336">
        <f>G849</f>
        <v>500</v>
      </c>
      <c r="H848" s="336">
        <f>H849</f>
        <v>500</v>
      </c>
      <c r="I848" s="214"/>
    </row>
    <row r="849" spans="1:9" ht="31.5" x14ac:dyDescent="0.25">
      <c r="A849" s="338" t="s">
        <v>149</v>
      </c>
      <c r="B849" s="329">
        <v>907</v>
      </c>
      <c r="C849" s="331" t="s">
        <v>507</v>
      </c>
      <c r="D849" s="331" t="s">
        <v>250</v>
      </c>
      <c r="E849" s="339" t="s">
        <v>1236</v>
      </c>
      <c r="F849" s="331" t="s">
        <v>150</v>
      </c>
      <c r="G849" s="336">
        <f>500</f>
        <v>500</v>
      </c>
      <c r="H849" s="336">
        <f t="shared" si="62"/>
        <v>500</v>
      </c>
      <c r="I849" s="214"/>
    </row>
    <row r="850" spans="1:9" ht="31.5" x14ac:dyDescent="0.25">
      <c r="A850" s="330" t="s">
        <v>520</v>
      </c>
      <c r="B850" s="330">
        <v>908</v>
      </c>
      <c r="C850" s="331"/>
      <c r="D850" s="331"/>
      <c r="E850" s="331"/>
      <c r="F850" s="331"/>
      <c r="G850" s="332">
        <f>G865+G872+G891+G1054+G851</f>
        <v>90863.266600000003</v>
      </c>
      <c r="H850" s="332">
        <f>H865+H872+H891+H1054+H851</f>
        <v>97102.666599999997</v>
      </c>
      <c r="I850" s="214"/>
    </row>
    <row r="851" spans="1:9" ht="15.75" x14ac:dyDescent="0.25">
      <c r="A851" s="34" t="s">
        <v>133</v>
      </c>
      <c r="B851" s="330">
        <v>908</v>
      </c>
      <c r="C851" s="334" t="s">
        <v>134</v>
      </c>
      <c r="D851" s="331"/>
      <c r="E851" s="331"/>
      <c r="F851" s="331"/>
      <c r="G851" s="332">
        <f>G852</f>
        <v>38273</v>
      </c>
      <c r="H851" s="332">
        <f t="shared" ref="G851:H853" si="66">H852</f>
        <v>38273</v>
      </c>
      <c r="I851" s="214"/>
    </row>
    <row r="852" spans="1:9" ht="15.75" x14ac:dyDescent="0.25">
      <c r="A852" s="34" t="s">
        <v>155</v>
      </c>
      <c r="B852" s="330">
        <v>908</v>
      </c>
      <c r="C852" s="334" t="s">
        <v>134</v>
      </c>
      <c r="D852" s="334" t="s">
        <v>156</v>
      </c>
      <c r="E852" s="331"/>
      <c r="F852" s="331"/>
      <c r="G852" s="332">
        <f t="shared" si="66"/>
        <v>38273</v>
      </c>
      <c r="H852" s="332">
        <f t="shared" si="66"/>
        <v>38273</v>
      </c>
      <c r="I852" s="214"/>
    </row>
    <row r="853" spans="1:9" ht="15.75" x14ac:dyDescent="0.25">
      <c r="A853" s="333" t="s">
        <v>157</v>
      </c>
      <c r="B853" s="330">
        <v>908</v>
      </c>
      <c r="C853" s="334" t="s">
        <v>134</v>
      </c>
      <c r="D853" s="334" t="s">
        <v>156</v>
      </c>
      <c r="E853" s="334" t="s">
        <v>912</v>
      </c>
      <c r="F853" s="334"/>
      <c r="G853" s="44">
        <f t="shared" si="66"/>
        <v>38273</v>
      </c>
      <c r="H853" s="44">
        <f t="shared" si="66"/>
        <v>38273</v>
      </c>
      <c r="I853" s="214"/>
    </row>
    <row r="854" spans="1:9" ht="15.75" x14ac:dyDescent="0.25">
      <c r="A854" s="333" t="s">
        <v>1090</v>
      </c>
      <c r="B854" s="330">
        <v>908</v>
      </c>
      <c r="C854" s="334" t="s">
        <v>134</v>
      </c>
      <c r="D854" s="334" t="s">
        <v>156</v>
      </c>
      <c r="E854" s="334" t="s">
        <v>1089</v>
      </c>
      <c r="F854" s="334"/>
      <c r="G854" s="44">
        <f>G858+G855</f>
        <v>38273</v>
      </c>
      <c r="H854" s="44">
        <f>H858+H855</f>
        <v>38273</v>
      </c>
      <c r="I854" s="214"/>
    </row>
    <row r="855" spans="1:9" ht="47.25" x14ac:dyDescent="0.25">
      <c r="A855" s="335" t="s">
        <v>885</v>
      </c>
      <c r="B855" s="329">
        <v>908</v>
      </c>
      <c r="C855" s="331" t="s">
        <v>134</v>
      </c>
      <c r="D855" s="331" t="s">
        <v>156</v>
      </c>
      <c r="E855" s="331" t="s">
        <v>1092</v>
      </c>
      <c r="F855" s="331"/>
      <c r="G855" s="336">
        <f>G856</f>
        <v>672</v>
      </c>
      <c r="H855" s="336">
        <f>H856</f>
        <v>672</v>
      </c>
      <c r="I855" s="214"/>
    </row>
    <row r="856" spans="1:9" ht="78.75" x14ac:dyDescent="0.25">
      <c r="A856" s="335" t="s">
        <v>143</v>
      </c>
      <c r="B856" s="329">
        <v>908</v>
      </c>
      <c r="C856" s="331" t="s">
        <v>134</v>
      </c>
      <c r="D856" s="331" t="s">
        <v>156</v>
      </c>
      <c r="E856" s="331" t="s">
        <v>1092</v>
      </c>
      <c r="F856" s="331" t="s">
        <v>144</v>
      </c>
      <c r="G856" s="336">
        <f>G857</f>
        <v>672</v>
      </c>
      <c r="H856" s="336">
        <f>H857</f>
        <v>672</v>
      </c>
      <c r="I856" s="214"/>
    </row>
    <row r="857" spans="1:9" ht="31.5" x14ac:dyDescent="0.25">
      <c r="A857" s="335" t="s">
        <v>145</v>
      </c>
      <c r="B857" s="329">
        <v>908</v>
      </c>
      <c r="C857" s="331" t="s">
        <v>134</v>
      </c>
      <c r="D857" s="331" t="s">
        <v>156</v>
      </c>
      <c r="E857" s="331" t="s">
        <v>1092</v>
      </c>
      <c r="F857" s="331" t="s">
        <v>225</v>
      </c>
      <c r="G857" s="336">
        <f>672</f>
        <v>672</v>
      </c>
      <c r="H857" s="336">
        <f t="shared" ref="H857:H918" si="67">G857</f>
        <v>672</v>
      </c>
      <c r="I857" s="214"/>
    </row>
    <row r="858" spans="1:9" ht="15.75" x14ac:dyDescent="0.25">
      <c r="A858" s="335" t="s">
        <v>834</v>
      </c>
      <c r="B858" s="329">
        <v>908</v>
      </c>
      <c r="C858" s="331" t="s">
        <v>134</v>
      </c>
      <c r="D858" s="331" t="s">
        <v>156</v>
      </c>
      <c r="E858" s="331" t="s">
        <v>1091</v>
      </c>
      <c r="F858" s="331"/>
      <c r="G858" s="336">
        <f>G859+G863+G861</f>
        <v>37601</v>
      </c>
      <c r="H858" s="336">
        <f>H859+H863+H861</f>
        <v>37601</v>
      </c>
      <c r="I858" s="214"/>
    </row>
    <row r="859" spans="1:9" ht="78.75" x14ac:dyDescent="0.25">
      <c r="A859" s="335" t="s">
        <v>143</v>
      </c>
      <c r="B859" s="329">
        <v>908</v>
      </c>
      <c r="C859" s="331" t="s">
        <v>134</v>
      </c>
      <c r="D859" s="331" t="s">
        <v>156</v>
      </c>
      <c r="E859" s="331" t="s">
        <v>1091</v>
      </c>
      <c r="F859" s="331" t="s">
        <v>144</v>
      </c>
      <c r="G859" s="336">
        <f>G860</f>
        <v>30180</v>
      </c>
      <c r="H859" s="336">
        <f>H860</f>
        <v>30180</v>
      </c>
      <c r="I859" s="214"/>
    </row>
    <row r="860" spans="1:9" ht="31.5" x14ac:dyDescent="0.25">
      <c r="A860" s="46" t="s">
        <v>358</v>
      </c>
      <c r="B860" s="329">
        <v>908</v>
      </c>
      <c r="C860" s="331" t="s">
        <v>134</v>
      </c>
      <c r="D860" s="331" t="s">
        <v>156</v>
      </c>
      <c r="E860" s="331" t="s">
        <v>1091</v>
      </c>
      <c r="F860" s="331" t="s">
        <v>225</v>
      </c>
      <c r="G860" s="336">
        <f>30180</f>
        <v>30180</v>
      </c>
      <c r="H860" s="336">
        <f t="shared" si="67"/>
        <v>30180</v>
      </c>
      <c r="I860" s="214"/>
    </row>
    <row r="861" spans="1:9" ht="31.5" x14ac:dyDescent="0.25">
      <c r="A861" s="335" t="s">
        <v>147</v>
      </c>
      <c r="B861" s="329">
        <v>908</v>
      </c>
      <c r="C861" s="331" t="s">
        <v>134</v>
      </c>
      <c r="D861" s="331" t="s">
        <v>156</v>
      </c>
      <c r="E861" s="331" t="s">
        <v>1091</v>
      </c>
      <c r="F861" s="331" t="s">
        <v>148</v>
      </c>
      <c r="G861" s="336">
        <f>G862</f>
        <v>7000</v>
      </c>
      <c r="H861" s="336">
        <f>H862</f>
        <v>7000</v>
      </c>
      <c r="I861" s="214"/>
    </row>
    <row r="862" spans="1:9" ht="31.5" x14ac:dyDescent="0.25">
      <c r="A862" s="335" t="s">
        <v>149</v>
      </c>
      <c r="B862" s="329">
        <v>908</v>
      </c>
      <c r="C862" s="331" t="s">
        <v>134</v>
      </c>
      <c r="D862" s="331" t="s">
        <v>156</v>
      </c>
      <c r="E862" s="331" t="s">
        <v>1091</v>
      </c>
      <c r="F862" s="331" t="s">
        <v>150</v>
      </c>
      <c r="G862" s="336">
        <f>7000</f>
        <v>7000</v>
      </c>
      <c r="H862" s="336">
        <f t="shared" si="67"/>
        <v>7000</v>
      </c>
      <c r="I862" s="214"/>
    </row>
    <row r="863" spans="1:9" ht="15.75" x14ac:dyDescent="0.25">
      <c r="A863" s="335" t="s">
        <v>151</v>
      </c>
      <c r="B863" s="329">
        <v>908</v>
      </c>
      <c r="C863" s="331" t="s">
        <v>134</v>
      </c>
      <c r="D863" s="331" t="s">
        <v>156</v>
      </c>
      <c r="E863" s="331" t="s">
        <v>1091</v>
      </c>
      <c r="F863" s="331" t="s">
        <v>161</v>
      </c>
      <c r="G863" s="336">
        <f>G864</f>
        <v>421</v>
      </c>
      <c r="H863" s="336">
        <f>H864</f>
        <v>421</v>
      </c>
      <c r="I863" s="214"/>
    </row>
    <row r="864" spans="1:9" ht="15.75" x14ac:dyDescent="0.25">
      <c r="A864" s="335" t="s">
        <v>727</v>
      </c>
      <c r="B864" s="329">
        <v>908</v>
      </c>
      <c r="C864" s="331" t="s">
        <v>134</v>
      </c>
      <c r="D864" s="331" t="s">
        <v>156</v>
      </c>
      <c r="E864" s="331" t="s">
        <v>1091</v>
      </c>
      <c r="F864" s="331" t="s">
        <v>154</v>
      </c>
      <c r="G864" s="336">
        <f>421</f>
        <v>421</v>
      </c>
      <c r="H864" s="336">
        <f t="shared" si="67"/>
        <v>421</v>
      </c>
      <c r="I864" s="214"/>
    </row>
    <row r="865" spans="1:9" ht="31.5" x14ac:dyDescent="0.25">
      <c r="A865" s="333" t="s">
        <v>238</v>
      </c>
      <c r="B865" s="330">
        <v>908</v>
      </c>
      <c r="C865" s="334" t="s">
        <v>231</v>
      </c>
      <c r="D865" s="334"/>
      <c r="E865" s="334"/>
      <c r="F865" s="334"/>
      <c r="G865" s="332">
        <f t="shared" ref="G865:H868" si="68">G866</f>
        <v>107</v>
      </c>
      <c r="H865" s="332">
        <f t="shared" si="68"/>
        <v>107</v>
      </c>
      <c r="I865" s="214"/>
    </row>
    <row r="866" spans="1:9" ht="47.25" x14ac:dyDescent="0.25">
      <c r="A866" s="333" t="s">
        <v>239</v>
      </c>
      <c r="B866" s="330">
        <v>908</v>
      </c>
      <c r="C866" s="334" t="s">
        <v>231</v>
      </c>
      <c r="D866" s="334" t="s">
        <v>235</v>
      </c>
      <c r="E866" s="334"/>
      <c r="F866" s="334"/>
      <c r="G866" s="332">
        <f t="shared" si="68"/>
        <v>107</v>
      </c>
      <c r="H866" s="332">
        <f t="shared" si="68"/>
        <v>107</v>
      </c>
      <c r="I866" s="214"/>
    </row>
    <row r="867" spans="1:9" ht="15.75" x14ac:dyDescent="0.25">
      <c r="A867" s="333" t="s">
        <v>157</v>
      </c>
      <c r="B867" s="330">
        <v>908</v>
      </c>
      <c r="C867" s="334" t="s">
        <v>231</v>
      </c>
      <c r="D867" s="334" t="s">
        <v>235</v>
      </c>
      <c r="E867" s="334" t="s">
        <v>912</v>
      </c>
      <c r="F867" s="334"/>
      <c r="G867" s="332">
        <f t="shared" si="68"/>
        <v>107</v>
      </c>
      <c r="H867" s="332">
        <f t="shared" si="68"/>
        <v>107</v>
      </c>
      <c r="I867" s="214"/>
    </row>
    <row r="868" spans="1:9" ht="31.5" x14ac:dyDescent="0.25">
      <c r="A868" s="333" t="s">
        <v>916</v>
      </c>
      <c r="B868" s="330">
        <v>908</v>
      </c>
      <c r="C868" s="334" t="s">
        <v>231</v>
      </c>
      <c r="D868" s="334" t="s">
        <v>235</v>
      </c>
      <c r="E868" s="334" t="s">
        <v>911</v>
      </c>
      <c r="F868" s="334"/>
      <c r="G868" s="332">
        <f t="shared" si="68"/>
        <v>107</v>
      </c>
      <c r="H868" s="332">
        <f t="shared" si="68"/>
        <v>107</v>
      </c>
      <c r="I868" s="214"/>
    </row>
    <row r="869" spans="1:9" ht="15.75" x14ac:dyDescent="0.25">
      <c r="A869" s="335" t="s">
        <v>246</v>
      </c>
      <c r="B869" s="329">
        <v>908</v>
      </c>
      <c r="C869" s="331" t="s">
        <v>231</v>
      </c>
      <c r="D869" s="331" t="s">
        <v>235</v>
      </c>
      <c r="E869" s="331" t="s">
        <v>922</v>
      </c>
      <c r="F869" s="331"/>
      <c r="G869" s="336">
        <f>G870</f>
        <v>107</v>
      </c>
      <c r="H869" s="336">
        <f>H870</f>
        <v>107</v>
      </c>
      <c r="I869" s="214"/>
    </row>
    <row r="870" spans="1:9" ht="31.5" x14ac:dyDescent="0.25">
      <c r="A870" s="335" t="s">
        <v>147</v>
      </c>
      <c r="B870" s="329">
        <v>908</v>
      </c>
      <c r="C870" s="331" t="s">
        <v>231</v>
      </c>
      <c r="D870" s="331" t="s">
        <v>235</v>
      </c>
      <c r="E870" s="331" t="s">
        <v>922</v>
      </c>
      <c r="F870" s="331" t="s">
        <v>148</v>
      </c>
      <c r="G870" s="336">
        <f>G871</f>
        <v>107</v>
      </c>
      <c r="H870" s="336">
        <f>H871</f>
        <v>107</v>
      </c>
      <c r="I870" s="214"/>
    </row>
    <row r="871" spans="1:9" ht="31.5" x14ac:dyDescent="0.25">
      <c r="A871" s="335" t="s">
        <v>149</v>
      </c>
      <c r="B871" s="329">
        <v>908</v>
      </c>
      <c r="C871" s="331" t="s">
        <v>231</v>
      </c>
      <c r="D871" s="331" t="s">
        <v>235</v>
      </c>
      <c r="E871" s="331" t="s">
        <v>922</v>
      </c>
      <c r="F871" s="331" t="s">
        <v>150</v>
      </c>
      <c r="G871" s="336">
        <f>107</f>
        <v>107</v>
      </c>
      <c r="H871" s="336">
        <f t="shared" si="67"/>
        <v>107</v>
      </c>
      <c r="I871" s="214"/>
    </row>
    <row r="872" spans="1:9" ht="15.75" x14ac:dyDescent="0.25">
      <c r="A872" s="333" t="s">
        <v>248</v>
      </c>
      <c r="B872" s="330">
        <v>908</v>
      </c>
      <c r="C872" s="334" t="s">
        <v>166</v>
      </c>
      <c r="D872" s="334"/>
      <c r="E872" s="334"/>
      <c r="F872" s="334"/>
      <c r="G872" s="332">
        <f>G873+G879</f>
        <v>6447</v>
      </c>
      <c r="H872" s="332">
        <f>H873+H879</f>
        <v>6536</v>
      </c>
      <c r="I872" s="214"/>
    </row>
    <row r="873" spans="1:9" ht="15.75" x14ac:dyDescent="0.25">
      <c r="A873" s="333" t="s">
        <v>521</v>
      </c>
      <c r="B873" s="330">
        <v>908</v>
      </c>
      <c r="C873" s="334" t="s">
        <v>166</v>
      </c>
      <c r="D873" s="334" t="s">
        <v>315</v>
      </c>
      <c r="E873" s="334"/>
      <c r="F873" s="334"/>
      <c r="G873" s="332">
        <f t="shared" ref="G873:H875" si="69">G874</f>
        <v>3258</v>
      </c>
      <c r="H873" s="332">
        <f t="shared" si="69"/>
        <v>3258</v>
      </c>
      <c r="I873" s="214"/>
    </row>
    <row r="874" spans="1:9" ht="15.75" x14ac:dyDescent="0.25">
      <c r="A874" s="333" t="s">
        <v>157</v>
      </c>
      <c r="B874" s="330">
        <v>908</v>
      </c>
      <c r="C874" s="334" t="s">
        <v>166</v>
      </c>
      <c r="D874" s="334" t="s">
        <v>315</v>
      </c>
      <c r="E874" s="334" t="s">
        <v>912</v>
      </c>
      <c r="F874" s="334"/>
      <c r="G874" s="332">
        <f t="shared" si="69"/>
        <v>3258</v>
      </c>
      <c r="H874" s="332">
        <f t="shared" si="69"/>
        <v>3258</v>
      </c>
      <c r="I874" s="214"/>
    </row>
    <row r="875" spans="1:9" ht="31.5" x14ac:dyDescent="0.25">
      <c r="A875" s="333" t="s">
        <v>916</v>
      </c>
      <c r="B875" s="330">
        <v>908</v>
      </c>
      <c r="C875" s="334" t="s">
        <v>166</v>
      </c>
      <c r="D875" s="334" t="s">
        <v>315</v>
      </c>
      <c r="E875" s="334" t="s">
        <v>911</v>
      </c>
      <c r="F875" s="334"/>
      <c r="G875" s="332">
        <f t="shared" si="69"/>
        <v>3258</v>
      </c>
      <c r="H875" s="332">
        <f t="shared" si="69"/>
        <v>3258</v>
      </c>
      <c r="I875" s="214"/>
    </row>
    <row r="876" spans="1:9" ht="15.75" x14ac:dyDescent="0.25">
      <c r="A876" s="335" t="s">
        <v>522</v>
      </c>
      <c r="B876" s="329">
        <v>908</v>
      </c>
      <c r="C876" s="331" t="s">
        <v>166</v>
      </c>
      <c r="D876" s="331" t="s">
        <v>315</v>
      </c>
      <c r="E876" s="331" t="s">
        <v>1093</v>
      </c>
      <c r="F876" s="331"/>
      <c r="G876" s="336">
        <f>G877</f>
        <v>3258</v>
      </c>
      <c r="H876" s="336">
        <f>H877</f>
        <v>3258</v>
      </c>
      <c r="I876" s="214"/>
    </row>
    <row r="877" spans="1:9" ht="31.5" x14ac:dyDescent="0.25">
      <c r="A877" s="335" t="s">
        <v>147</v>
      </c>
      <c r="B877" s="329">
        <v>908</v>
      </c>
      <c r="C877" s="331" t="s">
        <v>166</v>
      </c>
      <c r="D877" s="331" t="s">
        <v>315</v>
      </c>
      <c r="E877" s="331" t="s">
        <v>1093</v>
      </c>
      <c r="F877" s="331" t="s">
        <v>148</v>
      </c>
      <c r="G877" s="336">
        <f>G878</f>
        <v>3258</v>
      </c>
      <c r="H877" s="336">
        <f>H878</f>
        <v>3258</v>
      </c>
      <c r="I877" s="214"/>
    </row>
    <row r="878" spans="1:9" ht="31.5" x14ac:dyDescent="0.25">
      <c r="A878" s="335" t="s">
        <v>149</v>
      </c>
      <c r="B878" s="329">
        <v>908</v>
      </c>
      <c r="C878" s="331" t="s">
        <v>166</v>
      </c>
      <c r="D878" s="331" t="s">
        <v>315</v>
      </c>
      <c r="E878" s="331" t="s">
        <v>1093</v>
      </c>
      <c r="F878" s="331" t="s">
        <v>150</v>
      </c>
      <c r="G878" s="336">
        <f>3258</f>
        <v>3258</v>
      </c>
      <c r="H878" s="336">
        <f t="shared" si="67"/>
        <v>3258</v>
      </c>
      <c r="I878" s="214"/>
    </row>
    <row r="879" spans="1:9" ht="15.75" x14ac:dyDescent="0.25">
      <c r="A879" s="333" t="s">
        <v>524</v>
      </c>
      <c r="B879" s="330">
        <v>908</v>
      </c>
      <c r="C879" s="334" t="s">
        <v>166</v>
      </c>
      <c r="D879" s="334" t="s">
        <v>235</v>
      </c>
      <c r="E879" s="331"/>
      <c r="F879" s="334"/>
      <c r="G879" s="332">
        <f>G880</f>
        <v>3189</v>
      </c>
      <c r="H879" s="332">
        <f>H880</f>
        <v>3278</v>
      </c>
      <c r="I879" s="214"/>
    </row>
    <row r="880" spans="1:9" ht="47.25" x14ac:dyDescent="0.25">
      <c r="A880" s="34" t="s">
        <v>1434</v>
      </c>
      <c r="B880" s="330">
        <v>908</v>
      </c>
      <c r="C880" s="334" t="s">
        <v>166</v>
      </c>
      <c r="D880" s="334" t="s">
        <v>235</v>
      </c>
      <c r="E880" s="334" t="s">
        <v>526</v>
      </c>
      <c r="F880" s="334"/>
      <c r="G880" s="332">
        <f>G886+G881</f>
        <v>3189</v>
      </c>
      <c r="H880" s="332">
        <f>H886+H881</f>
        <v>3278</v>
      </c>
      <c r="I880" s="214"/>
    </row>
    <row r="881" spans="1:9" ht="31.5" hidden="1" x14ac:dyDescent="0.25">
      <c r="A881" s="34" t="s">
        <v>1150</v>
      </c>
      <c r="B881" s="330">
        <v>908</v>
      </c>
      <c r="C881" s="334" t="s">
        <v>166</v>
      </c>
      <c r="D881" s="334" t="s">
        <v>235</v>
      </c>
      <c r="E881" s="327" t="s">
        <v>1094</v>
      </c>
      <c r="F881" s="334"/>
      <c r="G881" s="332">
        <f>G882</f>
        <v>0</v>
      </c>
      <c r="H881" s="332">
        <f>H882</f>
        <v>0</v>
      </c>
      <c r="I881" s="214"/>
    </row>
    <row r="882" spans="1:9" ht="15.75" hidden="1" x14ac:dyDescent="0.25">
      <c r="A882" s="338" t="s">
        <v>1152</v>
      </c>
      <c r="B882" s="329">
        <v>908</v>
      </c>
      <c r="C882" s="331" t="s">
        <v>166</v>
      </c>
      <c r="D882" s="331" t="s">
        <v>235</v>
      </c>
      <c r="E882" s="339" t="s">
        <v>1151</v>
      </c>
      <c r="F882" s="331"/>
      <c r="G882" s="336">
        <f>'Пр.4 ведом.20'!G955</f>
        <v>0</v>
      </c>
      <c r="H882" s="336">
        <f t="shared" si="67"/>
        <v>0</v>
      </c>
      <c r="I882" s="214"/>
    </row>
    <row r="883" spans="1:9" ht="31.5" hidden="1" x14ac:dyDescent="0.25">
      <c r="A883" s="335" t="s">
        <v>147</v>
      </c>
      <c r="B883" s="329">
        <v>908</v>
      </c>
      <c r="C883" s="331" t="s">
        <v>166</v>
      </c>
      <c r="D883" s="331" t="s">
        <v>235</v>
      </c>
      <c r="E883" s="339" t="s">
        <v>1151</v>
      </c>
      <c r="F883" s="331" t="s">
        <v>148</v>
      </c>
      <c r="G883" s="336">
        <f>'Пр.4 ведом.20'!G956</f>
        <v>0</v>
      </c>
      <c r="H883" s="336">
        <f t="shared" si="67"/>
        <v>0</v>
      </c>
      <c r="I883" s="214"/>
    </row>
    <row r="884" spans="1:9" ht="31.5" hidden="1" x14ac:dyDescent="0.25">
      <c r="A884" s="335" t="s">
        <v>149</v>
      </c>
      <c r="B884" s="329">
        <v>908</v>
      </c>
      <c r="C884" s="331" t="s">
        <v>166</v>
      </c>
      <c r="D884" s="331" t="s">
        <v>235</v>
      </c>
      <c r="E884" s="339" t="s">
        <v>1151</v>
      </c>
      <c r="F884" s="331" t="s">
        <v>150</v>
      </c>
      <c r="G884" s="336">
        <f>'Пр.4 ведом.20'!G957</f>
        <v>0</v>
      </c>
      <c r="H884" s="336">
        <f t="shared" si="67"/>
        <v>0</v>
      </c>
      <c r="I884" s="214"/>
    </row>
    <row r="885" spans="1:9" ht="31.5" x14ac:dyDescent="0.25">
      <c r="A885" s="34" t="s">
        <v>1237</v>
      </c>
      <c r="B885" s="330">
        <v>908</v>
      </c>
      <c r="C885" s="334" t="s">
        <v>166</v>
      </c>
      <c r="D885" s="334" t="s">
        <v>235</v>
      </c>
      <c r="E885" s="334" t="s">
        <v>1095</v>
      </c>
      <c r="F885" s="334"/>
      <c r="G885" s="332">
        <f t="shared" ref="G885:H887" si="70">G886</f>
        <v>3189</v>
      </c>
      <c r="H885" s="332">
        <f t="shared" si="70"/>
        <v>3278</v>
      </c>
      <c r="I885" s="214"/>
    </row>
    <row r="886" spans="1:9" ht="15.75" x14ac:dyDescent="0.25">
      <c r="A886" s="338" t="s">
        <v>527</v>
      </c>
      <c r="B886" s="329">
        <v>908</v>
      </c>
      <c r="C886" s="331" t="s">
        <v>166</v>
      </c>
      <c r="D886" s="331" t="s">
        <v>235</v>
      </c>
      <c r="E886" s="339" t="s">
        <v>1153</v>
      </c>
      <c r="F886" s="331"/>
      <c r="G886" s="336">
        <f t="shared" si="70"/>
        <v>3189</v>
      </c>
      <c r="H886" s="336">
        <f t="shared" si="70"/>
        <v>3278</v>
      </c>
      <c r="I886" s="214"/>
    </row>
    <row r="887" spans="1:9" ht="31.5" x14ac:dyDescent="0.25">
      <c r="A887" s="335" t="s">
        <v>147</v>
      </c>
      <c r="B887" s="329">
        <v>908</v>
      </c>
      <c r="C887" s="331" t="s">
        <v>166</v>
      </c>
      <c r="D887" s="331" t="s">
        <v>235</v>
      </c>
      <c r="E887" s="339" t="s">
        <v>1153</v>
      </c>
      <c r="F887" s="331" t="s">
        <v>148</v>
      </c>
      <c r="G887" s="336">
        <f t="shared" si="70"/>
        <v>3189</v>
      </c>
      <c r="H887" s="336">
        <f t="shared" si="70"/>
        <v>3278</v>
      </c>
      <c r="I887" s="214"/>
    </row>
    <row r="888" spans="1:9" ht="31.5" x14ac:dyDescent="0.25">
      <c r="A888" s="335" t="s">
        <v>149</v>
      </c>
      <c r="B888" s="329">
        <v>908</v>
      </c>
      <c r="C888" s="331" t="s">
        <v>166</v>
      </c>
      <c r="D888" s="331" t="s">
        <v>235</v>
      </c>
      <c r="E888" s="339" t="s">
        <v>1153</v>
      </c>
      <c r="F888" s="331" t="s">
        <v>150</v>
      </c>
      <c r="G888" s="336">
        <v>3189</v>
      </c>
      <c r="H888" s="336">
        <v>3278</v>
      </c>
      <c r="I888" s="214"/>
    </row>
    <row r="889" spans="1:9" ht="15.75" hidden="1" x14ac:dyDescent="0.25">
      <c r="A889" s="335" t="s">
        <v>151</v>
      </c>
      <c r="B889" s="329">
        <v>908</v>
      </c>
      <c r="C889" s="331" t="s">
        <v>166</v>
      </c>
      <c r="D889" s="331" t="s">
        <v>235</v>
      </c>
      <c r="E889" s="339" t="s">
        <v>1153</v>
      </c>
      <c r="F889" s="331" t="s">
        <v>161</v>
      </c>
      <c r="G889" s="336">
        <f>'Пр.4 ведом.20'!G964</f>
        <v>0</v>
      </c>
      <c r="H889" s="336">
        <f t="shared" si="67"/>
        <v>0</v>
      </c>
      <c r="I889" s="214"/>
    </row>
    <row r="890" spans="1:9" ht="15.75" hidden="1" x14ac:dyDescent="0.25">
      <c r="A890" s="335" t="s">
        <v>584</v>
      </c>
      <c r="B890" s="329">
        <v>908</v>
      </c>
      <c r="C890" s="331" t="s">
        <v>166</v>
      </c>
      <c r="D890" s="331" t="s">
        <v>235</v>
      </c>
      <c r="E890" s="339" t="s">
        <v>1153</v>
      </c>
      <c r="F890" s="331" t="s">
        <v>154</v>
      </c>
      <c r="G890" s="336">
        <f>'Пр.4 ведом.20'!G965</f>
        <v>0</v>
      </c>
      <c r="H890" s="336">
        <f t="shared" si="67"/>
        <v>0</v>
      </c>
      <c r="I890" s="214"/>
    </row>
    <row r="891" spans="1:9" ht="15.75" x14ac:dyDescent="0.25">
      <c r="A891" s="333" t="s">
        <v>406</v>
      </c>
      <c r="B891" s="330">
        <v>908</v>
      </c>
      <c r="C891" s="334" t="s">
        <v>250</v>
      </c>
      <c r="D891" s="334"/>
      <c r="E891" s="334"/>
      <c r="F891" s="334"/>
      <c r="G891" s="332">
        <f>G892+G906+G970+G1019</f>
        <v>45949.266600000003</v>
      </c>
      <c r="H891" s="332">
        <f>H892+H906+H970+H1019</f>
        <v>52099.666599999997</v>
      </c>
      <c r="I891" s="214"/>
    </row>
    <row r="892" spans="1:9" ht="15.75" x14ac:dyDescent="0.25">
      <c r="A892" s="333" t="s">
        <v>407</v>
      </c>
      <c r="B892" s="330">
        <v>908</v>
      </c>
      <c r="C892" s="334" t="s">
        <v>250</v>
      </c>
      <c r="D892" s="334" t="s">
        <v>134</v>
      </c>
      <c r="E892" s="334"/>
      <c r="F892" s="334"/>
      <c r="G892" s="332">
        <f>G893</f>
        <v>5160</v>
      </c>
      <c r="H892" s="332">
        <f>H893</f>
        <v>5160</v>
      </c>
      <c r="I892" s="214"/>
    </row>
    <row r="893" spans="1:9" ht="15.75" x14ac:dyDescent="0.25">
      <c r="A893" s="333" t="s">
        <v>157</v>
      </c>
      <c r="B893" s="330">
        <v>908</v>
      </c>
      <c r="C893" s="334" t="s">
        <v>250</v>
      </c>
      <c r="D893" s="334" t="s">
        <v>134</v>
      </c>
      <c r="E893" s="334" t="s">
        <v>912</v>
      </c>
      <c r="F893" s="334"/>
      <c r="G893" s="332">
        <f>G894</f>
        <v>5160</v>
      </c>
      <c r="H893" s="332">
        <f>H894</f>
        <v>5160</v>
      </c>
      <c r="I893" s="214"/>
    </row>
    <row r="894" spans="1:9" ht="31.5" x14ac:dyDescent="0.25">
      <c r="A894" s="333" t="s">
        <v>916</v>
      </c>
      <c r="B894" s="330">
        <v>908</v>
      </c>
      <c r="C894" s="334" t="s">
        <v>250</v>
      </c>
      <c r="D894" s="334" t="s">
        <v>134</v>
      </c>
      <c r="E894" s="334" t="s">
        <v>911</v>
      </c>
      <c r="F894" s="334"/>
      <c r="G894" s="332">
        <f>G903+G900+G895</f>
        <v>5160</v>
      </c>
      <c r="H894" s="332">
        <f>H903+H900+H895</f>
        <v>5160</v>
      </c>
      <c r="I894" s="214"/>
    </row>
    <row r="895" spans="1:9" ht="15.75" hidden="1" x14ac:dyDescent="0.25">
      <c r="A895" s="335" t="s">
        <v>531</v>
      </c>
      <c r="B895" s="329">
        <v>908</v>
      </c>
      <c r="C895" s="331" t="s">
        <v>797</v>
      </c>
      <c r="D895" s="331" t="s">
        <v>134</v>
      </c>
      <c r="E895" s="331" t="s">
        <v>1096</v>
      </c>
      <c r="F895" s="334"/>
      <c r="G895" s="336">
        <f>G896</f>
        <v>0</v>
      </c>
      <c r="H895" s="336">
        <f t="shared" si="67"/>
        <v>0</v>
      </c>
      <c r="I895" s="214"/>
    </row>
    <row r="896" spans="1:9" ht="31.5" hidden="1" x14ac:dyDescent="0.25">
      <c r="A896" s="335" t="s">
        <v>147</v>
      </c>
      <c r="B896" s="329">
        <v>908</v>
      </c>
      <c r="C896" s="331" t="s">
        <v>250</v>
      </c>
      <c r="D896" s="331" t="s">
        <v>134</v>
      </c>
      <c r="E896" s="331" t="s">
        <v>1096</v>
      </c>
      <c r="F896" s="331" t="s">
        <v>148</v>
      </c>
      <c r="G896" s="336">
        <f>G897</f>
        <v>0</v>
      </c>
      <c r="H896" s="336">
        <f t="shared" si="67"/>
        <v>0</v>
      </c>
      <c r="I896" s="214"/>
    </row>
    <row r="897" spans="1:9" ht="31.5" hidden="1" x14ac:dyDescent="0.25">
      <c r="A897" s="335" t="s">
        <v>149</v>
      </c>
      <c r="B897" s="329">
        <v>908</v>
      </c>
      <c r="C897" s="331" t="s">
        <v>250</v>
      </c>
      <c r="D897" s="331" t="s">
        <v>134</v>
      </c>
      <c r="E897" s="331" t="s">
        <v>1096</v>
      </c>
      <c r="F897" s="331" t="s">
        <v>150</v>
      </c>
      <c r="G897" s="336">
        <v>0</v>
      </c>
      <c r="H897" s="336">
        <f t="shared" si="67"/>
        <v>0</v>
      </c>
      <c r="I897" s="214"/>
    </row>
    <row r="898" spans="1:9" ht="15.75" hidden="1" x14ac:dyDescent="0.25">
      <c r="A898" s="335" t="s">
        <v>151</v>
      </c>
      <c r="B898" s="329">
        <v>908</v>
      </c>
      <c r="C898" s="331" t="s">
        <v>250</v>
      </c>
      <c r="D898" s="331" t="s">
        <v>134</v>
      </c>
      <c r="E898" s="331" t="s">
        <v>1096</v>
      </c>
      <c r="F898" s="331" t="s">
        <v>161</v>
      </c>
      <c r="G898" s="336">
        <f>'Пр.4 ведом.20'!G979</f>
        <v>0</v>
      </c>
      <c r="H898" s="336">
        <f t="shared" si="67"/>
        <v>0</v>
      </c>
      <c r="I898" s="214"/>
    </row>
    <row r="899" spans="1:9" ht="47.25" hidden="1" x14ac:dyDescent="0.25">
      <c r="A899" s="335" t="s">
        <v>200</v>
      </c>
      <c r="B899" s="329">
        <v>908</v>
      </c>
      <c r="C899" s="331" t="s">
        <v>250</v>
      </c>
      <c r="D899" s="331" t="s">
        <v>134</v>
      </c>
      <c r="E899" s="331" t="s">
        <v>1096</v>
      </c>
      <c r="F899" s="331" t="s">
        <v>176</v>
      </c>
      <c r="G899" s="336">
        <f>'Пр.4 ведом.20'!G980</f>
        <v>0</v>
      </c>
      <c r="H899" s="336">
        <f t="shared" si="67"/>
        <v>0</v>
      </c>
      <c r="I899" s="214"/>
    </row>
    <row r="900" spans="1:9" ht="31.5" x14ac:dyDescent="0.25">
      <c r="A900" s="338" t="s">
        <v>414</v>
      </c>
      <c r="B900" s="329">
        <v>908</v>
      </c>
      <c r="C900" s="331" t="s">
        <v>250</v>
      </c>
      <c r="D900" s="331" t="s">
        <v>134</v>
      </c>
      <c r="E900" s="331" t="s">
        <v>1097</v>
      </c>
      <c r="F900" s="334"/>
      <c r="G900" s="336">
        <f>G901</f>
        <v>4020</v>
      </c>
      <c r="H900" s="336">
        <f>H901</f>
        <v>4020</v>
      </c>
      <c r="I900" s="214"/>
    </row>
    <row r="901" spans="1:9" ht="31.5" x14ac:dyDescent="0.25">
      <c r="A901" s="335" t="s">
        <v>147</v>
      </c>
      <c r="B901" s="329">
        <v>908</v>
      </c>
      <c r="C901" s="331" t="s">
        <v>250</v>
      </c>
      <c r="D901" s="331" t="s">
        <v>134</v>
      </c>
      <c r="E901" s="331" t="s">
        <v>1097</v>
      </c>
      <c r="F901" s="331" t="s">
        <v>148</v>
      </c>
      <c r="G901" s="336">
        <f>G902</f>
        <v>4020</v>
      </c>
      <c r="H901" s="336">
        <f>H902</f>
        <v>4020</v>
      </c>
      <c r="I901" s="214"/>
    </row>
    <row r="902" spans="1:9" ht="31.5" x14ac:dyDescent="0.25">
      <c r="A902" s="335" t="s">
        <v>149</v>
      </c>
      <c r="B902" s="329">
        <v>908</v>
      </c>
      <c r="C902" s="331" t="s">
        <v>250</v>
      </c>
      <c r="D902" s="331" t="s">
        <v>134</v>
      </c>
      <c r="E902" s="331" t="s">
        <v>1097</v>
      </c>
      <c r="F902" s="331" t="s">
        <v>150</v>
      </c>
      <c r="G902" s="336">
        <f>4020</f>
        <v>4020</v>
      </c>
      <c r="H902" s="336">
        <f t="shared" si="67"/>
        <v>4020</v>
      </c>
      <c r="I902" s="214"/>
    </row>
    <row r="903" spans="1:9" ht="31.5" x14ac:dyDescent="0.25">
      <c r="A903" s="338" t="s">
        <v>1005</v>
      </c>
      <c r="B903" s="329">
        <v>908</v>
      </c>
      <c r="C903" s="331" t="s">
        <v>250</v>
      </c>
      <c r="D903" s="331" t="s">
        <v>134</v>
      </c>
      <c r="E903" s="331" t="s">
        <v>1098</v>
      </c>
      <c r="F903" s="334"/>
      <c r="G903" s="336">
        <f>G904</f>
        <v>1140</v>
      </c>
      <c r="H903" s="336">
        <f>H904</f>
        <v>1140</v>
      </c>
      <c r="I903" s="214"/>
    </row>
    <row r="904" spans="1:9" ht="31.5" x14ac:dyDescent="0.25">
      <c r="A904" s="335" t="s">
        <v>147</v>
      </c>
      <c r="B904" s="329">
        <v>908</v>
      </c>
      <c r="C904" s="331" t="s">
        <v>250</v>
      </c>
      <c r="D904" s="331" t="s">
        <v>134</v>
      </c>
      <c r="E904" s="331" t="s">
        <v>1098</v>
      </c>
      <c r="F904" s="331" t="s">
        <v>148</v>
      </c>
      <c r="G904" s="336">
        <f>G905</f>
        <v>1140</v>
      </c>
      <c r="H904" s="336">
        <f>H905</f>
        <v>1140</v>
      </c>
      <c r="I904" s="214"/>
    </row>
    <row r="905" spans="1:9" ht="31.5" x14ac:dyDescent="0.25">
      <c r="A905" s="335" t="s">
        <v>149</v>
      </c>
      <c r="B905" s="329">
        <v>908</v>
      </c>
      <c r="C905" s="331" t="s">
        <v>250</v>
      </c>
      <c r="D905" s="331" t="s">
        <v>134</v>
      </c>
      <c r="E905" s="331" t="s">
        <v>1098</v>
      </c>
      <c r="F905" s="331" t="s">
        <v>150</v>
      </c>
      <c r="G905" s="336">
        <f>1140</f>
        <v>1140</v>
      </c>
      <c r="H905" s="336">
        <f t="shared" si="67"/>
        <v>1140</v>
      </c>
      <c r="I905" s="214"/>
    </row>
    <row r="906" spans="1:9" ht="15.75" x14ac:dyDescent="0.25">
      <c r="A906" s="333" t="s">
        <v>533</v>
      </c>
      <c r="B906" s="330">
        <v>908</v>
      </c>
      <c r="C906" s="334" t="s">
        <v>250</v>
      </c>
      <c r="D906" s="334" t="s">
        <v>229</v>
      </c>
      <c r="E906" s="334"/>
      <c r="F906" s="334"/>
      <c r="G906" s="332">
        <f>G907+G936+G965</f>
        <v>14347.766600000001</v>
      </c>
      <c r="H906" s="332">
        <f>H907+H936+H965</f>
        <v>13106.1666</v>
      </c>
      <c r="I906" s="214"/>
    </row>
    <row r="907" spans="1:9" ht="15.75" x14ac:dyDescent="0.25">
      <c r="A907" s="333" t="s">
        <v>157</v>
      </c>
      <c r="B907" s="330">
        <v>908</v>
      </c>
      <c r="C907" s="334" t="s">
        <v>250</v>
      </c>
      <c r="D907" s="334" t="s">
        <v>229</v>
      </c>
      <c r="E907" s="334" t="s">
        <v>912</v>
      </c>
      <c r="F907" s="334"/>
      <c r="G907" s="332">
        <f>G908+G919</f>
        <v>13412.766600000001</v>
      </c>
      <c r="H907" s="332">
        <f>H908+H919</f>
        <v>12202.1666</v>
      </c>
      <c r="I907" s="214"/>
    </row>
    <row r="908" spans="1:9" ht="31.5" x14ac:dyDescent="0.25">
      <c r="A908" s="333" t="s">
        <v>916</v>
      </c>
      <c r="B908" s="330">
        <v>908</v>
      </c>
      <c r="C908" s="334" t="s">
        <v>250</v>
      </c>
      <c r="D908" s="334" t="s">
        <v>229</v>
      </c>
      <c r="E908" s="334" t="s">
        <v>911</v>
      </c>
      <c r="F908" s="334"/>
      <c r="G908" s="332">
        <f>G909+G914</f>
        <v>5000</v>
      </c>
      <c r="H908" s="332">
        <f>H909+H914</f>
        <v>3789.4</v>
      </c>
      <c r="I908" s="214"/>
    </row>
    <row r="909" spans="1:9" ht="15.75" hidden="1" x14ac:dyDescent="0.25">
      <c r="A909" s="35" t="s">
        <v>553</v>
      </c>
      <c r="B909" s="329">
        <v>908</v>
      </c>
      <c r="C909" s="331" t="s">
        <v>250</v>
      </c>
      <c r="D909" s="331" t="s">
        <v>229</v>
      </c>
      <c r="E909" s="331" t="s">
        <v>1115</v>
      </c>
      <c r="F909" s="331"/>
      <c r="G909" s="336">
        <f>G910+G912</f>
        <v>0</v>
      </c>
      <c r="H909" s="336">
        <f t="shared" si="67"/>
        <v>0</v>
      </c>
      <c r="I909" s="214"/>
    </row>
    <row r="910" spans="1:9" ht="31.5" hidden="1" x14ac:dyDescent="0.25">
      <c r="A910" s="335" t="s">
        <v>147</v>
      </c>
      <c r="B910" s="329">
        <v>908</v>
      </c>
      <c r="C910" s="331" t="s">
        <v>250</v>
      </c>
      <c r="D910" s="331" t="s">
        <v>229</v>
      </c>
      <c r="E910" s="331" t="s">
        <v>1115</v>
      </c>
      <c r="F910" s="331" t="s">
        <v>148</v>
      </c>
      <c r="G910" s="336">
        <f>G911</f>
        <v>0</v>
      </c>
      <c r="H910" s="336">
        <f t="shared" si="67"/>
        <v>0</v>
      </c>
      <c r="I910" s="214"/>
    </row>
    <row r="911" spans="1:9" ht="31.5" hidden="1" x14ac:dyDescent="0.25">
      <c r="A911" s="335" t="s">
        <v>149</v>
      </c>
      <c r="B911" s="329">
        <v>908</v>
      </c>
      <c r="C911" s="331" t="s">
        <v>250</v>
      </c>
      <c r="D911" s="331" t="s">
        <v>229</v>
      </c>
      <c r="E911" s="331" t="s">
        <v>1115</v>
      </c>
      <c r="F911" s="331" t="s">
        <v>150</v>
      </c>
      <c r="G911" s="336">
        <v>0</v>
      </c>
      <c r="H911" s="336">
        <f t="shared" si="67"/>
        <v>0</v>
      </c>
      <c r="I911" s="214"/>
    </row>
    <row r="912" spans="1:9" ht="15.75" hidden="1" x14ac:dyDescent="0.25">
      <c r="A912" s="335" t="s">
        <v>151</v>
      </c>
      <c r="B912" s="329">
        <v>908</v>
      </c>
      <c r="C912" s="331" t="s">
        <v>250</v>
      </c>
      <c r="D912" s="331" t="s">
        <v>229</v>
      </c>
      <c r="E912" s="331" t="s">
        <v>1115</v>
      </c>
      <c r="F912" s="331" t="s">
        <v>161</v>
      </c>
      <c r="G912" s="336">
        <f>G913</f>
        <v>0</v>
      </c>
      <c r="H912" s="336">
        <f t="shared" si="67"/>
        <v>0</v>
      </c>
      <c r="I912" s="214"/>
    </row>
    <row r="913" spans="1:9" ht="47.25" hidden="1" x14ac:dyDescent="0.25">
      <c r="A913" s="335" t="s">
        <v>200</v>
      </c>
      <c r="B913" s="329">
        <v>908</v>
      </c>
      <c r="C913" s="331" t="s">
        <v>250</v>
      </c>
      <c r="D913" s="331" t="s">
        <v>229</v>
      </c>
      <c r="E913" s="331" t="s">
        <v>1115</v>
      </c>
      <c r="F913" s="331" t="s">
        <v>176</v>
      </c>
      <c r="G913" s="336">
        <f>'Пр.4 ведом.20'!G999</f>
        <v>0</v>
      </c>
      <c r="H913" s="336">
        <f t="shared" si="67"/>
        <v>0</v>
      </c>
      <c r="I913" s="214"/>
    </row>
    <row r="914" spans="1:9" ht="31.5" x14ac:dyDescent="0.25">
      <c r="A914" s="338" t="s">
        <v>1005</v>
      </c>
      <c r="B914" s="329">
        <v>908</v>
      </c>
      <c r="C914" s="331" t="s">
        <v>250</v>
      </c>
      <c r="D914" s="331" t="s">
        <v>229</v>
      </c>
      <c r="E914" s="331" t="s">
        <v>1098</v>
      </c>
      <c r="F914" s="331"/>
      <c r="G914" s="336">
        <f>G915</f>
        <v>5000</v>
      </c>
      <c r="H914" s="336">
        <f>H915</f>
        <v>3789.4</v>
      </c>
      <c r="I914" s="214"/>
    </row>
    <row r="915" spans="1:9" ht="31.5" x14ac:dyDescent="0.25">
      <c r="A915" s="335" t="s">
        <v>147</v>
      </c>
      <c r="B915" s="329">
        <v>908</v>
      </c>
      <c r="C915" s="331" t="s">
        <v>250</v>
      </c>
      <c r="D915" s="331" t="s">
        <v>229</v>
      </c>
      <c r="E915" s="331" t="s">
        <v>1098</v>
      </c>
      <c r="F915" s="331" t="s">
        <v>148</v>
      </c>
      <c r="G915" s="336">
        <f>G916</f>
        <v>5000</v>
      </c>
      <c r="H915" s="336">
        <f>H916</f>
        <v>3789.4</v>
      </c>
      <c r="I915" s="214"/>
    </row>
    <row r="916" spans="1:9" ht="31.5" x14ac:dyDescent="0.25">
      <c r="A916" s="335" t="s">
        <v>149</v>
      </c>
      <c r="B916" s="329">
        <v>908</v>
      </c>
      <c r="C916" s="331" t="s">
        <v>250</v>
      </c>
      <c r="D916" s="331" t="s">
        <v>229</v>
      </c>
      <c r="E916" s="331" t="s">
        <v>1098</v>
      </c>
      <c r="F916" s="331" t="s">
        <v>150</v>
      </c>
      <c r="G916" s="336">
        <f>5000</f>
        <v>5000</v>
      </c>
      <c r="H916" s="336">
        <f>G916-1210.6</f>
        <v>3789.4</v>
      </c>
      <c r="I916" s="214"/>
    </row>
    <row r="917" spans="1:9" ht="15.75" hidden="1" x14ac:dyDescent="0.25">
      <c r="A917" s="335" t="s">
        <v>151</v>
      </c>
      <c r="B917" s="329">
        <v>908</v>
      </c>
      <c r="C917" s="331" t="s">
        <v>250</v>
      </c>
      <c r="D917" s="331" t="s">
        <v>229</v>
      </c>
      <c r="E917" s="331" t="s">
        <v>1098</v>
      </c>
      <c r="F917" s="331" t="s">
        <v>161</v>
      </c>
      <c r="G917" s="336">
        <f>'Пр.4 ведом.20'!G1004</f>
        <v>0</v>
      </c>
      <c r="H917" s="336">
        <f t="shared" si="67"/>
        <v>0</v>
      </c>
      <c r="I917" s="214"/>
    </row>
    <row r="918" spans="1:9" ht="15.75" hidden="1" x14ac:dyDescent="0.25">
      <c r="A918" s="335" t="s">
        <v>162</v>
      </c>
      <c r="B918" s="329">
        <v>908</v>
      </c>
      <c r="C918" s="331" t="s">
        <v>250</v>
      </c>
      <c r="D918" s="331" t="s">
        <v>229</v>
      </c>
      <c r="E918" s="331" t="s">
        <v>1098</v>
      </c>
      <c r="F918" s="331" t="s">
        <v>163</v>
      </c>
      <c r="G918" s="336">
        <f>'Пр.4 ведом.20'!G1005</f>
        <v>0</v>
      </c>
      <c r="H918" s="336">
        <f t="shared" si="67"/>
        <v>0</v>
      </c>
      <c r="I918" s="214"/>
    </row>
    <row r="919" spans="1:9" ht="47.25" hidden="1" x14ac:dyDescent="0.25">
      <c r="A919" s="333" t="s">
        <v>1171</v>
      </c>
      <c r="B919" s="330">
        <v>908</v>
      </c>
      <c r="C919" s="334" t="s">
        <v>250</v>
      </c>
      <c r="D919" s="334" t="s">
        <v>229</v>
      </c>
      <c r="E919" s="334" t="s">
        <v>1116</v>
      </c>
      <c r="F919" s="334"/>
      <c r="G919" s="332">
        <f>G920+G928+G925+G933</f>
        <v>8412.7666000000008</v>
      </c>
      <c r="H919" s="332">
        <f>H920+H928+H925+H933</f>
        <v>8412.7666000000008</v>
      </c>
      <c r="I919" s="214"/>
    </row>
    <row r="920" spans="1:9" ht="47.25" hidden="1" x14ac:dyDescent="0.25">
      <c r="A920" s="335" t="s">
        <v>873</v>
      </c>
      <c r="B920" s="329">
        <v>908</v>
      </c>
      <c r="C920" s="331" t="s">
        <v>250</v>
      </c>
      <c r="D920" s="331" t="s">
        <v>229</v>
      </c>
      <c r="E920" s="331" t="s">
        <v>1117</v>
      </c>
      <c r="F920" s="331"/>
      <c r="G920" s="336">
        <f>G921+G923</f>
        <v>8412.7666000000008</v>
      </c>
      <c r="H920" s="336">
        <f t="shared" ref="H920:H987" si="71">G920</f>
        <v>8412.7666000000008</v>
      </c>
      <c r="I920" s="214"/>
    </row>
    <row r="921" spans="1:9" ht="31.5" hidden="1" x14ac:dyDescent="0.25">
      <c r="A921" s="335" t="s">
        <v>147</v>
      </c>
      <c r="B921" s="329">
        <v>908</v>
      </c>
      <c r="C921" s="331" t="s">
        <v>250</v>
      </c>
      <c r="D921" s="331" t="s">
        <v>229</v>
      </c>
      <c r="E921" s="331" t="s">
        <v>1117</v>
      </c>
      <c r="F921" s="331" t="s">
        <v>148</v>
      </c>
      <c r="G921" s="336">
        <f>G922</f>
        <v>0</v>
      </c>
      <c r="H921" s="336">
        <f t="shared" si="71"/>
        <v>0</v>
      </c>
      <c r="I921" s="214"/>
    </row>
    <row r="922" spans="1:9" ht="31.5" hidden="1" x14ac:dyDescent="0.25">
      <c r="A922" s="335" t="s">
        <v>149</v>
      </c>
      <c r="B922" s="329">
        <v>908</v>
      </c>
      <c r="C922" s="331" t="s">
        <v>250</v>
      </c>
      <c r="D922" s="331" t="s">
        <v>229</v>
      </c>
      <c r="E922" s="331" t="s">
        <v>1117</v>
      </c>
      <c r="F922" s="331" t="s">
        <v>150</v>
      </c>
      <c r="G922" s="336">
        <v>0</v>
      </c>
      <c r="H922" s="336">
        <f t="shared" si="71"/>
        <v>0</v>
      </c>
      <c r="I922" s="214"/>
    </row>
    <row r="923" spans="1:9" ht="15.75" hidden="1" x14ac:dyDescent="0.25">
      <c r="A923" s="335" t="s">
        <v>151</v>
      </c>
      <c r="B923" s="329">
        <v>908</v>
      </c>
      <c r="C923" s="331" t="s">
        <v>250</v>
      </c>
      <c r="D923" s="331" t="s">
        <v>229</v>
      </c>
      <c r="E923" s="331" t="s">
        <v>1117</v>
      </c>
      <c r="F923" s="331" t="s">
        <v>883</v>
      </c>
      <c r="G923" s="336">
        <f>'Пр.4 ведом.20'!G1010</f>
        <v>8412.7666000000008</v>
      </c>
      <c r="H923" s="336">
        <f t="shared" si="71"/>
        <v>8412.7666000000008</v>
      </c>
      <c r="I923" s="214"/>
    </row>
    <row r="924" spans="1:9" ht="15.75" hidden="1" x14ac:dyDescent="0.25">
      <c r="A924" s="335" t="s">
        <v>584</v>
      </c>
      <c r="B924" s="329">
        <v>908</v>
      </c>
      <c r="C924" s="331" t="s">
        <v>250</v>
      </c>
      <c r="D924" s="331" t="s">
        <v>229</v>
      </c>
      <c r="E924" s="331" t="s">
        <v>1117</v>
      </c>
      <c r="F924" s="331" t="s">
        <v>1246</v>
      </c>
      <c r="G924" s="336">
        <v>0</v>
      </c>
      <c r="H924" s="336">
        <f t="shared" si="71"/>
        <v>0</v>
      </c>
      <c r="I924" s="214"/>
    </row>
    <row r="925" spans="1:9" ht="63" hidden="1" x14ac:dyDescent="0.25">
      <c r="A925" s="335" t="s">
        <v>824</v>
      </c>
      <c r="B925" s="329">
        <v>908</v>
      </c>
      <c r="C925" s="331" t="s">
        <v>250</v>
      </c>
      <c r="D925" s="331" t="s">
        <v>229</v>
      </c>
      <c r="E925" s="331" t="s">
        <v>1118</v>
      </c>
      <c r="F925" s="331"/>
      <c r="G925" s="336">
        <f>'Пр.4 ведом.20'!G1012</f>
        <v>0</v>
      </c>
      <c r="H925" s="336">
        <f t="shared" si="71"/>
        <v>0</v>
      </c>
      <c r="I925" s="214"/>
    </row>
    <row r="926" spans="1:9" ht="31.5" hidden="1" x14ac:dyDescent="0.25">
      <c r="A926" s="335" t="s">
        <v>147</v>
      </c>
      <c r="B926" s="329">
        <v>908</v>
      </c>
      <c r="C926" s="331" t="s">
        <v>250</v>
      </c>
      <c r="D926" s="331" t="s">
        <v>229</v>
      </c>
      <c r="E926" s="331" t="s">
        <v>1118</v>
      </c>
      <c r="F926" s="331" t="s">
        <v>148</v>
      </c>
      <c r="G926" s="336">
        <f>'Пр.4 ведом.20'!G1013</f>
        <v>0</v>
      </c>
      <c r="H926" s="336">
        <f t="shared" si="71"/>
        <v>0</v>
      </c>
      <c r="I926" s="214"/>
    </row>
    <row r="927" spans="1:9" ht="31.5" hidden="1" x14ac:dyDescent="0.25">
      <c r="A927" s="335" t="s">
        <v>149</v>
      </c>
      <c r="B927" s="329">
        <v>908</v>
      </c>
      <c r="C927" s="331" t="s">
        <v>250</v>
      </c>
      <c r="D927" s="331" t="s">
        <v>229</v>
      </c>
      <c r="E927" s="331" t="s">
        <v>1118</v>
      </c>
      <c r="F927" s="331" t="s">
        <v>150</v>
      </c>
      <c r="G927" s="336">
        <f>'Пр.4 ведом.20'!G1014</f>
        <v>0</v>
      </c>
      <c r="H927" s="336">
        <f t="shared" si="71"/>
        <v>0</v>
      </c>
      <c r="I927" s="214"/>
    </row>
    <row r="928" spans="1:9" ht="47.25" hidden="1" x14ac:dyDescent="0.25">
      <c r="A928" s="98" t="s">
        <v>879</v>
      </c>
      <c r="B928" s="329">
        <v>908</v>
      </c>
      <c r="C928" s="331" t="s">
        <v>250</v>
      </c>
      <c r="D928" s="331" t="s">
        <v>229</v>
      </c>
      <c r="E928" s="331" t="s">
        <v>1119</v>
      </c>
      <c r="F928" s="331"/>
      <c r="G928" s="336">
        <f>'Пр.4 ведом.20'!G1015</f>
        <v>0</v>
      </c>
      <c r="H928" s="336">
        <f t="shared" si="71"/>
        <v>0</v>
      </c>
      <c r="I928" s="214"/>
    </row>
    <row r="929" spans="1:9" ht="31.5" hidden="1" x14ac:dyDescent="0.25">
      <c r="A929" s="335" t="s">
        <v>884</v>
      </c>
      <c r="B929" s="329">
        <v>908</v>
      </c>
      <c r="C929" s="331" t="s">
        <v>250</v>
      </c>
      <c r="D929" s="331" t="s">
        <v>229</v>
      </c>
      <c r="E929" s="331" t="s">
        <v>1119</v>
      </c>
      <c r="F929" s="331" t="s">
        <v>883</v>
      </c>
      <c r="G929" s="336">
        <f>'Пр.4 ведом.20'!G1016</f>
        <v>0</v>
      </c>
      <c r="H929" s="336">
        <f t="shared" si="71"/>
        <v>0</v>
      </c>
      <c r="I929" s="214"/>
    </row>
    <row r="930" spans="1:9" ht="63" hidden="1" x14ac:dyDescent="0.25">
      <c r="A930" s="335" t="s">
        <v>1224</v>
      </c>
      <c r="B930" s="329">
        <v>908</v>
      </c>
      <c r="C930" s="331" t="s">
        <v>250</v>
      </c>
      <c r="D930" s="331" t="s">
        <v>229</v>
      </c>
      <c r="E930" s="331" t="s">
        <v>1119</v>
      </c>
      <c r="F930" s="331" t="s">
        <v>1246</v>
      </c>
      <c r="G930" s="336">
        <f>'Пр.4 ведом.20'!G1017</f>
        <v>0</v>
      </c>
      <c r="H930" s="336">
        <f t="shared" si="71"/>
        <v>0</v>
      </c>
      <c r="I930" s="214"/>
    </row>
    <row r="931" spans="1:9" ht="15.75" hidden="1" x14ac:dyDescent="0.25">
      <c r="A931" s="335" t="s">
        <v>151</v>
      </c>
      <c r="B931" s="329">
        <v>908</v>
      </c>
      <c r="C931" s="331" t="s">
        <v>250</v>
      </c>
      <c r="D931" s="331" t="s">
        <v>229</v>
      </c>
      <c r="E931" s="331" t="s">
        <v>1119</v>
      </c>
      <c r="F931" s="331" t="s">
        <v>161</v>
      </c>
      <c r="G931" s="336">
        <f>'Пр.4 ведом.20'!G1018</f>
        <v>0</v>
      </c>
      <c r="H931" s="336">
        <f t="shared" si="71"/>
        <v>0</v>
      </c>
      <c r="I931" s="214"/>
    </row>
    <row r="932" spans="1:9" ht="15.75" hidden="1" x14ac:dyDescent="0.25">
      <c r="A932" s="335" t="s">
        <v>727</v>
      </c>
      <c r="B932" s="329">
        <v>908</v>
      </c>
      <c r="C932" s="331" t="s">
        <v>250</v>
      </c>
      <c r="D932" s="331" t="s">
        <v>229</v>
      </c>
      <c r="E932" s="331" t="s">
        <v>1119</v>
      </c>
      <c r="F932" s="331" t="s">
        <v>154</v>
      </c>
      <c r="G932" s="336">
        <f>'Пр.4 ведом.20'!G1019</f>
        <v>0</v>
      </c>
      <c r="H932" s="336">
        <f t="shared" si="71"/>
        <v>0</v>
      </c>
      <c r="I932" s="214"/>
    </row>
    <row r="933" spans="1:9" ht="31.5" hidden="1" x14ac:dyDescent="0.25">
      <c r="A933" s="335" t="s">
        <v>1247</v>
      </c>
      <c r="B933" s="329">
        <v>908</v>
      </c>
      <c r="C933" s="331" t="s">
        <v>250</v>
      </c>
      <c r="D933" s="331" t="s">
        <v>229</v>
      </c>
      <c r="E933" s="331" t="s">
        <v>1248</v>
      </c>
      <c r="F933" s="331"/>
      <c r="G933" s="336">
        <f>'Пр.4 ведом.20'!G1020</f>
        <v>0</v>
      </c>
      <c r="H933" s="336">
        <f t="shared" si="71"/>
        <v>0</v>
      </c>
      <c r="I933" s="214"/>
    </row>
    <row r="934" spans="1:9" ht="31.5" hidden="1" x14ac:dyDescent="0.25">
      <c r="A934" s="335" t="s">
        <v>147</v>
      </c>
      <c r="B934" s="329">
        <v>908</v>
      </c>
      <c r="C934" s="331" t="s">
        <v>250</v>
      </c>
      <c r="D934" s="331" t="s">
        <v>229</v>
      </c>
      <c r="E934" s="331" t="s">
        <v>1248</v>
      </c>
      <c r="F934" s="331" t="s">
        <v>148</v>
      </c>
      <c r="G934" s="336">
        <f>'Пр.4 ведом.20'!G1021</f>
        <v>0</v>
      </c>
      <c r="H934" s="336">
        <f t="shared" si="71"/>
        <v>0</v>
      </c>
      <c r="I934" s="214"/>
    </row>
    <row r="935" spans="1:9" ht="31.5" hidden="1" x14ac:dyDescent="0.25">
      <c r="A935" s="335" t="s">
        <v>149</v>
      </c>
      <c r="B935" s="329">
        <v>908</v>
      </c>
      <c r="C935" s="331" t="s">
        <v>250</v>
      </c>
      <c r="D935" s="331" t="s">
        <v>229</v>
      </c>
      <c r="E935" s="331" t="s">
        <v>1248</v>
      </c>
      <c r="F935" s="331" t="s">
        <v>150</v>
      </c>
      <c r="G935" s="336">
        <f>'Пр.4 ведом.20'!G1022</f>
        <v>0</v>
      </c>
      <c r="H935" s="336">
        <f t="shared" si="71"/>
        <v>0</v>
      </c>
      <c r="I935" s="214"/>
    </row>
    <row r="936" spans="1:9" ht="63" x14ac:dyDescent="0.25">
      <c r="A936" s="333" t="s">
        <v>1355</v>
      </c>
      <c r="B936" s="330">
        <v>908</v>
      </c>
      <c r="C936" s="334" t="s">
        <v>250</v>
      </c>
      <c r="D936" s="334" t="s">
        <v>229</v>
      </c>
      <c r="E936" s="334" t="s">
        <v>534</v>
      </c>
      <c r="F936" s="334"/>
      <c r="G936" s="332">
        <f>G937+G941+G945+G949+G961+G957</f>
        <v>700</v>
      </c>
      <c r="H936" s="332">
        <f>H937+H941+H945+H949+H961+H957</f>
        <v>700</v>
      </c>
      <c r="I936" s="214"/>
    </row>
    <row r="937" spans="1:9" ht="31.5" x14ac:dyDescent="0.25">
      <c r="A937" s="333" t="s">
        <v>1099</v>
      </c>
      <c r="B937" s="330">
        <v>908</v>
      </c>
      <c r="C937" s="334" t="s">
        <v>250</v>
      </c>
      <c r="D937" s="334" t="s">
        <v>229</v>
      </c>
      <c r="E937" s="334" t="s">
        <v>1101</v>
      </c>
      <c r="F937" s="334"/>
      <c r="G937" s="332">
        <f t="shared" ref="G937:H939" si="72">G938</f>
        <v>700</v>
      </c>
      <c r="H937" s="332">
        <f t="shared" si="72"/>
        <v>700</v>
      </c>
      <c r="I937" s="214"/>
    </row>
    <row r="938" spans="1:9" ht="15.75" x14ac:dyDescent="0.25">
      <c r="A938" s="45" t="s">
        <v>1100</v>
      </c>
      <c r="B938" s="329">
        <v>908</v>
      </c>
      <c r="C938" s="339" t="s">
        <v>250</v>
      </c>
      <c r="D938" s="339" t="s">
        <v>229</v>
      </c>
      <c r="E938" s="331" t="s">
        <v>1102</v>
      </c>
      <c r="F938" s="339"/>
      <c r="G938" s="336">
        <f t="shared" si="72"/>
        <v>700</v>
      </c>
      <c r="H938" s="336">
        <f t="shared" si="72"/>
        <v>700</v>
      </c>
      <c r="I938" s="214"/>
    </row>
    <row r="939" spans="1:9" ht="31.5" x14ac:dyDescent="0.25">
      <c r="A939" s="31" t="s">
        <v>147</v>
      </c>
      <c r="B939" s="329">
        <v>908</v>
      </c>
      <c r="C939" s="339" t="s">
        <v>250</v>
      </c>
      <c r="D939" s="339" t="s">
        <v>229</v>
      </c>
      <c r="E939" s="331" t="s">
        <v>1102</v>
      </c>
      <c r="F939" s="339" t="s">
        <v>148</v>
      </c>
      <c r="G939" s="336">
        <f t="shared" si="72"/>
        <v>700</v>
      </c>
      <c r="H939" s="336">
        <f t="shared" si="72"/>
        <v>700</v>
      </c>
      <c r="I939" s="214"/>
    </row>
    <row r="940" spans="1:9" ht="31.5" x14ac:dyDescent="0.25">
      <c r="A940" s="31" t="s">
        <v>149</v>
      </c>
      <c r="B940" s="329">
        <v>908</v>
      </c>
      <c r="C940" s="339" t="s">
        <v>250</v>
      </c>
      <c r="D940" s="339" t="s">
        <v>229</v>
      </c>
      <c r="E940" s="331" t="s">
        <v>1102</v>
      </c>
      <c r="F940" s="339" t="s">
        <v>150</v>
      </c>
      <c r="G940" s="336">
        <v>700</v>
      </c>
      <c r="H940" s="336">
        <v>700</v>
      </c>
      <c r="I940" s="214"/>
    </row>
    <row r="941" spans="1:9" ht="31.5" hidden="1" x14ac:dyDescent="0.25">
      <c r="A941" s="34" t="s">
        <v>1103</v>
      </c>
      <c r="B941" s="330">
        <v>908</v>
      </c>
      <c r="C941" s="327" t="s">
        <v>250</v>
      </c>
      <c r="D941" s="327" t="s">
        <v>229</v>
      </c>
      <c r="E941" s="334" t="s">
        <v>1104</v>
      </c>
      <c r="F941" s="327"/>
      <c r="G941" s="332">
        <f>G942</f>
        <v>0</v>
      </c>
      <c r="H941" s="332">
        <f>H942</f>
        <v>0</v>
      </c>
      <c r="I941" s="214"/>
    </row>
    <row r="942" spans="1:9" ht="15.75" hidden="1" x14ac:dyDescent="0.25">
      <c r="A942" s="45" t="s">
        <v>539</v>
      </c>
      <c r="B942" s="329">
        <v>908</v>
      </c>
      <c r="C942" s="339" t="s">
        <v>250</v>
      </c>
      <c r="D942" s="339" t="s">
        <v>229</v>
      </c>
      <c r="E942" s="331" t="s">
        <v>1107</v>
      </c>
      <c r="F942" s="339"/>
      <c r="G942" s="336">
        <f>G943</f>
        <v>0</v>
      </c>
      <c r="H942" s="336">
        <f t="shared" si="71"/>
        <v>0</v>
      </c>
      <c r="I942" s="214"/>
    </row>
    <row r="943" spans="1:9" ht="31.5" hidden="1" x14ac:dyDescent="0.25">
      <c r="A943" s="31" t="s">
        <v>147</v>
      </c>
      <c r="B943" s="329">
        <v>908</v>
      </c>
      <c r="C943" s="339" t="s">
        <v>250</v>
      </c>
      <c r="D943" s="339" t="s">
        <v>229</v>
      </c>
      <c r="E943" s="331" t="s">
        <v>1107</v>
      </c>
      <c r="F943" s="339" t="s">
        <v>148</v>
      </c>
      <c r="G943" s="336">
        <f>G944</f>
        <v>0</v>
      </c>
      <c r="H943" s="336">
        <f t="shared" si="71"/>
        <v>0</v>
      </c>
      <c r="I943" s="214"/>
    </row>
    <row r="944" spans="1:9" ht="31.5" hidden="1" x14ac:dyDescent="0.25">
      <c r="A944" s="31" t="s">
        <v>149</v>
      </c>
      <c r="B944" s="329">
        <v>908</v>
      </c>
      <c r="C944" s="339" t="s">
        <v>250</v>
      </c>
      <c r="D944" s="339" t="s">
        <v>229</v>
      </c>
      <c r="E944" s="331" t="s">
        <v>1107</v>
      </c>
      <c r="F944" s="339" t="s">
        <v>150</v>
      </c>
      <c r="G944" s="336">
        <v>0</v>
      </c>
      <c r="H944" s="336">
        <f t="shared" si="71"/>
        <v>0</v>
      </c>
      <c r="I944" s="214"/>
    </row>
    <row r="945" spans="1:9" ht="31.5" hidden="1" x14ac:dyDescent="0.25">
      <c r="A945" s="58" t="s">
        <v>1105</v>
      </c>
      <c r="B945" s="330">
        <v>908</v>
      </c>
      <c r="C945" s="327" t="s">
        <v>250</v>
      </c>
      <c r="D945" s="327" t="s">
        <v>229</v>
      </c>
      <c r="E945" s="334" t="s">
        <v>1106</v>
      </c>
      <c r="F945" s="327"/>
      <c r="G945" s="4">
        <f>G946</f>
        <v>0</v>
      </c>
      <c r="H945" s="4">
        <f>H946</f>
        <v>0</v>
      </c>
      <c r="I945" s="214"/>
    </row>
    <row r="946" spans="1:9" ht="15.75" hidden="1" x14ac:dyDescent="0.25">
      <c r="A946" s="45" t="s">
        <v>541</v>
      </c>
      <c r="B946" s="329">
        <v>908</v>
      </c>
      <c r="C946" s="339" t="s">
        <v>250</v>
      </c>
      <c r="D946" s="339" t="s">
        <v>229</v>
      </c>
      <c r="E946" s="331" t="s">
        <v>1108</v>
      </c>
      <c r="F946" s="339"/>
      <c r="G946" s="336">
        <f>'Пр.4 ведом.20'!G1033</f>
        <v>0</v>
      </c>
      <c r="H946" s="336">
        <f t="shared" si="71"/>
        <v>0</v>
      </c>
      <c r="I946" s="214"/>
    </row>
    <row r="947" spans="1:9" ht="31.5" hidden="1" x14ac:dyDescent="0.25">
      <c r="A947" s="31" t="s">
        <v>147</v>
      </c>
      <c r="B947" s="329">
        <v>908</v>
      </c>
      <c r="C947" s="339" t="s">
        <v>250</v>
      </c>
      <c r="D947" s="339" t="s">
        <v>229</v>
      </c>
      <c r="E947" s="331" t="s">
        <v>1108</v>
      </c>
      <c r="F947" s="339" t="s">
        <v>148</v>
      </c>
      <c r="G947" s="336">
        <f>'Пр.4 ведом.20'!G1034</f>
        <v>0</v>
      </c>
      <c r="H947" s="336">
        <f t="shared" si="71"/>
        <v>0</v>
      </c>
      <c r="I947" s="214"/>
    </row>
    <row r="948" spans="1:9" ht="31.5" hidden="1" x14ac:dyDescent="0.25">
      <c r="A948" s="31" t="s">
        <v>149</v>
      </c>
      <c r="B948" s="329">
        <v>908</v>
      </c>
      <c r="C948" s="339" t="s">
        <v>250</v>
      </c>
      <c r="D948" s="339" t="s">
        <v>229</v>
      </c>
      <c r="E948" s="331" t="s">
        <v>1108</v>
      </c>
      <c r="F948" s="339" t="s">
        <v>150</v>
      </c>
      <c r="G948" s="336">
        <f>'Пр.4 ведом.20'!G1035</f>
        <v>0</v>
      </c>
      <c r="H948" s="336">
        <f t="shared" si="71"/>
        <v>0</v>
      </c>
      <c r="I948" s="214"/>
    </row>
    <row r="949" spans="1:9" ht="31.5" hidden="1" x14ac:dyDescent="0.25">
      <c r="A949" s="58" t="s">
        <v>1109</v>
      </c>
      <c r="B949" s="330">
        <v>908</v>
      </c>
      <c r="C949" s="327" t="s">
        <v>250</v>
      </c>
      <c r="D949" s="327" t="s">
        <v>229</v>
      </c>
      <c r="E949" s="334" t="s">
        <v>1110</v>
      </c>
      <c r="F949" s="327"/>
      <c r="G949" s="4">
        <f t="shared" ref="G949:H951" si="73">G950</f>
        <v>0</v>
      </c>
      <c r="H949" s="4">
        <f t="shared" si="73"/>
        <v>0</v>
      </c>
      <c r="I949" s="214"/>
    </row>
    <row r="950" spans="1:9" ht="15.75" hidden="1" x14ac:dyDescent="0.25">
      <c r="A950" s="45" t="s">
        <v>543</v>
      </c>
      <c r="B950" s="329">
        <v>908</v>
      </c>
      <c r="C950" s="339" t="s">
        <v>250</v>
      </c>
      <c r="D950" s="339" t="s">
        <v>229</v>
      </c>
      <c r="E950" s="331" t="s">
        <v>1111</v>
      </c>
      <c r="F950" s="339"/>
      <c r="G950" s="336">
        <f t="shared" si="73"/>
        <v>0</v>
      </c>
      <c r="H950" s="336">
        <f t="shared" si="73"/>
        <v>0</v>
      </c>
      <c r="I950" s="214"/>
    </row>
    <row r="951" spans="1:9" ht="31.5" hidden="1" x14ac:dyDescent="0.25">
      <c r="A951" s="31" t="s">
        <v>147</v>
      </c>
      <c r="B951" s="329">
        <v>908</v>
      </c>
      <c r="C951" s="339" t="s">
        <v>250</v>
      </c>
      <c r="D951" s="339" t="s">
        <v>229</v>
      </c>
      <c r="E951" s="331" t="s">
        <v>1111</v>
      </c>
      <c r="F951" s="339" t="s">
        <v>148</v>
      </c>
      <c r="G951" s="336">
        <f t="shared" si="73"/>
        <v>0</v>
      </c>
      <c r="H951" s="336">
        <f t="shared" si="73"/>
        <v>0</v>
      </c>
      <c r="I951" s="214"/>
    </row>
    <row r="952" spans="1:9" ht="31.5" hidden="1" x14ac:dyDescent="0.25">
      <c r="A952" s="31" t="s">
        <v>149</v>
      </c>
      <c r="B952" s="329">
        <v>908</v>
      </c>
      <c r="C952" s="339" t="s">
        <v>250</v>
      </c>
      <c r="D952" s="339" t="s">
        <v>229</v>
      </c>
      <c r="E952" s="331" t="s">
        <v>1111</v>
      </c>
      <c r="F952" s="339" t="s">
        <v>150</v>
      </c>
      <c r="G952" s="336">
        <v>0</v>
      </c>
      <c r="H952" s="336">
        <v>0</v>
      </c>
      <c r="I952" s="214"/>
    </row>
    <row r="953" spans="1:9" ht="31.5" hidden="1" x14ac:dyDescent="0.25">
      <c r="A953" s="34" t="s">
        <v>1172</v>
      </c>
      <c r="B953" s="330">
        <v>908</v>
      </c>
      <c r="C953" s="327" t="s">
        <v>250</v>
      </c>
      <c r="D953" s="327" t="s">
        <v>229</v>
      </c>
      <c r="E953" s="334" t="s">
        <v>1173</v>
      </c>
      <c r="F953" s="327"/>
      <c r="G953" s="4">
        <f>G954</f>
        <v>0</v>
      </c>
      <c r="H953" s="4">
        <f>H954</f>
        <v>0</v>
      </c>
      <c r="I953" s="214"/>
    </row>
    <row r="954" spans="1:9" ht="15.75" hidden="1" x14ac:dyDescent="0.25">
      <c r="A954" s="45" t="s">
        <v>545</v>
      </c>
      <c r="B954" s="329">
        <v>908</v>
      </c>
      <c r="C954" s="339" t="s">
        <v>250</v>
      </c>
      <c r="D954" s="339" t="s">
        <v>229</v>
      </c>
      <c r="E954" s="331" t="s">
        <v>1176</v>
      </c>
      <c r="F954" s="339"/>
      <c r="G954" s="336">
        <f>'Пр.4 ведом.20'!G1041</f>
        <v>0</v>
      </c>
      <c r="H954" s="336">
        <f t="shared" si="71"/>
        <v>0</v>
      </c>
      <c r="I954" s="214"/>
    </row>
    <row r="955" spans="1:9" ht="31.5" hidden="1" x14ac:dyDescent="0.25">
      <c r="A955" s="31" t="s">
        <v>147</v>
      </c>
      <c r="B955" s="329">
        <v>908</v>
      </c>
      <c r="C955" s="339" t="s">
        <v>250</v>
      </c>
      <c r="D955" s="339" t="s">
        <v>229</v>
      </c>
      <c r="E955" s="331" t="s">
        <v>1176</v>
      </c>
      <c r="F955" s="339" t="s">
        <v>148</v>
      </c>
      <c r="G955" s="336">
        <f>'Пр.4 ведом.20'!G1042</f>
        <v>0</v>
      </c>
      <c r="H955" s="336">
        <f t="shared" si="71"/>
        <v>0</v>
      </c>
      <c r="I955" s="214"/>
    </row>
    <row r="956" spans="1:9" ht="31.5" hidden="1" x14ac:dyDescent="0.25">
      <c r="A956" s="31" t="s">
        <v>149</v>
      </c>
      <c r="B956" s="329">
        <v>908</v>
      </c>
      <c r="C956" s="339" t="s">
        <v>250</v>
      </c>
      <c r="D956" s="339" t="s">
        <v>229</v>
      </c>
      <c r="E956" s="331" t="s">
        <v>1176</v>
      </c>
      <c r="F956" s="339" t="s">
        <v>150</v>
      </c>
      <c r="G956" s="336">
        <f>'Пр.4 ведом.20'!G1043</f>
        <v>0</v>
      </c>
      <c r="H956" s="336">
        <f t="shared" si="71"/>
        <v>0</v>
      </c>
      <c r="I956" s="214"/>
    </row>
    <row r="957" spans="1:9" ht="31.5" hidden="1" x14ac:dyDescent="0.25">
      <c r="A957" s="228" t="s">
        <v>1174</v>
      </c>
      <c r="B957" s="330">
        <v>908</v>
      </c>
      <c r="C957" s="327" t="s">
        <v>250</v>
      </c>
      <c r="D957" s="327" t="s">
        <v>229</v>
      </c>
      <c r="E957" s="334" t="s">
        <v>1175</v>
      </c>
      <c r="F957" s="327"/>
      <c r="G957" s="332">
        <f>G958</f>
        <v>0</v>
      </c>
      <c r="H957" s="332">
        <f>H958</f>
        <v>0</v>
      </c>
      <c r="I957" s="214"/>
    </row>
    <row r="958" spans="1:9" ht="31.5" hidden="1" x14ac:dyDescent="0.25">
      <c r="A958" s="178" t="s">
        <v>547</v>
      </c>
      <c r="B958" s="329">
        <v>908</v>
      </c>
      <c r="C958" s="339" t="s">
        <v>250</v>
      </c>
      <c r="D958" s="339" t="s">
        <v>229</v>
      </c>
      <c r="E958" s="331" t="s">
        <v>1177</v>
      </c>
      <c r="F958" s="339"/>
      <c r="G958" s="336">
        <f>'Пр.4 ведом.20'!G1045</f>
        <v>0</v>
      </c>
      <c r="H958" s="336">
        <f t="shared" si="71"/>
        <v>0</v>
      </c>
      <c r="I958" s="214"/>
    </row>
    <row r="959" spans="1:9" ht="31.5" hidden="1" x14ac:dyDescent="0.25">
      <c r="A959" s="31" t="s">
        <v>147</v>
      </c>
      <c r="B959" s="329">
        <v>908</v>
      </c>
      <c r="C959" s="339" t="s">
        <v>250</v>
      </c>
      <c r="D959" s="339" t="s">
        <v>229</v>
      </c>
      <c r="E959" s="331" t="s">
        <v>1177</v>
      </c>
      <c r="F959" s="339" t="s">
        <v>148</v>
      </c>
      <c r="G959" s="336">
        <f>'Пр.4 ведом.20'!G1046</f>
        <v>0</v>
      </c>
      <c r="H959" s="336">
        <f t="shared" si="71"/>
        <v>0</v>
      </c>
      <c r="I959" s="214"/>
    </row>
    <row r="960" spans="1:9" ht="31.5" hidden="1" x14ac:dyDescent="0.25">
      <c r="A960" s="31" t="s">
        <v>149</v>
      </c>
      <c r="B960" s="329">
        <v>908</v>
      </c>
      <c r="C960" s="339" t="s">
        <v>250</v>
      </c>
      <c r="D960" s="339" t="s">
        <v>229</v>
      </c>
      <c r="E960" s="331" t="s">
        <v>1177</v>
      </c>
      <c r="F960" s="339" t="s">
        <v>150</v>
      </c>
      <c r="G960" s="336">
        <f>'Пр.4 ведом.20'!G1047</f>
        <v>0</v>
      </c>
      <c r="H960" s="336">
        <f t="shared" si="71"/>
        <v>0</v>
      </c>
      <c r="I960" s="214"/>
    </row>
    <row r="961" spans="1:9" ht="31.5" hidden="1" x14ac:dyDescent="0.25">
      <c r="A961" s="228" t="s">
        <v>1113</v>
      </c>
      <c r="B961" s="330">
        <v>908</v>
      </c>
      <c r="C961" s="327" t="s">
        <v>250</v>
      </c>
      <c r="D961" s="327" t="s">
        <v>229</v>
      </c>
      <c r="E961" s="334" t="s">
        <v>1114</v>
      </c>
      <c r="F961" s="327"/>
      <c r="G961" s="332">
        <f>G962</f>
        <v>0</v>
      </c>
      <c r="H961" s="332">
        <f>H962</f>
        <v>0</v>
      </c>
      <c r="I961" s="214"/>
    </row>
    <row r="962" spans="1:9" ht="15.75" hidden="1" x14ac:dyDescent="0.25">
      <c r="A962" s="178" t="s">
        <v>549</v>
      </c>
      <c r="B962" s="329">
        <v>908</v>
      </c>
      <c r="C962" s="339" t="s">
        <v>250</v>
      </c>
      <c r="D962" s="339" t="s">
        <v>229</v>
      </c>
      <c r="E962" s="331" t="s">
        <v>1112</v>
      </c>
      <c r="F962" s="339"/>
      <c r="G962" s="336">
        <f>'Пр.4 ведом.20'!G1049</f>
        <v>0</v>
      </c>
      <c r="H962" s="336">
        <f t="shared" si="71"/>
        <v>0</v>
      </c>
      <c r="I962" s="214"/>
    </row>
    <row r="963" spans="1:9" ht="31.5" hidden="1" x14ac:dyDescent="0.25">
      <c r="A963" s="335" t="s">
        <v>147</v>
      </c>
      <c r="B963" s="329">
        <v>908</v>
      </c>
      <c r="C963" s="339" t="s">
        <v>250</v>
      </c>
      <c r="D963" s="339" t="s">
        <v>229</v>
      </c>
      <c r="E963" s="331" t="s">
        <v>1112</v>
      </c>
      <c r="F963" s="339" t="s">
        <v>148</v>
      </c>
      <c r="G963" s="336">
        <f>'Пр.4 ведом.20'!G1050</f>
        <v>0</v>
      </c>
      <c r="H963" s="336">
        <f t="shared" si="71"/>
        <v>0</v>
      </c>
      <c r="I963" s="214"/>
    </row>
    <row r="964" spans="1:9" ht="31.5" hidden="1" x14ac:dyDescent="0.25">
      <c r="A964" s="335" t="s">
        <v>149</v>
      </c>
      <c r="B964" s="329">
        <v>908</v>
      </c>
      <c r="C964" s="339" t="s">
        <v>250</v>
      </c>
      <c r="D964" s="339" t="s">
        <v>229</v>
      </c>
      <c r="E964" s="331" t="s">
        <v>1112</v>
      </c>
      <c r="F964" s="339" t="s">
        <v>150</v>
      </c>
      <c r="G964" s="336">
        <f>'Пр.4 ведом.20'!G1051</f>
        <v>0</v>
      </c>
      <c r="H964" s="336">
        <f t="shared" si="71"/>
        <v>0</v>
      </c>
      <c r="I964" s="214"/>
    </row>
    <row r="965" spans="1:9" s="213" customFormat="1" ht="47.25" x14ac:dyDescent="0.25">
      <c r="A965" s="333" t="s">
        <v>1362</v>
      </c>
      <c r="B965" s="330">
        <v>908</v>
      </c>
      <c r="C965" s="327" t="s">
        <v>250</v>
      </c>
      <c r="D965" s="327" t="s">
        <v>229</v>
      </c>
      <c r="E965" s="334" t="s">
        <v>1361</v>
      </c>
      <c r="F965" s="327"/>
      <c r="G965" s="332">
        <f t="shared" ref="G965:H968" si="74">G966</f>
        <v>235</v>
      </c>
      <c r="H965" s="332">
        <f t="shared" si="74"/>
        <v>204</v>
      </c>
      <c r="I965" s="214"/>
    </row>
    <row r="966" spans="1:9" s="213" customFormat="1" ht="31.5" x14ac:dyDescent="0.25">
      <c r="A966" s="333" t="s">
        <v>1363</v>
      </c>
      <c r="B966" s="330">
        <v>908</v>
      </c>
      <c r="C966" s="327" t="s">
        <v>250</v>
      </c>
      <c r="D966" s="327" t="s">
        <v>229</v>
      </c>
      <c r="E966" s="334" t="s">
        <v>1364</v>
      </c>
      <c r="F966" s="327"/>
      <c r="G966" s="332">
        <f t="shared" si="74"/>
        <v>235</v>
      </c>
      <c r="H966" s="332">
        <f t="shared" si="74"/>
        <v>204</v>
      </c>
      <c r="I966" s="214"/>
    </row>
    <row r="967" spans="1:9" s="213" customFormat="1" ht="15.75" x14ac:dyDescent="0.25">
      <c r="A967" s="335" t="s">
        <v>553</v>
      </c>
      <c r="B967" s="329">
        <v>908</v>
      </c>
      <c r="C967" s="339" t="s">
        <v>250</v>
      </c>
      <c r="D967" s="339" t="s">
        <v>229</v>
      </c>
      <c r="E967" s="331" t="s">
        <v>1365</v>
      </c>
      <c r="F967" s="339"/>
      <c r="G967" s="336">
        <f t="shared" si="74"/>
        <v>235</v>
      </c>
      <c r="H967" s="336">
        <f t="shared" si="74"/>
        <v>204</v>
      </c>
      <c r="I967" s="214"/>
    </row>
    <row r="968" spans="1:9" s="213" customFormat="1" ht="31.5" x14ac:dyDescent="0.25">
      <c r="A968" s="335" t="s">
        <v>147</v>
      </c>
      <c r="B968" s="329">
        <v>908</v>
      </c>
      <c r="C968" s="339" t="s">
        <v>250</v>
      </c>
      <c r="D968" s="339" t="s">
        <v>229</v>
      </c>
      <c r="E968" s="331" t="s">
        <v>1365</v>
      </c>
      <c r="F968" s="339" t="s">
        <v>148</v>
      </c>
      <c r="G968" s="336">
        <f t="shared" si="74"/>
        <v>235</v>
      </c>
      <c r="H968" s="336">
        <f t="shared" si="74"/>
        <v>204</v>
      </c>
      <c r="I968" s="214"/>
    </row>
    <row r="969" spans="1:9" s="213" customFormat="1" ht="31.5" x14ac:dyDescent="0.25">
      <c r="A969" s="335" t="s">
        <v>149</v>
      </c>
      <c r="B969" s="329">
        <v>908</v>
      </c>
      <c r="C969" s="339" t="s">
        <v>250</v>
      </c>
      <c r="D969" s="339" t="s">
        <v>229</v>
      </c>
      <c r="E969" s="331" t="s">
        <v>1365</v>
      </c>
      <c r="F969" s="339" t="s">
        <v>150</v>
      </c>
      <c r="G969" s="336">
        <v>235</v>
      </c>
      <c r="H969" s="336">
        <v>204</v>
      </c>
      <c r="I969" s="214"/>
    </row>
    <row r="970" spans="1:9" ht="15.75" x14ac:dyDescent="0.25">
      <c r="A970" s="333" t="s">
        <v>557</v>
      </c>
      <c r="B970" s="330">
        <v>908</v>
      </c>
      <c r="C970" s="334" t="s">
        <v>250</v>
      </c>
      <c r="D970" s="334" t="s">
        <v>231</v>
      </c>
      <c r="E970" s="334"/>
      <c r="F970" s="334"/>
      <c r="G970" s="332">
        <f>G971+G976+G1014</f>
        <v>4134.5</v>
      </c>
      <c r="H970" s="332">
        <f>H971+H976+H1014</f>
        <v>11526.5</v>
      </c>
      <c r="I970" s="214"/>
    </row>
    <row r="971" spans="1:9" ht="15.75" x14ac:dyDescent="0.25">
      <c r="A971" s="333" t="s">
        <v>157</v>
      </c>
      <c r="B971" s="330">
        <v>908</v>
      </c>
      <c r="C971" s="334" t="s">
        <v>250</v>
      </c>
      <c r="D971" s="334" t="s">
        <v>231</v>
      </c>
      <c r="E971" s="334" t="s">
        <v>912</v>
      </c>
      <c r="F971" s="334"/>
      <c r="G971" s="332">
        <f t="shared" ref="G971:H974" si="75">G972</f>
        <v>390</v>
      </c>
      <c r="H971" s="332">
        <f t="shared" si="75"/>
        <v>390</v>
      </c>
      <c r="I971" s="214"/>
    </row>
    <row r="972" spans="1:9" ht="31.5" x14ac:dyDescent="0.25">
      <c r="A972" s="333" t="s">
        <v>916</v>
      </c>
      <c r="B972" s="330">
        <v>908</v>
      </c>
      <c r="C972" s="334" t="s">
        <v>250</v>
      </c>
      <c r="D972" s="334" t="s">
        <v>231</v>
      </c>
      <c r="E972" s="334" t="s">
        <v>911</v>
      </c>
      <c r="F972" s="334"/>
      <c r="G972" s="332">
        <f t="shared" si="75"/>
        <v>390</v>
      </c>
      <c r="H972" s="332">
        <f t="shared" si="75"/>
        <v>390</v>
      </c>
      <c r="I972" s="214"/>
    </row>
    <row r="973" spans="1:9" ht="15.75" x14ac:dyDescent="0.25">
      <c r="A973" s="335" t="s">
        <v>580</v>
      </c>
      <c r="B973" s="329">
        <v>908</v>
      </c>
      <c r="C973" s="331" t="s">
        <v>250</v>
      </c>
      <c r="D973" s="331" t="s">
        <v>231</v>
      </c>
      <c r="E973" s="331" t="s">
        <v>1261</v>
      </c>
      <c r="F973" s="331"/>
      <c r="G973" s="336">
        <f t="shared" si="75"/>
        <v>390</v>
      </c>
      <c r="H973" s="336">
        <f t="shared" si="75"/>
        <v>390</v>
      </c>
      <c r="I973" s="214"/>
    </row>
    <row r="974" spans="1:9" ht="31.5" x14ac:dyDescent="0.25">
      <c r="A974" s="335" t="s">
        <v>147</v>
      </c>
      <c r="B974" s="329">
        <v>908</v>
      </c>
      <c r="C974" s="331" t="s">
        <v>250</v>
      </c>
      <c r="D974" s="331" t="s">
        <v>231</v>
      </c>
      <c r="E974" s="331" t="s">
        <v>1261</v>
      </c>
      <c r="F974" s="331" t="s">
        <v>148</v>
      </c>
      <c r="G974" s="336">
        <f t="shared" si="75"/>
        <v>390</v>
      </c>
      <c r="H974" s="336">
        <f t="shared" si="75"/>
        <v>390</v>
      </c>
      <c r="I974" s="214"/>
    </row>
    <row r="975" spans="1:9" ht="31.5" x14ac:dyDescent="0.25">
      <c r="A975" s="335" t="s">
        <v>149</v>
      </c>
      <c r="B975" s="329">
        <v>908</v>
      </c>
      <c r="C975" s="331" t="s">
        <v>250</v>
      </c>
      <c r="D975" s="331" t="s">
        <v>231</v>
      </c>
      <c r="E975" s="331" t="s">
        <v>1261</v>
      </c>
      <c r="F975" s="331" t="s">
        <v>150</v>
      </c>
      <c r="G975" s="336">
        <f>390</f>
        <v>390</v>
      </c>
      <c r="H975" s="336">
        <f t="shared" si="71"/>
        <v>390</v>
      </c>
      <c r="I975" s="214"/>
    </row>
    <row r="976" spans="1:9" ht="47.25" x14ac:dyDescent="0.25">
      <c r="A976" s="333" t="s">
        <v>1435</v>
      </c>
      <c r="B976" s="330">
        <v>908</v>
      </c>
      <c r="C976" s="334" t="s">
        <v>250</v>
      </c>
      <c r="D976" s="334" t="s">
        <v>231</v>
      </c>
      <c r="E976" s="334" t="s">
        <v>559</v>
      </c>
      <c r="F976" s="334"/>
      <c r="G976" s="332">
        <f>G977+G991</f>
        <v>3244.5</v>
      </c>
      <c r="H976" s="332">
        <f>H977+H991</f>
        <v>10636.5</v>
      </c>
      <c r="I976" s="214"/>
    </row>
    <row r="977" spans="1:9" ht="47.25" x14ac:dyDescent="0.25">
      <c r="A977" s="333" t="s">
        <v>560</v>
      </c>
      <c r="B977" s="330">
        <v>908</v>
      </c>
      <c r="C977" s="334" t="s">
        <v>250</v>
      </c>
      <c r="D977" s="334" t="s">
        <v>231</v>
      </c>
      <c r="E977" s="334" t="s">
        <v>561</v>
      </c>
      <c r="F977" s="334"/>
      <c r="G977" s="332">
        <f>G978</f>
        <v>940</v>
      </c>
      <c r="H977" s="332">
        <f>H978</f>
        <v>940</v>
      </c>
      <c r="I977" s="214"/>
    </row>
    <row r="978" spans="1:9" ht="31.5" x14ac:dyDescent="0.25">
      <c r="A978" s="333" t="s">
        <v>1122</v>
      </c>
      <c r="B978" s="330">
        <v>908</v>
      </c>
      <c r="C978" s="334" t="s">
        <v>250</v>
      </c>
      <c r="D978" s="334" t="s">
        <v>231</v>
      </c>
      <c r="E978" s="334" t="s">
        <v>1120</v>
      </c>
      <c r="F978" s="334"/>
      <c r="G978" s="332">
        <f>G979+G982+G988</f>
        <v>940</v>
      </c>
      <c r="H978" s="332">
        <f>H979+H982+H988</f>
        <v>940</v>
      </c>
      <c r="I978" s="214"/>
    </row>
    <row r="979" spans="1:9" ht="15.75" x14ac:dyDescent="0.25">
      <c r="A979" s="335" t="s">
        <v>562</v>
      </c>
      <c r="B979" s="329">
        <v>908</v>
      </c>
      <c r="C979" s="331" t="s">
        <v>250</v>
      </c>
      <c r="D979" s="331" t="s">
        <v>231</v>
      </c>
      <c r="E979" s="331" t="s">
        <v>1121</v>
      </c>
      <c r="F979" s="331"/>
      <c r="G979" s="336">
        <f>G980</f>
        <v>90</v>
      </c>
      <c r="H979" s="336">
        <f>H980</f>
        <v>90</v>
      </c>
      <c r="I979" s="214"/>
    </row>
    <row r="980" spans="1:9" ht="31.5" x14ac:dyDescent="0.25">
      <c r="A980" s="335" t="s">
        <v>147</v>
      </c>
      <c r="B980" s="329">
        <v>908</v>
      </c>
      <c r="C980" s="331" t="s">
        <v>250</v>
      </c>
      <c r="D980" s="331" t="s">
        <v>231</v>
      </c>
      <c r="E980" s="331" t="s">
        <v>1121</v>
      </c>
      <c r="F980" s="331" t="s">
        <v>148</v>
      </c>
      <c r="G980" s="336">
        <f>G981</f>
        <v>90</v>
      </c>
      <c r="H980" s="336">
        <f>H981</f>
        <v>90</v>
      </c>
      <c r="I980" s="214"/>
    </row>
    <row r="981" spans="1:9" ht="31.5" x14ac:dyDescent="0.25">
      <c r="A981" s="335" t="s">
        <v>149</v>
      </c>
      <c r="B981" s="329">
        <v>908</v>
      </c>
      <c r="C981" s="331" t="s">
        <v>250</v>
      </c>
      <c r="D981" s="331" t="s">
        <v>231</v>
      </c>
      <c r="E981" s="331" t="s">
        <v>1121</v>
      </c>
      <c r="F981" s="331" t="s">
        <v>150</v>
      </c>
      <c r="G981" s="336">
        <f>90</f>
        <v>90</v>
      </c>
      <c r="H981" s="336">
        <f t="shared" si="71"/>
        <v>90</v>
      </c>
      <c r="I981" s="214"/>
    </row>
    <row r="982" spans="1:9" ht="15.75" x14ac:dyDescent="0.25">
      <c r="A982" s="335" t="s">
        <v>1287</v>
      </c>
      <c r="B982" s="329">
        <v>908</v>
      </c>
      <c r="C982" s="331" t="s">
        <v>250</v>
      </c>
      <c r="D982" s="331" t="s">
        <v>231</v>
      </c>
      <c r="E982" s="331" t="s">
        <v>1123</v>
      </c>
      <c r="F982" s="331"/>
      <c r="G982" s="336">
        <f>G983</f>
        <v>650</v>
      </c>
      <c r="H982" s="336">
        <f>H983</f>
        <v>650</v>
      </c>
      <c r="I982" s="214"/>
    </row>
    <row r="983" spans="1:9" ht="31.5" x14ac:dyDescent="0.25">
      <c r="A983" s="335" t="s">
        <v>147</v>
      </c>
      <c r="B983" s="329">
        <v>908</v>
      </c>
      <c r="C983" s="331" t="s">
        <v>250</v>
      </c>
      <c r="D983" s="331" t="s">
        <v>231</v>
      </c>
      <c r="E983" s="331" t="s">
        <v>1123</v>
      </c>
      <c r="F983" s="331" t="s">
        <v>148</v>
      </c>
      <c r="G983" s="336">
        <f>G984</f>
        <v>650</v>
      </c>
      <c r="H983" s="336">
        <f>H984</f>
        <v>650</v>
      </c>
      <c r="I983" s="214"/>
    </row>
    <row r="984" spans="1:9" ht="31.5" x14ac:dyDescent="0.25">
      <c r="A984" s="335" t="s">
        <v>149</v>
      </c>
      <c r="B984" s="329">
        <v>908</v>
      </c>
      <c r="C984" s="331" t="s">
        <v>250</v>
      </c>
      <c r="D984" s="331" t="s">
        <v>231</v>
      </c>
      <c r="E984" s="331" t="s">
        <v>1123</v>
      </c>
      <c r="F984" s="331" t="s">
        <v>150</v>
      </c>
      <c r="G984" s="336">
        <f>650</f>
        <v>650</v>
      </c>
      <c r="H984" s="336">
        <f t="shared" si="71"/>
        <v>650</v>
      </c>
      <c r="I984" s="214"/>
    </row>
    <row r="985" spans="1:9" ht="15.75" hidden="1" x14ac:dyDescent="0.25">
      <c r="A985" s="335" t="s">
        <v>151</v>
      </c>
      <c r="B985" s="329">
        <v>908</v>
      </c>
      <c r="C985" s="331" t="s">
        <v>250</v>
      </c>
      <c r="D985" s="331" t="s">
        <v>231</v>
      </c>
      <c r="E985" s="331" t="s">
        <v>1123</v>
      </c>
      <c r="F985" s="331" t="s">
        <v>161</v>
      </c>
      <c r="G985" s="336">
        <f>'Пр.4 ведом.20'!G1074</f>
        <v>0</v>
      </c>
      <c r="H985" s="336">
        <f t="shared" si="71"/>
        <v>0</v>
      </c>
      <c r="I985" s="214"/>
    </row>
    <row r="986" spans="1:9" ht="47.25" hidden="1" x14ac:dyDescent="0.25">
      <c r="A986" s="335" t="s">
        <v>882</v>
      </c>
      <c r="B986" s="329">
        <v>908</v>
      </c>
      <c r="C986" s="331" t="s">
        <v>250</v>
      </c>
      <c r="D986" s="331" t="s">
        <v>231</v>
      </c>
      <c r="E986" s="331" t="s">
        <v>1123</v>
      </c>
      <c r="F986" s="331" t="s">
        <v>163</v>
      </c>
      <c r="G986" s="336">
        <f>'Пр.4 ведом.20'!G1075</f>
        <v>0</v>
      </c>
      <c r="H986" s="336">
        <f t="shared" si="71"/>
        <v>0</v>
      </c>
      <c r="I986" s="214"/>
    </row>
    <row r="987" spans="1:9" ht="15.75" hidden="1" x14ac:dyDescent="0.25">
      <c r="A987" s="335" t="s">
        <v>727</v>
      </c>
      <c r="B987" s="329">
        <v>908</v>
      </c>
      <c r="C987" s="331" t="s">
        <v>250</v>
      </c>
      <c r="D987" s="331" t="s">
        <v>231</v>
      </c>
      <c r="E987" s="331" t="s">
        <v>1123</v>
      </c>
      <c r="F987" s="331" t="s">
        <v>154</v>
      </c>
      <c r="G987" s="336">
        <f>'Пр.4 ведом.20'!G1076</f>
        <v>0</v>
      </c>
      <c r="H987" s="336">
        <f t="shared" si="71"/>
        <v>0</v>
      </c>
      <c r="I987" s="214"/>
    </row>
    <row r="988" spans="1:9" ht="15.75" x14ac:dyDescent="0.25">
      <c r="A988" s="335" t="s">
        <v>566</v>
      </c>
      <c r="B988" s="329">
        <v>908</v>
      </c>
      <c r="C988" s="331" t="s">
        <v>250</v>
      </c>
      <c r="D988" s="331" t="s">
        <v>231</v>
      </c>
      <c r="E988" s="331" t="s">
        <v>1124</v>
      </c>
      <c r="F988" s="331"/>
      <c r="G988" s="336">
        <f>G989</f>
        <v>200</v>
      </c>
      <c r="H988" s="336">
        <f>H989</f>
        <v>200</v>
      </c>
      <c r="I988" s="214"/>
    </row>
    <row r="989" spans="1:9" ht="31.5" x14ac:dyDescent="0.25">
      <c r="A989" s="335" t="s">
        <v>147</v>
      </c>
      <c r="B989" s="329">
        <v>908</v>
      </c>
      <c r="C989" s="331" t="s">
        <v>250</v>
      </c>
      <c r="D989" s="331" t="s">
        <v>231</v>
      </c>
      <c r="E989" s="331" t="s">
        <v>1124</v>
      </c>
      <c r="F989" s="331" t="s">
        <v>148</v>
      </c>
      <c r="G989" s="336">
        <f>G990</f>
        <v>200</v>
      </c>
      <c r="H989" s="336">
        <f>H990</f>
        <v>200</v>
      </c>
      <c r="I989" s="214"/>
    </row>
    <row r="990" spans="1:9" ht="31.5" x14ac:dyDescent="0.25">
      <c r="A990" s="335" t="s">
        <v>149</v>
      </c>
      <c r="B990" s="329">
        <v>908</v>
      </c>
      <c r="C990" s="331" t="s">
        <v>250</v>
      </c>
      <c r="D990" s="331" t="s">
        <v>231</v>
      </c>
      <c r="E990" s="331" t="s">
        <v>1124</v>
      </c>
      <c r="F990" s="331" t="s">
        <v>150</v>
      </c>
      <c r="G990" s="336">
        <f>200</f>
        <v>200</v>
      </c>
      <c r="H990" s="336">
        <f t="shared" ref="H990:H1048" si="76">G990</f>
        <v>200</v>
      </c>
      <c r="I990" s="214"/>
    </row>
    <row r="991" spans="1:9" ht="47.25" x14ac:dyDescent="0.25">
      <c r="A991" s="333" t="s">
        <v>1436</v>
      </c>
      <c r="B991" s="330">
        <v>908</v>
      </c>
      <c r="C991" s="334" t="s">
        <v>250</v>
      </c>
      <c r="D991" s="334" t="s">
        <v>231</v>
      </c>
      <c r="E991" s="334" t="s">
        <v>569</v>
      </c>
      <c r="F991" s="334"/>
      <c r="G991" s="332">
        <f>G992+G1007</f>
        <v>2304.5</v>
      </c>
      <c r="H991" s="332">
        <f>H992+H1007</f>
        <v>9696.5</v>
      </c>
      <c r="I991" s="214"/>
    </row>
    <row r="992" spans="1:9" ht="31.5" x14ac:dyDescent="0.25">
      <c r="A992" s="333" t="s">
        <v>1140</v>
      </c>
      <c r="B992" s="330">
        <v>908</v>
      </c>
      <c r="C992" s="334" t="s">
        <v>250</v>
      </c>
      <c r="D992" s="334" t="s">
        <v>231</v>
      </c>
      <c r="E992" s="334" t="s">
        <v>1125</v>
      </c>
      <c r="F992" s="334"/>
      <c r="G992" s="332">
        <f>G1004+G993+G996+G1001</f>
        <v>390</v>
      </c>
      <c r="H992" s="332">
        <f>H1004+H993+H996+H1001</f>
        <v>390</v>
      </c>
      <c r="I992" s="214"/>
    </row>
    <row r="993" spans="1:9" ht="15.75" x14ac:dyDescent="0.25">
      <c r="A993" s="335" t="s">
        <v>571</v>
      </c>
      <c r="B993" s="329">
        <v>908</v>
      </c>
      <c r="C993" s="331" t="s">
        <v>250</v>
      </c>
      <c r="D993" s="331" t="s">
        <v>231</v>
      </c>
      <c r="E993" s="331" t="s">
        <v>1127</v>
      </c>
      <c r="F993" s="331"/>
      <c r="G993" s="336">
        <f>G994</f>
        <v>4</v>
      </c>
      <c r="H993" s="336">
        <f>H994</f>
        <v>4</v>
      </c>
      <c r="I993" s="214"/>
    </row>
    <row r="994" spans="1:9" ht="31.5" x14ac:dyDescent="0.25">
      <c r="A994" s="335" t="s">
        <v>147</v>
      </c>
      <c r="B994" s="329">
        <v>908</v>
      </c>
      <c r="C994" s="331" t="s">
        <v>250</v>
      </c>
      <c r="D994" s="331" t="s">
        <v>231</v>
      </c>
      <c r="E994" s="331" t="s">
        <v>1127</v>
      </c>
      <c r="F994" s="331" t="s">
        <v>148</v>
      </c>
      <c r="G994" s="336">
        <f>G995</f>
        <v>4</v>
      </c>
      <c r="H994" s="336">
        <f>H995</f>
        <v>4</v>
      </c>
      <c r="I994" s="214"/>
    </row>
    <row r="995" spans="1:9" ht="31.5" x14ac:dyDescent="0.25">
      <c r="A995" s="335" t="s">
        <v>149</v>
      </c>
      <c r="B995" s="329">
        <v>908</v>
      </c>
      <c r="C995" s="331" t="s">
        <v>250</v>
      </c>
      <c r="D995" s="331" t="s">
        <v>231</v>
      </c>
      <c r="E995" s="331" t="s">
        <v>1127</v>
      </c>
      <c r="F995" s="331" t="s">
        <v>150</v>
      </c>
      <c r="G995" s="336">
        <f>4</f>
        <v>4</v>
      </c>
      <c r="H995" s="336">
        <f t="shared" si="76"/>
        <v>4</v>
      </c>
      <c r="I995" s="214"/>
    </row>
    <row r="996" spans="1:9" ht="47.25" x14ac:dyDescent="0.25">
      <c r="A996" s="45" t="s">
        <v>573</v>
      </c>
      <c r="B996" s="329">
        <v>908</v>
      </c>
      <c r="C996" s="331" t="s">
        <v>250</v>
      </c>
      <c r="D996" s="331" t="s">
        <v>231</v>
      </c>
      <c r="E996" s="331" t="s">
        <v>1128</v>
      </c>
      <c r="F996" s="331"/>
      <c r="G996" s="336">
        <f>G997+G999</f>
        <v>375</v>
      </c>
      <c r="H996" s="336">
        <f>H997+H999</f>
        <v>375</v>
      </c>
      <c r="I996" s="214"/>
    </row>
    <row r="997" spans="1:9" ht="31.5" x14ac:dyDescent="0.25">
      <c r="A997" s="335" t="s">
        <v>147</v>
      </c>
      <c r="B997" s="329">
        <v>908</v>
      </c>
      <c r="C997" s="331" t="s">
        <v>250</v>
      </c>
      <c r="D997" s="331" t="s">
        <v>231</v>
      </c>
      <c r="E997" s="331" t="s">
        <v>1128</v>
      </c>
      <c r="F997" s="331" t="s">
        <v>148</v>
      </c>
      <c r="G997" s="336">
        <f>G998</f>
        <v>300</v>
      </c>
      <c r="H997" s="336">
        <f>H998</f>
        <v>300</v>
      </c>
      <c r="I997" s="214"/>
    </row>
    <row r="998" spans="1:9" ht="31.5" x14ac:dyDescent="0.25">
      <c r="A998" s="335" t="s">
        <v>149</v>
      </c>
      <c r="B998" s="329">
        <v>908</v>
      </c>
      <c r="C998" s="331" t="s">
        <v>250</v>
      </c>
      <c r="D998" s="331" t="s">
        <v>231</v>
      </c>
      <c r="E998" s="331" t="s">
        <v>1128</v>
      </c>
      <c r="F998" s="331" t="s">
        <v>150</v>
      </c>
      <c r="G998" s="336">
        <f>300</f>
        <v>300</v>
      </c>
      <c r="H998" s="336">
        <f t="shared" si="76"/>
        <v>300</v>
      </c>
      <c r="I998" s="214"/>
    </row>
    <row r="999" spans="1:9" ht="15.75" x14ac:dyDescent="0.25">
      <c r="A999" s="335" t="s">
        <v>151</v>
      </c>
      <c r="B999" s="329">
        <v>908</v>
      </c>
      <c r="C999" s="331" t="s">
        <v>250</v>
      </c>
      <c r="D999" s="331" t="s">
        <v>231</v>
      </c>
      <c r="E999" s="331" t="s">
        <v>1128</v>
      </c>
      <c r="F999" s="331" t="s">
        <v>161</v>
      </c>
      <c r="G999" s="336">
        <f>G1000</f>
        <v>75</v>
      </c>
      <c r="H999" s="336">
        <f>H1000</f>
        <v>75</v>
      </c>
      <c r="I999" s="214"/>
    </row>
    <row r="1000" spans="1:9" ht="15.75" x14ac:dyDescent="0.25">
      <c r="A1000" s="335" t="s">
        <v>727</v>
      </c>
      <c r="B1000" s="329">
        <v>908</v>
      </c>
      <c r="C1000" s="331" t="s">
        <v>250</v>
      </c>
      <c r="D1000" s="331" t="s">
        <v>231</v>
      </c>
      <c r="E1000" s="331" t="s">
        <v>1128</v>
      </c>
      <c r="F1000" s="331" t="s">
        <v>154</v>
      </c>
      <c r="G1000" s="336">
        <f>75</f>
        <v>75</v>
      </c>
      <c r="H1000" s="336">
        <f t="shared" si="76"/>
        <v>75</v>
      </c>
      <c r="I1000" s="214"/>
    </row>
    <row r="1001" spans="1:9" ht="25.5" hidden="1" customHeight="1" x14ac:dyDescent="0.25">
      <c r="A1001" s="45" t="s">
        <v>575</v>
      </c>
      <c r="B1001" s="329">
        <v>908</v>
      </c>
      <c r="C1001" s="331" t="s">
        <v>250</v>
      </c>
      <c r="D1001" s="331" t="s">
        <v>231</v>
      </c>
      <c r="E1001" s="331" t="s">
        <v>1129</v>
      </c>
      <c r="F1001" s="331"/>
      <c r="G1001" s="336">
        <f>'Пр.4 ведом.20'!G1090</f>
        <v>0</v>
      </c>
      <c r="H1001" s="336">
        <f t="shared" si="76"/>
        <v>0</v>
      </c>
      <c r="I1001" s="214"/>
    </row>
    <row r="1002" spans="1:9" ht="31.5" hidden="1" x14ac:dyDescent="0.25">
      <c r="A1002" s="335" t="s">
        <v>147</v>
      </c>
      <c r="B1002" s="329">
        <v>908</v>
      </c>
      <c r="C1002" s="331" t="s">
        <v>250</v>
      </c>
      <c r="D1002" s="331" t="s">
        <v>231</v>
      </c>
      <c r="E1002" s="331" t="s">
        <v>1129</v>
      </c>
      <c r="F1002" s="331" t="s">
        <v>148</v>
      </c>
      <c r="G1002" s="336">
        <f>'Пр.4 ведом.20'!G1091</f>
        <v>0</v>
      </c>
      <c r="H1002" s="336">
        <f t="shared" si="76"/>
        <v>0</v>
      </c>
      <c r="I1002" s="214"/>
    </row>
    <row r="1003" spans="1:9" ht="31.5" hidden="1" x14ac:dyDescent="0.25">
      <c r="A1003" s="335" t="s">
        <v>149</v>
      </c>
      <c r="B1003" s="329">
        <v>908</v>
      </c>
      <c r="C1003" s="331" t="s">
        <v>250</v>
      </c>
      <c r="D1003" s="331" t="s">
        <v>231</v>
      </c>
      <c r="E1003" s="331" t="s">
        <v>1129</v>
      </c>
      <c r="F1003" s="331" t="s">
        <v>150</v>
      </c>
      <c r="G1003" s="336">
        <f>0</f>
        <v>0</v>
      </c>
      <c r="H1003" s="336">
        <f t="shared" si="76"/>
        <v>0</v>
      </c>
      <c r="I1003" s="214"/>
    </row>
    <row r="1004" spans="1:9" s="213" customFormat="1" ht="31.5" x14ac:dyDescent="0.25">
      <c r="A1004" s="240" t="s">
        <v>1289</v>
      </c>
      <c r="B1004" s="329">
        <v>908</v>
      </c>
      <c r="C1004" s="331" t="s">
        <v>250</v>
      </c>
      <c r="D1004" s="331" t="s">
        <v>231</v>
      </c>
      <c r="E1004" s="331" t="s">
        <v>1290</v>
      </c>
      <c r="F1004" s="331"/>
      <c r="G1004" s="336">
        <f>G1005</f>
        <v>11</v>
      </c>
      <c r="H1004" s="336">
        <f>H1005</f>
        <v>11</v>
      </c>
      <c r="I1004" s="214"/>
    </row>
    <row r="1005" spans="1:9" s="213" customFormat="1" ht="31.5" x14ac:dyDescent="0.25">
      <c r="A1005" s="335" t="s">
        <v>147</v>
      </c>
      <c r="B1005" s="329">
        <v>908</v>
      </c>
      <c r="C1005" s="331" t="s">
        <v>250</v>
      </c>
      <c r="D1005" s="331" t="s">
        <v>231</v>
      </c>
      <c r="E1005" s="331" t="s">
        <v>1290</v>
      </c>
      <c r="F1005" s="331" t="s">
        <v>148</v>
      </c>
      <c r="G1005" s="336">
        <f>G1006</f>
        <v>11</v>
      </c>
      <c r="H1005" s="336">
        <f>H1006</f>
        <v>11</v>
      </c>
      <c r="I1005" s="214"/>
    </row>
    <row r="1006" spans="1:9" s="213" customFormat="1" ht="31.5" x14ac:dyDescent="0.25">
      <c r="A1006" s="335" t="s">
        <v>149</v>
      </c>
      <c r="B1006" s="329">
        <v>908</v>
      </c>
      <c r="C1006" s="331" t="s">
        <v>250</v>
      </c>
      <c r="D1006" s="331" t="s">
        <v>231</v>
      </c>
      <c r="E1006" s="331" t="s">
        <v>1290</v>
      </c>
      <c r="F1006" s="331" t="s">
        <v>150</v>
      </c>
      <c r="G1006" s="336">
        <f>11</f>
        <v>11</v>
      </c>
      <c r="H1006" s="336">
        <f>G1006</f>
        <v>11</v>
      </c>
      <c r="I1006" s="214"/>
    </row>
    <row r="1007" spans="1:9" ht="31.5" x14ac:dyDescent="0.25">
      <c r="A1007" s="333" t="s">
        <v>950</v>
      </c>
      <c r="B1007" s="330">
        <v>908</v>
      </c>
      <c r="C1007" s="334" t="s">
        <v>250</v>
      </c>
      <c r="D1007" s="334" t="s">
        <v>231</v>
      </c>
      <c r="E1007" s="334" t="s">
        <v>1130</v>
      </c>
      <c r="F1007" s="334"/>
      <c r="G1007" s="332">
        <f>G1008+G1011</f>
        <v>1914.5</v>
      </c>
      <c r="H1007" s="332">
        <f>H1008+H1011</f>
        <v>9306.5</v>
      </c>
      <c r="I1007" s="214"/>
    </row>
    <row r="1008" spans="1:9" ht="31.5" hidden="1" x14ac:dyDescent="0.25">
      <c r="A1008" s="335" t="s">
        <v>707</v>
      </c>
      <c r="B1008" s="329">
        <v>908</v>
      </c>
      <c r="C1008" s="331" t="s">
        <v>250</v>
      </c>
      <c r="D1008" s="331" t="s">
        <v>231</v>
      </c>
      <c r="E1008" s="331" t="s">
        <v>1131</v>
      </c>
      <c r="F1008" s="331"/>
      <c r="G1008" s="336">
        <f>'Пр.4 ведом.20'!G1097</f>
        <v>0</v>
      </c>
      <c r="H1008" s="336">
        <f t="shared" si="76"/>
        <v>0</v>
      </c>
      <c r="I1008" s="214"/>
    </row>
    <row r="1009" spans="1:9" ht="31.5" hidden="1" x14ac:dyDescent="0.25">
      <c r="A1009" s="335" t="s">
        <v>147</v>
      </c>
      <c r="B1009" s="329">
        <v>908</v>
      </c>
      <c r="C1009" s="331" t="s">
        <v>250</v>
      </c>
      <c r="D1009" s="331" t="s">
        <v>231</v>
      </c>
      <c r="E1009" s="331" t="s">
        <v>1131</v>
      </c>
      <c r="F1009" s="331" t="s">
        <v>148</v>
      </c>
      <c r="G1009" s="336">
        <f>'Пр.4 ведом.20'!G1098</f>
        <v>0</v>
      </c>
      <c r="H1009" s="336">
        <f t="shared" si="76"/>
        <v>0</v>
      </c>
      <c r="I1009" s="214"/>
    </row>
    <row r="1010" spans="1:9" ht="31.5" hidden="1" x14ac:dyDescent="0.25">
      <c r="A1010" s="335" t="s">
        <v>149</v>
      </c>
      <c r="B1010" s="329">
        <v>908</v>
      </c>
      <c r="C1010" s="331" t="s">
        <v>250</v>
      </c>
      <c r="D1010" s="331" t="s">
        <v>231</v>
      </c>
      <c r="E1010" s="331" t="s">
        <v>1131</v>
      </c>
      <c r="F1010" s="331" t="s">
        <v>150</v>
      </c>
      <c r="G1010" s="336">
        <f>'Пр.4 ведом.20'!G1099</f>
        <v>0</v>
      </c>
      <c r="H1010" s="336">
        <f t="shared" si="76"/>
        <v>0</v>
      </c>
      <c r="I1010" s="214"/>
    </row>
    <row r="1011" spans="1:9" ht="63" x14ac:dyDescent="0.25">
      <c r="A1011" s="335" t="s">
        <v>1249</v>
      </c>
      <c r="B1011" s="329">
        <v>908</v>
      </c>
      <c r="C1011" s="331" t="s">
        <v>250</v>
      </c>
      <c r="D1011" s="331" t="s">
        <v>231</v>
      </c>
      <c r="E1011" s="331" t="s">
        <v>1250</v>
      </c>
      <c r="F1011" s="331"/>
      <c r="G1011" s="336">
        <f>G1012</f>
        <v>1914.5</v>
      </c>
      <c r="H1011" s="336">
        <f>H1012</f>
        <v>9306.5</v>
      </c>
      <c r="I1011" s="214"/>
    </row>
    <row r="1012" spans="1:9" ht="31.5" x14ac:dyDescent="0.25">
      <c r="A1012" s="335" t="s">
        <v>147</v>
      </c>
      <c r="B1012" s="329">
        <v>908</v>
      </c>
      <c r="C1012" s="331" t="s">
        <v>250</v>
      </c>
      <c r="D1012" s="331" t="s">
        <v>231</v>
      </c>
      <c r="E1012" s="331" t="s">
        <v>1250</v>
      </c>
      <c r="F1012" s="331" t="s">
        <v>148</v>
      </c>
      <c r="G1012" s="336">
        <f>G1013</f>
        <v>1914.5</v>
      </c>
      <c r="H1012" s="336">
        <f>H1013</f>
        <v>9306.5</v>
      </c>
      <c r="I1012" s="214"/>
    </row>
    <row r="1013" spans="1:9" ht="31.5" x14ac:dyDescent="0.25">
      <c r="A1013" s="335" t="s">
        <v>149</v>
      </c>
      <c r="B1013" s="329">
        <v>908</v>
      </c>
      <c r="C1013" s="331" t="s">
        <v>250</v>
      </c>
      <c r="D1013" s="331" t="s">
        <v>231</v>
      </c>
      <c r="E1013" s="331" t="s">
        <v>1250</v>
      </c>
      <c r="F1013" s="331" t="s">
        <v>150</v>
      </c>
      <c r="G1013" s="336">
        <f>1914.5</f>
        <v>1914.5</v>
      </c>
      <c r="H1013" s="336">
        <f>1914.5+7392</f>
        <v>9306.5</v>
      </c>
      <c r="I1013" s="214"/>
    </row>
    <row r="1014" spans="1:9" ht="63" x14ac:dyDescent="0.25">
      <c r="A1014" s="333" t="s">
        <v>823</v>
      </c>
      <c r="B1014" s="330">
        <v>908</v>
      </c>
      <c r="C1014" s="334" t="s">
        <v>250</v>
      </c>
      <c r="D1014" s="334" t="s">
        <v>231</v>
      </c>
      <c r="E1014" s="334" t="s">
        <v>734</v>
      </c>
      <c r="F1014" s="334"/>
      <c r="G1014" s="332">
        <f t="shared" ref="G1014:H1017" si="77">G1015</f>
        <v>500</v>
      </c>
      <c r="H1014" s="332">
        <f t="shared" si="77"/>
        <v>500</v>
      </c>
      <c r="I1014" s="214"/>
    </row>
    <row r="1015" spans="1:9" ht="31.5" x14ac:dyDescent="0.25">
      <c r="A1015" s="333" t="s">
        <v>1245</v>
      </c>
      <c r="B1015" s="330">
        <v>908</v>
      </c>
      <c r="C1015" s="334" t="s">
        <v>250</v>
      </c>
      <c r="D1015" s="334" t="s">
        <v>231</v>
      </c>
      <c r="E1015" s="334" t="s">
        <v>1288</v>
      </c>
      <c r="F1015" s="334"/>
      <c r="G1015" s="332">
        <f t="shared" si="77"/>
        <v>500</v>
      </c>
      <c r="H1015" s="332">
        <f t="shared" si="77"/>
        <v>500</v>
      </c>
      <c r="I1015" s="214"/>
    </row>
    <row r="1016" spans="1:9" ht="47.25" x14ac:dyDescent="0.25">
      <c r="A1016" s="80" t="s">
        <v>710</v>
      </c>
      <c r="B1016" s="329">
        <v>908</v>
      </c>
      <c r="C1016" s="331" t="s">
        <v>250</v>
      </c>
      <c r="D1016" s="331" t="s">
        <v>231</v>
      </c>
      <c r="E1016" s="331" t="s">
        <v>881</v>
      </c>
      <c r="F1016" s="331"/>
      <c r="G1016" s="336">
        <f t="shared" si="77"/>
        <v>500</v>
      </c>
      <c r="H1016" s="336">
        <f t="shared" si="77"/>
        <v>500</v>
      </c>
      <c r="I1016" s="214"/>
    </row>
    <row r="1017" spans="1:9" ht="31.5" x14ac:dyDescent="0.25">
      <c r="A1017" s="335" t="s">
        <v>147</v>
      </c>
      <c r="B1017" s="329">
        <v>908</v>
      </c>
      <c r="C1017" s="331" t="s">
        <v>250</v>
      </c>
      <c r="D1017" s="331" t="s">
        <v>231</v>
      </c>
      <c r="E1017" s="331" t="s">
        <v>881</v>
      </c>
      <c r="F1017" s="331" t="s">
        <v>148</v>
      </c>
      <c r="G1017" s="336">
        <f t="shared" si="77"/>
        <v>500</v>
      </c>
      <c r="H1017" s="336">
        <f t="shared" si="77"/>
        <v>500</v>
      </c>
      <c r="I1017" s="214"/>
    </row>
    <row r="1018" spans="1:9" ht="31.5" x14ac:dyDescent="0.25">
      <c r="A1018" s="335" t="s">
        <v>149</v>
      </c>
      <c r="B1018" s="329">
        <v>908</v>
      </c>
      <c r="C1018" s="331" t="s">
        <v>250</v>
      </c>
      <c r="D1018" s="331" t="s">
        <v>231</v>
      </c>
      <c r="E1018" s="331" t="s">
        <v>881</v>
      </c>
      <c r="F1018" s="331" t="s">
        <v>150</v>
      </c>
      <c r="G1018" s="336">
        <f>500</f>
        <v>500</v>
      </c>
      <c r="H1018" s="336">
        <f t="shared" si="76"/>
        <v>500</v>
      </c>
      <c r="I1018" s="214"/>
    </row>
    <row r="1019" spans="1:9" ht="31.5" x14ac:dyDescent="0.25">
      <c r="A1019" s="333" t="s">
        <v>585</v>
      </c>
      <c r="B1019" s="330">
        <v>908</v>
      </c>
      <c r="C1019" s="334" t="s">
        <v>250</v>
      </c>
      <c r="D1019" s="334" t="s">
        <v>250</v>
      </c>
      <c r="E1019" s="334"/>
      <c r="F1019" s="334"/>
      <c r="G1019" s="332">
        <f>G1020+G1032+G1049</f>
        <v>22307</v>
      </c>
      <c r="H1019" s="332">
        <f>H1020+H1032+H1049</f>
        <v>22307</v>
      </c>
      <c r="I1019" s="214"/>
    </row>
    <row r="1020" spans="1:9" ht="31.5" x14ac:dyDescent="0.25">
      <c r="A1020" s="333" t="s">
        <v>990</v>
      </c>
      <c r="B1020" s="330">
        <v>908</v>
      </c>
      <c r="C1020" s="334" t="s">
        <v>250</v>
      </c>
      <c r="D1020" s="334" t="s">
        <v>250</v>
      </c>
      <c r="E1020" s="334" t="s">
        <v>904</v>
      </c>
      <c r="F1020" s="334"/>
      <c r="G1020" s="332">
        <f>G1021</f>
        <v>11546</v>
      </c>
      <c r="H1020" s="332">
        <f>H1021</f>
        <v>11546</v>
      </c>
      <c r="I1020" s="214"/>
    </row>
    <row r="1021" spans="1:9" ht="15.75" x14ac:dyDescent="0.25">
      <c r="A1021" s="333" t="s">
        <v>991</v>
      </c>
      <c r="B1021" s="330">
        <v>908</v>
      </c>
      <c r="C1021" s="334" t="s">
        <v>250</v>
      </c>
      <c r="D1021" s="334" t="s">
        <v>250</v>
      </c>
      <c r="E1021" s="334" t="s">
        <v>905</v>
      </c>
      <c r="F1021" s="334"/>
      <c r="G1021" s="332">
        <f>G1022+G1029</f>
        <v>11546</v>
      </c>
      <c r="H1021" s="332">
        <f>H1022+H1029</f>
        <v>11546</v>
      </c>
      <c r="I1021" s="214"/>
    </row>
    <row r="1022" spans="1:9" ht="31.5" x14ac:dyDescent="0.25">
      <c r="A1022" s="335" t="s">
        <v>967</v>
      </c>
      <c r="B1022" s="329">
        <v>908</v>
      </c>
      <c r="C1022" s="331" t="s">
        <v>250</v>
      </c>
      <c r="D1022" s="331" t="s">
        <v>250</v>
      </c>
      <c r="E1022" s="331" t="s">
        <v>906</v>
      </c>
      <c r="F1022" s="331"/>
      <c r="G1022" s="336">
        <f>G1023+G1025+G1027</f>
        <v>11210</v>
      </c>
      <c r="H1022" s="336">
        <f>H1023+H1025+H1027</f>
        <v>11210</v>
      </c>
      <c r="I1022" s="214"/>
    </row>
    <row r="1023" spans="1:9" ht="78.75" x14ac:dyDescent="0.25">
      <c r="A1023" s="335" t="s">
        <v>143</v>
      </c>
      <c r="B1023" s="329">
        <v>908</v>
      </c>
      <c r="C1023" s="331" t="s">
        <v>250</v>
      </c>
      <c r="D1023" s="331" t="s">
        <v>250</v>
      </c>
      <c r="E1023" s="331" t="s">
        <v>906</v>
      </c>
      <c r="F1023" s="331" t="s">
        <v>144</v>
      </c>
      <c r="G1023" s="336">
        <f>G1024</f>
        <v>11138</v>
      </c>
      <c r="H1023" s="336">
        <f>H1024</f>
        <v>11138</v>
      </c>
      <c r="I1023" s="214"/>
    </row>
    <row r="1024" spans="1:9" ht="31.5" x14ac:dyDescent="0.25">
      <c r="A1024" s="335" t="s">
        <v>145</v>
      </c>
      <c r="B1024" s="329">
        <v>908</v>
      </c>
      <c r="C1024" s="331" t="s">
        <v>250</v>
      </c>
      <c r="D1024" s="331" t="s">
        <v>250</v>
      </c>
      <c r="E1024" s="331" t="s">
        <v>906</v>
      </c>
      <c r="F1024" s="331" t="s">
        <v>146</v>
      </c>
      <c r="G1024" s="336">
        <f>11138</f>
        <v>11138</v>
      </c>
      <c r="H1024" s="336">
        <f t="shared" si="76"/>
        <v>11138</v>
      </c>
      <c r="I1024" s="214"/>
    </row>
    <row r="1025" spans="1:9" ht="31.5" x14ac:dyDescent="0.25">
      <c r="A1025" s="335" t="s">
        <v>147</v>
      </c>
      <c r="B1025" s="329">
        <v>908</v>
      </c>
      <c r="C1025" s="331" t="s">
        <v>250</v>
      </c>
      <c r="D1025" s="331" t="s">
        <v>250</v>
      </c>
      <c r="E1025" s="331" t="s">
        <v>906</v>
      </c>
      <c r="F1025" s="331" t="s">
        <v>148</v>
      </c>
      <c r="G1025" s="336">
        <f>G1026</f>
        <v>25</v>
      </c>
      <c r="H1025" s="336">
        <f>H1026</f>
        <v>25</v>
      </c>
      <c r="I1025" s="214"/>
    </row>
    <row r="1026" spans="1:9" ht="31.5" x14ac:dyDescent="0.25">
      <c r="A1026" s="335" t="s">
        <v>149</v>
      </c>
      <c r="B1026" s="329">
        <v>908</v>
      </c>
      <c r="C1026" s="331" t="s">
        <v>250</v>
      </c>
      <c r="D1026" s="331" t="s">
        <v>250</v>
      </c>
      <c r="E1026" s="331" t="s">
        <v>906</v>
      </c>
      <c r="F1026" s="331" t="s">
        <v>150</v>
      </c>
      <c r="G1026" s="336">
        <f>25</f>
        <v>25</v>
      </c>
      <c r="H1026" s="336">
        <f t="shared" si="76"/>
        <v>25</v>
      </c>
      <c r="I1026" s="214"/>
    </row>
    <row r="1027" spans="1:9" ht="15.75" x14ac:dyDescent="0.25">
      <c r="A1027" s="335" t="s">
        <v>151</v>
      </c>
      <c r="B1027" s="329">
        <v>908</v>
      </c>
      <c r="C1027" s="331" t="s">
        <v>250</v>
      </c>
      <c r="D1027" s="331" t="s">
        <v>250</v>
      </c>
      <c r="E1027" s="331" t="s">
        <v>906</v>
      </c>
      <c r="F1027" s="331" t="s">
        <v>161</v>
      </c>
      <c r="G1027" s="336">
        <f>G1028</f>
        <v>47</v>
      </c>
      <c r="H1027" s="336">
        <f>H1028</f>
        <v>47</v>
      </c>
      <c r="I1027" s="214"/>
    </row>
    <row r="1028" spans="1:9" ht="15.75" x14ac:dyDescent="0.25">
      <c r="A1028" s="335" t="s">
        <v>584</v>
      </c>
      <c r="B1028" s="329">
        <v>908</v>
      </c>
      <c r="C1028" s="331" t="s">
        <v>250</v>
      </c>
      <c r="D1028" s="331" t="s">
        <v>250</v>
      </c>
      <c r="E1028" s="331" t="s">
        <v>906</v>
      </c>
      <c r="F1028" s="331" t="s">
        <v>154</v>
      </c>
      <c r="G1028" s="336">
        <f>47</f>
        <v>47</v>
      </c>
      <c r="H1028" s="336">
        <f t="shared" si="76"/>
        <v>47</v>
      </c>
      <c r="I1028" s="214"/>
    </row>
    <row r="1029" spans="1:9" ht="47.25" x14ac:dyDescent="0.25">
      <c r="A1029" s="335" t="s">
        <v>885</v>
      </c>
      <c r="B1029" s="329">
        <v>908</v>
      </c>
      <c r="C1029" s="331" t="s">
        <v>250</v>
      </c>
      <c r="D1029" s="331" t="s">
        <v>250</v>
      </c>
      <c r="E1029" s="331" t="s">
        <v>908</v>
      </c>
      <c r="F1029" s="331"/>
      <c r="G1029" s="336">
        <f>G1030</f>
        <v>336</v>
      </c>
      <c r="H1029" s="336">
        <f>H1030</f>
        <v>336</v>
      </c>
      <c r="I1029" s="214"/>
    </row>
    <row r="1030" spans="1:9" ht="78.75" x14ac:dyDescent="0.25">
      <c r="A1030" s="335" t="s">
        <v>143</v>
      </c>
      <c r="B1030" s="329">
        <v>908</v>
      </c>
      <c r="C1030" s="331" t="s">
        <v>250</v>
      </c>
      <c r="D1030" s="331" t="s">
        <v>250</v>
      </c>
      <c r="E1030" s="331" t="s">
        <v>908</v>
      </c>
      <c r="F1030" s="331" t="s">
        <v>144</v>
      </c>
      <c r="G1030" s="336">
        <f>G1031</f>
        <v>336</v>
      </c>
      <c r="H1030" s="336">
        <f>H1031</f>
        <v>336</v>
      </c>
      <c r="I1030" s="214"/>
    </row>
    <row r="1031" spans="1:9" ht="31.5" x14ac:dyDescent="0.25">
      <c r="A1031" s="335" t="s">
        <v>145</v>
      </c>
      <c r="B1031" s="329">
        <v>908</v>
      </c>
      <c r="C1031" s="331" t="s">
        <v>250</v>
      </c>
      <c r="D1031" s="331" t="s">
        <v>250</v>
      </c>
      <c r="E1031" s="331" t="s">
        <v>908</v>
      </c>
      <c r="F1031" s="331" t="s">
        <v>146</v>
      </c>
      <c r="G1031" s="336">
        <f>336</f>
        <v>336</v>
      </c>
      <c r="H1031" s="336">
        <f t="shared" si="76"/>
        <v>336</v>
      </c>
      <c r="I1031" s="214"/>
    </row>
    <row r="1032" spans="1:9" ht="15.75" x14ac:dyDescent="0.25">
      <c r="A1032" s="333" t="s">
        <v>157</v>
      </c>
      <c r="B1032" s="330">
        <v>908</v>
      </c>
      <c r="C1032" s="334" t="s">
        <v>250</v>
      </c>
      <c r="D1032" s="334" t="s">
        <v>250</v>
      </c>
      <c r="E1032" s="334" t="s">
        <v>912</v>
      </c>
      <c r="F1032" s="334"/>
      <c r="G1032" s="332">
        <f>G1033+G1040</f>
        <v>10761</v>
      </c>
      <c r="H1032" s="332">
        <f>H1033+H1040</f>
        <v>10761</v>
      </c>
      <c r="I1032" s="214"/>
    </row>
    <row r="1033" spans="1:9" ht="31.5" x14ac:dyDescent="0.25">
      <c r="A1033" s="333" t="s">
        <v>916</v>
      </c>
      <c r="B1033" s="330">
        <v>908</v>
      </c>
      <c r="C1033" s="334" t="s">
        <v>250</v>
      </c>
      <c r="D1033" s="334" t="s">
        <v>250</v>
      </c>
      <c r="E1033" s="334" t="s">
        <v>911</v>
      </c>
      <c r="F1033" s="334"/>
      <c r="G1033" s="332">
        <f>G1034+G1037</f>
        <v>982</v>
      </c>
      <c r="H1033" s="332">
        <f>H1034+H1037</f>
        <v>982</v>
      </c>
      <c r="I1033" s="214"/>
    </row>
    <row r="1034" spans="1:9" ht="31.5" x14ac:dyDescent="0.25">
      <c r="A1034" s="335" t="s">
        <v>586</v>
      </c>
      <c r="B1034" s="329">
        <v>908</v>
      </c>
      <c r="C1034" s="331" t="s">
        <v>250</v>
      </c>
      <c r="D1034" s="331" t="s">
        <v>250</v>
      </c>
      <c r="E1034" s="331" t="s">
        <v>1132</v>
      </c>
      <c r="F1034" s="331"/>
      <c r="G1034" s="336">
        <f>G1035</f>
        <v>982</v>
      </c>
      <c r="H1034" s="336">
        <f>H1035</f>
        <v>982</v>
      </c>
      <c r="I1034" s="214"/>
    </row>
    <row r="1035" spans="1:9" ht="15.75" x14ac:dyDescent="0.25">
      <c r="A1035" s="335" t="s">
        <v>151</v>
      </c>
      <c r="B1035" s="329">
        <v>908</v>
      </c>
      <c r="C1035" s="331" t="s">
        <v>250</v>
      </c>
      <c r="D1035" s="331" t="s">
        <v>250</v>
      </c>
      <c r="E1035" s="331" t="s">
        <v>1132</v>
      </c>
      <c r="F1035" s="331" t="s">
        <v>161</v>
      </c>
      <c r="G1035" s="336">
        <f>G1036</f>
        <v>982</v>
      </c>
      <c r="H1035" s="336">
        <f>H1036</f>
        <v>982</v>
      </c>
      <c r="I1035" s="214"/>
    </row>
    <row r="1036" spans="1:9" ht="47.25" x14ac:dyDescent="0.25">
      <c r="A1036" s="335" t="s">
        <v>200</v>
      </c>
      <c r="B1036" s="329">
        <v>908</v>
      </c>
      <c r="C1036" s="331" t="s">
        <v>250</v>
      </c>
      <c r="D1036" s="331" t="s">
        <v>250</v>
      </c>
      <c r="E1036" s="331" t="s">
        <v>1132</v>
      </c>
      <c r="F1036" s="331" t="s">
        <v>176</v>
      </c>
      <c r="G1036" s="336">
        <f>982</f>
        <v>982</v>
      </c>
      <c r="H1036" s="336">
        <f t="shared" si="76"/>
        <v>982</v>
      </c>
      <c r="I1036" s="214"/>
    </row>
    <row r="1037" spans="1:9" ht="31.5" hidden="1" x14ac:dyDescent="0.25">
      <c r="A1037" s="335" t="s">
        <v>868</v>
      </c>
      <c r="B1037" s="329">
        <v>908</v>
      </c>
      <c r="C1037" s="331" t="s">
        <v>250</v>
      </c>
      <c r="D1037" s="331" t="s">
        <v>250</v>
      </c>
      <c r="E1037" s="331" t="s">
        <v>1251</v>
      </c>
      <c r="F1037" s="331"/>
      <c r="G1037" s="336">
        <f>'Пр.4 ведом.20'!G1128</f>
        <v>0</v>
      </c>
      <c r="H1037" s="336">
        <f t="shared" si="76"/>
        <v>0</v>
      </c>
      <c r="I1037" s="214"/>
    </row>
    <row r="1038" spans="1:9" ht="15.75" hidden="1" x14ac:dyDescent="0.25">
      <c r="A1038" s="335" t="s">
        <v>151</v>
      </c>
      <c r="B1038" s="329">
        <v>908</v>
      </c>
      <c r="C1038" s="331" t="s">
        <v>250</v>
      </c>
      <c r="D1038" s="331" t="s">
        <v>250</v>
      </c>
      <c r="E1038" s="331" t="s">
        <v>1251</v>
      </c>
      <c r="F1038" s="331" t="s">
        <v>161</v>
      </c>
      <c r="G1038" s="336">
        <f>'Пр.4 ведом.20'!G1129</f>
        <v>0</v>
      </c>
      <c r="H1038" s="336">
        <f t="shared" si="76"/>
        <v>0</v>
      </c>
      <c r="I1038" s="214"/>
    </row>
    <row r="1039" spans="1:9" ht="47.25" hidden="1" x14ac:dyDescent="0.25">
      <c r="A1039" s="335" t="s">
        <v>200</v>
      </c>
      <c r="B1039" s="329">
        <v>908</v>
      </c>
      <c r="C1039" s="331" t="s">
        <v>250</v>
      </c>
      <c r="D1039" s="331" t="s">
        <v>250</v>
      </c>
      <c r="E1039" s="331" t="s">
        <v>1251</v>
      </c>
      <c r="F1039" s="331" t="s">
        <v>176</v>
      </c>
      <c r="G1039" s="336">
        <f>'Пр.4 ведом.20'!G1130</f>
        <v>0</v>
      </c>
      <c r="H1039" s="336">
        <f t="shared" si="76"/>
        <v>0</v>
      </c>
      <c r="I1039" s="214"/>
    </row>
    <row r="1040" spans="1:9" ht="31.5" x14ac:dyDescent="0.25">
      <c r="A1040" s="333" t="s">
        <v>1002</v>
      </c>
      <c r="B1040" s="330">
        <v>908</v>
      </c>
      <c r="C1040" s="334" t="s">
        <v>250</v>
      </c>
      <c r="D1040" s="334" t="s">
        <v>250</v>
      </c>
      <c r="E1040" s="334" t="s">
        <v>987</v>
      </c>
      <c r="F1040" s="334"/>
      <c r="G1040" s="44">
        <f>G1041+G1046</f>
        <v>9779</v>
      </c>
      <c r="H1040" s="44">
        <f>H1041+H1046</f>
        <v>9779</v>
      </c>
      <c r="I1040" s="214"/>
    </row>
    <row r="1041" spans="1:9" ht="31.5" x14ac:dyDescent="0.25">
      <c r="A1041" s="335" t="s">
        <v>974</v>
      </c>
      <c r="B1041" s="329">
        <v>908</v>
      </c>
      <c r="C1041" s="331" t="s">
        <v>250</v>
      </c>
      <c r="D1041" s="331" t="s">
        <v>250</v>
      </c>
      <c r="E1041" s="331" t="s">
        <v>988</v>
      </c>
      <c r="F1041" s="331"/>
      <c r="G1041" s="336">
        <f>G1042+G1044</f>
        <v>9359</v>
      </c>
      <c r="H1041" s="336">
        <f>H1042+H1044</f>
        <v>9359</v>
      </c>
      <c r="I1041" s="214"/>
    </row>
    <row r="1042" spans="1:9" ht="78.75" x14ac:dyDescent="0.25">
      <c r="A1042" s="335" t="s">
        <v>143</v>
      </c>
      <c r="B1042" s="329">
        <v>908</v>
      </c>
      <c r="C1042" s="331" t="s">
        <v>250</v>
      </c>
      <c r="D1042" s="331" t="s">
        <v>250</v>
      </c>
      <c r="E1042" s="331" t="s">
        <v>988</v>
      </c>
      <c r="F1042" s="331" t="s">
        <v>144</v>
      </c>
      <c r="G1042" s="336">
        <f>G1043</f>
        <v>8047</v>
      </c>
      <c r="H1042" s="336">
        <f>H1043</f>
        <v>8047</v>
      </c>
      <c r="I1042" s="214"/>
    </row>
    <row r="1043" spans="1:9" ht="31.5" x14ac:dyDescent="0.25">
      <c r="A1043" s="335" t="s">
        <v>358</v>
      </c>
      <c r="B1043" s="329">
        <v>908</v>
      </c>
      <c r="C1043" s="331" t="s">
        <v>250</v>
      </c>
      <c r="D1043" s="331" t="s">
        <v>250</v>
      </c>
      <c r="E1043" s="331" t="s">
        <v>988</v>
      </c>
      <c r="F1043" s="331" t="s">
        <v>225</v>
      </c>
      <c r="G1043" s="336">
        <f>8047</f>
        <v>8047</v>
      </c>
      <c r="H1043" s="336">
        <f t="shared" si="76"/>
        <v>8047</v>
      </c>
      <c r="I1043" s="214"/>
    </row>
    <row r="1044" spans="1:9" ht="31.5" x14ac:dyDescent="0.25">
      <c r="A1044" s="335" t="s">
        <v>147</v>
      </c>
      <c r="B1044" s="329">
        <v>908</v>
      </c>
      <c r="C1044" s="331" t="s">
        <v>250</v>
      </c>
      <c r="D1044" s="331" t="s">
        <v>250</v>
      </c>
      <c r="E1044" s="331" t="s">
        <v>988</v>
      </c>
      <c r="F1044" s="331" t="s">
        <v>148</v>
      </c>
      <c r="G1044" s="336">
        <f>G1045</f>
        <v>1312</v>
      </c>
      <c r="H1044" s="336">
        <f>H1045</f>
        <v>1312</v>
      </c>
      <c r="I1044" s="214"/>
    </row>
    <row r="1045" spans="1:9" ht="31.5" x14ac:dyDescent="0.25">
      <c r="A1045" s="335" t="s">
        <v>149</v>
      </c>
      <c r="B1045" s="329">
        <v>908</v>
      </c>
      <c r="C1045" s="331" t="s">
        <v>250</v>
      </c>
      <c r="D1045" s="331" t="s">
        <v>250</v>
      </c>
      <c r="E1045" s="331" t="s">
        <v>988</v>
      </c>
      <c r="F1045" s="331" t="s">
        <v>150</v>
      </c>
      <c r="G1045" s="336">
        <f>1312</f>
        <v>1312</v>
      </c>
      <c r="H1045" s="336">
        <f t="shared" si="76"/>
        <v>1312</v>
      </c>
      <c r="I1045" s="214"/>
    </row>
    <row r="1046" spans="1:9" ht="47.25" x14ac:dyDescent="0.25">
      <c r="A1046" s="335" t="s">
        <v>885</v>
      </c>
      <c r="B1046" s="329">
        <v>908</v>
      </c>
      <c r="C1046" s="331" t="s">
        <v>250</v>
      </c>
      <c r="D1046" s="331" t="s">
        <v>250</v>
      </c>
      <c r="E1046" s="331" t="s">
        <v>989</v>
      </c>
      <c r="F1046" s="331"/>
      <c r="G1046" s="336">
        <f>G1047</f>
        <v>420</v>
      </c>
      <c r="H1046" s="336">
        <f>H1047</f>
        <v>420</v>
      </c>
      <c r="I1046" s="214"/>
    </row>
    <row r="1047" spans="1:9" ht="78.75" x14ac:dyDescent="0.25">
      <c r="A1047" s="335" t="s">
        <v>143</v>
      </c>
      <c r="B1047" s="329">
        <v>908</v>
      </c>
      <c r="C1047" s="331" t="s">
        <v>250</v>
      </c>
      <c r="D1047" s="331" t="s">
        <v>250</v>
      </c>
      <c r="E1047" s="331" t="s">
        <v>989</v>
      </c>
      <c r="F1047" s="331" t="s">
        <v>144</v>
      </c>
      <c r="G1047" s="336">
        <f>G1048</f>
        <v>420</v>
      </c>
      <c r="H1047" s="336">
        <f>H1048</f>
        <v>420</v>
      </c>
      <c r="I1047" s="214"/>
    </row>
    <row r="1048" spans="1:9" ht="23.25" customHeight="1" x14ac:dyDescent="0.25">
      <c r="A1048" s="335" t="s">
        <v>358</v>
      </c>
      <c r="B1048" s="329">
        <v>908</v>
      </c>
      <c r="C1048" s="331" t="s">
        <v>250</v>
      </c>
      <c r="D1048" s="331" t="s">
        <v>250</v>
      </c>
      <c r="E1048" s="331" t="s">
        <v>989</v>
      </c>
      <c r="F1048" s="331" t="s">
        <v>225</v>
      </c>
      <c r="G1048" s="336">
        <f>420</f>
        <v>420</v>
      </c>
      <c r="H1048" s="336">
        <f t="shared" si="76"/>
        <v>420</v>
      </c>
      <c r="I1048" s="214"/>
    </row>
    <row r="1049" spans="1:9" s="213" customFormat="1" ht="63" hidden="1" x14ac:dyDescent="0.25">
      <c r="A1049" s="34" t="s">
        <v>805</v>
      </c>
      <c r="B1049" s="330">
        <v>908</v>
      </c>
      <c r="C1049" s="334" t="s">
        <v>250</v>
      </c>
      <c r="D1049" s="334" t="s">
        <v>250</v>
      </c>
      <c r="E1049" s="334" t="s">
        <v>340</v>
      </c>
      <c r="F1049" s="334"/>
      <c r="G1049" s="332">
        <f t="shared" ref="G1049:H1052" si="78">G1050</f>
        <v>0</v>
      </c>
      <c r="H1049" s="332">
        <f t="shared" si="78"/>
        <v>0</v>
      </c>
      <c r="I1049" s="214"/>
    </row>
    <row r="1050" spans="1:9" s="213" customFormat="1" ht="63" hidden="1" x14ac:dyDescent="0.25">
      <c r="A1050" s="34" t="s">
        <v>1162</v>
      </c>
      <c r="B1050" s="330">
        <v>908</v>
      </c>
      <c r="C1050" s="334" t="s">
        <v>250</v>
      </c>
      <c r="D1050" s="334" t="s">
        <v>250</v>
      </c>
      <c r="E1050" s="334" t="s">
        <v>1025</v>
      </c>
      <c r="F1050" s="334"/>
      <c r="G1050" s="332">
        <f t="shared" si="78"/>
        <v>0</v>
      </c>
      <c r="H1050" s="332">
        <f t="shared" si="78"/>
        <v>0</v>
      </c>
      <c r="I1050" s="214"/>
    </row>
    <row r="1051" spans="1:9" s="213" customFormat="1" ht="47.25" hidden="1" x14ac:dyDescent="0.25">
      <c r="A1051" s="31" t="s">
        <v>1273</v>
      </c>
      <c r="B1051" s="329">
        <v>908</v>
      </c>
      <c r="C1051" s="331" t="s">
        <v>250</v>
      </c>
      <c r="D1051" s="331" t="s">
        <v>250</v>
      </c>
      <c r="E1051" s="331" t="s">
        <v>1192</v>
      </c>
      <c r="F1051" s="331"/>
      <c r="G1051" s="336">
        <f t="shared" si="78"/>
        <v>0</v>
      </c>
      <c r="H1051" s="336">
        <f t="shared" si="78"/>
        <v>0</v>
      </c>
      <c r="I1051" s="214"/>
    </row>
    <row r="1052" spans="1:9" s="213" customFormat="1" ht="31.5" hidden="1" x14ac:dyDescent="0.25">
      <c r="A1052" s="335" t="s">
        <v>147</v>
      </c>
      <c r="B1052" s="329">
        <v>908</v>
      </c>
      <c r="C1052" s="331" t="s">
        <v>250</v>
      </c>
      <c r="D1052" s="331" t="s">
        <v>250</v>
      </c>
      <c r="E1052" s="331" t="s">
        <v>1192</v>
      </c>
      <c r="F1052" s="331" t="s">
        <v>148</v>
      </c>
      <c r="G1052" s="336">
        <f t="shared" si="78"/>
        <v>0</v>
      </c>
      <c r="H1052" s="336">
        <f t="shared" si="78"/>
        <v>0</v>
      </c>
      <c r="I1052" s="214"/>
    </row>
    <row r="1053" spans="1:9" s="213" customFormat="1" ht="31.5" hidden="1" x14ac:dyDescent="0.25">
      <c r="A1053" s="335" t="s">
        <v>149</v>
      </c>
      <c r="B1053" s="329">
        <v>908</v>
      </c>
      <c r="C1053" s="331" t="s">
        <v>250</v>
      </c>
      <c r="D1053" s="331" t="s">
        <v>250</v>
      </c>
      <c r="E1053" s="331" t="s">
        <v>1192</v>
      </c>
      <c r="F1053" s="331" t="s">
        <v>150</v>
      </c>
      <c r="G1053" s="336">
        <v>0</v>
      </c>
      <c r="H1053" s="336">
        <v>0</v>
      </c>
      <c r="I1053" s="214"/>
    </row>
    <row r="1054" spans="1:9" ht="15.75" x14ac:dyDescent="0.25">
      <c r="A1054" s="333" t="s">
        <v>259</v>
      </c>
      <c r="B1054" s="330">
        <v>908</v>
      </c>
      <c r="C1054" s="334" t="s">
        <v>260</v>
      </c>
      <c r="D1054" s="334"/>
      <c r="E1054" s="334"/>
      <c r="F1054" s="334"/>
      <c r="G1054" s="332">
        <f t="shared" ref="G1054:H1055" si="79">G1055</f>
        <v>87</v>
      </c>
      <c r="H1054" s="332">
        <f t="shared" si="79"/>
        <v>87</v>
      </c>
      <c r="I1054" s="214"/>
    </row>
    <row r="1055" spans="1:9" ht="15.75" x14ac:dyDescent="0.25">
      <c r="A1055" s="333" t="s">
        <v>274</v>
      </c>
      <c r="B1055" s="330">
        <v>908</v>
      </c>
      <c r="C1055" s="334" t="s">
        <v>260</v>
      </c>
      <c r="D1055" s="334" t="s">
        <v>136</v>
      </c>
      <c r="E1055" s="334"/>
      <c r="F1055" s="334"/>
      <c r="G1055" s="332">
        <f t="shared" si="79"/>
        <v>87</v>
      </c>
      <c r="H1055" s="332">
        <f t="shared" si="79"/>
        <v>87</v>
      </c>
      <c r="I1055" s="214"/>
    </row>
    <row r="1056" spans="1:9" ht="15.75" x14ac:dyDescent="0.25">
      <c r="A1056" s="333" t="s">
        <v>157</v>
      </c>
      <c r="B1056" s="330">
        <v>908</v>
      </c>
      <c r="C1056" s="334" t="s">
        <v>260</v>
      </c>
      <c r="D1056" s="334" t="s">
        <v>136</v>
      </c>
      <c r="E1056" s="334" t="s">
        <v>912</v>
      </c>
      <c r="F1056" s="334"/>
      <c r="G1056" s="332">
        <f t="shared" ref="G1056:H1058" si="80">G1057</f>
        <v>87</v>
      </c>
      <c r="H1056" s="332">
        <f t="shared" si="80"/>
        <v>87</v>
      </c>
      <c r="I1056" s="214"/>
    </row>
    <row r="1057" spans="1:9" ht="15.75" x14ac:dyDescent="0.25">
      <c r="A1057" s="333" t="s">
        <v>157</v>
      </c>
      <c r="B1057" s="330">
        <v>908</v>
      </c>
      <c r="C1057" s="334" t="s">
        <v>260</v>
      </c>
      <c r="D1057" s="334" t="s">
        <v>136</v>
      </c>
      <c r="E1057" s="334" t="s">
        <v>911</v>
      </c>
      <c r="F1057" s="334"/>
      <c r="G1057" s="332">
        <f t="shared" si="80"/>
        <v>87</v>
      </c>
      <c r="H1057" s="332">
        <f t="shared" si="80"/>
        <v>87</v>
      </c>
      <c r="I1057" s="214"/>
    </row>
    <row r="1058" spans="1:9" ht="31.5" x14ac:dyDescent="0.25">
      <c r="A1058" s="333" t="s">
        <v>916</v>
      </c>
      <c r="B1058" s="330">
        <v>908</v>
      </c>
      <c r="C1058" s="334" t="s">
        <v>260</v>
      </c>
      <c r="D1058" s="334" t="s">
        <v>136</v>
      </c>
      <c r="E1058" s="334" t="s">
        <v>911</v>
      </c>
      <c r="F1058" s="334"/>
      <c r="G1058" s="332">
        <f t="shared" si="80"/>
        <v>87</v>
      </c>
      <c r="H1058" s="332">
        <f t="shared" si="80"/>
        <v>87</v>
      </c>
      <c r="I1058" s="214"/>
    </row>
    <row r="1059" spans="1:9" ht="15.75" x14ac:dyDescent="0.25">
      <c r="A1059" s="335" t="s">
        <v>588</v>
      </c>
      <c r="B1059" s="329">
        <v>908</v>
      </c>
      <c r="C1059" s="331" t="s">
        <v>260</v>
      </c>
      <c r="D1059" s="331" t="s">
        <v>136</v>
      </c>
      <c r="E1059" s="331" t="s">
        <v>1133</v>
      </c>
      <c r="F1059" s="331"/>
      <c r="G1059" s="336">
        <f>G1060</f>
        <v>87</v>
      </c>
      <c r="H1059" s="336">
        <f>H1060</f>
        <v>87</v>
      </c>
      <c r="I1059" s="214"/>
    </row>
    <row r="1060" spans="1:9" ht="31.5" x14ac:dyDescent="0.25">
      <c r="A1060" s="335" t="s">
        <v>147</v>
      </c>
      <c r="B1060" s="329">
        <v>908</v>
      </c>
      <c r="C1060" s="331" t="s">
        <v>260</v>
      </c>
      <c r="D1060" s="331" t="s">
        <v>136</v>
      </c>
      <c r="E1060" s="331" t="s">
        <v>1133</v>
      </c>
      <c r="F1060" s="331" t="s">
        <v>148</v>
      </c>
      <c r="G1060" s="336">
        <f>G1061</f>
        <v>87</v>
      </c>
      <c r="H1060" s="336">
        <f>H1061</f>
        <v>87</v>
      </c>
      <c r="I1060" s="214"/>
    </row>
    <row r="1061" spans="1:9" ht="31.5" x14ac:dyDescent="0.25">
      <c r="A1061" s="335" t="s">
        <v>149</v>
      </c>
      <c r="B1061" s="329">
        <v>908</v>
      </c>
      <c r="C1061" s="331" t="s">
        <v>260</v>
      </c>
      <c r="D1061" s="331" t="s">
        <v>136</v>
      </c>
      <c r="E1061" s="331" t="s">
        <v>1133</v>
      </c>
      <c r="F1061" s="331" t="s">
        <v>150</v>
      </c>
      <c r="G1061" s="336">
        <f>87</f>
        <v>87</v>
      </c>
      <c r="H1061" s="336">
        <f t="shared" ref="H1061:H1104" si="81">G1061</f>
        <v>87</v>
      </c>
      <c r="I1061" s="214"/>
    </row>
    <row r="1062" spans="1:9" ht="31.5" x14ac:dyDescent="0.25">
      <c r="A1062" s="330" t="s">
        <v>590</v>
      </c>
      <c r="B1062" s="330">
        <v>910</v>
      </c>
      <c r="C1062" s="47"/>
      <c r="D1062" s="47"/>
      <c r="E1062" s="47"/>
      <c r="F1062" s="47"/>
      <c r="G1062" s="332">
        <f>G1063</f>
        <v>7005.5</v>
      </c>
      <c r="H1062" s="332">
        <f>H1063</f>
        <v>7005.5</v>
      </c>
      <c r="I1062" s="214"/>
    </row>
    <row r="1063" spans="1:9" ht="15.75" x14ac:dyDescent="0.25">
      <c r="A1063" s="333" t="s">
        <v>133</v>
      </c>
      <c r="B1063" s="330">
        <v>910</v>
      </c>
      <c r="C1063" s="334" t="s">
        <v>134</v>
      </c>
      <c r="D1063" s="334"/>
      <c r="E1063" s="334"/>
      <c r="F1063" s="334"/>
      <c r="G1063" s="332">
        <f>G1064+G1083+G1094</f>
        <v>7005.5</v>
      </c>
      <c r="H1063" s="332">
        <f>H1064+H1083+H1094</f>
        <v>7005.5</v>
      </c>
      <c r="I1063" s="214"/>
    </row>
    <row r="1064" spans="1:9" ht="47.25" x14ac:dyDescent="0.25">
      <c r="A1064" s="333" t="s">
        <v>591</v>
      </c>
      <c r="B1064" s="330">
        <v>910</v>
      </c>
      <c r="C1064" s="334" t="s">
        <v>134</v>
      </c>
      <c r="D1064" s="334" t="s">
        <v>229</v>
      </c>
      <c r="E1064" s="334"/>
      <c r="F1064" s="334"/>
      <c r="G1064" s="332">
        <f>G1065+G1075</f>
        <v>4268.5</v>
      </c>
      <c r="H1064" s="332">
        <f>H1065+H1075</f>
        <v>4268.5</v>
      </c>
      <c r="I1064" s="214"/>
    </row>
    <row r="1065" spans="1:9" ht="31.5" x14ac:dyDescent="0.25">
      <c r="A1065" s="333" t="s">
        <v>990</v>
      </c>
      <c r="B1065" s="330">
        <v>910</v>
      </c>
      <c r="C1065" s="334" t="s">
        <v>134</v>
      </c>
      <c r="D1065" s="334" t="s">
        <v>229</v>
      </c>
      <c r="E1065" s="334" t="s">
        <v>904</v>
      </c>
      <c r="F1065" s="334"/>
      <c r="G1065" s="332">
        <f>G1066</f>
        <v>4243</v>
      </c>
      <c r="H1065" s="332">
        <f>H1066</f>
        <v>4243</v>
      </c>
      <c r="I1065" s="214"/>
    </row>
    <row r="1066" spans="1:9" ht="31.5" x14ac:dyDescent="0.25">
      <c r="A1066" s="333" t="s">
        <v>1134</v>
      </c>
      <c r="B1066" s="330">
        <v>910</v>
      </c>
      <c r="C1066" s="334" t="s">
        <v>134</v>
      </c>
      <c r="D1066" s="334" t="s">
        <v>229</v>
      </c>
      <c r="E1066" s="334" t="s">
        <v>1135</v>
      </c>
      <c r="F1066" s="334"/>
      <c r="G1066" s="332">
        <f>G1067+G1072</f>
        <v>4243</v>
      </c>
      <c r="H1066" s="332">
        <f>H1067+H1072</f>
        <v>4243</v>
      </c>
      <c r="I1066" s="214"/>
    </row>
    <row r="1067" spans="1:9" ht="31.5" x14ac:dyDescent="0.25">
      <c r="A1067" s="335" t="s">
        <v>592</v>
      </c>
      <c r="B1067" s="329">
        <v>910</v>
      </c>
      <c r="C1067" s="331" t="s">
        <v>134</v>
      </c>
      <c r="D1067" s="331" t="s">
        <v>229</v>
      </c>
      <c r="E1067" s="331" t="s">
        <v>1136</v>
      </c>
      <c r="F1067" s="331"/>
      <c r="G1067" s="336">
        <f>G1068+G1070</f>
        <v>4201</v>
      </c>
      <c r="H1067" s="336">
        <f>H1068+H1070</f>
        <v>4201</v>
      </c>
      <c r="I1067" s="214"/>
    </row>
    <row r="1068" spans="1:9" ht="78.75" x14ac:dyDescent="0.25">
      <c r="A1068" s="335" t="s">
        <v>143</v>
      </c>
      <c r="B1068" s="329">
        <v>910</v>
      </c>
      <c r="C1068" s="331" t="s">
        <v>134</v>
      </c>
      <c r="D1068" s="331" t="s">
        <v>229</v>
      </c>
      <c r="E1068" s="331" t="s">
        <v>1136</v>
      </c>
      <c r="F1068" s="331" t="s">
        <v>144</v>
      </c>
      <c r="G1068" s="336">
        <f>G1069</f>
        <v>4111</v>
      </c>
      <c r="H1068" s="336">
        <f>H1069</f>
        <v>4111</v>
      </c>
      <c r="I1068" s="214"/>
    </row>
    <row r="1069" spans="1:9" ht="31.5" x14ac:dyDescent="0.25">
      <c r="A1069" s="335" t="s">
        <v>145</v>
      </c>
      <c r="B1069" s="329">
        <v>910</v>
      </c>
      <c r="C1069" s="331" t="s">
        <v>134</v>
      </c>
      <c r="D1069" s="331" t="s">
        <v>229</v>
      </c>
      <c r="E1069" s="331" t="s">
        <v>1136</v>
      </c>
      <c r="F1069" s="331" t="s">
        <v>146</v>
      </c>
      <c r="G1069" s="336">
        <f>4111</f>
        <v>4111</v>
      </c>
      <c r="H1069" s="336">
        <f t="shared" si="81"/>
        <v>4111</v>
      </c>
      <c r="I1069" s="214"/>
    </row>
    <row r="1070" spans="1:9" ht="31.5" x14ac:dyDescent="0.25">
      <c r="A1070" s="335" t="s">
        <v>214</v>
      </c>
      <c r="B1070" s="329">
        <v>910</v>
      </c>
      <c r="C1070" s="331" t="s">
        <v>134</v>
      </c>
      <c r="D1070" s="331" t="s">
        <v>229</v>
      </c>
      <c r="E1070" s="331" t="s">
        <v>1136</v>
      </c>
      <c r="F1070" s="331" t="s">
        <v>148</v>
      </c>
      <c r="G1070" s="336">
        <f>G1071</f>
        <v>90</v>
      </c>
      <c r="H1070" s="336">
        <f>H1071</f>
        <v>90</v>
      </c>
      <c r="I1070" s="214"/>
    </row>
    <row r="1071" spans="1:9" ht="31.5" x14ac:dyDescent="0.25">
      <c r="A1071" s="335" t="s">
        <v>149</v>
      </c>
      <c r="B1071" s="329">
        <v>910</v>
      </c>
      <c r="C1071" s="331" t="s">
        <v>134</v>
      </c>
      <c r="D1071" s="331" t="s">
        <v>229</v>
      </c>
      <c r="E1071" s="331" t="s">
        <v>1136</v>
      </c>
      <c r="F1071" s="331" t="s">
        <v>150</v>
      </c>
      <c r="G1071" s="336">
        <f>90</f>
        <v>90</v>
      </c>
      <c r="H1071" s="336">
        <f t="shared" si="81"/>
        <v>90</v>
      </c>
      <c r="I1071" s="214"/>
    </row>
    <row r="1072" spans="1:9" ht="47.25" x14ac:dyDescent="0.25">
      <c r="A1072" s="335" t="s">
        <v>885</v>
      </c>
      <c r="B1072" s="329">
        <v>910</v>
      </c>
      <c r="C1072" s="331" t="s">
        <v>134</v>
      </c>
      <c r="D1072" s="331" t="s">
        <v>229</v>
      </c>
      <c r="E1072" s="331" t="s">
        <v>1137</v>
      </c>
      <c r="F1072" s="331"/>
      <c r="G1072" s="336">
        <f>G1073</f>
        <v>42</v>
      </c>
      <c r="H1072" s="336">
        <f>H1073</f>
        <v>42</v>
      </c>
      <c r="I1072" s="214"/>
    </row>
    <row r="1073" spans="1:9" ht="78.75" x14ac:dyDescent="0.25">
      <c r="A1073" s="335" t="s">
        <v>143</v>
      </c>
      <c r="B1073" s="329">
        <v>910</v>
      </c>
      <c r="C1073" s="331" t="s">
        <v>134</v>
      </c>
      <c r="D1073" s="331" t="s">
        <v>229</v>
      </c>
      <c r="E1073" s="331" t="s">
        <v>1137</v>
      </c>
      <c r="F1073" s="331" t="s">
        <v>144</v>
      </c>
      <c r="G1073" s="336">
        <f>G1074</f>
        <v>42</v>
      </c>
      <c r="H1073" s="336">
        <f>H1074</f>
        <v>42</v>
      </c>
      <c r="I1073" s="214"/>
    </row>
    <row r="1074" spans="1:9" ht="31.5" x14ac:dyDescent="0.25">
      <c r="A1074" s="335" t="s">
        <v>145</v>
      </c>
      <c r="B1074" s="329">
        <v>910</v>
      </c>
      <c r="C1074" s="331" t="s">
        <v>134</v>
      </c>
      <c r="D1074" s="331" t="s">
        <v>229</v>
      </c>
      <c r="E1074" s="331" t="s">
        <v>1137</v>
      </c>
      <c r="F1074" s="331" t="s">
        <v>146</v>
      </c>
      <c r="G1074" s="336">
        <v>42</v>
      </c>
      <c r="H1074" s="336">
        <f t="shared" si="81"/>
        <v>42</v>
      </c>
      <c r="I1074" s="214"/>
    </row>
    <row r="1075" spans="1:9" ht="47.25" x14ac:dyDescent="0.25">
      <c r="A1075" s="333" t="s">
        <v>1437</v>
      </c>
      <c r="B1075" s="330">
        <v>910</v>
      </c>
      <c r="C1075" s="334" t="s">
        <v>134</v>
      </c>
      <c r="D1075" s="334" t="s">
        <v>229</v>
      </c>
      <c r="E1075" s="334" t="s">
        <v>178</v>
      </c>
      <c r="F1075" s="334"/>
      <c r="G1075" s="332">
        <f>G1076</f>
        <v>25.5</v>
      </c>
      <c r="H1075" s="332">
        <f>H1076</f>
        <v>25.5</v>
      </c>
      <c r="I1075" s="214"/>
    </row>
    <row r="1076" spans="1:9" ht="63" x14ac:dyDescent="0.25">
      <c r="A1076" s="228" t="s">
        <v>889</v>
      </c>
      <c r="B1076" s="330">
        <v>910</v>
      </c>
      <c r="C1076" s="334" t="s">
        <v>134</v>
      </c>
      <c r="D1076" s="334" t="s">
        <v>229</v>
      </c>
      <c r="E1076" s="334" t="s">
        <v>896</v>
      </c>
      <c r="F1076" s="334"/>
      <c r="G1076" s="332">
        <f>G1077+G1080</f>
        <v>25.5</v>
      </c>
      <c r="H1076" s="332">
        <f>H1077+H1080</f>
        <v>25.5</v>
      </c>
      <c r="I1076" s="214"/>
    </row>
    <row r="1077" spans="1:9" ht="47.25" x14ac:dyDescent="0.25">
      <c r="A1077" s="31" t="s">
        <v>712</v>
      </c>
      <c r="B1077" s="329">
        <v>910</v>
      </c>
      <c r="C1077" s="331" t="s">
        <v>134</v>
      </c>
      <c r="D1077" s="331" t="s">
        <v>229</v>
      </c>
      <c r="E1077" s="339" t="s">
        <v>1142</v>
      </c>
      <c r="F1077" s="331"/>
      <c r="G1077" s="336">
        <f>G1078</f>
        <v>0.5</v>
      </c>
      <c r="H1077" s="336">
        <f>H1078</f>
        <v>0.5</v>
      </c>
      <c r="I1077" s="214"/>
    </row>
    <row r="1078" spans="1:9" ht="31.5" x14ac:dyDescent="0.25">
      <c r="A1078" s="335" t="s">
        <v>147</v>
      </c>
      <c r="B1078" s="329">
        <v>910</v>
      </c>
      <c r="C1078" s="331" t="s">
        <v>134</v>
      </c>
      <c r="D1078" s="331" t="s">
        <v>229</v>
      </c>
      <c r="E1078" s="339" t="s">
        <v>1142</v>
      </c>
      <c r="F1078" s="331" t="s">
        <v>148</v>
      </c>
      <c r="G1078" s="336">
        <f>G1079</f>
        <v>0.5</v>
      </c>
      <c r="H1078" s="336">
        <f>H1079</f>
        <v>0.5</v>
      </c>
      <c r="I1078" s="214"/>
    </row>
    <row r="1079" spans="1:9" ht="31.5" x14ac:dyDescent="0.25">
      <c r="A1079" s="335" t="s">
        <v>149</v>
      </c>
      <c r="B1079" s="329">
        <v>910</v>
      </c>
      <c r="C1079" s="331" t="s">
        <v>134</v>
      </c>
      <c r="D1079" s="331" t="s">
        <v>229</v>
      </c>
      <c r="E1079" s="339" t="s">
        <v>713</v>
      </c>
      <c r="F1079" s="331" t="s">
        <v>150</v>
      </c>
      <c r="G1079" s="336">
        <v>0.5</v>
      </c>
      <c r="H1079" s="336">
        <f t="shared" si="81"/>
        <v>0.5</v>
      </c>
      <c r="I1079" s="214"/>
    </row>
    <row r="1080" spans="1:9" ht="47.25" x14ac:dyDescent="0.25">
      <c r="A1080" s="31" t="s">
        <v>712</v>
      </c>
      <c r="B1080" s="329">
        <v>910</v>
      </c>
      <c r="C1080" s="331" t="s">
        <v>134</v>
      </c>
      <c r="D1080" s="331" t="s">
        <v>229</v>
      </c>
      <c r="E1080" s="331" t="s">
        <v>1141</v>
      </c>
      <c r="F1080" s="331"/>
      <c r="G1080" s="336">
        <f>G1081</f>
        <v>25</v>
      </c>
      <c r="H1080" s="336">
        <f>H1081</f>
        <v>25</v>
      </c>
      <c r="I1080" s="214"/>
    </row>
    <row r="1081" spans="1:9" ht="31.5" x14ac:dyDescent="0.25">
      <c r="A1081" s="335" t="s">
        <v>147</v>
      </c>
      <c r="B1081" s="329">
        <v>910</v>
      </c>
      <c r="C1081" s="331" t="s">
        <v>134</v>
      </c>
      <c r="D1081" s="331" t="s">
        <v>229</v>
      </c>
      <c r="E1081" s="331" t="s">
        <v>1141</v>
      </c>
      <c r="F1081" s="331" t="s">
        <v>148</v>
      </c>
      <c r="G1081" s="336">
        <f>G1082</f>
        <v>25</v>
      </c>
      <c r="H1081" s="336">
        <f>H1082</f>
        <v>25</v>
      </c>
      <c r="I1081" s="214"/>
    </row>
    <row r="1082" spans="1:9" ht="31.5" x14ac:dyDescent="0.25">
      <c r="A1082" s="335" t="s">
        <v>149</v>
      </c>
      <c r="B1082" s="329">
        <v>910</v>
      </c>
      <c r="C1082" s="331" t="s">
        <v>134</v>
      </c>
      <c r="D1082" s="331" t="s">
        <v>229</v>
      </c>
      <c r="E1082" s="331" t="s">
        <v>1141</v>
      </c>
      <c r="F1082" s="331" t="s">
        <v>150</v>
      </c>
      <c r="G1082" s="336">
        <f>25</f>
        <v>25</v>
      </c>
      <c r="H1082" s="336">
        <f t="shared" si="81"/>
        <v>25</v>
      </c>
      <c r="I1082" s="214"/>
    </row>
    <row r="1083" spans="1:9" ht="63" x14ac:dyDescent="0.25">
      <c r="A1083" s="333" t="s">
        <v>594</v>
      </c>
      <c r="B1083" s="330">
        <v>910</v>
      </c>
      <c r="C1083" s="334" t="s">
        <v>134</v>
      </c>
      <c r="D1083" s="334" t="s">
        <v>231</v>
      </c>
      <c r="E1083" s="334"/>
      <c r="F1083" s="334"/>
      <c r="G1083" s="332">
        <f>G1084</f>
        <v>1091</v>
      </c>
      <c r="H1083" s="332">
        <f>H1084</f>
        <v>1091</v>
      </c>
      <c r="I1083" s="214"/>
    </row>
    <row r="1084" spans="1:9" ht="31.5" x14ac:dyDescent="0.25">
      <c r="A1084" s="333" t="s">
        <v>990</v>
      </c>
      <c r="B1084" s="330">
        <v>910</v>
      </c>
      <c r="C1084" s="334" t="s">
        <v>134</v>
      </c>
      <c r="D1084" s="334" t="s">
        <v>231</v>
      </c>
      <c r="E1084" s="334" t="s">
        <v>904</v>
      </c>
      <c r="F1084" s="334"/>
      <c r="G1084" s="332">
        <f>G1085</f>
        <v>1091</v>
      </c>
      <c r="H1084" s="332">
        <f>H1085</f>
        <v>1091</v>
      </c>
      <c r="I1084" s="214"/>
    </row>
    <row r="1085" spans="1:9" ht="31.5" x14ac:dyDescent="0.25">
      <c r="A1085" s="333" t="s">
        <v>1134</v>
      </c>
      <c r="B1085" s="330">
        <v>910</v>
      </c>
      <c r="C1085" s="334" t="s">
        <v>134</v>
      </c>
      <c r="D1085" s="334" t="s">
        <v>231</v>
      </c>
      <c r="E1085" s="334" t="s">
        <v>1135</v>
      </c>
      <c r="F1085" s="334"/>
      <c r="G1085" s="332">
        <f>G1086+G1091</f>
        <v>1091</v>
      </c>
      <c r="H1085" s="332">
        <f>H1086+H1091</f>
        <v>1091</v>
      </c>
      <c r="I1085" s="214"/>
    </row>
    <row r="1086" spans="1:9" ht="31.5" x14ac:dyDescent="0.25">
      <c r="A1086" s="335" t="s">
        <v>1138</v>
      </c>
      <c r="B1086" s="329">
        <v>910</v>
      </c>
      <c r="C1086" s="331" t="s">
        <v>134</v>
      </c>
      <c r="D1086" s="331" t="s">
        <v>231</v>
      </c>
      <c r="E1086" s="331" t="s">
        <v>1139</v>
      </c>
      <c r="F1086" s="331"/>
      <c r="G1086" s="336">
        <f>G1087+G1089</f>
        <v>1091</v>
      </c>
      <c r="H1086" s="336">
        <f>H1087+H1089</f>
        <v>1091</v>
      </c>
      <c r="I1086" s="214"/>
    </row>
    <row r="1087" spans="1:9" ht="78.75" x14ac:dyDescent="0.25">
      <c r="A1087" s="335" t="s">
        <v>143</v>
      </c>
      <c r="B1087" s="329">
        <v>910</v>
      </c>
      <c r="C1087" s="331" t="s">
        <v>134</v>
      </c>
      <c r="D1087" s="331" t="s">
        <v>231</v>
      </c>
      <c r="E1087" s="331" t="s">
        <v>1139</v>
      </c>
      <c r="F1087" s="331" t="s">
        <v>144</v>
      </c>
      <c r="G1087" s="336">
        <f>G1088</f>
        <v>998</v>
      </c>
      <c r="H1087" s="336">
        <f>H1088</f>
        <v>998</v>
      </c>
      <c r="I1087" s="214"/>
    </row>
    <row r="1088" spans="1:9" ht="31.5" x14ac:dyDescent="0.25">
      <c r="A1088" s="335" t="s">
        <v>145</v>
      </c>
      <c r="B1088" s="329">
        <v>910</v>
      </c>
      <c r="C1088" s="331" t="s">
        <v>134</v>
      </c>
      <c r="D1088" s="331" t="s">
        <v>231</v>
      </c>
      <c r="E1088" s="331" t="s">
        <v>1139</v>
      </c>
      <c r="F1088" s="331" t="s">
        <v>146</v>
      </c>
      <c r="G1088" s="336">
        <f>998</f>
        <v>998</v>
      </c>
      <c r="H1088" s="336">
        <f t="shared" si="81"/>
        <v>998</v>
      </c>
      <c r="I1088" s="214"/>
    </row>
    <row r="1089" spans="1:9" ht="31.5" x14ac:dyDescent="0.25">
      <c r="A1089" s="335" t="s">
        <v>214</v>
      </c>
      <c r="B1089" s="329">
        <v>910</v>
      </c>
      <c r="C1089" s="331" t="s">
        <v>134</v>
      </c>
      <c r="D1089" s="331" t="s">
        <v>231</v>
      </c>
      <c r="E1089" s="331" t="s">
        <v>1139</v>
      </c>
      <c r="F1089" s="331" t="s">
        <v>148</v>
      </c>
      <c r="G1089" s="336">
        <f>G1090</f>
        <v>93</v>
      </c>
      <c r="H1089" s="336">
        <f>H1090</f>
        <v>93</v>
      </c>
      <c r="I1089" s="214"/>
    </row>
    <row r="1090" spans="1:9" ht="31.5" x14ac:dyDescent="0.25">
      <c r="A1090" s="335" t="s">
        <v>149</v>
      </c>
      <c r="B1090" s="329">
        <v>910</v>
      </c>
      <c r="C1090" s="331" t="s">
        <v>134</v>
      </c>
      <c r="D1090" s="331" t="s">
        <v>231</v>
      </c>
      <c r="E1090" s="331" t="s">
        <v>1139</v>
      </c>
      <c r="F1090" s="331" t="s">
        <v>150</v>
      </c>
      <c r="G1090" s="336">
        <f>93</f>
        <v>93</v>
      </c>
      <c r="H1090" s="336">
        <f t="shared" si="81"/>
        <v>93</v>
      </c>
      <c r="I1090" s="214"/>
    </row>
    <row r="1091" spans="1:9" ht="47.25" hidden="1" x14ac:dyDescent="0.25">
      <c r="A1091" s="335" t="s">
        <v>885</v>
      </c>
      <c r="B1091" s="329">
        <v>910</v>
      </c>
      <c r="C1091" s="331" t="s">
        <v>134</v>
      </c>
      <c r="D1091" s="331" t="s">
        <v>231</v>
      </c>
      <c r="E1091" s="331" t="s">
        <v>1137</v>
      </c>
      <c r="F1091" s="331"/>
      <c r="G1091" s="336">
        <f>'Пр.4 ведом.20'!G1182</f>
        <v>0</v>
      </c>
      <c r="H1091" s="336">
        <f t="shared" si="81"/>
        <v>0</v>
      </c>
      <c r="I1091" s="214"/>
    </row>
    <row r="1092" spans="1:9" ht="78.75" hidden="1" x14ac:dyDescent="0.25">
      <c r="A1092" s="335" t="s">
        <v>143</v>
      </c>
      <c r="B1092" s="329">
        <v>910</v>
      </c>
      <c r="C1092" s="331" t="s">
        <v>134</v>
      </c>
      <c r="D1092" s="331" t="s">
        <v>231</v>
      </c>
      <c r="E1092" s="331" t="s">
        <v>1137</v>
      </c>
      <c r="F1092" s="331" t="s">
        <v>144</v>
      </c>
      <c r="G1092" s="336">
        <f>'Пр.4 ведом.20'!G1183</f>
        <v>0</v>
      </c>
      <c r="H1092" s="336">
        <f t="shared" si="81"/>
        <v>0</v>
      </c>
      <c r="I1092" s="214"/>
    </row>
    <row r="1093" spans="1:9" ht="31.5" hidden="1" x14ac:dyDescent="0.25">
      <c r="A1093" s="335" t="s">
        <v>145</v>
      </c>
      <c r="B1093" s="329">
        <v>910</v>
      </c>
      <c r="C1093" s="331" t="s">
        <v>134</v>
      </c>
      <c r="D1093" s="331" t="s">
        <v>231</v>
      </c>
      <c r="E1093" s="331" t="s">
        <v>1137</v>
      </c>
      <c r="F1093" s="331" t="s">
        <v>146</v>
      </c>
      <c r="G1093" s="336">
        <f>'Пр.4 ведом.20'!G1184</f>
        <v>0</v>
      </c>
      <c r="H1093" s="336">
        <f t="shared" si="81"/>
        <v>0</v>
      </c>
      <c r="I1093" s="214"/>
    </row>
    <row r="1094" spans="1:9" ht="47.25" x14ac:dyDescent="0.25">
      <c r="A1094" s="333" t="s">
        <v>135</v>
      </c>
      <c r="B1094" s="330">
        <v>910</v>
      </c>
      <c r="C1094" s="334" t="s">
        <v>134</v>
      </c>
      <c r="D1094" s="334" t="s">
        <v>136</v>
      </c>
      <c r="E1094" s="334"/>
      <c r="F1094" s="334"/>
      <c r="G1094" s="332">
        <f>G1095</f>
        <v>1646</v>
      </c>
      <c r="H1094" s="332">
        <f>H1095</f>
        <v>1646</v>
      </c>
      <c r="I1094" s="214"/>
    </row>
    <row r="1095" spans="1:9" ht="31.5" x14ac:dyDescent="0.25">
      <c r="A1095" s="333" t="s">
        <v>990</v>
      </c>
      <c r="B1095" s="330">
        <v>910</v>
      </c>
      <c r="C1095" s="334" t="s">
        <v>134</v>
      </c>
      <c r="D1095" s="334" t="s">
        <v>136</v>
      </c>
      <c r="E1095" s="334" t="s">
        <v>904</v>
      </c>
      <c r="F1095" s="334"/>
      <c r="G1095" s="332">
        <f>G1096</f>
        <v>1646</v>
      </c>
      <c r="H1095" s="332">
        <f>H1096</f>
        <v>1646</v>
      </c>
      <c r="I1095" s="214"/>
    </row>
    <row r="1096" spans="1:9" ht="31.5" x14ac:dyDescent="0.25">
      <c r="A1096" s="333" t="s">
        <v>1134</v>
      </c>
      <c r="B1096" s="330">
        <v>910</v>
      </c>
      <c r="C1096" s="334" t="s">
        <v>134</v>
      </c>
      <c r="D1096" s="334" t="s">
        <v>136</v>
      </c>
      <c r="E1096" s="334" t="s">
        <v>1135</v>
      </c>
      <c r="F1096" s="334"/>
      <c r="G1096" s="332">
        <f>G1097+G1102</f>
        <v>1646</v>
      </c>
      <c r="H1096" s="332">
        <f>H1097+H1102</f>
        <v>1646</v>
      </c>
      <c r="I1096" s="214"/>
    </row>
    <row r="1097" spans="1:9" ht="31.5" x14ac:dyDescent="0.25">
      <c r="A1097" s="335" t="s">
        <v>967</v>
      </c>
      <c r="B1097" s="329">
        <v>910</v>
      </c>
      <c r="C1097" s="331" t="s">
        <v>134</v>
      </c>
      <c r="D1097" s="331" t="s">
        <v>136</v>
      </c>
      <c r="E1097" s="331" t="s">
        <v>1139</v>
      </c>
      <c r="F1097" s="331"/>
      <c r="G1097" s="336">
        <f>G1098+G1100</f>
        <v>1604</v>
      </c>
      <c r="H1097" s="336">
        <f>H1098+H1100</f>
        <v>1604</v>
      </c>
      <c r="I1097" s="214"/>
    </row>
    <row r="1098" spans="1:9" ht="78.75" x14ac:dyDescent="0.25">
      <c r="A1098" s="335" t="s">
        <v>143</v>
      </c>
      <c r="B1098" s="329">
        <v>910</v>
      </c>
      <c r="C1098" s="331" t="s">
        <v>134</v>
      </c>
      <c r="D1098" s="331" t="s">
        <v>136</v>
      </c>
      <c r="E1098" s="331" t="s">
        <v>1139</v>
      </c>
      <c r="F1098" s="331" t="s">
        <v>144</v>
      </c>
      <c r="G1098" s="336">
        <f>G1099</f>
        <v>1586</v>
      </c>
      <c r="H1098" s="336">
        <f>H1099</f>
        <v>1586</v>
      </c>
      <c r="I1098" s="214"/>
    </row>
    <row r="1099" spans="1:9" ht="31.5" x14ac:dyDescent="0.25">
      <c r="A1099" s="335" t="s">
        <v>145</v>
      </c>
      <c r="B1099" s="329">
        <v>910</v>
      </c>
      <c r="C1099" s="331" t="s">
        <v>134</v>
      </c>
      <c r="D1099" s="331" t="s">
        <v>136</v>
      </c>
      <c r="E1099" s="331" t="s">
        <v>1139</v>
      </c>
      <c r="F1099" s="331" t="s">
        <v>146</v>
      </c>
      <c r="G1099" s="336">
        <f>1586</f>
        <v>1586</v>
      </c>
      <c r="H1099" s="336">
        <f t="shared" si="81"/>
        <v>1586</v>
      </c>
      <c r="I1099" s="214"/>
    </row>
    <row r="1100" spans="1:9" ht="31.5" x14ac:dyDescent="0.25">
      <c r="A1100" s="335" t="s">
        <v>214</v>
      </c>
      <c r="B1100" s="329">
        <v>910</v>
      </c>
      <c r="C1100" s="331" t="s">
        <v>134</v>
      </c>
      <c r="D1100" s="331" t="s">
        <v>136</v>
      </c>
      <c r="E1100" s="331" t="s">
        <v>1139</v>
      </c>
      <c r="F1100" s="331" t="s">
        <v>148</v>
      </c>
      <c r="G1100" s="336">
        <f>G1101</f>
        <v>18</v>
      </c>
      <c r="H1100" s="336">
        <f>H1101</f>
        <v>18</v>
      </c>
      <c r="I1100" s="214"/>
    </row>
    <row r="1101" spans="1:9" ht="31.5" x14ac:dyDescent="0.25">
      <c r="A1101" s="335" t="s">
        <v>149</v>
      </c>
      <c r="B1101" s="329">
        <v>910</v>
      </c>
      <c r="C1101" s="331" t="s">
        <v>134</v>
      </c>
      <c r="D1101" s="331" t="s">
        <v>136</v>
      </c>
      <c r="E1101" s="331" t="s">
        <v>1139</v>
      </c>
      <c r="F1101" s="331" t="s">
        <v>150</v>
      </c>
      <c r="G1101" s="336">
        <f>18</f>
        <v>18</v>
      </c>
      <c r="H1101" s="336">
        <f t="shared" si="81"/>
        <v>18</v>
      </c>
      <c r="I1101" s="214"/>
    </row>
    <row r="1102" spans="1:9" ht="47.25" x14ac:dyDescent="0.25">
      <c r="A1102" s="335" t="s">
        <v>885</v>
      </c>
      <c r="B1102" s="329">
        <v>910</v>
      </c>
      <c r="C1102" s="331" t="s">
        <v>134</v>
      </c>
      <c r="D1102" s="331" t="s">
        <v>136</v>
      </c>
      <c r="E1102" s="331" t="s">
        <v>1137</v>
      </c>
      <c r="F1102" s="331"/>
      <c r="G1102" s="336">
        <f>G1103</f>
        <v>42</v>
      </c>
      <c r="H1102" s="336">
        <f>H1103</f>
        <v>42</v>
      </c>
      <c r="I1102" s="214"/>
    </row>
    <row r="1103" spans="1:9" ht="78.75" x14ac:dyDescent="0.25">
      <c r="A1103" s="335" t="s">
        <v>143</v>
      </c>
      <c r="B1103" s="329">
        <v>910</v>
      </c>
      <c r="C1103" s="331" t="s">
        <v>134</v>
      </c>
      <c r="D1103" s="331" t="s">
        <v>136</v>
      </c>
      <c r="E1103" s="331" t="s">
        <v>1137</v>
      </c>
      <c r="F1103" s="331" t="s">
        <v>144</v>
      </c>
      <c r="G1103" s="336">
        <f>G1104</f>
        <v>42</v>
      </c>
      <c r="H1103" s="336">
        <f>H1104</f>
        <v>42</v>
      </c>
      <c r="I1103" s="214"/>
    </row>
    <row r="1104" spans="1:9" ht="31.5" x14ac:dyDescent="0.25">
      <c r="A1104" s="335" t="s">
        <v>145</v>
      </c>
      <c r="B1104" s="329">
        <v>910</v>
      </c>
      <c r="C1104" s="331" t="s">
        <v>134</v>
      </c>
      <c r="D1104" s="331" t="s">
        <v>136</v>
      </c>
      <c r="E1104" s="331" t="s">
        <v>1137</v>
      </c>
      <c r="F1104" s="331" t="s">
        <v>146</v>
      </c>
      <c r="G1104" s="336">
        <f>42</f>
        <v>42</v>
      </c>
      <c r="H1104" s="336">
        <f t="shared" si="81"/>
        <v>42</v>
      </c>
      <c r="I1104" s="214"/>
    </row>
    <row r="1105" spans="1:10" ht="15.75" x14ac:dyDescent="0.25">
      <c r="A1105" s="48" t="s">
        <v>603</v>
      </c>
      <c r="B1105" s="48"/>
      <c r="C1105" s="334"/>
      <c r="D1105" s="334"/>
      <c r="E1105" s="334"/>
      <c r="F1105" s="334"/>
      <c r="G1105" s="290">
        <f>G1062+G850+G773+G535+G492+G214+G30+G9</f>
        <v>742963.79859999998</v>
      </c>
      <c r="H1105" s="290">
        <f>H1062+H850+H773+H535+H492+H214+H30+H9</f>
        <v>746710.98659999995</v>
      </c>
      <c r="I1105" s="214"/>
    </row>
    <row r="1106" spans="1:10" x14ac:dyDescent="0.25">
      <c r="A1106" s="50"/>
      <c r="B1106" s="50"/>
      <c r="C1106" s="50"/>
      <c r="D1106" s="50"/>
      <c r="E1106" s="50"/>
      <c r="F1106" s="50"/>
      <c r="G1106" s="50"/>
      <c r="H1106" s="321"/>
    </row>
    <row r="1107" spans="1:10" ht="18.75" hidden="1" x14ac:dyDescent="0.3">
      <c r="A1107" s="50"/>
      <c r="B1107" s="50"/>
      <c r="C1107" s="51"/>
      <c r="D1107" s="51"/>
      <c r="E1107" s="51"/>
      <c r="F1107" s="102" t="s">
        <v>604</v>
      </c>
      <c r="G1107" s="52">
        <f>G1105-G1108</f>
        <v>461347.47399999999</v>
      </c>
      <c r="H1107" s="52">
        <f>H1105-H1108</f>
        <v>468071.72</v>
      </c>
    </row>
    <row r="1108" spans="1:10" ht="18.75" hidden="1" x14ac:dyDescent="0.3">
      <c r="A1108" s="50"/>
      <c r="B1108" s="50"/>
      <c r="C1108" s="51"/>
      <c r="D1108" s="51"/>
      <c r="E1108" s="51"/>
      <c r="F1108" s="102" t="s">
        <v>605</v>
      </c>
      <c r="G1108" s="52">
        <f>G50+G167+G176+G208+G223+G256+G263+G303+G363+G392+G395+G448+G521+G557+G598+G631+G671+G678+G709+G743+G812+G1007+G1014+G919+G270+G187+G84+G1080-44-500-239.82+G610+G507+G203+G367</f>
        <v>281616.32459999999</v>
      </c>
      <c r="H1108" s="52">
        <f>H50+H167+H176+H208+H223+H256+H263+H303+H363+H392+H395+H448+H521+H557+H598+H631+H671+H678+H709+H743+H812+H1007+H1014+H919+H270+H187+H84+H1080-54-500-239.82+H610+H507+H203+H367</f>
        <v>278639.26659999997</v>
      </c>
      <c r="I1108" s="217">
        <v>267446.40000000002</v>
      </c>
      <c r="J1108">
        <v>260319.2</v>
      </c>
    </row>
    <row r="1109" spans="1:10" ht="15.75" hidden="1" x14ac:dyDescent="0.25">
      <c r="A1109" s="50"/>
      <c r="B1109" s="50"/>
      <c r="C1109" s="51"/>
      <c r="D1109" s="53"/>
      <c r="E1109" s="53"/>
      <c r="F1109" s="53"/>
      <c r="G1109" s="103"/>
      <c r="H1109" s="103"/>
      <c r="I1109" s="246">
        <f>I1108-G1108</f>
        <v>-14169.924599999969</v>
      </c>
      <c r="J1109" s="246">
        <f>J1108-H1108</f>
        <v>-18320.066599999962</v>
      </c>
    </row>
    <row r="1110" spans="1:10" ht="15.75" hidden="1" x14ac:dyDescent="0.25">
      <c r="A1110" s="50"/>
      <c r="B1110" s="50"/>
      <c r="C1110" s="51"/>
      <c r="D1110" s="53"/>
      <c r="E1110" s="53"/>
      <c r="F1110" s="53"/>
      <c r="G1110" s="320"/>
      <c r="H1110" s="320"/>
    </row>
    <row r="1111" spans="1:10" ht="15.75" hidden="1" x14ac:dyDescent="0.25">
      <c r="A1111" s="50"/>
      <c r="B1111" s="50"/>
      <c r="C1111" s="51"/>
      <c r="D1111" s="53"/>
      <c r="E1111" s="53"/>
      <c r="F1111" s="53"/>
      <c r="G1111" s="51"/>
      <c r="H1111" s="51"/>
    </row>
    <row r="1112" spans="1:10" ht="15.75" hidden="1" x14ac:dyDescent="0.25">
      <c r="A1112" s="50"/>
      <c r="B1112" s="50"/>
      <c r="C1112" s="54">
        <v>1</v>
      </c>
      <c r="D1112" s="53"/>
      <c r="E1112" s="53"/>
      <c r="F1112" s="53"/>
      <c r="G1112" s="55">
        <f>G9+G31+G215+G493+G536+G851+G1063+G774</f>
        <v>142238.12</v>
      </c>
      <c r="H1112" s="55">
        <f>H9+H31+H215+H493+H536+H851+H1063+H774</f>
        <v>147123.01999999999</v>
      </c>
    </row>
    <row r="1113" spans="1:10" ht="15.75" hidden="1" x14ac:dyDescent="0.25">
      <c r="A1113" s="50"/>
      <c r="B1113" s="50"/>
      <c r="C1113" s="54" t="s">
        <v>604</v>
      </c>
      <c r="D1113" s="53"/>
      <c r="E1113" s="53"/>
      <c r="F1113" s="53"/>
      <c r="G1113" s="55">
        <f>G1112-G1114</f>
        <v>136041.82</v>
      </c>
      <c r="H1113" s="55">
        <f>H1112-H1114</f>
        <v>143886.41999999998</v>
      </c>
    </row>
    <row r="1114" spans="1:10" ht="15.75" hidden="1" x14ac:dyDescent="0.25">
      <c r="A1114" s="50"/>
      <c r="B1114" s="50"/>
      <c r="C1114" s="54" t="s">
        <v>605</v>
      </c>
      <c r="D1114" s="53"/>
      <c r="E1114" s="53"/>
      <c r="F1114" s="53"/>
      <c r="G1114" s="55">
        <f>G1080+G521+G223+G84+G50-239.82+G507</f>
        <v>6196.3000000000011</v>
      </c>
      <c r="H1114" s="55">
        <f>H1080+H521+H223+H84+H50-239.82+H507</f>
        <v>3236.6</v>
      </c>
    </row>
    <row r="1115" spans="1:10" ht="15.75" hidden="1" x14ac:dyDescent="0.25">
      <c r="A1115" s="50"/>
      <c r="B1115" s="50"/>
      <c r="C1115" s="54">
        <v>2</v>
      </c>
      <c r="D1115" s="53"/>
      <c r="E1115" s="53"/>
      <c r="F1115" s="53"/>
      <c r="G1115" s="55">
        <f>G134</f>
        <v>0</v>
      </c>
      <c r="H1115" s="55">
        <f>H134</f>
        <v>0</v>
      </c>
    </row>
    <row r="1116" spans="1:10" ht="15.75" hidden="1" x14ac:dyDescent="0.25">
      <c r="A1116" s="50"/>
      <c r="B1116" s="50"/>
      <c r="C1116" s="54">
        <v>3</v>
      </c>
      <c r="D1116" s="53"/>
      <c r="E1116" s="53"/>
      <c r="F1116" s="53"/>
      <c r="G1116" s="55">
        <f>G865+G141</f>
        <v>8029</v>
      </c>
      <c r="H1116" s="55">
        <f>H865+H141</f>
        <v>8029</v>
      </c>
    </row>
    <row r="1117" spans="1:10" ht="15.75" hidden="1" x14ac:dyDescent="0.25">
      <c r="A1117" s="50"/>
      <c r="B1117" s="50"/>
      <c r="C1117" s="54">
        <v>4</v>
      </c>
      <c r="D1117" s="53"/>
      <c r="E1117" s="53"/>
      <c r="F1117" s="53"/>
      <c r="G1117" s="55">
        <f>G160+G872+G248</f>
        <v>7611.8</v>
      </c>
      <c r="H1117" s="55">
        <f>H160+H872+H248</f>
        <v>7579.5</v>
      </c>
    </row>
    <row r="1118" spans="1:10" ht="15.75" hidden="1" x14ac:dyDescent="0.25">
      <c r="A1118" s="50"/>
      <c r="B1118" s="50"/>
      <c r="C1118" s="54" t="s">
        <v>604</v>
      </c>
      <c r="D1118" s="53"/>
      <c r="E1118" s="53"/>
      <c r="F1118" s="53"/>
      <c r="G1118" s="55">
        <f>G1117-G1119</f>
        <v>6568</v>
      </c>
      <c r="H1118" s="55">
        <f>H1117-H1119</f>
        <v>6657</v>
      </c>
    </row>
    <row r="1119" spans="1:10" ht="15.75" hidden="1" x14ac:dyDescent="0.25">
      <c r="A1119" s="50"/>
      <c r="B1119" s="50"/>
      <c r="C1119" s="54" t="s">
        <v>605</v>
      </c>
      <c r="D1119" s="53"/>
      <c r="E1119" s="53"/>
      <c r="F1119" s="53"/>
      <c r="G1119" s="55">
        <f>G176+G256+G263+G270+G187+G167</f>
        <v>1043.8</v>
      </c>
      <c r="H1119" s="55">
        <f>H176+H256+H263+H270+H187+H167</f>
        <v>922.5</v>
      </c>
    </row>
    <row r="1120" spans="1:10" ht="15.75" hidden="1" x14ac:dyDescent="0.25">
      <c r="A1120" s="50"/>
      <c r="B1120" s="50"/>
      <c r="C1120" s="54">
        <v>5</v>
      </c>
      <c r="D1120" s="53"/>
      <c r="E1120" s="53"/>
      <c r="F1120" s="53"/>
      <c r="G1120" s="55">
        <f>G891+G525</f>
        <v>47130.266600000003</v>
      </c>
      <c r="H1120" s="55">
        <f>H891+H525</f>
        <v>53280.666599999997</v>
      </c>
    </row>
    <row r="1121" spans="1:8" ht="15.75" hidden="1" x14ac:dyDescent="0.25">
      <c r="A1121" s="50"/>
      <c r="B1121" s="50"/>
      <c r="C1121" s="54" t="s">
        <v>604</v>
      </c>
      <c r="D1121" s="53"/>
      <c r="E1121" s="53"/>
      <c r="F1121" s="53"/>
      <c r="G1121" s="55">
        <f>G1120-G1122</f>
        <v>36803</v>
      </c>
      <c r="H1121" s="55">
        <f>H1120-H1122</f>
        <v>35561.399999999994</v>
      </c>
    </row>
    <row r="1122" spans="1:8" ht="15.75" hidden="1" x14ac:dyDescent="0.25">
      <c r="A1122" s="50"/>
      <c r="B1122" s="50"/>
      <c r="C1122" s="54" t="s">
        <v>605</v>
      </c>
      <c r="D1122" s="53"/>
      <c r="E1122" s="53"/>
      <c r="F1122" s="53"/>
      <c r="G1122" s="55">
        <f>G919+G1007+G1016+G897-500</f>
        <v>10327.266600000001</v>
      </c>
      <c r="H1122" s="55">
        <f>H919+H1007+H1016+H897-500</f>
        <v>17719.266600000003</v>
      </c>
    </row>
    <row r="1123" spans="1:8" ht="15.75" hidden="1" x14ac:dyDescent="0.25">
      <c r="A1123" s="50"/>
      <c r="B1123" s="50"/>
      <c r="C1123" s="54">
        <v>7</v>
      </c>
      <c r="D1123" s="53"/>
      <c r="E1123" s="53"/>
      <c r="F1123" s="53"/>
      <c r="G1123" s="55">
        <f>G546+G277</f>
        <v>383473.10000000003</v>
      </c>
      <c r="H1123" s="55">
        <f>H546+H277</f>
        <v>383481.60000000003</v>
      </c>
    </row>
    <row r="1124" spans="1:8" ht="15.75" hidden="1" x14ac:dyDescent="0.25">
      <c r="A1124" s="50"/>
      <c r="B1124" s="50"/>
      <c r="C1124" s="54" t="s">
        <v>604</v>
      </c>
      <c r="D1124" s="53"/>
      <c r="E1124" s="53"/>
      <c r="F1124" s="53"/>
      <c r="G1124" s="55">
        <f>G1123-G1125</f>
        <v>133641.09999999998</v>
      </c>
      <c r="H1124" s="55">
        <f>H1123-H1125</f>
        <v>133641.09999999998</v>
      </c>
    </row>
    <row r="1125" spans="1:8" ht="15.75" hidden="1" x14ac:dyDescent="0.25">
      <c r="A1125" s="50"/>
      <c r="B1125" s="50"/>
      <c r="C1125" s="54" t="s">
        <v>605</v>
      </c>
      <c r="D1125" s="53"/>
      <c r="E1125" s="53"/>
      <c r="F1125" s="53"/>
      <c r="G1125" s="55">
        <f>G743+G709+G678+G671+G631+G598+G557+G303+G610</f>
        <v>249832.00000000006</v>
      </c>
      <c r="H1125" s="55">
        <f>H743+H709+H678+H671+H631+H598+H557+H303+H610</f>
        <v>249840.50000000006</v>
      </c>
    </row>
    <row r="1126" spans="1:8" ht="15.75" hidden="1" x14ac:dyDescent="0.25">
      <c r="A1126" s="50"/>
      <c r="B1126" s="50"/>
      <c r="C1126" s="54">
        <v>8</v>
      </c>
      <c r="D1126" s="53"/>
      <c r="E1126" s="53"/>
      <c r="F1126" s="53"/>
      <c r="G1126" s="55">
        <f>G341</f>
        <v>70268.512000000002</v>
      </c>
      <c r="H1126" s="55">
        <f>H341</f>
        <v>67994.2</v>
      </c>
    </row>
    <row r="1127" spans="1:8" ht="15.75" hidden="1" x14ac:dyDescent="0.25">
      <c r="A1127" s="50"/>
      <c r="B1127" s="50"/>
      <c r="C1127" s="54" t="s">
        <v>604</v>
      </c>
      <c r="D1127" s="53"/>
      <c r="E1127" s="53"/>
      <c r="F1127" s="53"/>
      <c r="G1127" s="55">
        <f>G1126-G1128</f>
        <v>65486.454000000005</v>
      </c>
      <c r="H1127" s="55">
        <f>H1126-H1128</f>
        <v>65508.7</v>
      </c>
    </row>
    <row r="1128" spans="1:8" ht="15.75" hidden="1" x14ac:dyDescent="0.25">
      <c r="A1128" s="50"/>
      <c r="B1128" s="50"/>
      <c r="C1128" s="54" t="s">
        <v>605</v>
      </c>
      <c r="D1128" s="53"/>
      <c r="E1128" s="53"/>
      <c r="F1128" s="53"/>
      <c r="G1128" s="55">
        <f>G395+G392+G363+G367</f>
        <v>4782.058</v>
      </c>
      <c r="H1128" s="55">
        <f>H395+H392+H363+H367</f>
        <v>2485.5</v>
      </c>
    </row>
    <row r="1129" spans="1:8" ht="15.75" hidden="1" x14ac:dyDescent="0.25">
      <c r="A1129" s="50"/>
      <c r="B1129" s="50"/>
      <c r="C1129" s="54">
        <v>10</v>
      </c>
      <c r="D1129" s="53"/>
      <c r="E1129" s="53"/>
      <c r="F1129" s="53"/>
      <c r="G1129" s="55">
        <f>G1054+G444+G190</f>
        <v>19998.400000000001</v>
      </c>
      <c r="H1129" s="55">
        <f>H1054+H444+H190</f>
        <v>15008.4</v>
      </c>
    </row>
    <row r="1130" spans="1:8" ht="15.75" hidden="1" x14ac:dyDescent="0.25">
      <c r="A1130" s="50"/>
      <c r="B1130" s="50"/>
      <c r="C1130" s="54" t="s">
        <v>604</v>
      </c>
      <c r="D1130" s="53"/>
      <c r="E1130" s="53"/>
      <c r="F1130" s="53"/>
      <c r="G1130" s="55">
        <f>G1129-G1131</f>
        <v>11377.000000000002</v>
      </c>
      <c r="H1130" s="55">
        <f>H1129-H1131</f>
        <v>11387</v>
      </c>
    </row>
    <row r="1131" spans="1:8" ht="15.75" hidden="1" x14ac:dyDescent="0.25">
      <c r="A1131" s="50"/>
      <c r="B1131" s="50"/>
      <c r="C1131" s="54" t="s">
        <v>605</v>
      </c>
      <c r="D1131" s="53"/>
      <c r="E1131" s="53"/>
      <c r="F1131" s="53"/>
      <c r="G1131" s="55">
        <f>G208+G449-44+G203</f>
        <v>8621.4</v>
      </c>
      <c r="H1131" s="55">
        <f>H208+H449-54+H203</f>
        <v>3621.4</v>
      </c>
    </row>
    <row r="1132" spans="1:8" ht="15.75" hidden="1" x14ac:dyDescent="0.25">
      <c r="A1132" s="50"/>
      <c r="B1132" s="50"/>
      <c r="C1132" s="54">
        <v>11</v>
      </c>
      <c r="D1132" s="53"/>
      <c r="E1132" s="53"/>
      <c r="F1132" s="53"/>
      <c r="G1132" s="55">
        <f>G781</f>
        <v>58735.6</v>
      </c>
      <c r="H1132" s="55">
        <f>H781</f>
        <v>58735.6</v>
      </c>
    </row>
    <row r="1133" spans="1:8" ht="15.75" hidden="1" x14ac:dyDescent="0.25">
      <c r="A1133" s="50"/>
      <c r="B1133" s="50"/>
      <c r="C1133" s="54" t="s">
        <v>604</v>
      </c>
      <c r="D1133" s="53"/>
      <c r="E1133" s="53"/>
      <c r="F1133" s="53"/>
      <c r="G1133" s="55">
        <f>G1132-G1134</f>
        <v>57922.1</v>
      </c>
      <c r="H1133" s="55">
        <f>H1132-H1134</f>
        <v>57922.1</v>
      </c>
    </row>
    <row r="1134" spans="1:8" ht="15.75" hidden="1" x14ac:dyDescent="0.25">
      <c r="A1134" s="50"/>
      <c r="B1134" s="50"/>
      <c r="C1134" s="54" t="s">
        <v>605</v>
      </c>
      <c r="D1134" s="53"/>
      <c r="E1134" s="53"/>
      <c r="F1134" s="53"/>
      <c r="G1134" s="55">
        <f>G812</f>
        <v>813.5</v>
      </c>
      <c r="H1134" s="55">
        <f>H812</f>
        <v>813.5</v>
      </c>
    </row>
    <row r="1135" spans="1:8" ht="15.75" hidden="1" x14ac:dyDescent="0.25">
      <c r="A1135" s="50"/>
      <c r="B1135" s="50"/>
      <c r="C1135" s="54">
        <v>12</v>
      </c>
      <c r="D1135" s="53"/>
      <c r="E1135" s="53"/>
      <c r="F1135" s="53"/>
      <c r="G1135" s="55">
        <f>G473</f>
        <v>5479</v>
      </c>
      <c r="H1135" s="55">
        <f>H473</f>
        <v>5479</v>
      </c>
    </row>
    <row r="1136" spans="1:8" ht="15.75" hidden="1" x14ac:dyDescent="0.25">
      <c r="A1136" s="50"/>
      <c r="B1136" s="50"/>
      <c r="C1136" s="55"/>
      <c r="D1136" s="53"/>
      <c r="E1136" s="53"/>
      <c r="F1136" s="53"/>
      <c r="G1136" s="104">
        <f>G1112+G1115+G1116+G1117+G1120+G1123+G1126+G1129+G1132+G1135</f>
        <v>742963.79859999998</v>
      </c>
      <c r="H1136" s="104">
        <f>H1112+H1115+H1116+H1117+H1120+H1123+H1126+H1129+H1132+H1135</f>
        <v>746710.98659999995</v>
      </c>
    </row>
    <row r="1137" spans="1:8" ht="15.75" hidden="1" x14ac:dyDescent="0.25">
      <c r="A1137" s="50"/>
      <c r="B1137" s="50"/>
      <c r="C1137" s="54" t="s">
        <v>604</v>
      </c>
      <c r="D1137" s="53"/>
      <c r="E1137" s="53"/>
      <c r="F1137" s="53"/>
      <c r="G1137" s="104">
        <f>G1113+G1115+G1116+G1118+G1121+G1124+G1127+G1130+G1133+G1135</f>
        <v>461347.47399999999</v>
      </c>
      <c r="H1137" s="104">
        <f>H1113+H1115+H1116+H1118+H1121+H1124+H1127+H1130+H1133+H1135</f>
        <v>468071.71999999991</v>
      </c>
    </row>
    <row r="1138" spans="1:8" ht="15.75" hidden="1" x14ac:dyDescent="0.25">
      <c r="A1138" s="50"/>
      <c r="B1138" s="50"/>
      <c r="C1138" s="54" t="s">
        <v>605</v>
      </c>
      <c r="D1138" s="53"/>
      <c r="E1138" s="53"/>
      <c r="F1138" s="53"/>
      <c r="G1138" s="104">
        <f>G1136-G1137</f>
        <v>281616.32459999999</v>
      </c>
      <c r="H1138" s="104">
        <f>H1136-H1137</f>
        <v>278639.26660000003</v>
      </c>
    </row>
    <row r="1139" spans="1:8" hidden="1" x14ac:dyDescent="0.25">
      <c r="G1139" s="215"/>
      <c r="H1139" s="215"/>
    </row>
    <row r="1140" spans="1:8" hidden="1" x14ac:dyDescent="0.25">
      <c r="D1140" s="325" t="s">
        <v>606</v>
      </c>
      <c r="E1140" s="325">
        <v>50</v>
      </c>
      <c r="G1140" s="215">
        <f>G880</f>
        <v>3189</v>
      </c>
      <c r="H1140" s="215">
        <f>H880</f>
        <v>3278</v>
      </c>
    </row>
    <row r="1141" spans="1:8" hidden="1" x14ac:dyDescent="0.25">
      <c r="E1141" s="325">
        <v>51</v>
      </c>
      <c r="G1141" s="215">
        <f>G217+G250+G322+G438+G446</f>
        <v>3474</v>
      </c>
      <c r="H1141" s="215">
        <f>H217+H250+H322+H438+H446</f>
        <v>3362.7</v>
      </c>
    </row>
    <row r="1142" spans="1:8" hidden="1" x14ac:dyDescent="0.25">
      <c r="E1142" s="325">
        <v>52</v>
      </c>
      <c r="G1142" s="215">
        <f>G548+G619+G703+G737</f>
        <v>344530.10000000003</v>
      </c>
      <c r="H1142" s="215">
        <f>H548+H619+H703+H737</f>
        <v>344538.60000000003</v>
      </c>
    </row>
    <row r="1143" spans="1:8" hidden="1" x14ac:dyDescent="0.25">
      <c r="E1143" s="325">
        <v>53</v>
      </c>
      <c r="G1143" s="215">
        <f>G182</f>
        <v>0</v>
      </c>
      <c r="H1143" s="215">
        <f>H182</f>
        <v>0</v>
      </c>
    </row>
    <row r="1144" spans="1:8" hidden="1" x14ac:dyDescent="0.25">
      <c r="E1144" s="325">
        <v>54</v>
      </c>
      <c r="G1144" s="215">
        <f>G1075+G69</f>
        <v>549</v>
      </c>
      <c r="H1144" s="215">
        <f>H1075+H69</f>
        <v>549</v>
      </c>
    </row>
    <row r="1145" spans="1:8" hidden="1" x14ac:dyDescent="0.25">
      <c r="E1145" s="325">
        <v>55</v>
      </c>
      <c r="G1145" s="215">
        <f>G198</f>
        <v>5010</v>
      </c>
      <c r="H1145" s="215">
        <f>H198</f>
        <v>10</v>
      </c>
    </row>
    <row r="1146" spans="1:8" hidden="1" x14ac:dyDescent="0.25">
      <c r="E1146" s="325">
        <v>56</v>
      </c>
      <c r="G1146" s="215"/>
      <c r="H1146" s="215"/>
    </row>
    <row r="1147" spans="1:8" hidden="1" x14ac:dyDescent="0.25">
      <c r="E1147" s="325">
        <v>57</v>
      </c>
      <c r="G1147" s="215">
        <f>G783+G842</f>
        <v>48439.5</v>
      </c>
      <c r="H1147" s="215">
        <f>H783+H842</f>
        <v>48439.5</v>
      </c>
    </row>
    <row r="1148" spans="1:8" hidden="1" x14ac:dyDescent="0.25">
      <c r="E1148" s="325">
        <v>58</v>
      </c>
      <c r="G1148" s="215">
        <f>G279+G344+G371</f>
        <v>68780.012000000002</v>
      </c>
      <c r="H1148" s="215">
        <f>H279+H344+H371</f>
        <v>66505.7</v>
      </c>
    </row>
    <row r="1149" spans="1:8" hidden="1" x14ac:dyDescent="0.25">
      <c r="E1149" s="325">
        <v>59</v>
      </c>
      <c r="G1149" s="215">
        <f>G601+G692+G1049+G405</f>
        <v>0</v>
      </c>
      <c r="H1149" s="215">
        <f>H601+H692+H1049+H405</f>
        <v>0</v>
      </c>
    </row>
    <row r="1150" spans="1:8" hidden="1" x14ac:dyDescent="0.25">
      <c r="E1150" s="325">
        <v>60</v>
      </c>
      <c r="G1150" s="215">
        <f>G976</f>
        <v>3244.5</v>
      </c>
      <c r="H1150" s="215">
        <f>H976</f>
        <v>10636.5</v>
      </c>
    </row>
    <row r="1151" spans="1:8" hidden="1" x14ac:dyDescent="0.25">
      <c r="E1151" s="325">
        <v>61</v>
      </c>
      <c r="G1151" s="215">
        <f>G162</f>
        <v>306</v>
      </c>
      <c r="H1151" s="215">
        <f>H162</f>
        <v>306</v>
      </c>
    </row>
    <row r="1152" spans="1:8" hidden="1" x14ac:dyDescent="0.25">
      <c r="E1152" s="325">
        <v>62</v>
      </c>
      <c r="G1152" s="215">
        <f>G936</f>
        <v>700</v>
      </c>
      <c r="H1152" s="215">
        <f>H936</f>
        <v>700</v>
      </c>
    </row>
    <row r="1153" spans="1:8" hidden="1" x14ac:dyDescent="0.25">
      <c r="E1153" s="325">
        <v>63</v>
      </c>
      <c r="G1153" s="215">
        <f>G226+G538+G776</f>
        <v>175</v>
      </c>
      <c r="H1153" s="215">
        <f>H226+H538+H776</f>
        <v>175</v>
      </c>
    </row>
    <row r="1154" spans="1:8" hidden="1" x14ac:dyDescent="0.25">
      <c r="E1154" s="325">
        <v>64</v>
      </c>
      <c r="G1154" s="215">
        <f>G115+G316+G410+G613+G697+G731+G816+G243+G487</f>
        <v>3147.6</v>
      </c>
      <c r="H1154" s="215">
        <f>H115+H316+H410+H613+H697+H731+H816+H243+H487</f>
        <v>3147.6</v>
      </c>
    </row>
    <row r="1155" spans="1:8" hidden="1" x14ac:dyDescent="0.25">
      <c r="E1155" s="325">
        <v>65</v>
      </c>
      <c r="G1155" s="215">
        <f>G1014</f>
        <v>500</v>
      </c>
      <c r="H1155" s="215">
        <f>H1014</f>
        <v>500</v>
      </c>
    </row>
    <row r="1156" spans="1:8" hidden="1" x14ac:dyDescent="0.25">
      <c r="E1156" s="325">
        <v>66</v>
      </c>
      <c r="G1156" s="215">
        <f>G520</f>
        <v>3266.2200000000003</v>
      </c>
      <c r="H1156" s="215">
        <f>H520</f>
        <v>239.82000000000016</v>
      </c>
    </row>
    <row r="1157" spans="1:8" hidden="1" x14ac:dyDescent="0.25">
      <c r="E1157" s="325">
        <v>67</v>
      </c>
      <c r="G1157" s="215">
        <f>G124</f>
        <v>40</v>
      </c>
      <c r="H1157" s="215">
        <f>H124</f>
        <v>40</v>
      </c>
    </row>
    <row r="1158" spans="1:8" hidden="1" x14ac:dyDescent="0.25">
      <c r="E1158" s="325">
        <v>69</v>
      </c>
      <c r="G1158" s="116">
        <f>G129</f>
        <v>100</v>
      </c>
      <c r="H1158" s="116">
        <f>H129</f>
        <v>100</v>
      </c>
    </row>
    <row r="1159" spans="1:8" s="213" customFormat="1" hidden="1" x14ac:dyDescent="0.25">
      <c r="A1159" s="325"/>
      <c r="B1159" s="325"/>
      <c r="C1159" s="325"/>
      <c r="D1159" s="325"/>
      <c r="E1159" s="325">
        <v>70</v>
      </c>
      <c r="F1159" s="325"/>
      <c r="G1159" s="116">
        <f>G965</f>
        <v>235</v>
      </c>
      <c r="H1159" s="116">
        <f>H965</f>
        <v>204</v>
      </c>
    </row>
    <row r="1160" spans="1:8" hidden="1" x14ac:dyDescent="0.25">
      <c r="G1160" s="215">
        <f>SUM(G1140:G1159)</f>
        <v>485685.93199999997</v>
      </c>
      <c r="H1160" s="215">
        <f>SUM(H1140:H1159)</f>
        <v>482732.42000000004</v>
      </c>
    </row>
    <row r="1161" spans="1:8" hidden="1" x14ac:dyDescent="0.25"/>
  </sheetData>
  <mergeCells count="2">
    <mergeCell ref="A4:F4"/>
    <mergeCell ref="A5:H5"/>
  </mergeCells>
  <pageMargins left="0.23622047244094491" right="0.23622047244094491" top="0.74803149606299213" bottom="0.74803149606299213" header="0.31496062992125984" footer="0.31496062992125984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7"/>
  <sheetViews>
    <sheetView view="pageBreakPreview" zoomScaleNormal="100" zoomScaleSheetLayoutView="100" workbookViewId="0">
      <selection activeCell="B3" sqref="B3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5.85546875" style="214" customWidth="1"/>
    <col min="8" max="8" width="15.85546875" style="325" customWidth="1"/>
    <col min="9" max="9" width="11.140625" style="325" customWidth="1"/>
  </cols>
  <sheetData>
    <row r="1" spans="1:9" s="357" customFormat="1" ht="15.75" x14ac:dyDescent="0.25">
      <c r="A1" s="325"/>
      <c r="B1" s="325"/>
      <c r="C1" s="325"/>
      <c r="F1" s="325"/>
      <c r="G1" s="325"/>
      <c r="H1" s="374" t="s">
        <v>124</v>
      </c>
      <c r="I1" s="325"/>
    </row>
    <row r="2" spans="1:9" s="357" customFormat="1" ht="15.75" x14ac:dyDescent="0.25">
      <c r="A2" s="325"/>
      <c r="B2" s="325"/>
      <c r="C2" s="325"/>
      <c r="F2" s="325"/>
      <c r="G2" s="325"/>
      <c r="H2" s="374" t="s">
        <v>1585</v>
      </c>
      <c r="I2" s="325"/>
    </row>
    <row r="3" spans="1:9" ht="15.75" x14ac:dyDescent="0.25">
      <c r="A3" s="214"/>
      <c r="B3" s="214"/>
      <c r="C3" s="214"/>
      <c r="D3" s="214"/>
      <c r="E3" s="214"/>
      <c r="F3" s="214"/>
      <c r="G3" s="209"/>
      <c r="H3" s="375" t="s">
        <v>1586</v>
      </c>
      <c r="I3" s="209"/>
    </row>
    <row r="4" spans="1:9" ht="15.75" x14ac:dyDescent="0.25">
      <c r="A4" s="214"/>
      <c r="B4" s="214"/>
      <c r="C4" s="214"/>
      <c r="D4" s="214"/>
      <c r="E4" s="214"/>
      <c r="F4" s="214"/>
      <c r="G4" s="209"/>
      <c r="H4" s="375" t="s">
        <v>1587</v>
      </c>
      <c r="I4" s="209"/>
    </row>
    <row r="5" spans="1:9" ht="15.75" x14ac:dyDescent="0.25">
      <c r="A5" s="214"/>
      <c r="B5" s="214"/>
      <c r="C5" s="214"/>
      <c r="D5" s="214"/>
      <c r="E5" s="214"/>
      <c r="F5" s="62"/>
      <c r="G5" s="130"/>
      <c r="H5" s="375" t="s">
        <v>1626</v>
      </c>
      <c r="I5" s="130"/>
    </row>
    <row r="6" spans="1:9" s="213" customFormat="1" ht="15.75" x14ac:dyDescent="0.25">
      <c r="A6" s="214"/>
      <c r="B6" s="214"/>
      <c r="C6" s="214"/>
      <c r="D6" s="214"/>
      <c r="E6" s="214"/>
      <c r="F6" s="62"/>
      <c r="G6" s="130"/>
      <c r="H6" s="130"/>
      <c r="I6" s="130"/>
    </row>
    <row r="7" spans="1:9" ht="38.25" customHeight="1" x14ac:dyDescent="0.25">
      <c r="A7" s="405" t="s">
        <v>1594</v>
      </c>
      <c r="B7" s="405"/>
      <c r="C7" s="405"/>
      <c r="D7" s="405"/>
      <c r="E7" s="405"/>
      <c r="F7" s="405"/>
      <c r="G7" s="405"/>
      <c r="H7" s="405"/>
      <c r="I7" s="405"/>
    </row>
    <row r="8" spans="1:9" ht="15.75" x14ac:dyDescent="0.25">
      <c r="A8" s="62"/>
      <c r="B8" s="62"/>
      <c r="C8" s="62"/>
      <c r="D8" s="62"/>
      <c r="E8" s="64"/>
      <c r="F8" s="64"/>
      <c r="G8" s="194"/>
      <c r="H8" s="194"/>
      <c r="I8" s="194"/>
    </row>
    <row r="9" spans="1:9" ht="60" x14ac:dyDescent="0.25">
      <c r="A9" s="66" t="s">
        <v>609</v>
      </c>
      <c r="B9" s="66" t="s">
        <v>634</v>
      </c>
      <c r="C9" s="66" t="s">
        <v>635</v>
      </c>
      <c r="D9" s="66" t="s">
        <v>636</v>
      </c>
      <c r="E9" s="66" t="s">
        <v>637</v>
      </c>
      <c r="F9" s="66" t="s">
        <v>638</v>
      </c>
      <c r="G9" s="180" t="s">
        <v>1584</v>
      </c>
      <c r="H9" s="180" t="s">
        <v>1582</v>
      </c>
      <c r="I9" s="180" t="s">
        <v>1583</v>
      </c>
    </row>
    <row r="10" spans="1:9" ht="47.25" x14ac:dyDescent="0.25">
      <c r="A10" s="58" t="s">
        <v>1180</v>
      </c>
      <c r="B10" s="7" t="s">
        <v>526</v>
      </c>
      <c r="C10" s="7"/>
      <c r="D10" s="7"/>
      <c r="E10" s="7"/>
      <c r="F10" s="7"/>
      <c r="G10" s="4">
        <f>G11+G18</f>
        <v>3611.3</v>
      </c>
      <c r="H10" s="4">
        <f t="shared" ref="H10" si="0">H11+H18</f>
        <v>2344.0680000000002</v>
      </c>
      <c r="I10" s="4">
        <f>H10/G10*100</f>
        <v>64.909257054246396</v>
      </c>
    </row>
    <row r="11" spans="1:9" s="213" customFormat="1" ht="31.5" hidden="1" x14ac:dyDescent="0.25">
      <c r="A11" s="34" t="s">
        <v>1150</v>
      </c>
      <c r="B11" s="7" t="s">
        <v>1094</v>
      </c>
      <c r="C11" s="40"/>
      <c r="D11" s="40"/>
      <c r="E11" s="40"/>
      <c r="F11" s="40"/>
      <c r="G11" s="6">
        <f>G14</f>
        <v>0</v>
      </c>
      <c r="H11" s="358">
        <f t="shared" ref="H11:I11" si="1">H14</f>
        <v>0</v>
      </c>
      <c r="I11" s="358" t="e">
        <f t="shared" si="1"/>
        <v>#DIV/0!</v>
      </c>
    </row>
    <row r="12" spans="1:9" ht="15.75" hidden="1" x14ac:dyDescent="0.25">
      <c r="A12" s="29" t="s">
        <v>248</v>
      </c>
      <c r="B12" s="40" t="s">
        <v>1094</v>
      </c>
      <c r="C12" s="40" t="s">
        <v>166</v>
      </c>
      <c r="D12" s="40"/>
      <c r="E12" s="40"/>
      <c r="F12" s="40"/>
      <c r="G12" s="6">
        <f t="shared" ref="G12:I15" si="2">G13</f>
        <v>0</v>
      </c>
      <c r="H12" s="358">
        <f t="shared" si="2"/>
        <v>0</v>
      </c>
      <c r="I12" s="358" t="e">
        <f t="shared" si="2"/>
        <v>#DIV/0!</v>
      </c>
    </row>
    <row r="13" spans="1:9" ht="15.75" hidden="1" x14ac:dyDescent="0.25">
      <c r="A13" s="29" t="s">
        <v>524</v>
      </c>
      <c r="B13" s="40" t="s">
        <v>1094</v>
      </c>
      <c r="C13" s="40" t="s">
        <v>166</v>
      </c>
      <c r="D13" s="40" t="s">
        <v>235</v>
      </c>
      <c r="E13" s="40"/>
      <c r="F13" s="40"/>
      <c r="G13" s="6">
        <f>G14</f>
        <v>0</v>
      </c>
      <c r="H13" s="358">
        <f t="shared" si="2"/>
        <v>0</v>
      </c>
      <c r="I13" s="358" t="e">
        <f t="shared" si="2"/>
        <v>#DIV/0!</v>
      </c>
    </row>
    <row r="14" spans="1:9" s="213" customFormat="1" ht="15.75" hidden="1" x14ac:dyDescent="0.25">
      <c r="A14" s="29" t="s">
        <v>1152</v>
      </c>
      <c r="B14" s="40" t="s">
        <v>1151</v>
      </c>
      <c r="C14" s="40" t="s">
        <v>166</v>
      </c>
      <c r="D14" s="40" t="s">
        <v>235</v>
      </c>
      <c r="E14" s="40"/>
      <c r="F14" s="40"/>
      <c r="G14" s="6">
        <f>G15</f>
        <v>0</v>
      </c>
      <c r="H14" s="358">
        <f t="shared" si="2"/>
        <v>0</v>
      </c>
      <c r="I14" s="358" t="e">
        <f t="shared" si="2"/>
        <v>#DIV/0!</v>
      </c>
    </row>
    <row r="15" spans="1:9" s="213" customFormat="1" ht="31.5" hidden="1" x14ac:dyDescent="0.25">
      <c r="A15" s="25" t="s">
        <v>147</v>
      </c>
      <c r="B15" s="40" t="s">
        <v>1151</v>
      </c>
      <c r="C15" s="40" t="s">
        <v>166</v>
      </c>
      <c r="D15" s="40" t="s">
        <v>235</v>
      </c>
      <c r="E15" s="40" t="s">
        <v>148</v>
      </c>
      <c r="F15" s="40"/>
      <c r="G15" s="6">
        <f>G16</f>
        <v>0</v>
      </c>
      <c r="H15" s="358">
        <f t="shared" si="2"/>
        <v>0</v>
      </c>
      <c r="I15" s="358" t="e">
        <f t="shared" si="2"/>
        <v>#DIV/0!</v>
      </c>
    </row>
    <row r="16" spans="1:9" s="213" customFormat="1" ht="31.5" hidden="1" x14ac:dyDescent="0.25">
      <c r="A16" s="25" t="s">
        <v>149</v>
      </c>
      <c r="B16" s="40" t="s">
        <v>1151</v>
      </c>
      <c r="C16" s="40" t="s">
        <v>166</v>
      </c>
      <c r="D16" s="40" t="s">
        <v>235</v>
      </c>
      <c r="E16" s="40" t="s">
        <v>150</v>
      </c>
      <c r="F16" s="40"/>
      <c r="G16" s="6">
        <f>'Пр.4 ведом.20'!G957</f>
        <v>0</v>
      </c>
      <c r="H16" s="358">
        <f>'Пр.4 ведом.20'!H957</f>
        <v>0</v>
      </c>
      <c r="I16" s="358" t="e">
        <f>'Пр.4 ведом.20'!I957</f>
        <v>#DIV/0!</v>
      </c>
    </row>
    <row r="17" spans="1:9" s="213" customFormat="1" ht="31.5" hidden="1" x14ac:dyDescent="0.25">
      <c r="A17" s="45" t="s">
        <v>640</v>
      </c>
      <c r="B17" s="40" t="s">
        <v>1151</v>
      </c>
      <c r="C17" s="40" t="s">
        <v>166</v>
      </c>
      <c r="D17" s="40" t="s">
        <v>235</v>
      </c>
      <c r="E17" s="40" t="s">
        <v>150</v>
      </c>
      <c r="F17" s="40" t="s">
        <v>641</v>
      </c>
      <c r="G17" s="6">
        <f>G16</f>
        <v>0</v>
      </c>
      <c r="H17" s="358">
        <f t="shared" ref="H17:I17" si="3">H16</f>
        <v>0</v>
      </c>
      <c r="I17" s="358" t="e">
        <f t="shared" si="3"/>
        <v>#DIV/0!</v>
      </c>
    </row>
    <row r="18" spans="1:9" s="213" customFormat="1" ht="31.5" x14ac:dyDescent="0.25">
      <c r="A18" s="34" t="s">
        <v>1237</v>
      </c>
      <c r="B18" s="24" t="s">
        <v>1095</v>
      </c>
      <c r="C18" s="40"/>
      <c r="D18" s="40"/>
      <c r="E18" s="40"/>
      <c r="F18" s="40"/>
      <c r="G18" s="6">
        <f>G19</f>
        <v>3611.3</v>
      </c>
      <c r="H18" s="358">
        <f t="shared" ref="H18:H20" si="4">H19</f>
        <v>2344.0680000000002</v>
      </c>
      <c r="I18" s="358">
        <f t="shared" ref="I18:I81" si="5">H18/G18*100</f>
        <v>64.909257054246396</v>
      </c>
    </row>
    <row r="19" spans="1:9" s="213" customFormat="1" ht="15.75" x14ac:dyDescent="0.25">
      <c r="A19" s="29" t="s">
        <v>248</v>
      </c>
      <c r="B19" s="40" t="s">
        <v>1095</v>
      </c>
      <c r="C19" s="40" t="s">
        <v>166</v>
      </c>
      <c r="D19" s="40"/>
      <c r="E19" s="40"/>
      <c r="F19" s="40"/>
      <c r="G19" s="6">
        <f>G20</f>
        <v>3611.3</v>
      </c>
      <c r="H19" s="358">
        <f t="shared" si="4"/>
        <v>2344.0680000000002</v>
      </c>
      <c r="I19" s="358">
        <f t="shared" si="5"/>
        <v>64.909257054246396</v>
      </c>
    </row>
    <row r="20" spans="1:9" s="213" customFormat="1" ht="15.75" x14ac:dyDescent="0.25">
      <c r="A20" s="29" t="s">
        <v>524</v>
      </c>
      <c r="B20" s="40" t="s">
        <v>1095</v>
      </c>
      <c r="C20" s="40" t="s">
        <v>166</v>
      </c>
      <c r="D20" s="40" t="s">
        <v>235</v>
      </c>
      <c r="E20" s="40"/>
      <c r="F20" s="40"/>
      <c r="G20" s="6">
        <f>G21</f>
        <v>3611.3</v>
      </c>
      <c r="H20" s="358">
        <f t="shared" si="4"/>
        <v>2344.0680000000002</v>
      </c>
      <c r="I20" s="358">
        <f t="shared" si="5"/>
        <v>64.909257054246396</v>
      </c>
    </row>
    <row r="21" spans="1:9" ht="15.75" x14ac:dyDescent="0.25">
      <c r="A21" s="29" t="s">
        <v>527</v>
      </c>
      <c r="B21" s="40" t="s">
        <v>1153</v>
      </c>
      <c r="C21" s="40" t="s">
        <v>166</v>
      </c>
      <c r="D21" s="40" t="s">
        <v>235</v>
      </c>
      <c r="E21" s="40"/>
      <c r="F21" s="40"/>
      <c r="G21" s="6">
        <f>G24+G27+G23</f>
        <v>3611.3</v>
      </c>
      <c r="H21" s="358">
        <f t="shared" ref="H21" si="6">H24+H27+H23</f>
        <v>2344.0680000000002</v>
      </c>
      <c r="I21" s="358">
        <f t="shared" si="5"/>
        <v>64.909257054246396</v>
      </c>
    </row>
    <row r="22" spans="1:9" s="213" customFormat="1" ht="78.75" x14ac:dyDescent="0.25">
      <c r="A22" s="25" t="s">
        <v>143</v>
      </c>
      <c r="B22" s="40" t="s">
        <v>1153</v>
      </c>
      <c r="C22" s="40" t="s">
        <v>166</v>
      </c>
      <c r="D22" s="40" t="s">
        <v>235</v>
      </c>
      <c r="E22" s="40" t="s">
        <v>144</v>
      </c>
      <c r="F22" s="40"/>
      <c r="G22" s="6">
        <f>G23</f>
        <v>1791.3</v>
      </c>
      <c r="H22" s="358">
        <f t="shared" ref="H22" si="7">H23</f>
        <v>1581.7360000000001</v>
      </c>
      <c r="I22" s="358">
        <f t="shared" si="5"/>
        <v>88.301010439345745</v>
      </c>
    </row>
    <row r="23" spans="1:9" s="213" customFormat="1" ht="15.75" x14ac:dyDescent="0.25">
      <c r="A23" s="25" t="s">
        <v>358</v>
      </c>
      <c r="B23" s="40" t="s">
        <v>1153</v>
      </c>
      <c r="C23" s="40" t="s">
        <v>166</v>
      </c>
      <c r="D23" s="40" t="s">
        <v>235</v>
      </c>
      <c r="E23" s="40" t="s">
        <v>225</v>
      </c>
      <c r="F23" s="40"/>
      <c r="G23" s="6">
        <f>'Пр.4 ведом.20'!G961</f>
        <v>1791.3</v>
      </c>
      <c r="H23" s="358">
        <f>'Пр.4 ведом.20'!H961</f>
        <v>1581.7360000000001</v>
      </c>
      <c r="I23" s="358">
        <f t="shared" si="5"/>
        <v>88.301010439345745</v>
      </c>
    </row>
    <row r="24" spans="1:9" ht="31.5" x14ac:dyDescent="0.25">
      <c r="A24" s="29" t="s">
        <v>147</v>
      </c>
      <c r="B24" s="40" t="s">
        <v>1153</v>
      </c>
      <c r="C24" s="40" t="s">
        <v>166</v>
      </c>
      <c r="D24" s="40" t="s">
        <v>235</v>
      </c>
      <c r="E24" s="40" t="s">
        <v>148</v>
      </c>
      <c r="F24" s="40"/>
      <c r="G24" s="6">
        <f t="shared" ref="G24:H24" si="8">G25</f>
        <v>1820</v>
      </c>
      <c r="H24" s="358">
        <f t="shared" si="8"/>
        <v>762.33199999999999</v>
      </c>
      <c r="I24" s="358">
        <f t="shared" si="5"/>
        <v>41.886373626373626</v>
      </c>
    </row>
    <row r="25" spans="1:9" ht="31.5" x14ac:dyDescent="0.25">
      <c r="A25" s="29" t="s">
        <v>149</v>
      </c>
      <c r="B25" s="40" t="s">
        <v>1153</v>
      </c>
      <c r="C25" s="40" t="s">
        <v>166</v>
      </c>
      <c r="D25" s="40" t="s">
        <v>235</v>
      </c>
      <c r="E25" s="40" t="s">
        <v>150</v>
      </c>
      <c r="F25" s="40"/>
      <c r="G25" s="6">
        <f>'Пр.4 ведом.20'!G963</f>
        <v>1820</v>
      </c>
      <c r="H25" s="358">
        <f>'Пр.4 ведом.20'!H963</f>
        <v>762.33199999999999</v>
      </c>
      <c r="I25" s="358">
        <f t="shared" si="5"/>
        <v>41.886373626373626</v>
      </c>
    </row>
    <row r="26" spans="1:9" s="213" customFormat="1" ht="31.5" x14ac:dyDescent="0.25">
      <c r="A26" s="45" t="s">
        <v>640</v>
      </c>
      <c r="B26" s="40" t="s">
        <v>1153</v>
      </c>
      <c r="C26" s="40" t="s">
        <v>166</v>
      </c>
      <c r="D26" s="40" t="s">
        <v>235</v>
      </c>
      <c r="E26" s="40" t="s">
        <v>150</v>
      </c>
      <c r="F26" s="40" t="s">
        <v>641</v>
      </c>
      <c r="G26" s="6">
        <f>G25</f>
        <v>1820</v>
      </c>
      <c r="H26" s="358">
        <f t="shared" ref="H26" si="9">H25</f>
        <v>762.33199999999999</v>
      </c>
      <c r="I26" s="358">
        <f t="shared" si="5"/>
        <v>41.886373626373626</v>
      </c>
    </row>
    <row r="27" spans="1:9" ht="15.75" hidden="1" x14ac:dyDescent="0.25">
      <c r="A27" s="25" t="s">
        <v>151</v>
      </c>
      <c r="B27" s="40" t="s">
        <v>1153</v>
      </c>
      <c r="C27" s="40" t="s">
        <v>166</v>
      </c>
      <c r="D27" s="40" t="s">
        <v>235</v>
      </c>
      <c r="E27" s="40" t="s">
        <v>161</v>
      </c>
      <c r="F27" s="40"/>
      <c r="G27" s="6">
        <f t="shared" ref="G27:H27" si="10">G28</f>
        <v>0</v>
      </c>
      <c r="H27" s="358">
        <f t="shared" si="10"/>
        <v>0</v>
      </c>
      <c r="I27" s="358" t="e">
        <f t="shared" si="5"/>
        <v>#DIV/0!</v>
      </c>
    </row>
    <row r="28" spans="1:9" ht="15.75" hidden="1" x14ac:dyDescent="0.25">
      <c r="A28" s="25" t="s">
        <v>153</v>
      </c>
      <c r="B28" s="40" t="s">
        <v>1153</v>
      </c>
      <c r="C28" s="40" t="s">
        <v>166</v>
      </c>
      <c r="D28" s="40" t="s">
        <v>235</v>
      </c>
      <c r="E28" s="40" t="s">
        <v>154</v>
      </c>
      <c r="F28" s="40"/>
      <c r="G28" s="6">
        <f>'Пр.4 ведом.20'!G965</f>
        <v>0</v>
      </c>
      <c r="H28" s="358">
        <f>'Пр.4 ведом.20'!H965</f>
        <v>0</v>
      </c>
      <c r="I28" s="358" t="e">
        <f t="shared" si="5"/>
        <v>#DIV/0!</v>
      </c>
    </row>
    <row r="29" spans="1:9" ht="31.5" hidden="1" x14ac:dyDescent="0.25">
      <c r="A29" s="45" t="s">
        <v>640</v>
      </c>
      <c r="B29" s="40" t="s">
        <v>1153</v>
      </c>
      <c r="C29" s="40" t="s">
        <v>166</v>
      </c>
      <c r="D29" s="40" t="s">
        <v>235</v>
      </c>
      <c r="E29" s="40" t="s">
        <v>154</v>
      </c>
      <c r="F29" s="40" t="s">
        <v>641</v>
      </c>
      <c r="G29" s="6">
        <f>G28</f>
        <v>0</v>
      </c>
      <c r="H29" s="358">
        <f t="shared" ref="H29" si="11">H28</f>
        <v>0</v>
      </c>
      <c r="I29" s="358" t="e">
        <f t="shared" si="5"/>
        <v>#DIV/0!</v>
      </c>
    </row>
    <row r="30" spans="1:9" ht="47.25" x14ac:dyDescent="0.25">
      <c r="A30" s="58" t="s">
        <v>359</v>
      </c>
      <c r="B30" s="7" t="s">
        <v>360</v>
      </c>
      <c r="C30" s="7"/>
      <c r="D30" s="7"/>
      <c r="E30" s="7"/>
      <c r="F30" s="7"/>
      <c r="G30" s="59">
        <f>G31+G60+G68+G76+G94+G102+G110+G151</f>
        <v>3106.8</v>
      </c>
      <c r="H30" s="340">
        <f t="shared" ref="H30" si="12">H31+H60+H68+H76+H94+H102+H110+H151</f>
        <v>1430.4470000000001</v>
      </c>
      <c r="I30" s="4">
        <f t="shared" si="5"/>
        <v>46.042455259430923</v>
      </c>
    </row>
    <row r="31" spans="1:9" ht="31.5" x14ac:dyDescent="0.25">
      <c r="A31" s="58" t="s">
        <v>642</v>
      </c>
      <c r="B31" s="7" t="s">
        <v>362</v>
      </c>
      <c r="C31" s="7"/>
      <c r="D31" s="7"/>
      <c r="E31" s="7"/>
      <c r="F31" s="7"/>
      <c r="G31" s="59">
        <f>G33+G43+G53</f>
        <v>475.2</v>
      </c>
      <c r="H31" s="340">
        <f t="shared" ref="H31" si="13">H33+H43+H53</f>
        <v>311.37</v>
      </c>
      <c r="I31" s="4">
        <f t="shared" si="5"/>
        <v>65.523989898989896</v>
      </c>
    </row>
    <row r="32" spans="1:9" s="213" customFormat="1" ht="47.25" hidden="1" x14ac:dyDescent="0.25">
      <c r="A32" s="219" t="s">
        <v>1196</v>
      </c>
      <c r="B32" s="24" t="s">
        <v>952</v>
      </c>
      <c r="C32" s="7"/>
      <c r="D32" s="7"/>
      <c r="E32" s="40"/>
      <c r="F32" s="40"/>
      <c r="G32" s="59">
        <f>G33</f>
        <v>0</v>
      </c>
      <c r="H32" s="340">
        <f t="shared" ref="H32" si="14">H33</f>
        <v>0</v>
      </c>
      <c r="I32" s="4" t="e">
        <f t="shared" si="5"/>
        <v>#DIV/0!</v>
      </c>
    </row>
    <row r="33" spans="1:9" ht="15.75" hidden="1" x14ac:dyDescent="0.25">
      <c r="A33" s="45" t="s">
        <v>279</v>
      </c>
      <c r="B33" s="40" t="s">
        <v>952</v>
      </c>
      <c r="C33" s="40" t="s">
        <v>280</v>
      </c>
      <c r="D33" s="40"/>
      <c r="E33" s="40"/>
      <c r="F33" s="40"/>
      <c r="G33" s="10">
        <f t="shared" ref="G33:H33" si="15">G34</f>
        <v>0</v>
      </c>
      <c r="H33" s="328">
        <f t="shared" si="15"/>
        <v>0</v>
      </c>
      <c r="I33" s="358" t="e">
        <f t="shared" si="5"/>
        <v>#DIV/0!</v>
      </c>
    </row>
    <row r="34" spans="1:9" ht="15.75" hidden="1" x14ac:dyDescent="0.25">
      <c r="A34" s="45" t="s">
        <v>482</v>
      </c>
      <c r="B34" s="40" t="s">
        <v>952</v>
      </c>
      <c r="C34" s="40" t="s">
        <v>280</v>
      </c>
      <c r="D34" s="40" t="s">
        <v>280</v>
      </c>
      <c r="E34" s="40"/>
      <c r="F34" s="40"/>
      <c r="G34" s="10">
        <f>G35+G39</f>
        <v>0</v>
      </c>
      <c r="H34" s="328">
        <f t="shared" ref="H34" si="16">H35+H39</f>
        <v>0</v>
      </c>
      <c r="I34" s="358" t="e">
        <f t="shared" si="5"/>
        <v>#DIV/0!</v>
      </c>
    </row>
    <row r="35" spans="1:9" s="213" customFormat="1" ht="31.5" hidden="1" x14ac:dyDescent="0.25">
      <c r="A35" s="99" t="s">
        <v>1202</v>
      </c>
      <c r="B35" s="20" t="s">
        <v>953</v>
      </c>
      <c r="C35" s="40" t="s">
        <v>280</v>
      </c>
      <c r="D35" s="40" t="s">
        <v>280</v>
      </c>
      <c r="E35" s="40"/>
      <c r="F35" s="40"/>
      <c r="G35" s="10">
        <f>G36</f>
        <v>0</v>
      </c>
      <c r="H35" s="328">
        <f t="shared" ref="H35:H36" si="17">H36</f>
        <v>0</v>
      </c>
      <c r="I35" s="358" t="e">
        <f t="shared" si="5"/>
        <v>#DIV/0!</v>
      </c>
    </row>
    <row r="36" spans="1:9" s="213" customFormat="1" ht="78.75" hidden="1" x14ac:dyDescent="0.25">
      <c r="A36" s="25" t="s">
        <v>143</v>
      </c>
      <c r="B36" s="20" t="s">
        <v>953</v>
      </c>
      <c r="C36" s="40" t="s">
        <v>280</v>
      </c>
      <c r="D36" s="40" t="s">
        <v>280</v>
      </c>
      <c r="E36" s="40" t="s">
        <v>144</v>
      </c>
      <c r="F36" s="40"/>
      <c r="G36" s="10">
        <f>G37</f>
        <v>0</v>
      </c>
      <c r="H36" s="328">
        <f t="shared" si="17"/>
        <v>0</v>
      </c>
      <c r="I36" s="358" t="e">
        <f t="shared" si="5"/>
        <v>#DIV/0!</v>
      </c>
    </row>
    <row r="37" spans="1:9" s="213" customFormat="1" ht="15.75" hidden="1" x14ac:dyDescent="0.25">
      <c r="A37" s="25" t="s">
        <v>358</v>
      </c>
      <c r="B37" s="20" t="s">
        <v>953</v>
      </c>
      <c r="C37" s="40" t="s">
        <v>280</v>
      </c>
      <c r="D37" s="40" t="s">
        <v>280</v>
      </c>
      <c r="E37" s="40" t="s">
        <v>225</v>
      </c>
      <c r="F37" s="40"/>
      <c r="G37" s="10">
        <f>'Пр.3 Рд,пр, ЦС,ВР 20'!F776</f>
        <v>0</v>
      </c>
      <c r="H37" s="328">
        <f>'Пр.3 Рд,пр, ЦС,ВР 20'!G776</f>
        <v>0</v>
      </c>
      <c r="I37" s="358" t="e">
        <f t="shared" si="5"/>
        <v>#DIV/0!</v>
      </c>
    </row>
    <row r="38" spans="1:9" s="213" customFormat="1" ht="47.25" hidden="1" x14ac:dyDescent="0.25">
      <c r="A38" s="45" t="s">
        <v>277</v>
      </c>
      <c r="B38" s="20" t="s">
        <v>953</v>
      </c>
      <c r="C38" s="40" t="s">
        <v>280</v>
      </c>
      <c r="D38" s="40" t="s">
        <v>280</v>
      </c>
      <c r="E38" s="40" t="s">
        <v>225</v>
      </c>
      <c r="F38" s="40" t="s">
        <v>644</v>
      </c>
      <c r="G38" s="6">
        <f>G37</f>
        <v>0</v>
      </c>
      <c r="H38" s="358">
        <f t="shared" ref="H38" si="18">H37</f>
        <v>0</v>
      </c>
      <c r="I38" s="358" t="e">
        <f t="shared" si="5"/>
        <v>#DIV/0!</v>
      </c>
    </row>
    <row r="39" spans="1:9" s="213" customFormat="1" ht="15.75" hidden="1" x14ac:dyDescent="0.25">
      <c r="A39" s="25" t="s">
        <v>1197</v>
      </c>
      <c r="B39" s="20" t="s">
        <v>1221</v>
      </c>
      <c r="C39" s="40" t="s">
        <v>280</v>
      </c>
      <c r="D39" s="40" t="s">
        <v>280</v>
      </c>
      <c r="E39" s="40"/>
      <c r="F39" s="40"/>
      <c r="G39" s="10">
        <f>G40</f>
        <v>0</v>
      </c>
      <c r="H39" s="328">
        <f t="shared" ref="H39:H40" si="19">H40</f>
        <v>0</v>
      </c>
      <c r="I39" s="358" t="e">
        <f t="shared" si="5"/>
        <v>#DIV/0!</v>
      </c>
    </row>
    <row r="40" spans="1:9" s="213" customFormat="1" ht="31.5" hidden="1" x14ac:dyDescent="0.25">
      <c r="A40" s="25" t="s">
        <v>147</v>
      </c>
      <c r="B40" s="20" t="s">
        <v>1221</v>
      </c>
      <c r="C40" s="40" t="s">
        <v>280</v>
      </c>
      <c r="D40" s="40" t="s">
        <v>280</v>
      </c>
      <c r="E40" s="40" t="s">
        <v>148</v>
      </c>
      <c r="F40" s="40"/>
      <c r="G40" s="10">
        <f>G41</f>
        <v>0</v>
      </c>
      <c r="H40" s="328">
        <f t="shared" si="19"/>
        <v>0</v>
      </c>
      <c r="I40" s="358" t="e">
        <f t="shared" si="5"/>
        <v>#DIV/0!</v>
      </c>
    </row>
    <row r="41" spans="1:9" s="213" customFormat="1" ht="31.5" hidden="1" x14ac:dyDescent="0.25">
      <c r="A41" s="25" t="s">
        <v>149</v>
      </c>
      <c r="B41" s="20" t="s">
        <v>1221</v>
      </c>
      <c r="C41" s="40" t="s">
        <v>280</v>
      </c>
      <c r="D41" s="40" t="s">
        <v>280</v>
      </c>
      <c r="E41" s="40" t="s">
        <v>150</v>
      </c>
      <c r="F41" s="40"/>
      <c r="G41" s="10">
        <f>'Пр.3 Рд,пр, ЦС,ВР 20'!F779</f>
        <v>0</v>
      </c>
      <c r="H41" s="328">
        <f>'Пр.3 Рд,пр, ЦС,ВР 20'!G779</f>
        <v>0</v>
      </c>
      <c r="I41" s="358" t="e">
        <f t="shared" si="5"/>
        <v>#DIV/0!</v>
      </c>
    </row>
    <row r="42" spans="1:9" s="213" customFormat="1" ht="47.25" hidden="1" x14ac:dyDescent="0.25">
      <c r="A42" s="45" t="s">
        <v>277</v>
      </c>
      <c r="B42" s="20" t="s">
        <v>1221</v>
      </c>
      <c r="C42" s="40" t="s">
        <v>280</v>
      </c>
      <c r="D42" s="40" t="s">
        <v>280</v>
      </c>
      <c r="E42" s="40" t="s">
        <v>150</v>
      </c>
      <c r="F42" s="40" t="s">
        <v>644</v>
      </c>
      <c r="G42" s="6">
        <f>G41</f>
        <v>0</v>
      </c>
      <c r="H42" s="358">
        <f t="shared" ref="H42" si="20">H41</f>
        <v>0</v>
      </c>
      <c r="I42" s="358" t="e">
        <f t="shared" si="5"/>
        <v>#DIV/0!</v>
      </c>
    </row>
    <row r="43" spans="1:9" s="213" customFormat="1" ht="63" x14ac:dyDescent="0.25">
      <c r="A43" s="23" t="s">
        <v>1198</v>
      </c>
      <c r="B43" s="24" t="s">
        <v>954</v>
      </c>
      <c r="C43" s="40"/>
      <c r="D43" s="40"/>
      <c r="E43" s="40"/>
      <c r="F43" s="40"/>
      <c r="G43" s="59">
        <f>G44</f>
        <v>450.2</v>
      </c>
      <c r="H43" s="340">
        <f t="shared" ref="H43:H44" si="21">H44</f>
        <v>286.37</v>
      </c>
      <c r="I43" s="4">
        <f t="shared" si="5"/>
        <v>63.609506885828523</v>
      </c>
    </row>
    <row r="44" spans="1:9" s="213" customFormat="1" ht="15.75" x14ac:dyDescent="0.25">
      <c r="A44" s="45" t="s">
        <v>279</v>
      </c>
      <c r="B44" s="40" t="s">
        <v>954</v>
      </c>
      <c r="C44" s="40" t="s">
        <v>280</v>
      </c>
      <c r="D44" s="40"/>
      <c r="E44" s="40"/>
      <c r="F44" s="40"/>
      <c r="G44" s="10">
        <f>G45</f>
        <v>450.2</v>
      </c>
      <c r="H44" s="328">
        <f t="shared" si="21"/>
        <v>286.37</v>
      </c>
      <c r="I44" s="358">
        <f t="shared" si="5"/>
        <v>63.609506885828523</v>
      </c>
    </row>
    <row r="45" spans="1:9" s="213" customFormat="1" ht="15.75" x14ac:dyDescent="0.25">
      <c r="A45" s="45" t="s">
        <v>482</v>
      </c>
      <c r="B45" s="40" t="s">
        <v>954</v>
      </c>
      <c r="C45" s="40" t="s">
        <v>280</v>
      </c>
      <c r="D45" s="40" t="s">
        <v>280</v>
      </c>
      <c r="E45" s="40"/>
      <c r="F45" s="40"/>
      <c r="G45" s="10">
        <f>G46+G50</f>
        <v>450.2</v>
      </c>
      <c r="H45" s="328">
        <f t="shared" ref="H45" si="22">H46+H50</f>
        <v>286.37</v>
      </c>
      <c r="I45" s="358">
        <f t="shared" si="5"/>
        <v>63.609506885828523</v>
      </c>
    </row>
    <row r="46" spans="1:9" ht="15.75" x14ac:dyDescent="0.25">
      <c r="A46" s="25" t="s">
        <v>1199</v>
      </c>
      <c r="B46" s="20" t="s">
        <v>972</v>
      </c>
      <c r="C46" s="40" t="s">
        <v>280</v>
      </c>
      <c r="D46" s="40" t="s">
        <v>280</v>
      </c>
      <c r="E46" s="40"/>
      <c r="F46" s="40"/>
      <c r="G46" s="10">
        <f>G47</f>
        <v>40</v>
      </c>
      <c r="H46" s="328">
        <f t="shared" ref="H46" si="23">H47</f>
        <v>286.37</v>
      </c>
      <c r="I46" s="358">
        <f t="shared" si="5"/>
        <v>715.92499999999995</v>
      </c>
    </row>
    <row r="47" spans="1:9" ht="78.75" x14ac:dyDescent="0.25">
      <c r="A47" s="25" t="s">
        <v>143</v>
      </c>
      <c r="B47" s="20" t="s">
        <v>972</v>
      </c>
      <c r="C47" s="40" t="s">
        <v>280</v>
      </c>
      <c r="D47" s="40" t="s">
        <v>280</v>
      </c>
      <c r="E47" s="40" t="s">
        <v>144</v>
      </c>
      <c r="F47" s="40"/>
      <c r="G47" s="10">
        <f t="shared" ref="G47:H47" si="24">G48</f>
        <v>40</v>
      </c>
      <c r="H47" s="328">
        <f t="shared" si="24"/>
        <v>286.37</v>
      </c>
      <c r="I47" s="358">
        <f t="shared" si="5"/>
        <v>715.92499999999995</v>
      </c>
    </row>
    <row r="48" spans="1:9" ht="15.75" x14ac:dyDescent="0.25">
      <c r="A48" s="25" t="s">
        <v>358</v>
      </c>
      <c r="B48" s="20" t="s">
        <v>972</v>
      </c>
      <c r="C48" s="40" t="s">
        <v>280</v>
      </c>
      <c r="D48" s="40" t="s">
        <v>280</v>
      </c>
      <c r="E48" s="40" t="s">
        <v>225</v>
      </c>
      <c r="F48" s="40"/>
      <c r="G48" s="10">
        <f>'Пр.3 Рд,пр, ЦС,ВР 20'!F783</f>
        <v>40</v>
      </c>
      <c r="H48" s="328">
        <f>'Пр.3 Рд,пр, ЦС,ВР 20'!G783</f>
        <v>286.37</v>
      </c>
      <c r="I48" s="358">
        <f t="shared" si="5"/>
        <v>715.92499999999995</v>
      </c>
    </row>
    <row r="49" spans="1:9" s="213" customFormat="1" ht="47.25" x14ac:dyDescent="0.25">
      <c r="A49" s="45" t="s">
        <v>277</v>
      </c>
      <c r="B49" s="20" t="s">
        <v>972</v>
      </c>
      <c r="C49" s="40" t="s">
        <v>280</v>
      </c>
      <c r="D49" s="40" t="s">
        <v>280</v>
      </c>
      <c r="E49" s="40" t="s">
        <v>225</v>
      </c>
      <c r="F49" s="40" t="s">
        <v>644</v>
      </c>
      <c r="G49" s="6">
        <f>G48</f>
        <v>40</v>
      </c>
      <c r="H49" s="358">
        <f t="shared" ref="H49" si="25">H48</f>
        <v>286.37</v>
      </c>
      <c r="I49" s="358">
        <f t="shared" si="5"/>
        <v>715.92499999999995</v>
      </c>
    </row>
    <row r="50" spans="1:9" ht="31.5" x14ac:dyDescent="0.25">
      <c r="A50" s="25" t="s">
        <v>147</v>
      </c>
      <c r="B50" s="20" t="s">
        <v>972</v>
      </c>
      <c r="C50" s="40" t="s">
        <v>280</v>
      </c>
      <c r="D50" s="40" t="s">
        <v>280</v>
      </c>
      <c r="E50" s="40" t="s">
        <v>148</v>
      </c>
      <c r="F50" s="40"/>
      <c r="G50" s="10">
        <f t="shared" ref="G50:H50" si="26">G51</f>
        <v>410.2</v>
      </c>
      <c r="H50" s="328">
        <f t="shared" si="26"/>
        <v>0</v>
      </c>
      <c r="I50" s="358">
        <f t="shared" si="5"/>
        <v>0</v>
      </c>
    </row>
    <row r="51" spans="1:9" ht="31.5" x14ac:dyDescent="0.25">
      <c r="A51" s="25" t="s">
        <v>149</v>
      </c>
      <c r="B51" s="20" t="s">
        <v>972</v>
      </c>
      <c r="C51" s="40" t="s">
        <v>280</v>
      </c>
      <c r="D51" s="40" t="s">
        <v>280</v>
      </c>
      <c r="E51" s="40" t="s">
        <v>150</v>
      </c>
      <c r="F51" s="40"/>
      <c r="G51" s="6">
        <f>'Пр.3 Рд,пр, ЦС,ВР 20'!F785</f>
        <v>410.2</v>
      </c>
      <c r="H51" s="358">
        <f>'Пр.3 Рд,пр, ЦС,ВР 20'!G785</f>
        <v>0</v>
      </c>
      <c r="I51" s="358">
        <f t="shared" si="5"/>
        <v>0</v>
      </c>
    </row>
    <row r="52" spans="1:9" s="213" customFormat="1" ht="47.25" x14ac:dyDescent="0.25">
      <c r="A52" s="45" t="s">
        <v>277</v>
      </c>
      <c r="B52" s="20" t="s">
        <v>972</v>
      </c>
      <c r="C52" s="40" t="s">
        <v>280</v>
      </c>
      <c r="D52" s="40" t="s">
        <v>280</v>
      </c>
      <c r="E52" s="40" t="s">
        <v>150</v>
      </c>
      <c r="F52" s="40" t="s">
        <v>644</v>
      </c>
      <c r="G52" s="6">
        <f>G51</f>
        <v>410.2</v>
      </c>
      <c r="H52" s="358">
        <f t="shared" ref="H52" si="27">H51</f>
        <v>0</v>
      </c>
      <c r="I52" s="358">
        <f t="shared" si="5"/>
        <v>0</v>
      </c>
    </row>
    <row r="53" spans="1:9" ht="33" customHeight="1" x14ac:dyDescent="0.25">
      <c r="A53" s="23" t="s">
        <v>1204</v>
      </c>
      <c r="B53" s="24" t="s">
        <v>1200</v>
      </c>
      <c r="C53" s="40"/>
      <c r="D53" s="40"/>
      <c r="E53" s="40"/>
      <c r="F53" s="40"/>
      <c r="G53" s="4">
        <f>G56</f>
        <v>25</v>
      </c>
      <c r="H53" s="4">
        <f t="shared" ref="H53" si="28">H56</f>
        <v>25</v>
      </c>
      <c r="I53" s="4">
        <f t="shared" si="5"/>
        <v>100</v>
      </c>
    </row>
    <row r="54" spans="1:9" s="213" customFormat="1" ht="16.5" customHeight="1" x14ac:dyDescent="0.25">
      <c r="A54" s="45" t="s">
        <v>279</v>
      </c>
      <c r="B54" s="40" t="s">
        <v>1200</v>
      </c>
      <c r="C54" s="40" t="s">
        <v>280</v>
      </c>
      <c r="D54" s="40"/>
      <c r="E54" s="40"/>
      <c r="F54" s="40"/>
      <c r="G54" s="10">
        <f>G55</f>
        <v>25</v>
      </c>
      <c r="H54" s="328">
        <f t="shared" ref="H54:H55" si="29">H55</f>
        <v>25</v>
      </c>
      <c r="I54" s="358">
        <f t="shared" si="5"/>
        <v>100</v>
      </c>
    </row>
    <row r="55" spans="1:9" s="213" customFormat="1" ht="18.75" customHeight="1" x14ac:dyDescent="0.25">
      <c r="A55" s="45" t="s">
        <v>482</v>
      </c>
      <c r="B55" s="40" t="s">
        <v>1200</v>
      </c>
      <c r="C55" s="40" t="s">
        <v>280</v>
      </c>
      <c r="D55" s="40" t="s">
        <v>280</v>
      </c>
      <c r="E55" s="40"/>
      <c r="F55" s="40"/>
      <c r="G55" s="10">
        <f>G56</f>
        <v>25</v>
      </c>
      <c r="H55" s="328">
        <f t="shared" si="29"/>
        <v>25</v>
      </c>
      <c r="I55" s="358">
        <f t="shared" si="5"/>
        <v>100</v>
      </c>
    </row>
    <row r="56" spans="1:9" ht="47.25" x14ac:dyDescent="0.25">
      <c r="A56" s="245" t="s">
        <v>1201</v>
      </c>
      <c r="B56" s="20" t="s">
        <v>1222</v>
      </c>
      <c r="C56" s="40" t="s">
        <v>280</v>
      </c>
      <c r="D56" s="40" t="s">
        <v>280</v>
      </c>
      <c r="E56" s="20"/>
      <c r="F56" s="40"/>
      <c r="G56" s="6">
        <f t="shared" ref="G56:H57" si="30">G57</f>
        <v>25</v>
      </c>
      <c r="H56" s="358">
        <f t="shared" si="30"/>
        <v>25</v>
      </c>
      <c r="I56" s="358">
        <f t="shared" si="5"/>
        <v>100</v>
      </c>
    </row>
    <row r="57" spans="1:9" ht="15.75" x14ac:dyDescent="0.25">
      <c r="A57" s="25" t="s">
        <v>264</v>
      </c>
      <c r="B57" s="20" t="s">
        <v>1222</v>
      </c>
      <c r="C57" s="40" t="s">
        <v>280</v>
      </c>
      <c r="D57" s="40" t="s">
        <v>280</v>
      </c>
      <c r="E57" s="20" t="s">
        <v>265</v>
      </c>
      <c r="F57" s="40"/>
      <c r="G57" s="6">
        <f>G58</f>
        <v>25</v>
      </c>
      <c r="H57" s="358">
        <f t="shared" si="30"/>
        <v>25</v>
      </c>
      <c r="I57" s="358">
        <f t="shared" si="5"/>
        <v>100</v>
      </c>
    </row>
    <row r="58" spans="1:9" ht="32.25" customHeight="1" x14ac:dyDescent="0.25">
      <c r="A58" s="25" t="s">
        <v>1488</v>
      </c>
      <c r="B58" s="20" t="s">
        <v>1222</v>
      </c>
      <c r="C58" s="40" t="s">
        <v>280</v>
      </c>
      <c r="D58" s="40" t="s">
        <v>280</v>
      </c>
      <c r="E58" s="20" t="s">
        <v>1487</v>
      </c>
      <c r="F58" s="40"/>
      <c r="G58" s="10">
        <f>'Пр.3 Рд,пр, ЦС,ВР 20'!F789</f>
        <v>25</v>
      </c>
      <c r="H58" s="328">
        <f>'Пр.3 Рд,пр, ЦС,ВР 20'!G789</f>
        <v>25</v>
      </c>
      <c r="I58" s="358">
        <f t="shared" si="5"/>
        <v>100</v>
      </c>
    </row>
    <row r="59" spans="1:9" s="213" customFormat="1" ht="47.25" x14ac:dyDescent="0.25">
      <c r="A59" s="45" t="s">
        <v>277</v>
      </c>
      <c r="B59" s="20" t="s">
        <v>1222</v>
      </c>
      <c r="C59" s="40" t="s">
        <v>280</v>
      </c>
      <c r="D59" s="40" t="s">
        <v>280</v>
      </c>
      <c r="E59" s="40" t="s">
        <v>1487</v>
      </c>
      <c r="F59" s="40" t="s">
        <v>644</v>
      </c>
      <c r="G59" s="6">
        <f>G58</f>
        <v>25</v>
      </c>
      <c r="H59" s="358">
        <f t="shared" ref="H59" si="31">H58</f>
        <v>25</v>
      </c>
      <c r="I59" s="358">
        <f t="shared" si="5"/>
        <v>100</v>
      </c>
    </row>
    <row r="60" spans="1:9" ht="31.5" x14ac:dyDescent="0.25">
      <c r="A60" s="58" t="s">
        <v>645</v>
      </c>
      <c r="B60" s="7" t="s">
        <v>369</v>
      </c>
      <c r="C60" s="7"/>
      <c r="D60" s="7"/>
      <c r="E60" s="7"/>
      <c r="F60" s="7"/>
      <c r="G60" s="59">
        <f>G61</f>
        <v>169.20000000000002</v>
      </c>
      <c r="H60" s="340">
        <f t="shared" ref="H60:H61" si="32">H61</f>
        <v>169.2</v>
      </c>
      <c r="I60" s="4">
        <f t="shared" si="5"/>
        <v>99.999999999999972</v>
      </c>
    </row>
    <row r="61" spans="1:9" s="213" customFormat="1" ht="31.5" x14ac:dyDescent="0.25">
      <c r="A61" s="23" t="s">
        <v>976</v>
      </c>
      <c r="B61" s="24" t="s">
        <v>975</v>
      </c>
      <c r="C61" s="7"/>
      <c r="D61" s="7"/>
      <c r="E61" s="7"/>
      <c r="F61" s="7"/>
      <c r="G61" s="59">
        <f>G62</f>
        <v>169.20000000000002</v>
      </c>
      <c r="H61" s="340">
        <f t="shared" si="32"/>
        <v>169.2</v>
      </c>
      <c r="I61" s="4">
        <f t="shared" si="5"/>
        <v>99.999999999999972</v>
      </c>
    </row>
    <row r="62" spans="1:9" ht="15.75" x14ac:dyDescent="0.25">
      <c r="A62" s="45" t="s">
        <v>259</v>
      </c>
      <c r="B62" s="40" t="s">
        <v>975</v>
      </c>
      <c r="C62" s="40" t="s">
        <v>260</v>
      </c>
      <c r="D62" s="40"/>
      <c r="E62" s="40"/>
      <c r="F62" s="40"/>
      <c r="G62" s="10">
        <f t="shared" ref="G62:H65" si="33">G63</f>
        <v>169.20000000000002</v>
      </c>
      <c r="H62" s="328">
        <f t="shared" si="33"/>
        <v>169.2</v>
      </c>
      <c r="I62" s="358">
        <f t="shared" si="5"/>
        <v>99.999999999999972</v>
      </c>
    </row>
    <row r="63" spans="1:9" ht="15.75" x14ac:dyDescent="0.25">
      <c r="A63" s="45" t="s">
        <v>268</v>
      </c>
      <c r="B63" s="40" t="s">
        <v>975</v>
      </c>
      <c r="C63" s="40" t="s">
        <v>260</v>
      </c>
      <c r="D63" s="40" t="s">
        <v>231</v>
      </c>
      <c r="E63" s="40"/>
      <c r="F63" s="40"/>
      <c r="G63" s="10">
        <f>G64</f>
        <v>169.20000000000002</v>
      </c>
      <c r="H63" s="328">
        <f t="shared" si="33"/>
        <v>169.2</v>
      </c>
      <c r="I63" s="358">
        <f t="shared" si="5"/>
        <v>99.999999999999972</v>
      </c>
    </row>
    <row r="64" spans="1:9" ht="31.5" x14ac:dyDescent="0.25">
      <c r="A64" s="25" t="s">
        <v>869</v>
      </c>
      <c r="B64" s="20" t="s">
        <v>977</v>
      </c>
      <c r="C64" s="40" t="s">
        <v>260</v>
      </c>
      <c r="D64" s="40" t="s">
        <v>231</v>
      </c>
      <c r="E64" s="40"/>
      <c r="F64" s="40"/>
      <c r="G64" s="10">
        <f t="shared" si="33"/>
        <v>169.20000000000002</v>
      </c>
      <c r="H64" s="328">
        <f t="shared" si="33"/>
        <v>169.2</v>
      </c>
      <c r="I64" s="358">
        <f t="shared" si="5"/>
        <v>99.999999999999972</v>
      </c>
    </row>
    <row r="65" spans="1:9" ht="15.75" x14ac:dyDescent="0.25">
      <c r="A65" s="29" t="s">
        <v>264</v>
      </c>
      <c r="B65" s="20" t="s">
        <v>977</v>
      </c>
      <c r="C65" s="40" t="s">
        <v>260</v>
      </c>
      <c r="D65" s="40" t="s">
        <v>231</v>
      </c>
      <c r="E65" s="40" t="s">
        <v>265</v>
      </c>
      <c r="F65" s="40"/>
      <c r="G65" s="10">
        <f t="shared" si="33"/>
        <v>169.20000000000002</v>
      </c>
      <c r="H65" s="328">
        <f t="shared" si="33"/>
        <v>169.2</v>
      </c>
      <c r="I65" s="358">
        <f t="shared" si="5"/>
        <v>99.999999999999972</v>
      </c>
    </row>
    <row r="66" spans="1:9" ht="31.5" x14ac:dyDescent="0.25">
      <c r="A66" s="29" t="s">
        <v>266</v>
      </c>
      <c r="B66" s="20" t="s">
        <v>977</v>
      </c>
      <c r="C66" s="40" t="s">
        <v>260</v>
      </c>
      <c r="D66" s="40" t="s">
        <v>231</v>
      </c>
      <c r="E66" s="40" t="s">
        <v>267</v>
      </c>
      <c r="F66" s="40"/>
      <c r="G66" s="10">
        <f>'Пр.4 ведом.20'!G454</f>
        <v>169.20000000000002</v>
      </c>
      <c r="H66" s="328">
        <f>'Пр.4 ведом.20'!H454</f>
        <v>169.2</v>
      </c>
      <c r="I66" s="358">
        <f t="shared" si="5"/>
        <v>99.999999999999972</v>
      </c>
    </row>
    <row r="67" spans="1:9" ht="47.25" x14ac:dyDescent="0.25">
      <c r="A67" s="45" t="s">
        <v>277</v>
      </c>
      <c r="B67" s="20" t="s">
        <v>977</v>
      </c>
      <c r="C67" s="40" t="s">
        <v>260</v>
      </c>
      <c r="D67" s="40" t="s">
        <v>231</v>
      </c>
      <c r="E67" s="40" t="s">
        <v>267</v>
      </c>
      <c r="F67" s="40" t="s">
        <v>644</v>
      </c>
      <c r="G67" s="10">
        <f t="shared" ref="G67:H67" si="34">G60</f>
        <v>169.20000000000002</v>
      </c>
      <c r="H67" s="328">
        <f t="shared" si="34"/>
        <v>169.2</v>
      </c>
      <c r="I67" s="358">
        <f t="shared" si="5"/>
        <v>99.999999999999972</v>
      </c>
    </row>
    <row r="68" spans="1:9" ht="31.5" x14ac:dyDescent="0.25">
      <c r="A68" s="58" t="s">
        <v>646</v>
      </c>
      <c r="B68" s="7" t="s">
        <v>372</v>
      </c>
      <c r="C68" s="7"/>
      <c r="D68" s="7"/>
      <c r="E68" s="7"/>
      <c r="F68" s="7"/>
      <c r="G68" s="59">
        <f t="shared" ref="G68:H68" si="35">G70</f>
        <v>420</v>
      </c>
      <c r="H68" s="340">
        <f t="shared" si="35"/>
        <v>190</v>
      </c>
      <c r="I68" s="4">
        <f t="shared" si="5"/>
        <v>45.238095238095241</v>
      </c>
    </row>
    <row r="69" spans="1:9" s="213" customFormat="1" ht="31.5" x14ac:dyDescent="0.25">
      <c r="A69" s="23" t="s">
        <v>1148</v>
      </c>
      <c r="B69" s="24" t="s">
        <v>978</v>
      </c>
      <c r="C69" s="40"/>
      <c r="D69" s="40"/>
      <c r="E69" s="40"/>
      <c r="F69" s="40"/>
      <c r="G69" s="10">
        <f>G70</f>
        <v>420</v>
      </c>
      <c r="H69" s="328">
        <f t="shared" ref="H69" si="36">H70</f>
        <v>190</v>
      </c>
      <c r="I69" s="358">
        <f t="shared" si="5"/>
        <v>45.238095238095241</v>
      </c>
    </row>
    <row r="70" spans="1:9" ht="15.75" x14ac:dyDescent="0.25">
      <c r="A70" s="45" t="s">
        <v>259</v>
      </c>
      <c r="B70" s="40" t="s">
        <v>978</v>
      </c>
      <c r="C70" s="40" t="s">
        <v>260</v>
      </c>
      <c r="D70" s="40"/>
      <c r="E70" s="40"/>
      <c r="F70" s="40"/>
      <c r="G70" s="10">
        <f t="shared" ref="G70:H73" si="37">G71</f>
        <v>420</v>
      </c>
      <c r="H70" s="328">
        <f t="shared" si="37"/>
        <v>190</v>
      </c>
      <c r="I70" s="358">
        <f t="shared" si="5"/>
        <v>45.238095238095241</v>
      </c>
    </row>
    <row r="71" spans="1:9" ht="15.75" x14ac:dyDescent="0.25">
      <c r="A71" s="45" t="s">
        <v>268</v>
      </c>
      <c r="B71" s="40" t="s">
        <v>978</v>
      </c>
      <c r="C71" s="40" t="s">
        <v>260</v>
      </c>
      <c r="D71" s="40" t="s">
        <v>231</v>
      </c>
      <c r="E71" s="40"/>
      <c r="F71" s="40"/>
      <c r="G71" s="10">
        <f>G72</f>
        <v>420</v>
      </c>
      <c r="H71" s="328">
        <f t="shared" si="37"/>
        <v>190</v>
      </c>
      <c r="I71" s="358">
        <f t="shared" si="5"/>
        <v>45.238095238095241</v>
      </c>
    </row>
    <row r="72" spans="1:9" ht="31.5" x14ac:dyDescent="0.25">
      <c r="A72" s="29" t="s">
        <v>173</v>
      </c>
      <c r="B72" s="20" t="s">
        <v>979</v>
      </c>
      <c r="C72" s="40" t="s">
        <v>260</v>
      </c>
      <c r="D72" s="40" t="s">
        <v>231</v>
      </c>
      <c r="E72" s="40"/>
      <c r="F72" s="40"/>
      <c r="G72" s="10">
        <f t="shared" si="37"/>
        <v>420</v>
      </c>
      <c r="H72" s="328">
        <f t="shared" si="37"/>
        <v>190</v>
      </c>
      <c r="I72" s="358">
        <f t="shared" si="5"/>
        <v>45.238095238095241</v>
      </c>
    </row>
    <row r="73" spans="1:9" ht="15.75" x14ac:dyDescent="0.25">
      <c r="A73" s="29" t="s">
        <v>264</v>
      </c>
      <c r="B73" s="20" t="s">
        <v>979</v>
      </c>
      <c r="C73" s="40" t="s">
        <v>260</v>
      </c>
      <c r="D73" s="40" t="s">
        <v>231</v>
      </c>
      <c r="E73" s="40" t="s">
        <v>265</v>
      </c>
      <c r="F73" s="40"/>
      <c r="G73" s="10">
        <f t="shared" si="37"/>
        <v>420</v>
      </c>
      <c r="H73" s="328">
        <f t="shared" si="37"/>
        <v>190</v>
      </c>
      <c r="I73" s="358">
        <f t="shared" si="5"/>
        <v>45.238095238095241</v>
      </c>
    </row>
    <row r="74" spans="1:9" ht="31.5" x14ac:dyDescent="0.25">
      <c r="A74" s="29" t="s">
        <v>364</v>
      </c>
      <c r="B74" s="20" t="s">
        <v>979</v>
      </c>
      <c r="C74" s="40" t="s">
        <v>260</v>
      </c>
      <c r="D74" s="40" t="s">
        <v>231</v>
      </c>
      <c r="E74" s="40" t="s">
        <v>365</v>
      </c>
      <c r="F74" s="40"/>
      <c r="G74" s="10">
        <f>'Пр.4 ведом.20'!G459</f>
        <v>420</v>
      </c>
      <c r="H74" s="328">
        <f>'Пр.4 ведом.20'!H459</f>
        <v>190</v>
      </c>
      <c r="I74" s="358">
        <f t="shared" si="5"/>
        <v>45.238095238095241</v>
      </c>
    </row>
    <row r="75" spans="1:9" ht="47.25" x14ac:dyDescent="0.25">
      <c r="A75" s="45" t="s">
        <v>277</v>
      </c>
      <c r="B75" s="20" t="s">
        <v>979</v>
      </c>
      <c r="C75" s="40" t="s">
        <v>260</v>
      </c>
      <c r="D75" s="40" t="s">
        <v>231</v>
      </c>
      <c r="E75" s="40" t="s">
        <v>365</v>
      </c>
      <c r="F75" s="40" t="s">
        <v>644</v>
      </c>
      <c r="G75" s="10">
        <f t="shared" ref="G75:H75" si="38">G68</f>
        <v>420</v>
      </c>
      <c r="H75" s="328">
        <f t="shared" si="38"/>
        <v>190</v>
      </c>
      <c r="I75" s="358">
        <f t="shared" si="5"/>
        <v>45.238095238095241</v>
      </c>
    </row>
    <row r="76" spans="1:9" ht="15.75" x14ac:dyDescent="0.25">
      <c r="A76" s="58" t="s">
        <v>648</v>
      </c>
      <c r="B76" s="7" t="s">
        <v>375</v>
      </c>
      <c r="C76" s="7"/>
      <c r="D76" s="7"/>
      <c r="E76" s="7"/>
      <c r="F76" s="7"/>
      <c r="G76" s="59">
        <f>G78+G84</f>
        <v>1073.7</v>
      </c>
      <c r="H76" s="340">
        <f t="shared" ref="H76" si="39">H78+H84</f>
        <v>432.44</v>
      </c>
      <c r="I76" s="4">
        <f t="shared" si="5"/>
        <v>40.275682220359506</v>
      </c>
    </row>
    <row r="77" spans="1:9" s="213" customFormat="1" ht="31.5" x14ac:dyDescent="0.25">
      <c r="A77" s="23" t="s">
        <v>1205</v>
      </c>
      <c r="B77" s="24" t="s">
        <v>981</v>
      </c>
      <c r="C77" s="40"/>
      <c r="D77" s="40"/>
      <c r="E77" s="40"/>
      <c r="F77" s="40"/>
      <c r="G77" s="10">
        <f>G78</f>
        <v>630</v>
      </c>
      <c r="H77" s="328">
        <f t="shared" ref="H77" si="40">H78</f>
        <v>348.45</v>
      </c>
      <c r="I77" s="358">
        <f t="shared" si="5"/>
        <v>55.30952380952381</v>
      </c>
    </row>
    <row r="78" spans="1:9" ht="15.75" x14ac:dyDescent="0.25">
      <c r="A78" s="45" t="s">
        <v>259</v>
      </c>
      <c r="B78" s="40" t="s">
        <v>981</v>
      </c>
      <c r="C78" s="40" t="s">
        <v>260</v>
      </c>
      <c r="D78" s="40"/>
      <c r="E78" s="40"/>
      <c r="F78" s="40"/>
      <c r="G78" s="10">
        <f t="shared" ref="G78:H80" si="41">G79</f>
        <v>630</v>
      </c>
      <c r="H78" s="328">
        <f t="shared" si="41"/>
        <v>348.45</v>
      </c>
      <c r="I78" s="358">
        <f t="shared" si="5"/>
        <v>55.30952380952381</v>
      </c>
    </row>
    <row r="79" spans="1:9" ht="15.75" x14ac:dyDescent="0.25">
      <c r="A79" s="45" t="s">
        <v>268</v>
      </c>
      <c r="B79" s="40" t="s">
        <v>981</v>
      </c>
      <c r="C79" s="40" t="s">
        <v>260</v>
      </c>
      <c r="D79" s="40" t="s">
        <v>231</v>
      </c>
      <c r="E79" s="40"/>
      <c r="F79" s="40"/>
      <c r="G79" s="10">
        <f>G80</f>
        <v>630</v>
      </c>
      <c r="H79" s="328">
        <f t="shared" si="41"/>
        <v>348.45</v>
      </c>
      <c r="I79" s="358">
        <f t="shared" si="5"/>
        <v>55.30952380952381</v>
      </c>
    </row>
    <row r="80" spans="1:9" ht="47.25" x14ac:dyDescent="0.25">
      <c r="A80" s="99" t="s">
        <v>1206</v>
      </c>
      <c r="B80" s="20" t="s">
        <v>982</v>
      </c>
      <c r="C80" s="40" t="s">
        <v>260</v>
      </c>
      <c r="D80" s="40" t="s">
        <v>231</v>
      </c>
      <c r="E80" s="40"/>
      <c r="F80" s="40"/>
      <c r="G80" s="10">
        <f>G81</f>
        <v>630</v>
      </c>
      <c r="H80" s="328">
        <f t="shared" si="41"/>
        <v>348.45</v>
      </c>
      <c r="I80" s="358">
        <f t="shared" si="5"/>
        <v>55.30952380952381</v>
      </c>
    </row>
    <row r="81" spans="1:9" ht="15.75" x14ac:dyDescent="0.25">
      <c r="A81" s="25" t="s">
        <v>264</v>
      </c>
      <c r="B81" s="20" t="s">
        <v>982</v>
      </c>
      <c r="C81" s="40" t="s">
        <v>260</v>
      </c>
      <c r="D81" s="40" t="s">
        <v>231</v>
      </c>
      <c r="E81" s="40" t="s">
        <v>265</v>
      </c>
      <c r="F81" s="40"/>
      <c r="G81" s="10">
        <f t="shared" ref="G81:H81" si="42">G82</f>
        <v>630</v>
      </c>
      <c r="H81" s="328">
        <f t="shared" si="42"/>
        <v>348.45</v>
      </c>
      <c r="I81" s="358">
        <f t="shared" si="5"/>
        <v>55.30952380952381</v>
      </c>
    </row>
    <row r="82" spans="1:9" ht="31.5" x14ac:dyDescent="0.25">
      <c r="A82" s="25" t="s">
        <v>364</v>
      </c>
      <c r="B82" s="20" t="s">
        <v>982</v>
      </c>
      <c r="C82" s="40" t="s">
        <v>260</v>
      </c>
      <c r="D82" s="40" t="s">
        <v>231</v>
      </c>
      <c r="E82" s="40" t="s">
        <v>365</v>
      </c>
      <c r="F82" s="40"/>
      <c r="G82" s="10">
        <f>'Пр.3 Рд,пр, ЦС,ВР 20'!F955</f>
        <v>630</v>
      </c>
      <c r="H82" s="328">
        <f>'Пр.3 Рд,пр, ЦС,ВР 20'!G955</f>
        <v>348.45</v>
      </c>
      <c r="I82" s="358">
        <f t="shared" ref="I82:I145" si="43">H82/G82*100</f>
        <v>55.30952380952381</v>
      </c>
    </row>
    <row r="83" spans="1:9" s="213" customFormat="1" ht="47.25" x14ac:dyDescent="0.25">
      <c r="A83" s="45" t="s">
        <v>277</v>
      </c>
      <c r="B83" s="20" t="s">
        <v>982</v>
      </c>
      <c r="C83" s="40" t="s">
        <v>260</v>
      </c>
      <c r="D83" s="40" t="s">
        <v>231</v>
      </c>
      <c r="E83" s="40" t="s">
        <v>365</v>
      </c>
      <c r="F83" s="40" t="s">
        <v>644</v>
      </c>
      <c r="G83" s="10">
        <f>G82</f>
        <v>630</v>
      </c>
      <c r="H83" s="328">
        <f t="shared" ref="H83" si="44">H82</f>
        <v>348.45</v>
      </c>
      <c r="I83" s="358">
        <f t="shared" si="43"/>
        <v>55.30952380952381</v>
      </c>
    </row>
    <row r="84" spans="1:9" ht="31.5" x14ac:dyDescent="0.25">
      <c r="A84" s="23" t="s">
        <v>980</v>
      </c>
      <c r="B84" s="24" t="s">
        <v>983</v>
      </c>
      <c r="C84" s="7"/>
      <c r="D84" s="7"/>
      <c r="E84" s="7"/>
      <c r="F84" s="7"/>
      <c r="G84" s="59">
        <f>G87+G91</f>
        <v>443.7</v>
      </c>
      <c r="H84" s="340">
        <f t="shared" ref="H84" si="45">H87+H91</f>
        <v>83.99</v>
      </c>
      <c r="I84" s="4">
        <f t="shared" si="43"/>
        <v>18.929456840207344</v>
      </c>
    </row>
    <row r="85" spans="1:9" s="213" customFormat="1" ht="15.75" x14ac:dyDescent="0.25">
      <c r="A85" s="45" t="s">
        <v>259</v>
      </c>
      <c r="B85" s="40" t="s">
        <v>983</v>
      </c>
      <c r="C85" s="40" t="s">
        <v>260</v>
      </c>
      <c r="D85" s="40"/>
      <c r="E85" s="40"/>
      <c r="F85" s="40"/>
      <c r="G85" s="10">
        <f t="shared" ref="G85:H88" si="46">G86</f>
        <v>233.7</v>
      </c>
      <c r="H85" s="328">
        <f t="shared" si="46"/>
        <v>83.99</v>
      </c>
      <c r="I85" s="358">
        <f t="shared" si="43"/>
        <v>35.939238339751817</v>
      </c>
    </row>
    <row r="86" spans="1:9" s="213" customFormat="1" ht="15.75" x14ac:dyDescent="0.25">
      <c r="A86" s="45" t="s">
        <v>268</v>
      </c>
      <c r="B86" s="40" t="s">
        <v>983</v>
      </c>
      <c r="C86" s="40" t="s">
        <v>260</v>
      </c>
      <c r="D86" s="40" t="s">
        <v>231</v>
      </c>
      <c r="E86" s="40"/>
      <c r="F86" s="40"/>
      <c r="G86" s="10">
        <f>G87</f>
        <v>233.7</v>
      </c>
      <c r="H86" s="328">
        <f t="shared" si="46"/>
        <v>83.99</v>
      </c>
      <c r="I86" s="358">
        <f t="shared" si="43"/>
        <v>35.939238339751817</v>
      </c>
    </row>
    <row r="87" spans="1:9" ht="31.5" x14ac:dyDescent="0.25">
      <c r="A87" s="25" t="s">
        <v>1149</v>
      </c>
      <c r="B87" s="20" t="s">
        <v>984</v>
      </c>
      <c r="C87" s="40" t="s">
        <v>260</v>
      </c>
      <c r="D87" s="40" t="s">
        <v>231</v>
      </c>
      <c r="E87" s="40"/>
      <c r="F87" s="40"/>
      <c r="G87" s="10">
        <f>G88</f>
        <v>233.7</v>
      </c>
      <c r="H87" s="328">
        <f t="shared" si="46"/>
        <v>83.99</v>
      </c>
      <c r="I87" s="358">
        <f t="shared" si="43"/>
        <v>35.939238339751817</v>
      </c>
    </row>
    <row r="88" spans="1:9" s="213" customFormat="1" ht="31.5" x14ac:dyDescent="0.25">
      <c r="A88" s="25" t="s">
        <v>147</v>
      </c>
      <c r="B88" s="20" t="s">
        <v>984</v>
      </c>
      <c r="C88" s="40" t="s">
        <v>260</v>
      </c>
      <c r="D88" s="40" t="s">
        <v>231</v>
      </c>
      <c r="E88" s="40" t="s">
        <v>148</v>
      </c>
      <c r="F88" s="40"/>
      <c r="G88" s="10">
        <f>G89</f>
        <v>233.7</v>
      </c>
      <c r="H88" s="328">
        <f t="shared" si="46"/>
        <v>83.99</v>
      </c>
      <c r="I88" s="358">
        <f t="shared" si="43"/>
        <v>35.939238339751817</v>
      </c>
    </row>
    <row r="89" spans="1:9" s="213" customFormat="1" ht="31.5" x14ac:dyDescent="0.25">
      <c r="A89" s="25" t="s">
        <v>149</v>
      </c>
      <c r="B89" s="20" t="s">
        <v>984</v>
      </c>
      <c r="C89" s="40" t="s">
        <v>260</v>
      </c>
      <c r="D89" s="40" t="s">
        <v>231</v>
      </c>
      <c r="E89" s="40" t="s">
        <v>150</v>
      </c>
      <c r="F89" s="40"/>
      <c r="G89" s="10">
        <f>'Пр.3 Рд,пр, ЦС,ВР 20'!F959</f>
        <v>233.7</v>
      </c>
      <c r="H89" s="328">
        <f>'Пр.3 Рд,пр, ЦС,ВР 20'!G959</f>
        <v>83.99</v>
      </c>
      <c r="I89" s="358">
        <f t="shared" si="43"/>
        <v>35.939238339751817</v>
      </c>
    </row>
    <row r="90" spans="1:9" ht="47.25" x14ac:dyDescent="0.25">
      <c r="A90" s="45" t="s">
        <v>277</v>
      </c>
      <c r="B90" s="20" t="s">
        <v>984</v>
      </c>
      <c r="C90" s="40" t="s">
        <v>260</v>
      </c>
      <c r="D90" s="40" t="s">
        <v>231</v>
      </c>
      <c r="E90" s="40" t="s">
        <v>150</v>
      </c>
      <c r="F90" s="40" t="s">
        <v>644</v>
      </c>
      <c r="G90" s="10">
        <f>G89</f>
        <v>233.7</v>
      </c>
      <c r="H90" s="328">
        <f t="shared" ref="H90" si="47">H89</f>
        <v>83.99</v>
      </c>
      <c r="I90" s="358">
        <f t="shared" si="43"/>
        <v>35.939238339751817</v>
      </c>
    </row>
    <row r="91" spans="1:9" s="213" customFormat="1" ht="15.75" x14ac:dyDescent="0.25">
      <c r="A91" s="25" t="s">
        <v>264</v>
      </c>
      <c r="B91" s="20" t="s">
        <v>984</v>
      </c>
      <c r="C91" s="40" t="s">
        <v>260</v>
      </c>
      <c r="D91" s="40" t="s">
        <v>231</v>
      </c>
      <c r="E91" s="40" t="s">
        <v>265</v>
      </c>
      <c r="F91" s="40"/>
      <c r="G91" s="10">
        <f>G92</f>
        <v>210</v>
      </c>
      <c r="H91" s="328">
        <f t="shared" ref="H91:H92" si="48">H92</f>
        <v>0</v>
      </c>
      <c r="I91" s="358">
        <f t="shared" si="43"/>
        <v>0</v>
      </c>
    </row>
    <row r="92" spans="1:9" s="213" customFormat="1" ht="31.5" x14ac:dyDescent="0.25">
      <c r="A92" s="25" t="s">
        <v>364</v>
      </c>
      <c r="B92" s="20" t="s">
        <v>984</v>
      </c>
      <c r="C92" s="40" t="s">
        <v>260</v>
      </c>
      <c r="D92" s="40" t="s">
        <v>231</v>
      </c>
      <c r="E92" s="40" t="s">
        <v>365</v>
      </c>
      <c r="F92" s="40"/>
      <c r="G92" s="10">
        <f>G93</f>
        <v>210</v>
      </c>
      <c r="H92" s="328">
        <f t="shared" si="48"/>
        <v>0</v>
      </c>
      <c r="I92" s="358">
        <f t="shared" si="43"/>
        <v>0</v>
      </c>
    </row>
    <row r="93" spans="1:9" s="213" customFormat="1" ht="47.25" x14ac:dyDescent="0.25">
      <c r="A93" s="45" t="s">
        <v>277</v>
      </c>
      <c r="B93" s="20" t="s">
        <v>984</v>
      </c>
      <c r="C93" s="40" t="s">
        <v>260</v>
      </c>
      <c r="D93" s="40" t="s">
        <v>231</v>
      </c>
      <c r="E93" s="40" t="s">
        <v>365</v>
      </c>
      <c r="F93" s="40" t="s">
        <v>644</v>
      </c>
      <c r="G93" s="10">
        <f>'Пр.4 ведом.20'!G470</f>
        <v>210</v>
      </c>
      <c r="H93" s="328">
        <f>'Пр.4 ведом.20'!H470</f>
        <v>0</v>
      </c>
      <c r="I93" s="358">
        <f t="shared" si="43"/>
        <v>0</v>
      </c>
    </row>
    <row r="94" spans="1:9" ht="31.5" x14ac:dyDescent="0.25">
      <c r="A94" s="58" t="s">
        <v>650</v>
      </c>
      <c r="B94" s="7" t="s">
        <v>378</v>
      </c>
      <c r="C94" s="7"/>
      <c r="D94" s="7"/>
      <c r="E94" s="7"/>
      <c r="F94" s="7"/>
      <c r="G94" s="59">
        <f t="shared" ref="G94:H94" si="49">G96</f>
        <v>250</v>
      </c>
      <c r="H94" s="340">
        <f t="shared" si="49"/>
        <v>114</v>
      </c>
      <c r="I94" s="4">
        <f t="shared" si="43"/>
        <v>45.6</v>
      </c>
    </row>
    <row r="95" spans="1:9" s="213" customFormat="1" ht="47.25" x14ac:dyDescent="0.25">
      <c r="A95" s="23" t="s">
        <v>1208</v>
      </c>
      <c r="B95" s="24" t="s">
        <v>986</v>
      </c>
      <c r="C95" s="7"/>
      <c r="D95" s="7"/>
      <c r="E95" s="7"/>
      <c r="F95" s="7"/>
      <c r="G95" s="59">
        <f>G96</f>
        <v>250</v>
      </c>
      <c r="H95" s="340">
        <f t="shared" ref="H95" si="50">H96</f>
        <v>114</v>
      </c>
      <c r="I95" s="4">
        <f t="shared" si="43"/>
        <v>45.6</v>
      </c>
    </row>
    <row r="96" spans="1:9" ht="15.75" x14ac:dyDescent="0.25">
      <c r="A96" s="45" t="s">
        <v>259</v>
      </c>
      <c r="B96" s="40" t="s">
        <v>986</v>
      </c>
      <c r="C96" s="40" t="s">
        <v>260</v>
      </c>
      <c r="D96" s="40"/>
      <c r="E96" s="40"/>
      <c r="F96" s="40"/>
      <c r="G96" s="10">
        <f t="shared" ref="G96:H99" si="51">G97</f>
        <v>250</v>
      </c>
      <c r="H96" s="328">
        <f t="shared" si="51"/>
        <v>114</v>
      </c>
      <c r="I96" s="358">
        <f t="shared" si="43"/>
        <v>45.6</v>
      </c>
    </row>
    <row r="97" spans="1:9" ht="21.75" customHeight="1" x14ac:dyDescent="0.25">
      <c r="A97" s="45" t="s">
        <v>268</v>
      </c>
      <c r="B97" s="40" t="s">
        <v>986</v>
      </c>
      <c r="C97" s="40" t="s">
        <v>260</v>
      </c>
      <c r="D97" s="40" t="s">
        <v>231</v>
      </c>
      <c r="E97" s="40"/>
      <c r="F97" s="40"/>
      <c r="G97" s="10">
        <f>G98</f>
        <v>250</v>
      </c>
      <c r="H97" s="328">
        <f t="shared" si="51"/>
        <v>114</v>
      </c>
      <c r="I97" s="358">
        <f t="shared" si="43"/>
        <v>45.6</v>
      </c>
    </row>
    <row r="98" spans="1:9" ht="47.25" x14ac:dyDescent="0.25">
      <c r="A98" s="25" t="s">
        <v>1207</v>
      </c>
      <c r="B98" s="20" t="s">
        <v>985</v>
      </c>
      <c r="C98" s="40" t="s">
        <v>260</v>
      </c>
      <c r="D98" s="40" t="s">
        <v>231</v>
      </c>
      <c r="E98" s="40"/>
      <c r="F98" s="40"/>
      <c r="G98" s="10">
        <f t="shared" si="51"/>
        <v>250</v>
      </c>
      <c r="H98" s="328">
        <f t="shared" si="51"/>
        <v>114</v>
      </c>
      <c r="I98" s="358">
        <f t="shared" si="43"/>
        <v>45.6</v>
      </c>
    </row>
    <row r="99" spans="1:9" ht="15.75" x14ac:dyDescent="0.25">
      <c r="A99" s="25" t="s">
        <v>264</v>
      </c>
      <c r="B99" s="20" t="s">
        <v>985</v>
      </c>
      <c r="C99" s="40" t="s">
        <v>260</v>
      </c>
      <c r="D99" s="40" t="s">
        <v>231</v>
      </c>
      <c r="E99" s="40" t="s">
        <v>265</v>
      </c>
      <c r="F99" s="40"/>
      <c r="G99" s="10">
        <f t="shared" si="51"/>
        <v>250</v>
      </c>
      <c r="H99" s="328">
        <f t="shared" si="51"/>
        <v>114</v>
      </c>
      <c r="I99" s="358">
        <f t="shared" si="43"/>
        <v>45.6</v>
      </c>
    </row>
    <row r="100" spans="1:9" ht="31.5" x14ac:dyDescent="0.25">
      <c r="A100" s="25" t="s">
        <v>364</v>
      </c>
      <c r="B100" s="20" t="s">
        <v>985</v>
      </c>
      <c r="C100" s="40" t="s">
        <v>260</v>
      </c>
      <c r="D100" s="40" t="s">
        <v>231</v>
      </c>
      <c r="E100" s="40" t="s">
        <v>365</v>
      </c>
      <c r="F100" s="40"/>
      <c r="G100" s="10">
        <f>'Пр.4 ведом.20'!G475</f>
        <v>250</v>
      </c>
      <c r="H100" s="328">
        <f>'Пр.4 ведом.20'!H475</f>
        <v>114</v>
      </c>
      <c r="I100" s="358">
        <f t="shared" si="43"/>
        <v>45.6</v>
      </c>
    </row>
    <row r="101" spans="1:9" ht="47.25" x14ac:dyDescent="0.25">
      <c r="A101" s="45" t="s">
        <v>277</v>
      </c>
      <c r="B101" s="20" t="s">
        <v>985</v>
      </c>
      <c r="C101" s="40" t="s">
        <v>260</v>
      </c>
      <c r="D101" s="40" t="s">
        <v>231</v>
      </c>
      <c r="E101" s="40" t="s">
        <v>365</v>
      </c>
      <c r="F101" s="40" t="s">
        <v>644</v>
      </c>
      <c r="G101" s="10">
        <f t="shared" ref="G101:H101" si="52">G94</f>
        <v>250</v>
      </c>
      <c r="H101" s="328">
        <f t="shared" si="52"/>
        <v>114</v>
      </c>
      <c r="I101" s="358">
        <f t="shared" si="43"/>
        <v>45.6</v>
      </c>
    </row>
    <row r="102" spans="1:9" ht="47.25" x14ac:dyDescent="0.25">
      <c r="A102" s="58" t="s">
        <v>380</v>
      </c>
      <c r="B102" s="7" t="s">
        <v>381</v>
      </c>
      <c r="C102" s="7"/>
      <c r="D102" s="7"/>
      <c r="E102" s="7"/>
      <c r="F102" s="7"/>
      <c r="G102" s="59">
        <f t="shared" ref="G102:H102" si="53">G104</f>
        <v>260</v>
      </c>
      <c r="H102" s="340">
        <f t="shared" si="53"/>
        <v>81.966999999999999</v>
      </c>
      <c r="I102" s="4">
        <f t="shared" si="43"/>
        <v>31.525769230769228</v>
      </c>
    </row>
    <row r="103" spans="1:9" s="213" customFormat="1" ht="31.5" x14ac:dyDescent="0.25">
      <c r="A103" s="23" t="s">
        <v>1147</v>
      </c>
      <c r="B103" s="24" t="s">
        <v>966</v>
      </c>
      <c r="C103" s="7"/>
      <c r="D103" s="7"/>
      <c r="E103" s="7"/>
      <c r="F103" s="7"/>
      <c r="G103" s="59">
        <f>G104</f>
        <v>260</v>
      </c>
      <c r="H103" s="340">
        <f t="shared" ref="H103:H105" si="54">H104</f>
        <v>81.966999999999999</v>
      </c>
      <c r="I103" s="4">
        <f t="shared" si="43"/>
        <v>31.525769230769228</v>
      </c>
    </row>
    <row r="104" spans="1:9" ht="15.75" x14ac:dyDescent="0.25">
      <c r="A104" s="45" t="s">
        <v>314</v>
      </c>
      <c r="B104" s="40" t="s">
        <v>966</v>
      </c>
      <c r="C104" s="40" t="s">
        <v>315</v>
      </c>
      <c r="D104" s="40"/>
      <c r="E104" s="40"/>
      <c r="F104" s="40"/>
      <c r="G104" s="10">
        <f>G105</f>
        <v>260</v>
      </c>
      <c r="H104" s="328">
        <f t="shared" si="54"/>
        <v>81.966999999999999</v>
      </c>
      <c r="I104" s="358">
        <f t="shared" si="43"/>
        <v>31.525769230769228</v>
      </c>
    </row>
    <row r="105" spans="1:9" ht="15.75" x14ac:dyDescent="0.25">
      <c r="A105" s="45" t="s">
        <v>349</v>
      </c>
      <c r="B105" s="40" t="s">
        <v>966</v>
      </c>
      <c r="C105" s="40" t="s">
        <v>315</v>
      </c>
      <c r="D105" s="40" t="s">
        <v>166</v>
      </c>
      <c r="E105" s="40"/>
      <c r="F105" s="40"/>
      <c r="G105" s="10">
        <f>G106</f>
        <v>260</v>
      </c>
      <c r="H105" s="328">
        <f t="shared" si="54"/>
        <v>81.966999999999999</v>
      </c>
      <c r="I105" s="358">
        <f t="shared" si="43"/>
        <v>31.525769230769228</v>
      </c>
    </row>
    <row r="106" spans="1:9" ht="37.5" customHeight="1" x14ac:dyDescent="0.25">
      <c r="A106" s="29" t="s">
        <v>173</v>
      </c>
      <c r="B106" s="20" t="s">
        <v>1223</v>
      </c>
      <c r="C106" s="40" t="s">
        <v>315</v>
      </c>
      <c r="D106" s="40" t="s">
        <v>166</v>
      </c>
      <c r="E106" s="40"/>
      <c r="F106" s="40"/>
      <c r="G106" s="10">
        <f t="shared" ref="G106:H107" si="55">G107</f>
        <v>260</v>
      </c>
      <c r="H106" s="328">
        <f t="shared" si="55"/>
        <v>81.966999999999999</v>
      </c>
      <c r="I106" s="358">
        <f t="shared" si="43"/>
        <v>31.525769230769228</v>
      </c>
    </row>
    <row r="107" spans="1:9" ht="31.5" x14ac:dyDescent="0.25">
      <c r="A107" s="29" t="s">
        <v>147</v>
      </c>
      <c r="B107" s="20" t="s">
        <v>1223</v>
      </c>
      <c r="C107" s="40" t="s">
        <v>315</v>
      </c>
      <c r="D107" s="40" t="s">
        <v>166</v>
      </c>
      <c r="E107" s="40" t="s">
        <v>148</v>
      </c>
      <c r="F107" s="40"/>
      <c r="G107" s="10">
        <f t="shared" si="55"/>
        <v>260</v>
      </c>
      <c r="H107" s="328">
        <f t="shared" si="55"/>
        <v>81.966999999999999</v>
      </c>
      <c r="I107" s="358">
        <f t="shared" si="43"/>
        <v>31.525769230769228</v>
      </c>
    </row>
    <row r="108" spans="1:9" ht="31.5" x14ac:dyDescent="0.25">
      <c r="A108" s="29" t="s">
        <v>149</v>
      </c>
      <c r="B108" s="20" t="s">
        <v>1223</v>
      </c>
      <c r="C108" s="40" t="s">
        <v>315</v>
      </c>
      <c r="D108" s="40" t="s">
        <v>166</v>
      </c>
      <c r="E108" s="40" t="s">
        <v>150</v>
      </c>
      <c r="F108" s="40"/>
      <c r="G108" s="10">
        <f>'Пр.4 ведом.20'!G446</f>
        <v>260</v>
      </c>
      <c r="H108" s="328">
        <f>'Пр.4 ведом.20'!H446</f>
        <v>81.966999999999999</v>
      </c>
      <c r="I108" s="358">
        <f t="shared" si="43"/>
        <v>31.525769230769228</v>
      </c>
    </row>
    <row r="109" spans="1:9" ht="47.25" x14ac:dyDescent="0.25">
      <c r="A109" s="45" t="s">
        <v>277</v>
      </c>
      <c r="B109" s="20" t="s">
        <v>1223</v>
      </c>
      <c r="C109" s="40" t="s">
        <v>315</v>
      </c>
      <c r="D109" s="40" t="s">
        <v>166</v>
      </c>
      <c r="E109" s="40" t="s">
        <v>150</v>
      </c>
      <c r="F109" s="40" t="s">
        <v>644</v>
      </c>
      <c r="G109" s="10">
        <f t="shared" ref="G109:H109" si="56">G102</f>
        <v>260</v>
      </c>
      <c r="H109" s="328">
        <f t="shared" si="56"/>
        <v>81.966999999999999</v>
      </c>
      <c r="I109" s="358">
        <f t="shared" si="43"/>
        <v>31.525769230769228</v>
      </c>
    </row>
    <row r="110" spans="1:9" ht="47.25" x14ac:dyDescent="0.25">
      <c r="A110" s="41" t="s">
        <v>383</v>
      </c>
      <c r="B110" s="7" t="s">
        <v>384</v>
      </c>
      <c r="C110" s="7"/>
      <c r="D110" s="7"/>
      <c r="E110" s="7"/>
      <c r="F110" s="7"/>
      <c r="G110" s="59">
        <f>G111+G122+G133+G144</f>
        <v>270</v>
      </c>
      <c r="H110" s="340">
        <f t="shared" ref="H110" si="57">H111+H122+H133+H144</f>
        <v>0</v>
      </c>
      <c r="I110" s="4">
        <f t="shared" si="43"/>
        <v>0</v>
      </c>
    </row>
    <row r="111" spans="1:9" s="213" customFormat="1" ht="47.25" hidden="1" x14ac:dyDescent="0.25">
      <c r="A111" s="223" t="s">
        <v>1211</v>
      </c>
      <c r="B111" s="24" t="s">
        <v>937</v>
      </c>
      <c r="C111" s="7"/>
      <c r="D111" s="7"/>
      <c r="E111" s="7"/>
      <c r="F111" s="7"/>
      <c r="G111" s="59">
        <f>G112</f>
        <v>0</v>
      </c>
      <c r="H111" s="340">
        <f t="shared" ref="H111" si="58">H112</f>
        <v>0</v>
      </c>
      <c r="I111" s="4" t="e">
        <f t="shared" si="43"/>
        <v>#DIV/0!</v>
      </c>
    </row>
    <row r="112" spans="1:9" ht="15.75" hidden="1" x14ac:dyDescent="0.25">
      <c r="A112" s="45" t="s">
        <v>248</v>
      </c>
      <c r="B112" s="40" t="s">
        <v>937</v>
      </c>
      <c r="C112" s="40" t="s">
        <v>166</v>
      </c>
      <c r="D112" s="40"/>
      <c r="E112" s="40"/>
      <c r="F112" s="40"/>
      <c r="G112" s="10">
        <f t="shared" ref="G112:H112" si="59">G113</f>
        <v>0</v>
      </c>
      <c r="H112" s="328">
        <f t="shared" si="59"/>
        <v>0</v>
      </c>
      <c r="I112" s="4" t="e">
        <f t="shared" si="43"/>
        <v>#DIV/0!</v>
      </c>
    </row>
    <row r="113" spans="1:9" ht="18" hidden="1" customHeight="1" x14ac:dyDescent="0.25">
      <c r="A113" s="45" t="s">
        <v>253</v>
      </c>
      <c r="B113" s="40" t="s">
        <v>937</v>
      </c>
      <c r="C113" s="40" t="s">
        <v>166</v>
      </c>
      <c r="D113" s="40" t="s">
        <v>254</v>
      </c>
      <c r="E113" s="40"/>
      <c r="F113" s="40"/>
      <c r="G113" s="10">
        <f>G114+G118</f>
        <v>0</v>
      </c>
      <c r="H113" s="328">
        <f t="shared" ref="H113" si="60">H114+H118</f>
        <v>0</v>
      </c>
      <c r="I113" s="4" t="e">
        <f t="shared" si="43"/>
        <v>#DIV/0!</v>
      </c>
    </row>
    <row r="114" spans="1:9" ht="31.7" hidden="1" customHeight="1" x14ac:dyDescent="0.25">
      <c r="A114" s="25" t="s">
        <v>391</v>
      </c>
      <c r="B114" s="20" t="s">
        <v>1212</v>
      </c>
      <c r="C114" s="40" t="s">
        <v>166</v>
      </c>
      <c r="D114" s="40" t="s">
        <v>254</v>
      </c>
      <c r="E114" s="40"/>
      <c r="F114" s="40"/>
      <c r="G114" s="10">
        <f t="shared" ref="G114:H115" si="61">G115</f>
        <v>0</v>
      </c>
      <c r="H114" s="328">
        <f t="shared" si="61"/>
        <v>0</v>
      </c>
      <c r="I114" s="4" t="e">
        <f t="shared" si="43"/>
        <v>#DIV/0!</v>
      </c>
    </row>
    <row r="115" spans="1:9" ht="22.7" hidden="1" customHeight="1" x14ac:dyDescent="0.25">
      <c r="A115" s="25" t="s">
        <v>264</v>
      </c>
      <c r="B115" s="20" t="s">
        <v>1212</v>
      </c>
      <c r="C115" s="40" t="s">
        <v>166</v>
      </c>
      <c r="D115" s="40" t="s">
        <v>254</v>
      </c>
      <c r="E115" s="40" t="s">
        <v>265</v>
      </c>
      <c r="F115" s="40"/>
      <c r="G115" s="10">
        <f>G116</f>
        <v>0</v>
      </c>
      <c r="H115" s="328">
        <f t="shared" si="61"/>
        <v>0</v>
      </c>
      <c r="I115" s="4" t="e">
        <f t="shared" si="43"/>
        <v>#DIV/0!</v>
      </c>
    </row>
    <row r="116" spans="1:9" ht="31.5" hidden="1" x14ac:dyDescent="0.25">
      <c r="A116" s="25" t="s">
        <v>266</v>
      </c>
      <c r="B116" s="20" t="s">
        <v>1212</v>
      </c>
      <c r="C116" s="40" t="s">
        <v>166</v>
      </c>
      <c r="D116" s="40" t="s">
        <v>254</v>
      </c>
      <c r="E116" s="40" t="s">
        <v>267</v>
      </c>
      <c r="F116" s="40"/>
      <c r="G116" s="10">
        <f>'Пр.3 Рд,пр, ЦС,ВР 20'!F303</f>
        <v>0</v>
      </c>
      <c r="H116" s="328">
        <f>'Пр.3 Рд,пр, ЦС,ВР 20'!G303</f>
        <v>0</v>
      </c>
      <c r="I116" s="4" t="e">
        <f t="shared" si="43"/>
        <v>#DIV/0!</v>
      </c>
    </row>
    <row r="117" spans="1:9" s="213" customFormat="1" ht="47.25" hidden="1" x14ac:dyDescent="0.25">
      <c r="A117" s="45" t="s">
        <v>277</v>
      </c>
      <c r="B117" s="20" t="s">
        <v>1212</v>
      </c>
      <c r="C117" s="40" t="s">
        <v>166</v>
      </c>
      <c r="D117" s="40" t="s">
        <v>254</v>
      </c>
      <c r="E117" s="40" t="s">
        <v>267</v>
      </c>
      <c r="F117" s="40" t="s">
        <v>644</v>
      </c>
      <c r="G117" s="10">
        <f>G116</f>
        <v>0</v>
      </c>
      <c r="H117" s="328">
        <f t="shared" ref="H117" si="62">H116</f>
        <v>0</v>
      </c>
      <c r="I117" s="4" t="e">
        <f t="shared" si="43"/>
        <v>#DIV/0!</v>
      </c>
    </row>
    <row r="118" spans="1:9" ht="54.75" hidden="1" customHeight="1" x14ac:dyDescent="0.25">
      <c r="A118" s="25" t="s">
        <v>391</v>
      </c>
      <c r="B118" s="20" t="s">
        <v>1213</v>
      </c>
      <c r="C118" s="40" t="s">
        <v>166</v>
      </c>
      <c r="D118" s="40" t="s">
        <v>254</v>
      </c>
      <c r="E118" s="40"/>
      <c r="F118" s="40"/>
      <c r="G118" s="10">
        <f>G119</f>
        <v>0</v>
      </c>
      <c r="H118" s="328">
        <f t="shared" ref="H118:H119" si="63">H119</f>
        <v>0</v>
      </c>
      <c r="I118" s="4" t="e">
        <f t="shared" si="43"/>
        <v>#DIV/0!</v>
      </c>
    </row>
    <row r="119" spans="1:9" ht="15.75" hidden="1" x14ac:dyDescent="0.25">
      <c r="A119" s="25" t="s">
        <v>264</v>
      </c>
      <c r="B119" s="20" t="s">
        <v>1213</v>
      </c>
      <c r="C119" s="40" t="s">
        <v>166</v>
      </c>
      <c r="D119" s="40" t="s">
        <v>254</v>
      </c>
      <c r="E119" s="40" t="s">
        <v>265</v>
      </c>
      <c r="F119" s="40"/>
      <c r="G119" s="10">
        <f>G120</f>
        <v>0</v>
      </c>
      <c r="H119" s="328">
        <f t="shared" si="63"/>
        <v>0</v>
      </c>
      <c r="I119" s="4" t="e">
        <f t="shared" si="43"/>
        <v>#DIV/0!</v>
      </c>
    </row>
    <row r="120" spans="1:9" ht="31.5" hidden="1" x14ac:dyDescent="0.25">
      <c r="A120" s="25" t="s">
        <v>266</v>
      </c>
      <c r="B120" s="20" t="s">
        <v>1213</v>
      </c>
      <c r="C120" s="40" t="s">
        <v>166</v>
      </c>
      <c r="D120" s="40" t="s">
        <v>254</v>
      </c>
      <c r="E120" s="40" t="s">
        <v>267</v>
      </c>
      <c r="F120" s="40"/>
      <c r="G120" s="10">
        <f>'Пр.3 Рд,пр, ЦС,ВР 20'!F306</f>
        <v>0</v>
      </c>
      <c r="H120" s="328">
        <f>'Пр.3 Рд,пр, ЦС,ВР 20'!G306</f>
        <v>0</v>
      </c>
      <c r="I120" s="4" t="e">
        <f t="shared" si="43"/>
        <v>#DIV/0!</v>
      </c>
    </row>
    <row r="121" spans="1:9" s="213" customFormat="1" ht="47.25" hidden="1" x14ac:dyDescent="0.25">
      <c r="A121" s="45" t="s">
        <v>277</v>
      </c>
      <c r="B121" s="20" t="s">
        <v>1213</v>
      </c>
      <c r="C121" s="40" t="s">
        <v>166</v>
      </c>
      <c r="D121" s="40" t="s">
        <v>254</v>
      </c>
      <c r="E121" s="40" t="s">
        <v>267</v>
      </c>
      <c r="F121" s="40" t="s">
        <v>644</v>
      </c>
      <c r="G121" s="10">
        <f>G120</f>
        <v>0</v>
      </c>
      <c r="H121" s="328">
        <f t="shared" ref="H121" si="64">H120</f>
        <v>0</v>
      </c>
      <c r="I121" s="4" t="e">
        <f t="shared" si="43"/>
        <v>#DIV/0!</v>
      </c>
    </row>
    <row r="122" spans="1:9" ht="31.5" x14ac:dyDescent="0.25">
      <c r="A122" s="23" t="s">
        <v>1209</v>
      </c>
      <c r="B122" s="24" t="s">
        <v>938</v>
      </c>
      <c r="C122" s="7"/>
      <c r="D122" s="7"/>
      <c r="E122" s="7"/>
      <c r="F122" s="7"/>
      <c r="G122" s="59">
        <f>G125+G129</f>
        <v>260</v>
      </c>
      <c r="H122" s="340">
        <f t="shared" ref="H122" si="65">H125+H129</f>
        <v>0</v>
      </c>
      <c r="I122" s="4">
        <f t="shared" si="43"/>
        <v>0</v>
      </c>
    </row>
    <row r="123" spans="1:9" s="213" customFormat="1" ht="15.75" x14ac:dyDescent="0.25">
      <c r="A123" s="45" t="s">
        <v>248</v>
      </c>
      <c r="B123" s="40" t="s">
        <v>938</v>
      </c>
      <c r="C123" s="40" t="s">
        <v>166</v>
      </c>
      <c r="D123" s="40"/>
      <c r="E123" s="40"/>
      <c r="F123" s="40"/>
      <c r="G123" s="10">
        <f t="shared" ref="G123:H123" si="66">G124</f>
        <v>260</v>
      </c>
      <c r="H123" s="328">
        <f t="shared" si="66"/>
        <v>0</v>
      </c>
      <c r="I123" s="358">
        <f t="shared" si="43"/>
        <v>0</v>
      </c>
    </row>
    <row r="124" spans="1:9" s="213" customFormat="1" ht="15.75" x14ac:dyDescent="0.25">
      <c r="A124" s="45" t="s">
        <v>253</v>
      </c>
      <c r="B124" s="40" t="s">
        <v>938</v>
      </c>
      <c r="C124" s="40" t="s">
        <v>166</v>
      </c>
      <c r="D124" s="40" t="s">
        <v>254</v>
      </c>
      <c r="E124" s="40"/>
      <c r="F124" s="40"/>
      <c r="G124" s="10">
        <f>G125+G129</f>
        <v>260</v>
      </c>
      <c r="H124" s="328">
        <f t="shared" ref="H124" si="67">H125+H129</f>
        <v>0</v>
      </c>
      <c r="I124" s="358">
        <f t="shared" si="43"/>
        <v>0</v>
      </c>
    </row>
    <row r="125" spans="1:9" s="213" customFormat="1" ht="31.5" x14ac:dyDescent="0.25">
      <c r="A125" s="25" t="s">
        <v>1210</v>
      </c>
      <c r="B125" s="20" t="s">
        <v>1214</v>
      </c>
      <c r="C125" s="40" t="s">
        <v>166</v>
      </c>
      <c r="D125" s="40" t="s">
        <v>254</v>
      </c>
      <c r="E125" s="40"/>
      <c r="F125" s="40"/>
      <c r="G125" s="10">
        <f>G126</f>
        <v>60</v>
      </c>
      <c r="H125" s="328">
        <f t="shared" ref="H125:H126" si="68">H126</f>
        <v>0</v>
      </c>
      <c r="I125" s="358">
        <f t="shared" si="43"/>
        <v>0</v>
      </c>
    </row>
    <row r="126" spans="1:9" s="213" customFormat="1" ht="31.5" x14ac:dyDescent="0.25">
      <c r="A126" s="25" t="s">
        <v>288</v>
      </c>
      <c r="B126" s="20" t="s">
        <v>1214</v>
      </c>
      <c r="C126" s="40" t="s">
        <v>166</v>
      </c>
      <c r="D126" s="40" t="s">
        <v>254</v>
      </c>
      <c r="E126" s="40" t="s">
        <v>289</v>
      </c>
      <c r="F126" s="40"/>
      <c r="G126" s="10">
        <f>G127</f>
        <v>60</v>
      </c>
      <c r="H126" s="328">
        <f t="shared" si="68"/>
        <v>0</v>
      </c>
      <c r="I126" s="358">
        <f t="shared" si="43"/>
        <v>0</v>
      </c>
    </row>
    <row r="127" spans="1:9" s="213" customFormat="1" ht="63" x14ac:dyDescent="0.25">
      <c r="A127" s="25" t="s">
        <v>1291</v>
      </c>
      <c r="B127" s="20" t="s">
        <v>1214</v>
      </c>
      <c r="C127" s="40" t="s">
        <v>166</v>
      </c>
      <c r="D127" s="40" t="s">
        <v>254</v>
      </c>
      <c r="E127" s="40" t="s">
        <v>388</v>
      </c>
      <c r="F127" s="40"/>
      <c r="G127" s="10">
        <f>'Пр.3 Рд,пр, ЦС,ВР 20'!F310</f>
        <v>60</v>
      </c>
      <c r="H127" s="328">
        <f>'Пр.3 Рд,пр, ЦС,ВР 20'!G310</f>
        <v>0</v>
      </c>
      <c r="I127" s="358">
        <f t="shared" si="43"/>
        <v>0</v>
      </c>
    </row>
    <row r="128" spans="1:9" s="213" customFormat="1" ht="47.25" x14ac:dyDescent="0.25">
      <c r="A128" s="45" t="s">
        <v>277</v>
      </c>
      <c r="B128" s="20" t="s">
        <v>1214</v>
      </c>
      <c r="C128" s="40" t="s">
        <v>166</v>
      </c>
      <c r="D128" s="40" t="s">
        <v>254</v>
      </c>
      <c r="E128" s="40" t="s">
        <v>388</v>
      </c>
      <c r="F128" s="40" t="s">
        <v>644</v>
      </c>
      <c r="G128" s="10">
        <f>G127</f>
        <v>60</v>
      </c>
      <c r="H128" s="328">
        <f t="shared" ref="H128" si="69">H127</f>
        <v>0</v>
      </c>
      <c r="I128" s="358">
        <f t="shared" si="43"/>
        <v>0</v>
      </c>
    </row>
    <row r="129" spans="1:9" s="213" customFormat="1" ht="110.25" x14ac:dyDescent="0.25">
      <c r="A129" s="25" t="s">
        <v>389</v>
      </c>
      <c r="B129" s="20" t="s">
        <v>1215</v>
      </c>
      <c r="C129" s="40" t="s">
        <v>166</v>
      </c>
      <c r="D129" s="40" t="s">
        <v>254</v>
      </c>
      <c r="E129" s="40"/>
      <c r="F129" s="40"/>
      <c r="G129" s="10">
        <f>G130</f>
        <v>200</v>
      </c>
      <c r="H129" s="328">
        <f t="shared" ref="H129:H130" si="70">H130</f>
        <v>0</v>
      </c>
      <c r="I129" s="358">
        <f t="shared" si="43"/>
        <v>0</v>
      </c>
    </row>
    <row r="130" spans="1:9" s="213" customFormat="1" ht="31.5" x14ac:dyDescent="0.25">
      <c r="A130" s="25" t="s">
        <v>288</v>
      </c>
      <c r="B130" s="20" t="s">
        <v>1215</v>
      </c>
      <c r="C130" s="40" t="s">
        <v>166</v>
      </c>
      <c r="D130" s="40" t="s">
        <v>254</v>
      </c>
      <c r="E130" s="40" t="s">
        <v>289</v>
      </c>
      <c r="F130" s="40"/>
      <c r="G130" s="10">
        <f>G131</f>
        <v>200</v>
      </c>
      <c r="H130" s="328">
        <f t="shared" si="70"/>
        <v>0</v>
      </c>
      <c r="I130" s="358">
        <f t="shared" si="43"/>
        <v>0</v>
      </c>
    </row>
    <row r="131" spans="1:9" s="213" customFormat="1" ht="63" x14ac:dyDescent="0.25">
      <c r="A131" s="25" t="s">
        <v>1291</v>
      </c>
      <c r="B131" s="20" t="s">
        <v>1215</v>
      </c>
      <c r="C131" s="40" t="s">
        <v>166</v>
      </c>
      <c r="D131" s="40" t="s">
        <v>254</v>
      </c>
      <c r="E131" s="40" t="s">
        <v>388</v>
      </c>
      <c r="F131" s="40"/>
      <c r="G131" s="10">
        <f>'Пр.3 Рд,пр, ЦС,ВР 20'!F313</f>
        <v>200</v>
      </c>
      <c r="H131" s="328">
        <f>'Пр.3 Рд,пр, ЦС,ВР 20'!G313</f>
        <v>0</v>
      </c>
      <c r="I131" s="358">
        <f t="shared" si="43"/>
        <v>0</v>
      </c>
    </row>
    <row r="132" spans="1:9" s="213" customFormat="1" ht="47.25" x14ac:dyDescent="0.25">
      <c r="A132" s="45" t="s">
        <v>277</v>
      </c>
      <c r="B132" s="20" t="s">
        <v>1215</v>
      </c>
      <c r="C132" s="40" t="s">
        <v>166</v>
      </c>
      <c r="D132" s="40" t="s">
        <v>254</v>
      </c>
      <c r="E132" s="40" t="s">
        <v>388</v>
      </c>
      <c r="F132" s="40" t="s">
        <v>644</v>
      </c>
      <c r="G132" s="10">
        <f>G131</f>
        <v>200</v>
      </c>
      <c r="H132" s="328">
        <f t="shared" ref="H132" si="71">H131</f>
        <v>0</v>
      </c>
      <c r="I132" s="358">
        <f t="shared" si="43"/>
        <v>0</v>
      </c>
    </row>
    <row r="133" spans="1:9" s="213" customFormat="1" ht="31.5" hidden="1" x14ac:dyDescent="0.25">
      <c r="A133" s="23" t="s">
        <v>1145</v>
      </c>
      <c r="B133" s="24" t="s">
        <v>939</v>
      </c>
      <c r="C133" s="7"/>
      <c r="D133" s="7"/>
      <c r="E133" s="7"/>
      <c r="F133" s="7"/>
      <c r="G133" s="59">
        <f>G136+G140</f>
        <v>0</v>
      </c>
      <c r="H133" s="340">
        <f t="shared" ref="H133" si="72">H136+H140</f>
        <v>0</v>
      </c>
      <c r="I133" s="358" t="e">
        <f t="shared" si="43"/>
        <v>#DIV/0!</v>
      </c>
    </row>
    <row r="134" spans="1:9" s="213" customFormat="1" ht="15.75" hidden="1" x14ac:dyDescent="0.25">
      <c r="A134" s="45" t="s">
        <v>248</v>
      </c>
      <c r="B134" s="40" t="s">
        <v>939</v>
      </c>
      <c r="C134" s="40" t="s">
        <v>166</v>
      </c>
      <c r="D134" s="40"/>
      <c r="E134" s="40"/>
      <c r="F134" s="40"/>
      <c r="G134" s="10">
        <f t="shared" ref="G134:H134" si="73">G135</f>
        <v>0</v>
      </c>
      <c r="H134" s="328">
        <f t="shared" si="73"/>
        <v>0</v>
      </c>
      <c r="I134" s="358" t="e">
        <f t="shared" si="43"/>
        <v>#DIV/0!</v>
      </c>
    </row>
    <row r="135" spans="1:9" s="213" customFormat="1" ht="15.75" hidden="1" x14ac:dyDescent="0.25">
      <c r="A135" s="45" t="s">
        <v>253</v>
      </c>
      <c r="B135" s="40" t="s">
        <v>939</v>
      </c>
      <c r="C135" s="40" t="s">
        <v>166</v>
      </c>
      <c r="D135" s="40" t="s">
        <v>254</v>
      </c>
      <c r="E135" s="40"/>
      <c r="F135" s="40"/>
      <c r="G135" s="10">
        <f>G136+G140</f>
        <v>0</v>
      </c>
      <c r="H135" s="328">
        <f t="shared" ref="H135" si="74">H136+H140</f>
        <v>0</v>
      </c>
      <c r="I135" s="358" t="e">
        <f t="shared" si="43"/>
        <v>#DIV/0!</v>
      </c>
    </row>
    <row r="136" spans="1:9" s="213" customFormat="1" ht="31.5" hidden="1" x14ac:dyDescent="0.25">
      <c r="A136" s="267" t="s">
        <v>1218</v>
      </c>
      <c r="B136" s="20" t="s">
        <v>1216</v>
      </c>
      <c r="C136" s="40" t="s">
        <v>166</v>
      </c>
      <c r="D136" s="40" t="s">
        <v>254</v>
      </c>
      <c r="E136" s="40"/>
      <c r="F136" s="40"/>
      <c r="G136" s="10">
        <f>G137</f>
        <v>0</v>
      </c>
      <c r="H136" s="328">
        <f t="shared" ref="H136:H137" si="75">H137</f>
        <v>0</v>
      </c>
      <c r="I136" s="358" t="e">
        <f t="shared" si="43"/>
        <v>#DIV/0!</v>
      </c>
    </row>
    <row r="137" spans="1:9" s="213" customFormat="1" ht="31.5" hidden="1" x14ac:dyDescent="0.25">
      <c r="A137" s="25" t="s">
        <v>147</v>
      </c>
      <c r="B137" s="20" t="s">
        <v>1216</v>
      </c>
      <c r="C137" s="40" t="s">
        <v>166</v>
      </c>
      <c r="D137" s="40" t="s">
        <v>254</v>
      </c>
      <c r="E137" s="40" t="s">
        <v>148</v>
      </c>
      <c r="F137" s="40"/>
      <c r="G137" s="10">
        <f>G138</f>
        <v>0</v>
      </c>
      <c r="H137" s="328">
        <f t="shared" si="75"/>
        <v>0</v>
      </c>
      <c r="I137" s="358" t="e">
        <f t="shared" si="43"/>
        <v>#DIV/0!</v>
      </c>
    </row>
    <row r="138" spans="1:9" s="213" customFormat="1" ht="31.5" hidden="1" x14ac:dyDescent="0.25">
      <c r="A138" s="25" t="s">
        <v>149</v>
      </c>
      <c r="B138" s="20" t="s">
        <v>1216</v>
      </c>
      <c r="C138" s="40" t="s">
        <v>166</v>
      </c>
      <c r="D138" s="40" t="s">
        <v>254</v>
      </c>
      <c r="E138" s="40" t="s">
        <v>150</v>
      </c>
      <c r="F138" s="40"/>
      <c r="G138" s="10">
        <f>'Пр.3 Рд,пр, ЦС,ВР 20'!F317</f>
        <v>0</v>
      </c>
      <c r="H138" s="328">
        <f>'Пр.3 Рд,пр, ЦС,ВР 20'!G317</f>
        <v>0</v>
      </c>
      <c r="I138" s="358" t="e">
        <f t="shared" si="43"/>
        <v>#DIV/0!</v>
      </c>
    </row>
    <row r="139" spans="1:9" s="213" customFormat="1" ht="47.25" hidden="1" x14ac:dyDescent="0.25">
      <c r="A139" s="45" t="s">
        <v>277</v>
      </c>
      <c r="B139" s="20" t="s">
        <v>1216</v>
      </c>
      <c r="C139" s="40" t="s">
        <v>166</v>
      </c>
      <c r="D139" s="40" t="s">
        <v>254</v>
      </c>
      <c r="E139" s="40" t="s">
        <v>150</v>
      </c>
      <c r="F139" s="9" t="s">
        <v>644</v>
      </c>
      <c r="G139" s="10">
        <f>G138</f>
        <v>0</v>
      </c>
      <c r="H139" s="328">
        <f t="shared" ref="H139" si="76">H138</f>
        <v>0</v>
      </c>
      <c r="I139" s="358" t="e">
        <f t="shared" si="43"/>
        <v>#DIV/0!</v>
      </c>
    </row>
    <row r="140" spans="1:9" s="213" customFormat="1" ht="31.5" hidden="1" x14ac:dyDescent="0.25">
      <c r="A140" s="25" t="s">
        <v>393</v>
      </c>
      <c r="B140" s="20" t="s">
        <v>1217</v>
      </c>
      <c r="C140" s="40" t="s">
        <v>166</v>
      </c>
      <c r="D140" s="40" t="s">
        <v>254</v>
      </c>
      <c r="E140" s="40"/>
      <c r="F140" s="40"/>
      <c r="G140" s="10">
        <f>G141</f>
        <v>0</v>
      </c>
      <c r="H140" s="328">
        <f t="shared" ref="H140:H141" si="77">H141</f>
        <v>0</v>
      </c>
      <c r="I140" s="358" t="e">
        <f t="shared" si="43"/>
        <v>#DIV/0!</v>
      </c>
    </row>
    <row r="141" spans="1:9" s="213" customFormat="1" ht="31.5" hidden="1" x14ac:dyDescent="0.25">
      <c r="A141" s="25" t="s">
        <v>147</v>
      </c>
      <c r="B141" s="20" t="s">
        <v>1217</v>
      </c>
      <c r="C141" s="40" t="s">
        <v>166</v>
      </c>
      <c r="D141" s="40" t="s">
        <v>254</v>
      </c>
      <c r="E141" s="40" t="s">
        <v>148</v>
      </c>
      <c r="F141" s="40"/>
      <c r="G141" s="10">
        <f>G142</f>
        <v>0</v>
      </c>
      <c r="H141" s="328">
        <f t="shared" si="77"/>
        <v>0</v>
      </c>
      <c r="I141" s="358" t="e">
        <f t="shared" si="43"/>
        <v>#DIV/0!</v>
      </c>
    </row>
    <row r="142" spans="1:9" s="213" customFormat="1" ht="31.5" hidden="1" x14ac:dyDescent="0.25">
      <c r="A142" s="25" t="s">
        <v>149</v>
      </c>
      <c r="B142" s="20" t="s">
        <v>1217</v>
      </c>
      <c r="C142" s="40" t="s">
        <v>166</v>
      </c>
      <c r="D142" s="40" t="s">
        <v>254</v>
      </c>
      <c r="E142" s="40" t="s">
        <v>150</v>
      </c>
      <c r="F142" s="40"/>
      <c r="G142" s="10">
        <f>'Пр.3 Рд,пр, ЦС,ВР 20'!F320</f>
        <v>0</v>
      </c>
      <c r="H142" s="328">
        <f>'Пр.3 Рд,пр, ЦС,ВР 20'!G320</f>
        <v>0</v>
      </c>
      <c r="I142" s="358" t="e">
        <f t="shared" si="43"/>
        <v>#DIV/0!</v>
      </c>
    </row>
    <row r="143" spans="1:9" ht="47.25" hidden="1" x14ac:dyDescent="0.25">
      <c r="A143" s="45" t="s">
        <v>277</v>
      </c>
      <c r="B143" s="20" t="s">
        <v>1217</v>
      </c>
      <c r="C143" s="40" t="s">
        <v>166</v>
      </c>
      <c r="D143" s="40" t="s">
        <v>254</v>
      </c>
      <c r="E143" s="40" t="s">
        <v>150</v>
      </c>
      <c r="F143" s="9" t="s">
        <v>644</v>
      </c>
      <c r="G143" s="10">
        <f>G142</f>
        <v>0</v>
      </c>
      <c r="H143" s="328">
        <f t="shared" ref="H143" si="78">H142</f>
        <v>0</v>
      </c>
      <c r="I143" s="358" t="e">
        <f t="shared" si="43"/>
        <v>#DIV/0!</v>
      </c>
    </row>
    <row r="144" spans="1:9" s="213" customFormat="1" ht="31.5" x14ac:dyDescent="0.25">
      <c r="A144" s="220" t="s">
        <v>1309</v>
      </c>
      <c r="B144" s="24" t="s">
        <v>1308</v>
      </c>
      <c r="C144" s="7"/>
      <c r="D144" s="7"/>
      <c r="E144" s="7"/>
      <c r="F144" s="7"/>
      <c r="G144" s="59">
        <f>G145</f>
        <v>10</v>
      </c>
      <c r="H144" s="340">
        <f t="shared" ref="H144" si="79">H145</f>
        <v>0</v>
      </c>
      <c r="I144" s="4">
        <f t="shared" si="43"/>
        <v>0</v>
      </c>
    </row>
    <row r="145" spans="1:9" s="213" customFormat="1" ht="15.75" x14ac:dyDescent="0.25">
      <c r="A145" s="45" t="s">
        <v>248</v>
      </c>
      <c r="B145" s="40" t="s">
        <v>1308</v>
      </c>
      <c r="C145" s="40" t="s">
        <v>166</v>
      </c>
      <c r="D145" s="40"/>
      <c r="E145" s="40"/>
      <c r="F145" s="40"/>
      <c r="G145" s="10">
        <f t="shared" ref="G145:H148" si="80">G146</f>
        <v>10</v>
      </c>
      <c r="H145" s="328">
        <f t="shared" si="80"/>
        <v>0</v>
      </c>
      <c r="I145" s="358">
        <f t="shared" si="43"/>
        <v>0</v>
      </c>
    </row>
    <row r="146" spans="1:9" s="213" customFormat="1" ht="15.75" x14ac:dyDescent="0.25">
      <c r="A146" s="45" t="s">
        <v>253</v>
      </c>
      <c r="B146" s="40" t="s">
        <v>1308</v>
      </c>
      <c r="C146" s="40" t="s">
        <v>166</v>
      </c>
      <c r="D146" s="40" t="s">
        <v>254</v>
      </c>
      <c r="E146" s="40"/>
      <c r="F146" s="40"/>
      <c r="G146" s="10">
        <f>G147</f>
        <v>10</v>
      </c>
      <c r="H146" s="328">
        <f t="shared" si="80"/>
        <v>0</v>
      </c>
      <c r="I146" s="358">
        <f t="shared" ref="I146:I209" si="81">H146/G146*100</f>
        <v>0</v>
      </c>
    </row>
    <row r="147" spans="1:9" s="213" customFormat="1" ht="31.5" x14ac:dyDescent="0.25">
      <c r="A147" s="245" t="s">
        <v>1310</v>
      </c>
      <c r="B147" s="20" t="s">
        <v>1359</v>
      </c>
      <c r="C147" s="40" t="s">
        <v>166</v>
      </c>
      <c r="D147" s="40" t="s">
        <v>254</v>
      </c>
      <c r="E147" s="40"/>
      <c r="F147" s="40"/>
      <c r="G147" s="10">
        <f>G148</f>
        <v>10</v>
      </c>
      <c r="H147" s="328">
        <f t="shared" si="80"/>
        <v>0</v>
      </c>
      <c r="I147" s="358">
        <f t="shared" si="81"/>
        <v>0</v>
      </c>
    </row>
    <row r="148" spans="1:9" s="213" customFormat="1" ht="31.5" x14ac:dyDescent="0.25">
      <c r="A148" s="25" t="s">
        <v>147</v>
      </c>
      <c r="B148" s="20" t="s">
        <v>1359</v>
      </c>
      <c r="C148" s="40" t="s">
        <v>166</v>
      </c>
      <c r="D148" s="40" t="s">
        <v>254</v>
      </c>
      <c r="E148" s="40" t="s">
        <v>148</v>
      </c>
      <c r="F148" s="40"/>
      <c r="G148" s="10">
        <f>G149</f>
        <v>10</v>
      </c>
      <c r="H148" s="328">
        <f t="shared" si="80"/>
        <v>0</v>
      </c>
      <c r="I148" s="358">
        <f t="shared" si="81"/>
        <v>0</v>
      </c>
    </row>
    <row r="149" spans="1:9" s="213" customFormat="1" ht="31.5" x14ac:dyDescent="0.25">
      <c r="A149" s="25" t="s">
        <v>149</v>
      </c>
      <c r="B149" s="20" t="s">
        <v>1359</v>
      </c>
      <c r="C149" s="40" t="s">
        <v>166</v>
      </c>
      <c r="D149" s="40" t="s">
        <v>254</v>
      </c>
      <c r="E149" s="40" t="s">
        <v>150</v>
      </c>
      <c r="F149" s="40"/>
      <c r="G149" s="10">
        <f>'Пр.4 ведом.20'!G276</f>
        <v>10</v>
      </c>
      <c r="H149" s="328">
        <f>'Пр.4 ведом.20'!H276</f>
        <v>0</v>
      </c>
      <c r="I149" s="358">
        <f t="shared" si="81"/>
        <v>0</v>
      </c>
    </row>
    <row r="150" spans="1:9" s="213" customFormat="1" ht="47.25" x14ac:dyDescent="0.25">
      <c r="A150" s="45" t="s">
        <v>277</v>
      </c>
      <c r="B150" s="20" t="s">
        <v>1359</v>
      </c>
      <c r="C150" s="40" t="s">
        <v>166</v>
      </c>
      <c r="D150" s="40" t="s">
        <v>254</v>
      </c>
      <c r="E150" s="40" t="s">
        <v>150</v>
      </c>
      <c r="F150" s="9" t="s">
        <v>644</v>
      </c>
      <c r="G150" s="10">
        <f>G149</f>
        <v>10</v>
      </c>
      <c r="H150" s="328">
        <f t="shared" ref="H150" si="82">H149</f>
        <v>0</v>
      </c>
      <c r="I150" s="358">
        <f t="shared" si="81"/>
        <v>0</v>
      </c>
    </row>
    <row r="151" spans="1:9" ht="80.45" customHeight="1" x14ac:dyDescent="0.25">
      <c r="A151" s="41" t="s">
        <v>396</v>
      </c>
      <c r="B151" s="7" t="s">
        <v>397</v>
      </c>
      <c r="C151" s="7"/>
      <c r="D151" s="7"/>
      <c r="E151" s="7"/>
      <c r="F151" s="8"/>
      <c r="G151" s="59">
        <f>G152</f>
        <v>188.7</v>
      </c>
      <c r="H151" s="340">
        <f t="shared" ref="H151:H152" si="83">H152</f>
        <v>131.47</v>
      </c>
      <c r="I151" s="4">
        <f t="shared" si="81"/>
        <v>69.671436142024376</v>
      </c>
    </row>
    <row r="152" spans="1:9" s="213" customFormat="1" ht="59.25" customHeight="1" x14ac:dyDescent="0.25">
      <c r="A152" s="265" t="s">
        <v>1219</v>
      </c>
      <c r="B152" s="7" t="s">
        <v>933</v>
      </c>
      <c r="C152" s="7"/>
      <c r="D152" s="7"/>
      <c r="E152" s="7"/>
      <c r="F152" s="8"/>
      <c r="G152" s="59">
        <f>G153</f>
        <v>188.7</v>
      </c>
      <c r="H152" s="340">
        <f t="shared" si="83"/>
        <v>131.47</v>
      </c>
      <c r="I152" s="4">
        <f t="shared" si="81"/>
        <v>69.671436142024376</v>
      </c>
    </row>
    <row r="153" spans="1:9" ht="15.75" x14ac:dyDescent="0.25">
      <c r="A153" s="45" t="s">
        <v>133</v>
      </c>
      <c r="B153" s="40" t="s">
        <v>933</v>
      </c>
      <c r="C153" s="40" t="s">
        <v>134</v>
      </c>
      <c r="D153" s="40"/>
      <c r="E153" s="40"/>
      <c r="F153" s="9"/>
      <c r="G153" s="10">
        <f t="shared" ref="G153:H156" si="84">G154</f>
        <v>188.7</v>
      </c>
      <c r="H153" s="328">
        <f t="shared" si="84"/>
        <v>131.47</v>
      </c>
      <c r="I153" s="358">
        <f t="shared" si="81"/>
        <v>69.671436142024376</v>
      </c>
    </row>
    <row r="154" spans="1:9" ht="21.2" customHeight="1" x14ac:dyDescent="0.25">
      <c r="A154" s="45" t="s">
        <v>155</v>
      </c>
      <c r="B154" s="40" t="s">
        <v>933</v>
      </c>
      <c r="C154" s="40" t="s">
        <v>134</v>
      </c>
      <c r="D154" s="40" t="s">
        <v>156</v>
      </c>
      <c r="E154" s="40"/>
      <c r="F154" s="9"/>
      <c r="G154" s="10">
        <f>G155+G159</f>
        <v>188.7</v>
      </c>
      <c r="H154" s="328">
        <f t="shared" ref="H154" si="85">H155+H159</f>
        <v>131.47</v>
      </c>
      <c r="I154" s="358">
        <f t="shared" si="81"/>
        <v>69.671436142024376</v>
      </c>
    </row>
    <row r="155" spans="1:9" ht="31.5" x14ac:dyDescent="0.25">
      <c r="A155" s="99" t="s">
        <v>1220</v>
      </c>
      <c r="B155" s="40" t="s">
        <v>934</v>
      </c>
      <c r="C155" s="40" t="s">
        <v>134</v>
      </c>
      <c r="D155" s="40" t="s">
        <v>156</v>
      </c>
      <c r="E155" s="40"/>
      <c r="F155" s="9"/>
      <c r="G155" s="10">
        <f t="shared" si="84"/>
        <v>188.7</v>
      </c>
      <c r="H155" s="328">
        <f t="shared" si="84"/>
        <v>131.47</v>
      </c>
      <c r="I155" s="358">
        <f t="shared" si="81"/>
        <v>69.671436142024376</v>
      </c>
    </row>
    <row r="156" spans="1:9" ht="31.5" x14ac:dyDescent="0.25">
      <c r="A156" s="29" t="s">
        <v>147</v>
      </c>
      <c r="B156" s="40" t="s">
        <v>934</v>
      </c>
      <c r="C156" s="40" t="s">
        <v>134</v>
      </c>
      <c r="D156" s="40" t="s">
        <v>156</v>
      </c>
      <c r="E156" s="40" t="s">
        <v>148</v>
      </c>
      <c r="F156" s="9"/>
      <c r="G156" s="10">
        <f t="shared" si="84"/>
        <v>188.7</v>
      </c>
      <c r="H156" s="328">
        <f t="shared" si="84"/>
        <v>131.47</v>
      </c>
      <c r="I156" s="358">
        <f t="shared" si="81"/>
        <v>69.671436142024376</v>
      </c>
    </row>
    <row r="157" spans="1:9" ht="31.5" x14ac:dyDescent="0.25">
      <c r="A157" s="29" t="s">
        <v>149</v>
      </c>
      <c r="B157" s="40" t="s">
        <v>934</v>
      </c>
      <c r="C157" s="40" t="s">
        <v>134</v>
      </c>
      <c r="D157" s="40" t="s">
        <v>156</v>
      </c>
      <c r="E157" s="40" t="s">
        <v>150</v>
      </c>
      <c r="F157" s="9"/>
      <c r="G157" s="10">
        <f>'Пр.3 Рд,пр, ЦС,ВР 20'!F174</f>
        <v>188.7</v>
      </c>
      <c r="H157" s="328">
        <f>'Пр.3 Рд,пр, ЦС,ВР 20'!G174</f>
        <v>131.47</v>
      </c>
      <c r="I157" s="358">
        <f t="shared" si="81"/>
        <v>69.671436142024376</v>
      </c>
    </row>
    <row r="158" spans="1:9" s="213" customFormat="1" ht="47.25" x14ac:dyDescent="0.25">
      <c r="A158" s="45" t="s">
        <v>277</v>
      </c>
      <c r="B158" s="40" t="s">
        <v>934</v>
      </c>
      <c r="C158" s="40" t="s">
        <v>134</v>
      </c>
      <c r="D158" s="40" t="s">
        <v>156</v>
      </c>
      <c r="E158" s="40" t="s">
        <v>150</v>
      </c>
      <c r="F158" s="9" t="s">
        <v>644</v>
      </c>
      <c r="G158" s="10">
        <f>G157</f>
        <v>188.7</v>
      </c>
      <c r="H158" s="328">
        <f t="shared" ref="H158" si="86">H157</f>
        <v>131.47</v>
      </c>
      <c r="I158" s="358">
        <f t="shared" si="81"/>
        <v>69.671436142024376</v>
      </c>
    </row>
    <row r="159" spans="1:9" s="213" customFormat="1" ht="47.25" hidden="1" x14ac:dyDescent="0.25">
      <c r="A159" s="35" t="s">
        <v>936</v>
      </c>
      <c r="B159" s="20" t="s">
        <v>935</v>
      </c>
      <c r="C159" s="40" t="s">
        <v>134</v>
      </c>
      <c r="D159" s="40" t="s">
        <v>156</v>
      </c>
      <c r="E159" s="40"/>
      <c r="F159" s="9"/>
      <c r="G159" s="10">
        <f>G160</f>
        <v>0</v>
      </c>
      <c r="H159" s="328">
        <f t="shared" ref="H159:H160" si="87">H160</f>
        <v>0</v>
      </c>
      <c r="I159" s="358" t="e">
        <f t="shared" si="81"/>
        <v>#DIV/0!</v>
      </c>
    </row>
    <row r="160" spans="1:9" s="213" customFormat="1" ht="31.5" hidden="1" x14ac:dyDescent="0.25">
      <c r="A160" s="25" t="s">
        <v>147</v>
      </c>
      <c r="B160" s="20" t="s">
        <v>935</v>
      </c>
      <c r="C160" s="40" t="s">
        <v>134</v>
      </c>
      <c r="D160" s="40" t="s">
        <v>156</v>
      </c>
      <c r="E160" s="40" t="s">
        <v>148</v>
      </c>
      <c r="F160" s="9"/>
      <c r="G160" s="10">
        <f>G161</f>
        <v>0</v>
      </c>
      <c r="H160" s="328">
        <f t="shared" si="87"/>
        <v>0</v>
      </c>
      <c r="I160" s="358" t="e">
        <f t="shared" si="81"/>
        <v>#DIV/0!</v>
      </c>
    </row>
    <row r="161" spans="1:9" s="213" customFormat="1" ht="31.5" hidden="1" x14ac:dyDescent="0.25">
      <c r="A161" s="25" t="s">
        <v>149</v>
      </c>
      <c r="B161" s="20" t="s">
        <v>935</v>
      </c>
      <c r="C161" s="40" t="s">
        <v>134</v>
      </c>
      <c r="D161" s="40" t="s">
        <v>156</v>
      </c>
      <c r="E161" s="40" t="s">
        <v>150</v>
      </c>
      <c r="F161" s="9"/>
      <c r="G161" s="10">
        <f>'Пр.3 Рд,пр, ЦС,ВР 20'!F177</f>
        <v>0</v>
      </c>
      <c r="H161" s="328">
        <f>'Пр.3 Рд,пр, ЦС,ВР 20'!G177</f>
        <v>0</v>
      </c>
      <c r="I161" s="358" t="e">
        <f t="shared" si="81"/>
        <v>#DIV/0!</v>
      </c>
    </row>
    <row r="162" spans="1:9" ht="47.25" hidden="1" x14ac:dyDescent="0.25">
      <c r="A162" s="45" t="s">
        <v>277</v>
      </c>
      <c r="B162" s="20" t="s">
        <v>935</v>
      </c>
      <c r="C162" s="40" t="s">
        <v>134</v>
      </c>
      <c r="D162" s="40" t="s">
        <v>156</v>
      </c>
      <c r="E162" s="40" t="s">
        <v>150</v>
      </c>
      <c r="F162" s="9" t="s">
        <v>644</v>
      </c>
      <c r="G162" s="10">
        <f>G161</f>
        <v>0</v>
      </c>
      <c r="H162" s="328">
        <f t="shared" ref="H162" si="88">H161</f>
        <v>0</v>
      </c>
      <c r="I162" s="358" t="e">
        <f t="shared" si="81"/>
        <v>#DIV/0!</v>
      </c>
    </row>
    <row r="163" spans="1:9" ht="47.25" x14ac:dyDescent="0.25">
      <c r="A163" s="58" t="s">
        <v>442</v>
      </c>
      <c r="B163" s="7" t="s">
        <v>422</v>
      </c>
      <c r="C163" s="7"/>
      <c r="D163" s="7"/>
      <c r="E163" s="7"/>
      <c r="F163" s="7"/>
      <c r="G163" s="59">
        <f>G164+G263+G316+G424+G443</f>
        <v>335313.03756999999</v>
      </c>
      <c r="H163" s="340">
        <f t="shared" ref="H163" si="89">H164+H263+H316+H424+H443</f>
        <v>217460.36060000001</v>
      </c>
      <c r="I163" s="4">
        <f t="shared" si="81"/>
        <v>64.852939264135529</v>
      </c>
    </row>
    <row r="164" spans="1:9" ht="31.5" x14ac:dyDescent="0.25">
      <c r="A164" s="41" t="s">
        <v>423</v>
      </c>
      <c r="B164" s="7" t="s">
        <v>424</v>
      </c>
      <c r="C164" s="7"/>
      <c r="D164" s="7"/>
      <c r="E164" s="7"/>
      <c r="F164" s="7"/>
      <c r="G164" s="59">
        <f>G165+G194</f>
        <v>299457.05856999999</v>
      </c>
      <c r="H164" s="340">
        <f t="shared" ref="H164" si="90">H165+H194</f>
        <v>199931.15400000001</v>
      </c>
      <c r="I164" s="4">
        <f t="shared" si="81"/>
        <v>66.764548798660172</v>
      </c>
    </row>
    <row r="165" spans="1:9" s="213" customFormat="1" ht="31.5" x14ac:dyDescent="0.25">
      <c r="A165" s="23" t="s">
        <v>1028</v>
      </c>
      <c r="B165" s="24" t="s">
        <v>1006</v>
      </c>
      <c r="C165" s="7"/>
      <c r="D165" s="7"/>
      <c r="E165" s="7"/>
      <c r="F165" s="7"/>
      <c r="G165" s="59">
        <f>G166</f>
        <v>73249.888569999996</v>
      </c>
      <c r="H165" s="340">
        <f t="shared" ref="H165" si="91">H166</f>
        <v>48635.304000000004</v>
      </c>
      <c r="I165" s="4">
        <f t="shared" si="81"/>
        <v>66.396420458063247</v>
      </c>
    </row>
    <row r="166" spans="1:9" ht="15.75" x14ac:dyDescent="0.25">
      <c r="A166" s="29" t="s">
        <v>279</v>
      </c>
      <c r="B166" s="40" t="s">
        <v>1006</v>
      </c>
      <c r="C166" s="40" t="s">
        <v>280</v>
      </c>
      <c r="D166" s="40"/>
      <c r="E166" s="40"/>
      <c r="F166" s="40"/>
      <c r="G166" s="10">
        <f>G167+G176+G189</f>
        <v>73249.888569999996</v>
      </c>
      <c r="H166" s="328">
        <f t="shared" ref="H166" si="92">H167+H176+H189</f>
        <v>48635.304000000004</v>
      </c>
      <c r="I166" s="358">
        <f t="shared" si="81"/>
        <v>66.396420458063247</v>
      </c>
    </row>
    <row r="167" spans="1:9" ht="15.75" x14ac:dyDescent="0.25">
      <c r="A167" s="45" t="s">
        <v>420</v>
      </c>
      <c r="B167" s="40" t="s">
        <v>1006</v>
      </c>
      <c r="C167" s="40" t="s">
        <v>280</v>
      </c>
      <c r="D167" s="40" t="s">
        <v>134</v>
      </c>
      <c r="E167" s="40"/>
      <c r="F167" s="40"/>
      <c r="G167" s="10">
        <f>G168+G172</f>
        <v>13295.859999999999</v>
      </c>
      <c r="H167" s="328">
        <f t="shared" ref="H167" si="93">H168+H172</f>
        <v>8220.0830000000005</v>
      </c>
      <c r="I167" s="358">
        <f t="shared" si="81"/>
        <v>61.824379919764503</v>
      </c>
    </row>
    <row r="168" spans="1:9" ht="47.25" x14ac:dyDescent="0.25">
      <c r="A168" s="25" t="s">
        <v>1063</v>
      </c>
      <c r="B168" s="20" t="s">
        <v>1062</v>
      </c>
      <c r="C168" s="40" t="s">
        <v>280</v>
      </c>
      <c r="D168" s="40" t="s">
        <v>134</v>
      </c>
      <c r="E168" s="40"/>
      <c r="F168" s="40"/>
      <c r="G168" s="10">
        <f t="shared" ref="G168:H169" si="94">G169</f>
        <v>9050.8599999999988</v>
      </c>
      <c r="H168" s="328">
        <f t="shared" si="94"/>
        <v>5654.2280000000001</v>
      </c>
      <c r="I168" s="358">
        <f t="shared" si="81"/>
        <v>62.471720919338061</v>
      </c>
    </row>
    <row r="169" spans="1:9" ht="31.5" x14ac:dyDescent="0.25">
      <c r="A169" s="25" t="s">
        <v>288</v>
      </c>
      <c r="B169" s="20" t="s">
        <v>1062</v>
      </c>
      <c r="C169" s="40" t="s">
        <v>280</v>
      </c>
      <c r="D169" s="40" t="s">
        <v>134</v>
      </c>
      <c r="E169" s="40" t="s">
        <v>289</v>
      </c>
      <c r="F169" s="40"/>
      <c r="G169" s="10">
        <f t="shared" si="94"/>
        <v>9050.8599999999988</v>
      </c>
      <c r="H169" s="328">
        <f t="shared" si="94"/>
        <v>5654.2280000000001</v>
      </c>
      <c r="I169" s="358">
        <f t="shared" si="81"/>
        <v>62.471720919338061</v>
      </c>
    </row>
    <row r="170" spans="1:9" ht="15.75" x14ac:dyDescent="0.25">
      <c r="A170" s="25" t="s">
        <v>290</v>
      </c>
      <c r="B170" s="20" t="s">
        <v>1062</v>
      </c>
      <c r="C170" s="40" t="s">
        <v>280</v>
      </c>
      <c r="D170" s="40" t="s">
        <v>134</v>
      </c>
      <c r="E170" s="40" t="s">
        <v>291</v>
      </c>
      <c r="F170" s="40"/>
      <c r="G170" s="6">
        <f>'Пр.3 Рд,пр, ЦС,ВР 20'!F513</f>
        <v>9050.8599999999988</v>
      </c>
      <c r="H170" s="358">
        <f>'Пр.3 Рд,пр, ЦС,ВР 20'!G513</f>
        <v>5654.2280000000001</v>
      </c>
      <c r="I170" s="358">
        <f t="shared" si="81"/>
        <v>62.471720919338061</v>
      </c>
    </row>
    <row r="171" spans="1:9" s="213" customFormat="1" ht="31.5" x14ac:dyDescent="0.25">
      <c r="A171" s="29" t="s">
        <v>419</v>
      </c>
      <c r="B171" s="20" t="s">
        <v>1062</v>
      </c>
      <c r="C171" s="40" t="s">
        <v>280</v>
      </c>
      <c r="D171" s="40" t="s">
        <v>134</v>
      </c>
      <c r="E171" s="40" t="s">
        <v>291</v>
      </c>
      <c r="F171" s="40" t="s">
        <v>653</v>
      </c>
      <c r="G171" s="10">
        <f>G170</f>
        <v>9050.8599999999988</v>
      </c>
      <c r="H171" s="328">
        <f t="shared" ref="H171" si="95">H170</f>
        <v>5654.2280000000001</v>
      </c>
      <c r="I171" s="358">
        <f t="shared" si="81"/>
        <v>62.471720919338061</v>
      </c>
    </row>
    <row r="172" spans="1:9" s="213" customFormat="1" ht="47.25" x14ac:dyDescent="0.25">
      <c r="A172" s="25" t="s">
        <v>1238</v>
      </c>
      <c r="B172" s="20" t="s">
        <v>1064</v>
      </c>
      <c r="C172" s="40" t="s">
        <v>280</v>
      </c>
      <c r="D172" s="40" t="s">
        <v>134</v>
      </c>
      <c r="E172" s="40"/>
      <c r="F172" s="40"/>
      <c r="G172" s="6">
        <f>G173</f>
        <v>4245</v>
      </c>
      <c r="H172" s="358">
        <f t="shared" ref="H172:H173" si="96">H173</f>
        <v>2565.855</v>
      </c>
      <c r="I172" s="358">
        <f t="shared" si="81"/>
        <v>60.444169611307416</v>
      </c>
    </row>
    <row r="173" spans="1:9" s="213" customFormat="1" ht="31.5" x14ac:dyDescent="0.25">
      <c r="A173" s="25" t="s">
        <v>288</v>
      </c>
      <c r="B173" s="20" t="s">
        <v>1064</v>
      </c>
      <c r="C173" s="40" t="s">
        <v>280</v>
      </c>
      <c r="D173" s="40" t="s">
        <v>134</v>
      </c>
      <c r="E173" s="40" t="s">
        <v>289</v>
      </c>
      <c r="F173" s="40"/>
      <c r="G173" s="6">
        <f>G174</f>
        <v>4245</v>
      </c>
      <c r="H173" s="358">
        <f t="shared" si="96"/>
        <v>2565.855</v>
      </c>
      <c r="I173" s="358">
        <f t="shared" si="81"/>
        <v>60.444169611307416</v>
      </c>
    </row>
    <row r="174" spans="1:9" s="213" customFormat="1" ht="15.75" x14ac:dyDescent="0.25">
      <c r="A174" s="25" t="s">
        <v>290</v>
      </c>
      <c r="B174" s="20" t="s">
        <v>1064</v>
      </c>
      <c r="C174" s="40" t="s">
        <v>280</v>
      </c>
      <c r="D174" s="40" t="s">
        <v>134</v>
      </c>
      <c r="E174" s="40" t="s">
        <v>291</v>
      </c>
      <c r="F174" s="40"/>
      <c r="G174" s="6">
        <f>'Пр.3 Рд,пр, ЦС,ВР 20'!F516</f>
        <v>4245</v>
      </c>
      <c r="H174" s="358">
        <f>'Пр.3 Рд,пр, ЦС,ВР 20'!G516</f>
        <v>2565.855</v>
      </c>
      <c r="I174" s="358">
        <f t="shared" si="81"/>
        <v>60.444169611307416</v>
      </c>
    </row>
    <row r="175" spans="1:9" s="213" customFormat="1" ht="31.5" x14ac:dyDescent="0.25">
      <c r="A175" s="29" t="s">
        <v>419</v>
      </c>
      <c r="B175" s="20" t="s">
        <v>1064</v>
      </c>
      <c r="C175" s="40" t="s">
        <v>280</v>
      </c>
      <c r="D175" s="40" t="s">
        <v>134</v>
      </c>
      <c r="E175" s="40" t="s">
        <v>291</v>
      </c>
      <c r="F175" s="40" t="s">
        <v>653</v>
      </c>
      <c r="G175" s="10">
        <f>G174</f>
        <v>4245</v>
      </c>
      <c r="H175" s="328">
        <f t="shared" ref="H175" si="97">H174</f>
        <v>2565.855</v>
      </c>
      <c r="I175" s="358">
        <f t="shared" si="81"/>
        <v>60.444169611307416</v>
      </c>
    </row>
    <row r="176" spans="1:9" s="213" customFormat="1" ht="15.75" x14ac:dyDescent="0.25">
      <c r="A176" s="29" t="s">
        <v>441</v>
      </c>
      <c r="B176" s="40" t="s">
        <v>1006</v>
      </c>
      <c r="C176" s="40" t="s">
        <v>280</v>
      </c>
      <c r="D176" s="40" t="s">
        <v>229</v>
      </c>
      <c r="E176" s="40"/>
      <c r="F176" s="40"/>
      <c r="G176" s="10">
        <f>G177+G181+G185</f>
        <v>27339.028570000002</v>
      </c>
      <c r="H176" s="328">
        <f t="shared" ref="H176" si="98">H177+H181+H185</f>
        <v>16770.868000000002</v>
      </c>
      <c r="I176" s="358">
        <f t="shared" si="81"/>
        <v>61.344052357453606</v>
      </c>
    </row>
    <row r="177" spans="1:9" s="213" customFormat="1" ht="47.25" x14ac:dyDescent="0.25">
      <c r="A177" s="25" t="s">
        <v>1457</v>
      </c>
      <c r="B177" s="20" t="s">
        <v>1065</v>
      </c>
      <c r="C177" s="40" t="s">
        <v>280</v>
      </c>
      <c r="D177" s="40" t="s">
        <v>229</v>
      </c>
      <c r="E177" s="40"/>
      <c r="F177" s="40"/>
      <c r="G177" s="10">
        <f t="shared" ref="G177:H178" si="99">G178</f>
        <v>9301.4285700000019</v>
      </c>
      <c r="H177" s="328">
        <f t="shared" si="99"/>
        <v>6122.4759999999997</v>
      </c>
      <c r="I177" s="358">
        <f t="shared" si="81"/>
        <v>65.822964224515886</v>
      </c>
    </row>
    <row r="178" spans="1:9" s="213" customFormat="1" ht="31.5" x14ac:dyDescent="0.25">
      <c r="A178" s="25" t="s">
        <v>288</v>
      </c>
      <c r="B178" s="20" t="s">
        <v>1065</v>
      </c>
      <c r="C178" s="40" t="s">
        <v>280</v>
      </c>
      <c r="D178" s="40" t="s">
        <v>229</v>
      </c>
      <c r="E178" s="40" t="s">
        <v>289</v>
      </c>
      <c r="F178" s="40"/>
      <c r="G178" s="10">
        <f t="shared" si="99"/>
        <v>9301.4285700000019</v>
      </c>
      <c r="H178" s="328">
        <f t="shared" si="99"/>
        <v>6122.4759999999997</v>
      </c>
      <c r="I178" s="358">
        <f t="shared" si="81"/>
        <v>65.822964224515886</v>
      </c>
    </row>
    <row r="179" spans="1:9" s="213" customFormat="1" ht="15.75" x14ac:dyDescent="0.25">
      <c r="A179" s="25" t="s">
        <v>290</v>
      </c>
      <c r="B179" s="20" t="s">
        <v>1065</v>
      </c>
      <c r="C179" s="40" t="s">
        <v>280</v>
      </c>
      <c r="D179" s="40" t="s">
        <v>229</v>
      </c>
      <c r="E179" s="40" t="s">
        <v>291</v>
      </c>
      <c r="F179" s="40"/>
      <c r="G179" s="6">
        <f>'Пр.3 Рд,пр, ЦС,ВР 20'!F584</f>
        <v>9301.4285700000019</v>
      </c>
      <c r="H179" s="358">
        <f>'Пр.3 Рд,пр, ЦС,ВР 20'!G584</f>
        <v>6122.4759999999997</v>
      </c>
      <c r="I179" s="358">
        <f t="shared" si="81"/>
        <v>65.822964224515886</v>
      </c>
    </row>
    <row r="180" spans="1:9" s="213" customFormat="1" ht="31.5" x14ac:dyDescent="0.25">
      <c r="A180" s="29" t="s">
        <v>419</v>
      </c>
      <c r="B180" s="20" t="s">
        <v>1065</v>
      </c>
      <c r="C180" s="40" t="s">
        <v>280</v>
      </c>
      <c r="D180" s="40" t="s">
        <v>229</v>
      </c>
      <c r="E180" s="40" t="s">
        <v>291</v>
      </c>
      <c r="F180" s="40" t="s">
        <v>653</v>
      </c>
      <c r="G180" s="10">
        <f>G179</f>
        <v>9301.4285700000019</v>
      </c>
      <c r="H180" s="328">
        <f t="shared" ref="H180" si="100">H179</f>
        <v>6122.4759999999997</v>
      </c>
      <c r="I180" s="358">
        <f t="shared" si="81"/>
        <v>65.822964224515886</v>
      </c>
    </row>
    <row r="181" spans="1:9" s="213" customFormat="1" ht="47.25" x14ac:dyDescent="0.25">
      <c r="A181" s="25" t="s">
        <v>1069</v>
      </c>
      <c r="B181" s="20" t="s">
        <v>1066</v>
      </c>
      <c r="C181" s="40" t="s">
        <v>280</v>
      </c>
      <c r="D181" s="40" t="s">
        <v>229</v>
      </c>
      <c r="E181" s="40"/>
      <c r="F181" s="40"/>
      <c r="G181" s="6">
        <f>G182</f>
        <v>11361.7</v>
      </c>
      <c r="H181" s="358">
        <f t="shared" ref="H181:H182" si="101">H182</f>
        <v>6401.2929999999997</v>
      </c>
      <c r="I181" s="358">
        <f t="shared" si="81"/>
        <v>56.340978902805027</v>
      </c>
    </row>
    <row r="182" spans="1:9" s="213" customFormat="1" ht="31.5" x14ac:dyDescent="0.25">
      <c r="A182" s="25" t="s">
        <v>288</v>
      </c>
      <c r="B182" s="20" t="s">
        <v>1066</v>
      </c>
      <c r="C182" s="40" t="s">
        <v>280</v>
      </c>
      <c r="D182" s="40" t="s">
        <v>229</v>
      </c>
      <c r="E182" s="40" t="s">
        <v>289</v>
      </c>
      <c r="F182" s="40"/>
      <c r="G182" s="6">
        <f>G183</f>
        <v>11361.7</v>
      </c>
      <c r="H182" s="358">
        <f t="shared" si="101"/>
        <v>6401.2929999999997</v>
      </c>
      <c r="I182" s="358">
        <f t="shared" si="81"/>
        <v>56.340978902805027</v>
      </c>
    </row>
    <row r="183" spans="1:9" s="213" customFormat="1" ht="15.75" x14ac:dyDescent="0.25">
      <c r="A183" s="25" t="s">
        <v>290</v>
      </c>
      <c r="B183" s="20" t="s">
        <v>1066</v>
      </c>
      <c r="C183" s="40" t="s">
        <v>280</v>
      </c>
      <c r="D183" s="40" t="s">
        <v>229</v>
      </c>
      <c r="E183" s="40" t="s">
        <v>291</v>
      </c>
      <c r="F183" s="40"/>
      <c r="G183" s="6">
        <f>'Пр.3 Рд,пр, ЦС,ВР 20'!F587</f>
        <v>11361.7</v>
      </c>
      <c r="H183" s="358">
        <f>'Пр.3 Рд,пр, ЦС,ВР 20'!G587</f>
        <v>6401.2929999999997</v>
      </c>
      <c r="I183" s="358">
        <f t="shared" si="81"/>
        <v>56.340978902805027</v>
      </c>
    </row>
    <row r="184" spans="1:9" s="213" customFormat="1" ht="31.5" x14ac:dyDescent="0.25">
      <c r="A184" s="29" t="s">
        <v>419</v>
      </c>
      <c r="B184" s="20" t="s">
        <v>1066</v>
      </c>
      <c r="C184" s="40" t="s">
        <v>280</v>
      </c>
      <c r="D184" s="40" t="s">
        <v>229</v>
      </c>
      <c r="E184" s="40" t="s">
        <v>291</v>
      </c>
      <c r="F184" s="40" t="s">
        <v>653</v>
      </c>
      <c r="G184" s="10">
        <f>G183</f>
        <v>11361.7</v>
      </c>
      <c r="H184" s="328">
        <f t="shared" ref="H184" si="102">H183</f>
        <v>6401.2929999999997</v>
      </c>
      <c r="I184" s="358">
        <f t="shared" si="81"/>
        <v>56.340978902805027</v>
      </c>
    </row>
    <row r="185" spans="1:9" s="213" customFormat="1" ht="47.25" x14ac:dyDescent="0.25">
      <c r="A185" s="25" t="s">
        <v>1070</v>
      </c>
      <c r="B185" s="20" t="s">
        <v>1067</v>
      </c>
      <c r="C185" s="40" t="s">
        <v>280</v>
      </c>
      <c r="D185" s="40" t="s">
        <v>229</v>
      </c>
      <c r="E185" s="40"/>
      <c r="F185" s="40"/>
      <c r="G185" s="6">
        <f>G186</f>
        <v>6675.9</v>
      </c>
      <c r="H185" s="358">
        <f t="shared" ref="H185:H186" si="103">H186</f>
        <v>4247.0990000000002</v>
      </c>
      <c r="I185" s="358">
        <f t="shared" si="81"/>
        <v>63.618373552629613</v>
      </c>
    </row>
    <row r="186" spans="1:9" s="213" customFormat="1" ht="31.5" x14ac:dyDescent="0.25">
      <c r="A186" s="25" t="s">
        <v>288</v>
      </c>
      <c r="B186" s="20" t="s">
        <v>1067</v>
      </c>
      <c r="C186" s="40" t="s">
        <v>280</v>
      </c>
      <c r="D186" s="40" t="s">
        <v>229</v>
      </c>
      <c r="E186" s="40" t="s">
        <v>289</v>
      </c>
      <c r="F186" s="40"/>
      <c r="G186" s="6">
        <f>G187</f>
        <v>6675.9</v>
      </c>
      <c r="H186" s="358">
        <f t="shared" si="103"/>
        <v>4247.0990000000002</v>
      </c>
      <c r="I186" s="358">
        <f t="shared" si="81"/>
        <v>63.618373552629613</v>
      </c>
    </row>
    <row r="187" spans="1:9" s="213" customFormat="1" ht="15.75" x14ac:dyDescent="0.25">
      <c r="A187" s="25" t="s">
        <v>290</v>
      </c>
      <c r="B187" s="20" t="s">
        <v>1067</v>
      </c>
      <c r="C187" s="40" t="s">
        <v>280</v>
      </c>
      <c r="D187" s="40" t="s">
        <v>229</v>
      </c>
      <c r="E187" s="40" t="s">
        <v>291</v>
      </c>
      <c r="F187" s="40"/>
      <c r="G187" s="6">
        <f>'Пр.3 Рд,пр, ЦС,ВР 20'!F590</f>
        <v>6675.9</v>
      </c>
      <c r="H187" s="358">
        <f>'Пр.3 Рд,пр, ЦС,ВР 20'!G590</f>
        <v>4247.0990000000002</v>
      </c>
      <c r="I187" s="358">
        <f t="shared" si="81"/>
        <v>63.618373552629613</v>
      </c>
    </row>
    <row r="188" spans="1:9" s="213" customFormat="1" ht="31.5" x14ac:dyDescent="0.25">
      <c r="A188" s="29" t="s">
        <v>419</v>
      </c>
      <c r="B188" s="20" t="s">
        <v>1067</v>
      </c>
      <c r="C188" s="40" t="s">
        <v>280</v>
      </c>
      <c r="D188" s="40" t="s">
        <v>229</v>
      </c>
      <c r="E188" s="40" t="s">
        <v>291</v>
      </c>
      <c r="F188" s="40" t="s">
        <v>653</v>
      </c>
      <c r="G188" s="10">
        <f>G187</f>
        <v>6675.9</v>
      </c>
      <c r="H188" s="328">
        <f t="shared" ref="H188" si="104">H187</f>
        <v>4247.0990000000002</v>
      </c>
      <c r="I188" s="358">
        <f t="shared" si="81"/>
        <v>63.618373552629613</v>
      </c>
    </row>
    <row r="189" spans="1:9" s="213" customFormat="1" ht="15.75" x14ac:dyDescent="0.25">
      <c r="A189" s="29" t="s">
        <v>281</v>
      </c>
      <c r="B189" s="40" t="s">
        <v>1006</v>
      </c>
      <c r="C189" s="40" t="s">
        <v>280</v>
      </c>
      <c r="D189" s="40" t="s">
        <v>231</v>
      </c>
      <c r="E189" s="40"/>
      <c r="F189" s="40"/>
      <c r="G189" s="6">
        <f t="shared" ref="G189:H189" si="105">G190</f>
        <v>32614.999999999996</v>
      </c>
      <c r="H189" s="358">
        <f t="shared" si="105"/>
        <v>23644.352999999999</v>
      </c>
      <c r="I189" s="358">
        <f t="shared" si="81"/>
        <v>72.495333435535798</v>
      </c>
    </row>
    <row r="190" spans="1:9" s="213" customFormat="1" ht="47.25" x14ac:dyDescent="0.25">
      <c r="A190" s="29" t="s">
        <v>286</v>
      </c>
      <c r="B190" s="20" t="s">
        <v>1051</v>
      </c>
      <c r="C190" s="40" t="s">
        <v>280</v>
      </c>
      <c r="D190" s="40" t="s">
        <v>231</v>
      </c>
      <c r="E190" s="7"/>
      <c r="F190" s="7"/>
      <c r="G190" s="10">
        <f t="shared" ref="G190:H191" si="106">G191</f>
        <v>32614.999999999996</v>
      </c>
      <c r="H190" s="328">
        <f t="shared" si="106"/>
        <v>23644.352999999999</v>
      </c>
      <c r="I190" s="358">
        <f t="shared" si="81"/>
        <v>72.495333435535798</v>
      </c>
    </row>
    <row r="191" spans="1:9" s="213" customFormat="1" ht="31.5" x14ac:dyDescent="0.25">
      <c r="A191" s="29" t="s">
        <v>288</v>
      </c>
      <c r="B191" s="20" t="s">
        <v>1051</v>
      </c>
      <c r="C191" s="40" t="s">
        <v>280</v>
      </c>
      <c r="D191" s="40" t="s">
        <v>231</v>
      </c>
      <c r="E191" s="40" t="s">
        <v>289</v>
      </c>
      <c r="F191" s="40"/>
      <c r="G191" s="10">
        <f t="shared" si="106"/>
        <v>32614.999999999996</v>
      </c>
      <c r="H191" s="328">
        <f t="shared" si="106"/>
        <v>23644.352999999999</v>
      </c>
      <c r="I191" s="358">
        <f t="shared" si="81"/>
        <v>72.495333435535798</v>
      </c>
    </row>
    <row r="192" spans="1:9" s="213" customFormat="1" ht="15.75" x14ac:dyDescent="0.25">
      <c r="A192" s="29" t="s">
        <v>290</v>
      </c>
      <c r="B192" s="20" t="s">
        <v>1051</v>
      </c>
      <c r="C192" s="40" t="s">
        <v>280</v>
      </c>
      <c r="D192" s="40" t="s">
        <v>231</v>
      </c>
      <c r="E192" s="40" t="s">
        <v>291</v>
      </c>
      <c r="F192" s="40"/>
      <c r="G192" s="6">
        <f>'Пр.3 Рд,пр, ЦС,ВР 20'!F699</f>
        <v>32614.999999999996</v>
      </c>
      <c r="H192" s="358">
        <f>'Пр.3 Рд,пр, ЦС,ВР 20'!G699</f>
        <v>23644.352999999999</v>
      </c>
      <c r="I192" s="358">
        <f t="shared" si="81"/>
        <v>72.495333435535798</v>
      </c>
    </row>
    <row r="193" spans="1:9" s="213" customFormat="1" ht="31.5" x14ac:dyDescent="0.25">
      <c r="A193" s="29" t="s">
        <v>419</v>
      </c>
      <c r="B193" s="20" t="s">
        <v>1051</v>
      </c>
      <c r="C193" s="40" t="s">
        <v>280</v>
      </c>
      <c r="D193" s="40" t="s">
        <v>231</v>
      </c>
      <c r="E193" s="40" t="s">
        <v>291</v>
      </c>
      <c r="F193" s="40" t="s">
        <v>653</v>
      </c>
      <c r="G193" s="10">
        <f>G192</f>
        <v>32614.999999999996</v>
      </c>
      <c r="H193" s="328">
        <f t="shared" ref="H193" si="107">H192</f>
        <v>23644.352999999999</v>
      </c>
      <c r="I193" s="358">
        <f t="shared" si="81"/>
        <v>72.495333435535798</v>
      </c>
    </row>
    <row r="194" spans="1:9" s="213" customFormat="1" ht="47.25" x14ac:dyDescent="0.25">
      <c r="A194" s="23" t="s">
        <v>971</v>
      </c>
      <c r="B194" s="24" t="s">
        <v>1021</v>
      </c>
      <c r="C194" s="7"/>
      <c r="D194" s="7"/>
      <c r="E194" s="7"/>
      <c r="F194" s="7"/>
      <c r="G194" s="4">
        <f>G195</f>
        <v>226207.17</v>
      </c>
      <c r="H194" s="4">
        <f t="shared" ref="H194" si="108">H195</f>
        <v>151295.85</v>
      </c>
      <c r="I194" s="4">
        <f t="shared" si="81"/>
        <v>66.883755276192176</v>
      </c>
    </row>
    <row r="195" spans="1:9" s="213" customFormat="1" ht="15.75" x14ac:dyDescent="0.25">
      <c r="A195" s="29" t="s">
        <v>279</v>
      </c>
      <c r="B195" s="40" t="s">
        <v>1021</v>
      </c>
      <c r="C195" s="40" t="s">
        <v>280</v>
      </c>
      <c r="D195" s="40"/>
      <c r="E195" s="40"/>
      <c r="F195" s="40"/>
      <c r="G195" s="10">
        <f>G196+G217+G246</f>
        <v>226207.17</v>
      </c>
      <c r="H195" s="328">
        <f t="shared" ref="H195" si="109">H196+H217+H246</f>
        <v>151295.85</v>
      </c>
      <c r="I195" s="358">
        <f t="shared" si="81"/>
        <v>66.883755276192176</v>
      </c>
    </row>
    <row r="196" spans="1:9" s="213" customFormat="1" ht="15.75" x14ac:dyDescent="0.25">
      <c r="A196" s="45" t="s">
        <v>420</v>
      </c>
      <c r="B196" s="40" t="s">
        <v>1021</v>
      </c>
      <c r="C196" s="40" t="s">
        <v>280</v>
      </c>
      <c r="D196" s="40" t="s">
        <v>134</v>
      </c>
      <c r="E196" s="40"/>
      <c r="F196" s="40"/>
      <c r="G196" s="10">
        <f>G201+G205+G209+G213+G197</f>
        <v>85840.5</v>
      </c>
      <c r="H196" s="328">
        <f t="shared" ref="H196" si="110">H201+H205+H209+H213+H197</f>
        <v>54175.707000000002</v>
      </c>
      <c r="I196" s="358">
        <f t="shared" si="81"/>
        <v>63.112058993132614</v>
      </c>
    </row>
    <row r="197" spans="1:9" s="324" customFormat="1" ht="94.5" x14ac:dyDescent="0.25">
      <c r="A197" s="31" t="s">
        <v>309</v>
      </c>
      <c r="B197" s="331" t="s">
        <v>1517</v>
      </c>
      <c r="C197" s="339" t="s">
        <v>280</v>
      </c>
      <c r="D197" s="339" t="s">
        <v>134</v>
      </c>
      <c r="E197" s="339"/>
      <c r="F197" s="339"/>
      <c r="G197" s="328">
        <f>G198</f>
        <v>1966.1</v>
      </c>
      <c r="H197" s="328">
        <f t="shared" ref="H197:H198" si="111">H198</f>
        <v>1700.3</v>
      </c>
      <c r="I197" s="358">
        <f t="shared" si="81"/>
        <v>86.480850414526216</v>
      </c>
    </row>
    <row r="198" spans="1:9" s="324" customFormat="1" ht="31.5" x14ac:dyDescent="0.25">
      <c r="A198" s="335" t="s">
        <v>288</v>
      </c>
      <c r="B198" s="331" t="s">
        <v>1517</v>
      </c>
      <c r="C198" s="339" t="s">
        <v>280</v>
      </c>
      <c r="D198" s="339" t="s">
        <v>134</v>
      </c>
      <c r="E198" s="339" t="s">
        <v>289</v>
      </c>
      <c r="F198" s="339"/>
      <c r="G198" s="328">
        <f>G199</f>
        <v>1966.1</v>
      </c>
      <c r="H198" s="328">
        <f t="shared" si="111"/>
        <v>1700.3</v>
      </c>
      <c r="I198" s="358">
        <f t="shared" si="81"/>
        <v>86.480850414526216</v>
      </c>
    </row>
    <row r="199" spans="1:9" s="324" customFormat="1" ht="15.75" x14ac:dyDescent="0.25">
      <c r="A199" s="335" t="s">
        <v>290</v>
      </c>
      <c r="B199" s="331" t="s">
        <v>1517</v>
      </c>
      <c r="C199" s="339" t="s">
        <v>280</v>
      </c>
      <c r="D199" s="339" t="s">
        <v>134</v>
      </c>
      <c r="E199" s="339" t="s">
        <v>291</v>
      </c>
      <c r="F199" s="339"/>
      <c r="G199" s="328">
        <f>'Пр.4 ведом.20'!G571</f>
        <v>1966.1</v>
      </c>
      <c r="H199" s="328">
        <f>'Пр.4 ведом.20'!H571</f>
        <v>1700.3</v>
      </c>
      <c r="I199" s="358">
        <f t="shared" si="81"/>
        <v>86.480850414526216</v>
      </c>
    </row>
    <row r="200" spans="1:9" s="324" customFormat="1" ht="31.5" x14ac:dyDescent="0.25">
      <c r="A200" s="338" t="s">
        <v>419</v>
      </c>
      <c r="B200" s="339"/>
      <c r="C200" s="339" t="s">
        <v>280</v>
      </c>
      <c r="D200" s="339" t="s">
        <v>134</v>
      </c>
      <c r="E200" s="339" t="s">
        <v>291</v>
      </c>
      <c r="F200" s="339" t="s">
        <v>653</v>
      </c>
      <c r="G200" s="328">
        <f>G197</f>
        <v>1966.1</v>
      </c>
      <c r="H200" s="328">
        <f t="shared" ref="H200" si="112">H197</f>
        <v>1700.3</v>
      </c>
      <c r="I200" s="358">
        <f t="shared" si="81"/>
        <v>86.480850414526216</v>
      </c>
    </row>
    <row r="201" spans="1:9" s="213" customFormat="1" ht="63" x14ac:dyDescent="0.25">
      <c r="A201" s="31" t="s">
        <v>305</v>
      </c>
      <c r="B201" s="20" t="s">
        <v>1020</v>
      </c>
      <c r="C201" s="40" t="s">
        <v>280</v>
      </c>
      <c r="D201" s="40" t="s">
        <v>134</v>
      </c>
      <c r="E201" s="40"/>
      <c r="F201" s="40"/>
      <c r="G201" s="6">
        <f>G202</f>
        <v>559.70000000000005</v>
      </c>
      <c r="H201" s="358">
        <f t="shared" ref="H201:H202" si="113">H202</f>
        <v>328.7</v>
      </c>
      <c r="I201" s="358">
        <f t="shared" si="81"/>
        <v>58.727889941039834</v>
      </c>
    </row>
    <row r="202" spans="1:9" s="213" customFormat="1" ht="31.5" x14ac:dyDescent="0.25">
      <c r="A202" s="25" t="s">
        <v>288</v>
      </c>
      <c r="B202" s="20" t="s">
        <v>1020</v>
      </c>
      <c r="C202" s="40" t="s">
        <v>280</v>
      </c>
      <c r="D202" s="40" t="s">
        <v>134</v>
      </c>
      <c r="E202" s="40" t="s">
        <v>289</v>
      </c>
      <c r="F202" s="40"/>
      <c r="G202" s="6">
        <f>G203</f>
        <v>559.70000000000005</v>
      </c>
      <c r="H202" s="358">
        <f t="shared" si="113"/>
        <v>328.7</v>
      </c>
      <c r="I202" s="358">
        <f t="shared" si="81"/>
        <v>58.727889941039834</v>
      </c>
    </row>
    <row r="203" spans="1:9" s="213" customFormat="1" ht="15.75" x14ac:dyDescent="0.25">
      <c r="A203" s="25" t="s">
        <v>290</v>
      </c>
      <c r="B203" s="20" t="s">
        <v>1020</v>
      </c>
      <c r="C203" s="40" t="s">
        <v>280</v>
      </c>
      <c r="D203" s="40" t="s">
        <v>134</v>
      </c>
      <c r="E203" s="40" t="s">
        <v>291</v>
      </c>
      <c r="F203" s="40"/>
      <c r="G203" s="6">
        <f>'Пр.3 Рд,пр, ЦС,ВР 20'!F523</f>
        <v>559.70000000000005</v>
      </c>
      <c r="H203" s="358">
        <f>'Пр.3 Рд,пр, ЦС,ВР 20'!G523</f>
        <v>328.7</v>
      </c>
      <c r="I203" s="358">
        <f t="shared" si="81"/>
        <v>58.727889941039834</v>
      </c>
    </row>
    <row r="204" spans="1:9" s="213" customFormat="1" ht="31.5" x14ac:dyDescent="0.25">
      <c r="A204" s="29" t="s">
        <v>419</v>
      </c>
      <c r="B204" s="20" t="s">
        <v>1020</v>
      </c>
      <c r="C204" s="40" t="s">
        <v>280</v>
      </c>
      <c r="D204" s="40" t="s">
        <v>134</v>
      </c>
      <c r="E204" s="40" t="s">
        <v>291</v>
      </c>
      <c r="F204" s="40" t="s">
        <v>653</v>
      </c>
      <c r="G204" s="10">
        <f>G203</f>
        <v>559.70000000000005</v>
      </c>
      <c r="H204" s="328">
        <f t="shared" ref="H204" si="114">H203</f>
        <v>328.7</v>
      </c>
      <c r="I204" s="358">
        <f t="shared" si="81"/>
        <v>58.727889941039834</v>
      </c>
    </row>
    <row r="205" spans="1:9" s="213" customFormat="1" ht="63" x14ac:dyDescent="0.25">
      <c r="A205" s="31" t="s">
        <v>307</v>
      </c>
      <c r="B205" s="20" t="s">
        <v>1023</v>
      </c>
      <c r="C205" s="40" t="s">
        <v>280</v>
      </c>
      <c r="D205" s="40" t="s">
        <v>134</v>
      </c>
      <c r="E205" s="40"/>
      <c r="F205" s="40"/>
      <c r="G205" s="6">
        <f>G206</f>
        <v>1629.3</v>
      </c>
      <c r="H205" s="358">
        <f t="shared" ref="H205:H206" si="115">H206</f>
        <v>1030.07</v>
      </c>
      <c r="I205" s="358">
        <f t="shared" si="81"/>
        <v>63.221628920395254</v>
      </c>
    </row>
    <row r="206" spans="1:9" s="213" customFormat="1" ht="31.5" x14ac:dyDescent="0.25">
      <c r="A206" s="25" t="s">
        <v>288</v>
      </c>
      <c r="B206" s="20" t="s">
        <v>1023</v>
      </c>
      <c r="C206" s="40" t="s">
        <v>280</v>
      </c>
      <c r="D206" s="40" t="s">
        <v>134</v>
      </c>
      <c r="E206" s="40" t="s">
        <v>289</v>
      </c>
      <c r="F206" s="40"/>
      <c r="G206" s="6">
        <f>G207</f>
        <v>1629.3</v>
      </c>
      <c r="H206" s="358">
        <f t="shared" si="115"/>
        <v>1030.07</v>
      </c>
      <c r="I206" s="358">
        <f t="shared" si="81"/>
        <v>63.221628920395254</v>
      </c>
    </row>
    <row r="207" spans="1:9" s="213" customFormat="1" ht="15.75" x14ac:dyDescent="0.25">
      <c r="A207" s="25" t="s">
        <v>290</v>
      </c>
      <c r="B207" s="20" t="s">
        <v>1023</v>
      </c>
      <c r="C207" s="40" t="s">
        <v>280</v>
      </c>
      <c r="D207" s="40" t="s">
        <v>134</v>
      </c>
      <c r="E207" s="40" t="s">
        <v>291</v>
      </c>
      <c r="F207" s="40"/>
      <c r="G207" s="6">
        <f>'Пр.3 Рд,пр, ЦС,ВР 20'!F526</f>
        <v>1629.3</v>
      </c>
      <c r="H207" s="358">
        <f>'Пр.3 Рд,пр, ЦС,ВР 20'!G526</f>
        <v>1030.07</v>
      </c>
      <c r="I207" s="358">
        <f t="shared" si="81"/>
        <v>63.221628920395254</v>
      </c>
    </row>
    <row r="208" spans="1:9" s="213" customFormat="1" ht="31.5" x14ac:dyDescent="0.25">
      <c r="A208" s="29" t="s">
        <v>419</v>
      </c>
      <c r="B208" s="20" t="s">
        <v>1023</v>
      </c>
      <c r="C208" s="40" t="s">
        <v>280</v>
      </c>
      <c r="D208" s="40" t="s">
        <v>134</v>
      </c>
      <c r="E208" s="40" t="s">
        <v>291</v>
      </c>
      <c r="F208" s="40" t="s">
        <v>653</v>
      </c>
      <c r="G208" s="10">
        <f>G207</f>
        <v>1629.3</v>
      </c>
      <c r="H208" s="328">
        <f t="shared" ref="H208" si="116">H207</f>
        <v>1030.07</v>
      </c>
      <c r="I208" s="358">
        <f t="shared" si="81"/>
        <v>63.221628920395254</v>
      </c>
    </row>
    <row r="209" spans="1:9" s="213" customFormat="1" ht="94.5" x14ac:dyDescent="0.25">
      <c r="A209" s="31" t="s">
        <v>1455</v>
      </c>
      <c r="B209" s="20" t="s">
        <v>1022</v>
      </c>
      <c r="C209" s="40" t="s">
        <v>280</v>
      </c>
      <c r="D209" s="40" t="s">
        <v>134</v>
      </c>
      <c r="E209" s="40"/>
      <c r="F209" s="40"/>
      <c r="G209" s="6">
        <f>G210</f>
        <v>80735.399999999994</v>
      </c>
      <c r="H209" s="358">
        <f t="shared" ref="H209:H210" si="117">H210</f>
        <v>50166.637000000002</v>
      </c>
      <c r="I209" s="358">
        <f t="shared" si="81"/>
        <v>62.137100949521532</v>
      </c>
    </row>
    <row r="210" spans="1:9" s="213" customFormat="1" ht="31.5" x14ac:dyDescent="0.25">
      <c r="A210" s="25" t="s">
        <v>288</v>
      </c>
      <c r="B210" s="20" t="s">
        <v>1022</v>
      </c>
      <c r="C210" s="40" t="s">
        <v>280</v>
      </c>
      <c r="D210" s="40" t="s">
        <v>134</v>
      </c>
      <c r="E210" s="40" t="s">
        <v>289</v>
      </c>
      <c r="F210" s="40"/>
      <c r="G210" s="6">
        <f>G211</f>
        <v>80735.399999999994</v>
      </c>
      <c r="H210" s="358">
        <f t="shared" si="117"/>
        <v>50166.637000000002</v>
      </c>
      <c r="I210" s="358">
        <f t="shared" ref="I210:I273" si="118">H210/G210*100</f>
        <v>62.137100949521532</v>
      </c>
    </row>
    <row r="211" spans="1:9" s="213" customFormat="1" ht="15.75" x14ac:dyDescent="0.25">
      <c r="A211" s="25" t="s">
        <v>290</v>
      </c>
      <c r="B211" s="20" t="s">
        <v>1022</v>
      </c>
      <c r="C211" s="40" t="s">
        <v>280</v>
      </c>
      <c r="D211" s="40" t="s">
        <v>134</v>
      </c>
      <c r="E211" s="40" t="s">
        <v>291</v>
      </c>
      <c r="F211" s="40"/>
      <c r="G211" s="6">
        <f>'Пр.3 Рд,пр, ЦС,ВР 20'!F529</f>
        <v>80735.399999999994</v>
      </c>
      <c r="H211" s="358">
        <f>'Пр.3 Рд,пр, ЦС,ВР 20'!G529</f>
        <v>50166.637000000002</v>
      </c>
      <c r="I211" s="358">
        <f t="shared" si="118"/>
        <v>62.137100949521532</v>
      </c>
    </row>
    <row r="212" spans="1:9" s="213" customFormat="1" ht="31.5" x14ac:dyDescent="0.25">
      <c r="A212" s="29" t="s">
        <v>419</v>
      </c>
      <c r="B212" s="20" t="s">
        <v>1022</v>
      </c>
      <c r="C212" s="40" t="s">
        <v>280</v>
      </c>
      <c r="D212" s="40" t="s">
        <v>134</v>
      </c>
      <c r="E212" s="40" t="s">
        <v>291</v>
      </c>
      <c r="F212" s="40" t="s">
        <v>653</v>
      </c>
      <c r="G212" s="10">
        <f>G211</f>
        <v>80735.399999999994</v>
      </c>
      <c r="H212" s="328">
        <f t="shared" ref="H212" si="119">H211</f>
        <v>50166.637000000002</v>
      </c>
      <c r="I212" s="358">
        <f t="shared" si="118"/>
        <v>62.137100949521532</v>
      </c>
    </row>
    <row r="213" spans="1:9" s="213" customFormat="1" ht="94.5" x14ac:dyDescent="0.25">
      <c r="A213" s="31" t="s">
        <v>309</v>
      </c>
      <c r="B213" s="20" t="s">
        <v>1024</v>
      </c>
      <c r="C213" s="40" t="s">
        <v>280</v>
      </c>
      <c r="D213" s="40" t="s">
        <v>134</v>
      </c>
      <c r="E213" s="40"/>
      <c r="F213" s="40"/>
      <c r="G213" s="6">
        <f>G214</f>
        <v>950.00000000000045</v>
      </c>
      <c r="H213" s="358">
        <f t="shared" ref="H213:H214" si="120">H214</f>
        <v>950</v>
      </c>
      <c r="I213" s="358">
        <f t="shared" si="118"/>
        <v>99.999999999999957</v>
      </c>
    </row>
    <row r="214" spans="1:9" s="213" customFormat="1" ht="31.5" x14ac:dyDescent="0.25">
      <c r="A214" s="25" t="s">
        <v>288</v>
      </c>
      <c r="B214" s="20" t="s">
        <v>1024</v>
      </c>
      <c r="C214" s="40" t="s">
        <v>280</v>
      </c>
      <c r="D214" s="40" t="s">
        <v>134</v>
      </c>
      <c r="E214" s="40" t="s">
        <v>289</v>
      </c>
      <c r="F214" s="40"/>
      <c r="G214" s="6">
        <f>G215</f>
        <v>950.00000000000045</v>
      </c>
      <c r="H214" s="358">
        <f t="shared" si="120"/>
        <v>950</v>
      </c>
      <c r="I214" s="358">
        <f t="shared" si="118"/>
        <v>99.999999999999957</v>
      </c>
    </row>
    <row r="215" spans="1:9" s="213" customFormat="1" ht="15.75" x14ac:dyDescent="0.25">
      <c r="A215" s="25" t="s">
        <v>290</v>
      </c>
      <c r="B215" s="20" t="s">
        <v>1024</v>
      </c>
      <c r="C215" s="40" t="s">
        <v>280</v>
      </c>
      <c r="D215" s="40" t="s">
        <v>134</v>
      </c>
      <c r="E215" s="40" t="s">
        <v>291</v>
      </c>
      <c r="F215" s="40"/>
      <c r="G215" s="6">
        <f>'Пр.3 Рд,пр, ЦС,ВР 20'!F532</f>
        <v>950.00000000000045</v>
      </c>
      <c r="H215" s="358">
        <f>'Пр.3 Рд,пр, ЦС,ВР 20'!G532</f>
        <v>950</v>
      </c>
      <c r="I215" s="358">
        <f t="shared" si="118"/>
        <v>99.999999999999957</v>
      </c>
    </row>
    <row r="216" spans="1:9" s="213" customFormat="1" ht="31.5" x14ac:dyDescent="0.25">
      <c r="A216" s="29" t="s">
        <v>419</v>
      </c>
      <c r="B216" s="20" t="s">
        <v>1024</v>
      </c>
      <c r="C216" s="40" t="s">
        <v>280</v>
      </c>
      <c r="D216" s="40" t="s">
        <v>134</v>
      </c>
      <c r="E216" s="40" t="s">
        <v>291</v>
      </c>
      <c r="F216" s="40" t="s">
        <v>653</v>
      </c>
      <c r="G216" s="10">
        <f>G215</f>
        <v>950.00000000000045</v>
      </c>
      <c r="H216" s="328">
        <f t="shared" ref="H216" si="121">H215</f>
        <v>950</v>
      </c>
      <c r="I216" s="358">
        <f t="shared" si="118"/>
        <v>99.999999999999957</v>
      </c>
    </row>
    <row r="217" spans="1:9" ht="15.75" x14ac:dyDescent="0.25">
      <c r="A217" s="29" t="s">
        <v>441</v>
      </c>
      <c r="B217" s="40" t="s">
        <v>1021</v>
      </c>
      <c r="C217" s="40" t="s">
        <v>280</v>
      </c>
      <c r="D217" s="40" t="s">
        <v>229</v>
      </c>
      <c r="E217" s="40"/>
      <c r="F217" s="40"/>
      <c r="G217" s="10">
        <f>G226+G230+G234+G238+G242+G222+G218</f>
        <v>138744.47</v>
      </c>
      <c r="H217" s="328">
        <f t="shared" ref="H217" si="122">H226+H230+H234+H238+H242+H222+H218</f>
        <v>95591.442999999999</v>
      </c>
      <c r="I217" s="358">
        <f t="shared" si="118"/>
        <v>68.897479661711927</v>
      </c>
    </row>
    <row r="218" spans="1:9" s="324" customFormat="1" ht="63" x14ac:dyDescent="0.25">
      <c r="A218" s="335" t="s">
        <v>1525</v>
      </c>
      <c r="B218" s="331" t="s">
        <v>1526</v>
      </c>
      <c r="C218" s="339" t="s">
        <v>280</v>
      </c>
      <c r="D218" s="339" t="s">
        <v>229</v>
      </c>
      <c r="E218" s="339"/>
      <c r="F218" s="339"/>
      <c r="G218" s="328">
        <f>G219</f>
        <v>1125.9000000000001</v>
      </c>
      <c r="H218" s="328">
        <f t="shared" ref="H218:H219" si="123">H219</f>
        <v>341.8</v>
      </c>
      <c r="I218" s="358">
        <f t="shared" si="118"/>
        <v>30.357935873523402</v>
      </c>
    </row>
    <row r="219" spans="1:9" s="324" customFormat="1" ht="31.5" x14ac:dyDescent="0.25">
      <c r="A219" s="335" t="s">
        <v>288</v>
      </c>
      <c r="B219" s="331" t="s">
        <v>1526</v>
      </c>
      <c r="C219" s="339" t="s">
        <v>280</v>
      </c>
      <c r="D219" s="339" t="s">
        <v>229</v>
      </c>
      <c r="E219" s="339" t="s">
        <v>289</v>
      </c>
      <c r="F219" s="339"/>
      <c r="G219" s="328">
        <f>G220</f>
        <v>1125.9000000000001</v>
      </c>
      <c r="H219" s="328">
        <f t="shared" si="123"/>
        <v>341.8</v>
      </c>
      <c r="I219" s="358">
        <f t="shared" si="118"/>
        <v>30.357935873523402</v>
      </c>
    </row>
    <row r="220" spans="1:9" s="324" customFormat="1" ht="15.75" x14ac:dyDescent="0.25">
      <c r="A220" s="335" t="s">
        <v>290</v>
      </c>
      <c r="B220" s="331" t="s">
        <v>1526</v>
      </c>
      <c r="C220" s="339" t="s">
        <v>280</v>
      </c>
      <c r="D220" s="339" t="s">
        <v>229</v>
      </c>
      <c r="E220" s="339" t="s">
        <v>291</v>
      </c>
      <c r="F220" s="339"/>
      <c r="G220" s="328">
        <f>'Пр.4 ведом.20'!G645</f>
        <v>1125.9000000000001</v>
      </c>
      <c r="H220" s="328">
        <f>'Пр.4 ведом.20'!H645</f>
        <v>341.8</v>
      </c>
      <c r="I220" s="358">
        <f t="shared" si="118"/>
        <v>30.357935873523402</v>
      </c>
    </row>
    <row r="221" spans="1:9" s="324" customFormat="1" ht="39.200000000000003" customHeight="1" x14ac:dyDescent="0.25">
      <c r="A221" s="338" t="s">
        <v>419</v>
      </c>
      <c r="B221" s="331" t="s">
        <v>1526</v>
      </c>
      <c r="C221" s="339" t="s">
        <v>280</v>
      </c>
      <c r="D221" s="339" t="s">
        <v>229</v>
      </c>
      <c r="E221" s="339" t="s">
        <v>291</v>
      </c>
      <c r="F221" s="339" t="s">
        <v>653</v>
      </c>
      <c r="G221" s="328">
        <f>G218</f>
        <v>1125.9000000000001</v>
      </c>
      <c r="H221" s="328">
        <f t="shared" ref="H221" si="124">H218</f>
        <v>341.8</v>
      </c>
      <c r="I221" s="358">
        <f t="shared" si="118"/>
        <v>30.357935873523402</v>
      </c>
    </row>
    <row r="222" spans="1:9" s="324" customFormat="1" ht="94.5" x14ac:dyDescent="0.25">
      <c r="A222" s="31" t="s">
        <v>480</v>
      </c>
      <c r="B222" s="331" t="s">
        <v>1517</v>
      </c>
      <c r="C222" s="339" t="s">
        <v>280</v>
      </c>
      <c r="D222" s="339" t="s">
        <v>229</v>
      </c>
      <c r="E222" s="339"/>
      <c r="F222" s="339"/>
      <c r="G222" s="328">
        <f>G223</f>
        <v>3821</v>
      </c>
      <c r="H222" s="328">
        <f t="shared" ref="H222:H223" si="125">H223</f>
        <v>2595.3560000000002</v>
      </c>
      <c r="I222" s="358">
        <f t="shared" si="118"/>
        <v>67.923475529965984</v>
      </c>
    </row>
    <row r="223" spans="1:9" s="324" customFormat="1" ht="31.5" x14ac:dyDescent="0.25">
      <c r="A223" s="335" t="s">
        <v>288</v>
      </c>
      <c r="B223" s="331" t="s">
        <v>1517</v>
      </c>
      <c r="C223" s="339" t="s">
        <v>280</v>
      </c>
      <c r="D223" s="339" t="s">
        <v>229</v>
      </c>
      <c r="E223" s="339" t="s">
        <v>289</v>
      </c>
      <c r="F223" s="339"/>
      <c r="G223" s="328">
        <f>G224</f>
        <v>3821</v>
      </c>
      <c r="H223" s="328">
        <f t="shared" si="125"/>
        <v>2595.3560000000002</v>
      </c>
      <c r="I223" s="358">
        <f t="shared" si="118"/>
        <v>67.923475529965984</v>
      </c>
    </row>
    <row r="224" spans="1:9" s="324" customFormat="1" ht="15.75" x14ac:dyDescent="0.25">
      <c r="A224" s="335" t="s">
        <v>290</v>
      </c>
      <c r="B224" s="331" t="s">
        <v>1517</v>
      </c>
      <c r="C224" s="339" t="s">
        <v>280</v>
      </c>
      <c r="D224" s="339" t="s">
        <v>229</v>
      </c>
      <c r="E224" s="339" t="s">
        <v>291</v>
      </c>
      <c r="F224" s="339"/>
      <c r="G224" s="328">
        <f>'Пр.4 ведом.20'!G648</f>
        <v>3821</v>
      </c>
      <c r="H224" s="328">
        <f>'Пр.4 ведом.20'!H648</f>
        <v>2595.3560000000002</v>
      </c>
      <c r="I224" s="358">
        <f t="shared" si="118"/>
        <v>67.923475529965984</v>
      </c>
    </row>
    <row r="225" spans="1:9" s="324" customFormat="1" ht="31.5" x14ac:dyDescent="0.25">
      <c r="A225" s="338" t="s">
        <v>419</v>
      </c>
      <c r="B225" s="331" t="s">
        <v>1517</v>
      </c>
      <c r="C225" s="339" t="s">
        <v>280</v>
      </c>
      <c r="D225" s="339" t="s">
        <v>229</v>
      </c>
      <c r="E225" s="339" t="s">
        <v>291</v>
      </c>
      <c r="F225" s="339" t="s">
        <v>653</v>
      </c>
      <c r="G225" s="328">
        <f>G222</f>
        <v>3821</v>
      </c>
      <c r="H225" s="328">
        <f t="shared" ref="H225" si="126">H222</f>
        <v>2595.3560000000002</v>
      </c>
      <c r="I225" s="358">
        <f t="shared" si="118"/>
        <v>67.923475529965984</v>
      </c>
    </row>
    <row r="226" spans="1:9" s="213" customFormat="1" ht="78.75" x14ac:dyDescent="0.25">
      <c r="A226" s="31" t="s">
        <v>1456</v>
      </c>
      <c r="B226" s="20" t="s">
        <v>1049</v>
      </c>
      <c r="C226" s="40" t="s">
        <v>280</v>
      </c>
      <c r="D226" s="40" t="s">
        <v>229</v>
      </c>
      <c r="E226" s="40"/>
      <c r="F226" s="40"/>
      <c r="G226" s="6">
        <f>G227</f>
        <v>128341.87</v>
      </c>
      <c r="H226" s="358">
        <f t="shared" ref="H226:H227" si="127">H227</f>
        <v>88824.786999999997</v>
      </c>
      <c r="I226" s="358">
        <f t="shared" si="118"/>
        <v>69.209515959211132</v>
      </c>
    </row>
    <row r="227" spans="1:9" s="213" customFormat="1" ht="31.5" x14ac:dyDescent="0.25">
      <c r="A227" s="25" t="s">
        <v>288</v>
      </c>
      <c r="B227" s="20" t="s">
        <v>1049</v>
      </c>
      <c r="C227" s="40" t="s">
        <v>280</v>
      </c>
      <c r="D227" s="40" t="s">
        <v>229</v>
      </c>
      <c r="E227" s="40" t="s">
        <v>289</v>
      </c>
      <c r="F227" s="40"/>
      <c r="G227" s="6">
        <f>G228</f>
        <v>128341.87</v>
      </c>
      <c r="H227" s="358">
        <f t="shared" si="127"/>
        <v>88824.786999999997</v>
      </c>
      <c r="I227" s="358">
        <f t="shared" si="118"/>
        <v>69.209515959211132</v>
      </c>
    </row>
    <row r="228" spans="1:9" s="213" customFormat="1" ht="15.75" x14ac:dyDescent="0.25">
      <c r="A228" s="25" t="s">
        <v>290</v>
      </c>
      <c r="B228" s="20" t="s">
        <v>1049</v>
      </c>
      <c r="C228" s="40" t="s">
        <v>280</v>
      </c>
      <c r="D228" s="40" t="s">
        <v>229</v>
      </c>
      <c r="E228" s="40" t="s">
        <v>291</v>
      </c>
      <c r="F228" s="40"/>
      <c r="G228" s="6">
        <f>'Пр.3 Рд,пр, ЦС,ВР 20'!F600</f>
        <v>128341.87</v>
      </c>
      <c r="H228" s="358">
        <f>'Пр.3 Рд,пр, ЦС,ВР 20'!G600</f>
        <v>88824.786999999997</v>
      </c>
      <c r="I228" s="358">
        <f t="shared" si="118"/>
        <v>69.209515959211132</v>
      </c>
    </row>
    <row r="229" spans="1:9" s="213" customFormat="1" ht="31.5" x14ac:dyDescent="0.25">
      <c r="A229" s="29" t="s">
        <v>419</v>
      </c>
      <c r="B229" s="20" t="s">
        <v>1049</v>
      </c>
      <c r="C229" s="40" t="s">
        <v>280</v>
      </c>
      <c r="D229" s="40" t="s">
        <v>229</v>
      </c>
      <c r="E229" s="40" t="s">
        <v>291</v>
      </c>
      <c r="F229" s="40" t="s">
        <v>653</v>
      </c>
      <c r="G229" s="10">
        <f>G228</f>
        <v>128341.87</v>
      </c>
      <c r="H229" s="328">
        <f t="shared" ref="H229" si="128">H228</f>
        <v>88824.786999999997</v>
      </c>
      <c r="I229" s="358">
        <f t="shared" si="118"/>
        <v>69.209515959211132</v>
      </c>
    </row>
    <row r="230" spans="1:9" s="213" customFormat="1" ht="63" x14ac:dyDescent="0.25">
      <c r="A230" s="31" t="s">
        <v>305</v>
      </c>
      <c r="B230" s="20" t="s">
        <v>1020</v>
      </c>
      <c r="C230" s="40" t="s">
        <v>280</v>
      </c>
      <c r="D230" s="40" t="s">
        <v>229</v>
      </c>
      <c r="E230" s="40"/>
      <c r="F230" s="40"/>
      <c r="G230" s="6">
        <f>G231</f>
        <v>1245.5999999999999</v>
      </c>
      <c r="H230" s="358">
        <f t="shared" ref="H230:H231" si="129">H231</f>
        <v>649.6</v>
      </c>
      <c r="I230" s="358">
        <f t="shared" si="118"/>
        <v>52.15157353885678</v>
      </c>
    </row>
    <row r="231" spans="1:9" s="213" customFormat="1" ht="31.5" x14ac:dyDescent="0.25">
      <c r="A231" s="25" t="s">
        <v>288</v>
      </c>
      <c r="B231" s="20" t="s">
        <v>1020</v>
      </c>
      <c r="C231" s="40" t="s">
        <v>280</v>
      </c>
      <c r="D231" s="40" t="s">
        <v>229</v>
      </c>
      <c r="E231" s="40" t="s">
        <v>289</v>
      </c>
      <c r="F231" s="40"/>
      <c r="G231" s="6">
        <f>G232</f>
        <v>1245.5999999999999</v>
      </c>
      <c r="H231" s="358">
        <f t="shared" si="129"/>
        <v>649.6</v>
      </c>
      <c r="I231" s="358">
        <f t="shared" si="118"/>
        <v>52.15157353885678</v>
      </c>
    </row>
    <row r="232" spans="1:9" s="213" customFormat="1" ht="15.75" x14ac:dyDescent="0.25">
      <c r="A232" s="25" t="s">
        <v>290</v>
      </c>
      <c r="B232" s="20" t="s">
        <v>1020</v>
      </c>
      <c r="C232" s="40" t="s">
        <v>280</v>
      </c>
      <c r="D232" s="40" t="s">
        <v>229</v>
      </c>
      <c r="E232" s="40" t="s">
        <v>291</v>
      </c>
      <c r="F232" s="40"/>
      <c r="G232" s="6">
        <f>'Пр.3 Рд,пр, ЦС,ВР 20'!F603</f>
        <v>1245.5999999999999</v>
      </c>
      <c r="H232" s="358">
        <f>'Пр.3 Рд,пр, ЦС,ВР 20'!G603</f>
        <v>649.6</v>
      </c>
      <c r="I232" s="358">
        <f t="shared" si="118"/>
        <v>52.15157353885678</v>
      </c>
    </row>
    <row r="233" spans="1:9" s="213" customFormat="1" ht="31.5" x14ac:dyDescent="0.25">
      <c r="A233" s="29" t="s">
        <v>419</v>
      </c>
      <c r="B233" s="20" t="s">
        <v>1020</v>
      </c>
      <c r="C233" s="40" t="s">
        <v>280</v>
      </c>
      <c r="D233" s="40" t="s">
        <v>229</v>
      </c>
      <c r="E233" s="40" t="s">
        <v>291</v>
      </c>
      <c r="F233" s="40" t="s">
        <v>653</v>
      </c>
      <c r="G233" s="10">
        <f>G232</f>
        <v>1245.5999999999999</v>
      </c>
      <c r="H233" s="328">
        <f t="shared" ref="H233" si="130">H232</f>
        <v>649.6</v>
      </c>
      <c r="I233" s="358">
        <f t="shared" si="118"/>
        <v>52.15157353885678</v>
      </c>
    </row>
    <row r="234" spans="1:9" s="213" customFormat="1" ht="63" x14ac:dyDescent="0.25">
      <c r="A234" s="31" t="s">
        <v>307</v>
      </c>
      <c r="B234" s="20" t="s">
        <v>1023</v>
      </c>
      <c r="C234" s="40" t="s">
        <v>280</v>
      </c>
      <c r="D234" s="40" t="s">
        <v>229</v>
      </c>
      <c r="E234" s="40"/>
      <c r="F234" s="40"/>
      <c r="G234" s="6">
        <f>G235</f>
        <v>2266.6999999999998</v>
      </c>
      <c r="H234" s="358">
        <f t="shared" ref="H234:H235" si="131">H235</f>
        <v>1488.9</v>
      </c>
      <c r="I234" s="358">
        <f t="shared" si="118"/>
        <v>65.685798738253851</v>
      </c>
    </row>
    <row r="235" spans="1:9" s="213" customFormat="1" ht="31.5" x14ac:dyDescent="0.25">
      <c r="A235" s="25" t="s">
        <v>288</v>
      </c>
      <c r="B235" s="20" t="s">
        <v>1023</v>
      </c>
      <c r="C235" s="40" t="s">
        <v>280</v>
      </c>
      <c r="D235" s="40" t="s">
        <v>229</v>
      </c>
      <c r="E235" s="40" t="s">
        <v>289</v>
      </c>
      <c r="F235" s="40"/>
      <c r="G235" s="6">
        <f>G236</f>
        <v>2266.6999999999998</v>
      </c>
      <c r="H235" s="358">
        <f t="shared" si="131"/>
        <v>1488.9</v>
      </c>
      <c r="I235" s="358">
        <f t="shared" si="118"/>
        <v>65.685798738253851</v>
      </c>
    </row>
    <row r="236" spans="1:9" s="213" customFormat="1" ht="15.75" x14ac:dyDescent="0.25">
      <c r="A236" s="25" t="s">
        <v>290</v>
      </c>
      <c r="B236" s="20" t="s">
        <v>1023</v>
      </c>
      <c r="C236" s="40" t="s">
        <v>280</v>
      </c>
      <c r="D236" s="40" t="s">
        <v>229</v>
      </c>
      <c r="E236" s="40" t="s">
        <v>291</v>
      </c>
      <c r="F236" s="40"/>
      <c r="G236" s="6">
        <f>'Пр.3 Рд,пр, ЦС,ВР 20'!F606</f>
        <v>2266.6999999999998</v>
      </c>
      <c r="H236" s="358">
        <f>'Пр.3 Рд,пр, ЦС,ВР 20'!G606</f>
        <v>1488.9</v>
      </c>
      <c r="I236" s="358">
        <f t="shared" si="118"/>
        <v>65.685798738253851</v>
      </c>
    </row>
    <row r="237" spans="1:9" s="213" customFormat="1" ht="31.5" x14ac:dyDescent="0.25">
      <c r="A237" s="29" t="s">
        <v>419</v>
      </c>
      <c r="B237" s="20" t="s">
        <v>1023</v>
      </c>
      <c r="C237" s="40" t="s">
        <v>280</v>
      </c>
      <c r="D237" s="40" t="s">
        <v>229</v>
      </c>
      <c r="E237" s="40" t="s">
        <v>291</v>
      </c>
      <c r="F237" s="40" t="s">
        <v>653</v>
      </c>
      <c r="G237" s="10">
        <f>G236</f>
        <v>2266.6999999999998</v>
      </c>
      <c r="H237" s="328">
        <f t="shared" ref="H237" si="132">H236</f>
        <v>1488.9</v>
      </c>
      <c r="I237" s="358">
        <f t="shared" si="118"/>
        <v>65.685798738253851</v>
      </c>
    </row>
    <row r="238" spans="1:9" s="213" customFormat="1" ht="47.25" x14ac:dyDescent="0.25">
      <c r="A238" s="31" t="s">
        <v>478</v>
      </c>
      <c r="B238" s="20" t="s">
        <v>1050</v>
      </c>
      <c r="C238" s="40" t="s">
        <v>280</v>
      </c>
      <c r="D238" s="40" t="s">
        <v>229</v>
      </c>
      <c r="E238" s="40"/>
      <c r="F238" s="40"/>
      <c r="G238" s="6">
        <f>G239</f>
        <v>923.4</v>
      </c>
      <c r="H238" s="358">
        <f t="shared" ref="H238:H239" si="133">H239</f>
        <v>671</v>
      </c>
      <c r="I238" s="358">
        <f t="shared" si="118"/>
        <v>72.666233484946943</v>
      </c>
    </row>
    <row r="239" spans="1:9" s="213" customFormat="1" ht="31.5" x14ac:dyDescent="0.25">
      <c r="A239" s="25" t="s">
        <v>288</v>
      </c>
      <c r="B239" s="20" t="s">
        <v>1050</v>
      </c>
      <c r="C239" s="40" t="s">
        <v>280</v>
      </c>
      <c r="D239" s="40" t="s">
        <v>229</v>
      </c>
      <c r="E239" s="40" t="s">
        <v>289</v>
      </c>
      <c r="F239" s="40"/>
      <c r="G239" s="6">
        <f>G240</f>
        <v>923.4</v>
      </c>
      <c r="H239" s="358">
        <f t="shared" si="133"/>
        <v>671</v>
      </c>
      <c r="I239" s="358">
        <f t="shared" si="118"/>
        <v>72.666233484946943</v>
      </c>
    </row>
    <row r="240" spans="1:9" s="213" customFormat="1" ht="15.75" x14ac:dyDescent="0.25">
      <c r="A240" s="25" t="s">
        <v>290</v>
      </c>
      <c r="B240" s="20" t="s">
        <v>1050</v>
      </c>
      <c r="C240" s="40" t="s">
        <v>280</v>
      </c>
      <c r="D240" s="40" t="s">
        <v>229</v>
      </c>
      <c r="E240" s="40" t="s">
        <v>291</v>
      </c>
      <c r="F240" s="40"/>
      <c r="G240" s="6">
        <f>'Пр.3 Рд,пр, ЦС,ВР 20'!F609</f>
        <v>923.4</v>
      </c>
      <c r="H240" s="358">
        <f>'Пр.3 Рд,пр, ЦС,ВР 20'!G609</f>
        <v>671</v>
      </c>
      <c r="I240" s="358">
        <f t="shared" si="118"/>
        <v>72.666233484946943</v>
      </c>
    </row>
    <row r="241" spans="1:9" s="213" customFormat="1" ht="31.5" x14ac:dyDescent="0.25">
      <c r="A241" s="29" t="s">
        <v>419</v>
      </c>
      <c r="B241" s="20" t="s">
        <v>1050</v>
      </c>
      <c r="C241" s="40" t="s">
        <v>280</v>
      </c>
      <c r="D241" s="40" t="s">
        <v>229</v>
      </c>
      <c r="E241" s="40" t="s">
        <v>291</v>
      </c>
      <c r="F241" s="40" t="s">
        <v>653</v>
      </c>
      <c r="G241" s="10">
        <f>G240</f>
        <v>923.4</v>
      </c>
      <c r="H241" s="328">
        <f t="shared" ref="H241" si="134">H240</f>
        <v>671</v>
      </c>
      <c r="I241" s="358">
        <f t="shared" si="118"/>
        <v>72.666233484946943</v>
      </c>
    </row>
    <row r="242" spans="1:9" s="213" customFormat="1" ht="94.5" x14ac:dyDescent="0.25">
      <c r="A242" s="31" t="s">
        <v>480</v>
      </c>
      <c r="B242" s="20" t="s">
        <v>1024</v>
      </c>
      <c r="C242" s="40" t="s">
        <v>280</v>
      </c>
      <c r="D242" s="40" t="s">
        <v>229</v>
      </c>
      <c r="E242" s="40"/>
      <c r="F242" s="40"/>
      <c r="G242" s="6">
        <f>G243</f>
        <v>1019.9999999999991</v>
      </c>
      <c r="H242" s="358">
        <f t="shared" ref="H242:H243" si="135">H243</f>
        <v>1020</v>
      </c>
      <c r="I242" s="358">
        <f t="shared" si="118"/>
        <v>100.00000000000009</v>
      </c>
    </row>
    <row r="243" spans="1:9" s="213" customFormat="1" ht="31.5" x14ac:dyDescent="0.25">
      <c r="A243" s="25" t="s">
        <v>288</v>
      </c>
      <c r="B243" s="20" t="s">
        <v>1024</v>
      </c>
      <c r="C243" s="40" t="s">
        <v>280</v>
      </c>
      <c r="D243" s="40" t="s">
        <v>229</v>
      </c>
      <c r="E243" s="40" t="s">
        <v>289</v>
      </c>
      <c r="F243" s="40"/>
      <c r="G243" s="6">
        <f>G244</f>
        <v>1019.9999999999991</v>
      </c>
      <c r="H243" s="358">
        <f t="shared" si="135"/>
        <v>1020</v>
      </c>
      <c r="I243" s="358">
        <f t="shared" si="118"/>
        <v>100.00000000000009</v>
      </c>
    </row>
    <row r="244" spans="1:9" s="213" customFormat="1" ht="15.75" x14ac:dyDescent="0.25">
      <c r="A244" s="25" t="s">
        <v>290</v>
      </c>
      <c r="B244" s="20" t="s">
        <v>1024</v>
      </c>
      <c r="C244" s="40" t="s">
        <v>280</v>
      </c>
      <c r="D244" s="40" t="s">
        <v>229</v>
      </c>
      <c r="E244" s="40" t="s">
        <v>291</v>
      </c>
      <c r="F244" s="40"/>
      <c r="G244" s="6">
        <f>'Пр.3 Рд,пр, ЦС,ВР 20'!F612</f>
        <v>1019.9999999999991</v>
      </c>
      <c r="H244" s="358">
        <f>'Пр.3 Рд,пр, ЦС,ВР 20'!G612</f>
        <v>1020</v>
      </c>
      <c r="I244" s="358">
        <f t="shared" si="118"/>
        <v>100.00000000000009</v>
      </c>
    </row>
    <row r="245" spans="1:9" s="213" customFormat="1" ht="31.5" x14ac:dyDescent="0.25">
      <c r="A245" s="29" t="s">
        <v>419</v>
      </c>
      <c r="B245" s="20" t="s">
        <v>1024</v>
      </c>
      <c r="C245" s="40" t="s">
        <v>280</v>
      </c>
      <c r="D245" s="40" t="s">
        <v>229</v>
      </c>
      <c r="E245" s="40" t="s">
        <v>291</v>
      </c>
      <c r="F245" s="40" t="s">
        <v>653</v>
      </c>
      <c r="G245" s="10">
        <f>G244</f>
        <v>1019.9999999999991</v>
      </c>
      <c r="H245" s="328">
        <f t="shared" ref="H245" si="136">H244</f>
        <v>1020</v>
      </c>
      <c r="I245" s="358">
        <f t="shared" si="118"/>
        <v>100.00000000000009</v>
      </c>
    </row>
    <row r="246" spans="1:9" ht="15.75" x14ac:dyDescent="0.25">
      <c r="A246" s="29" t="s">
        <v>281</v>
      </c>
      <c r="B246" s="40" t="s">
        <v>1021</v>
      </c>
      <c r="C246" s="40" t="s">
        <v>280</v>
      </c>
      <c r="D246" s="40" t="s">
        <v>231</v>
      </c>
      <c r="E246" s="40"/>
      <c r="F246" s="40"/>
      <c r="G246" s="6">
        <f>G251+G255+G259+G247</f>
        <v>1622.2</v>
      </c>
      <c r="H246" s="358">
        <f t="shared" ref="H246" si="137">H251+H255+H259+H247</f>
        <v>1528.7</v>
      </c>
      <c r="I246" s="358">
        <f t="shared" si="118"/>
        <v>94.236222414005681</v>
      </c>
    </row>
    <row r="247" spans="1:9" s="324" customFormat="1" ht="94.5" x14ac:dyDescent="0.25">
      <c r="A247" s="31" t="s">
        <v>309</v>
      </c>
      <c r="B247" s="331" t="s">
        <v>1517</v>
      </c>
      <c r="C247" s="339" t="s">
        <v>280</v>
      </c>
      <c r="D247" s="339" t="s">
        <v>231</v>
      </c>
      <c r="E247" s="339"/>
      <c r="F247" s="339"/>
      <c r="G247" s="6">
        <f>G248</f>
        <v>216.9</v>
      </c>
      <c r="H247" s="358">
        <f t="shared" ref="H247:H248" si="138">H248</f>
        <v>216.9</v>
      </c>
      <c r="I247" s="358">
        <f t="shared" si="118"/>
        <v>100</v>
      </c>
    </row>
    <row r="248" spans="1:9" s="324" customFormat="1" ht="31.5" x14ac:dyDescent="0.25">
      <c r="A248" s="335" t="s">
        <v>288</v>
      </c>
      <c r="B248" s="331" t="s">
        <v>1517</v>
      </c>
      <c r="C248" s="339" t="s">
        <v>280</v>
      </c>
      <c r="D248" s="339" t="s">
        <v>231</v>
      </c>
      <c r="E248" s="339" t="s">
        <v>289</v>
      </c>
      <c r="F248" s="339"/>
      <c r="G248" s="6">
        <f>G249</f>
        <v>216.9</v>
      </c>
      <c r="H248" s="358">
        <f t="shared" si="138"/>
        <v>216.9</v>
      </c>
      <c r="I248" s="358">
        <f t="shared" si="118"/>
        <v>100</v>
      </c>
    </row>
    <row r="249" spans="1:9" s="324" customFormat="1" ht="15.75" x14ac:dyDescent="0.25">
      <c r="A249" s="335" t="s">
        <v>290</v>
      </c>
      <c r="B249" s="331" t="s">
        <v>1517</v>
      </c>
      <c r="C249" s="339" t="s">
        <v>280</v>
      </c>
      <c r="D249" s="339" t="s">
        <v>231</v>
      </c>
      <c r="E249" s="339" t="s">
        <v>291</v>
      </c>
      <c r="F249" s="339"/>
      <c r="G249" s="6">
        <f>'Пр.4 ведом.20'!G754</f>
        <v>216.9</v>
      </c>
      <c r="H249" s="358">
        <f>'Пр.4 ведом.20'!H754</f>
        <v>216.9</v>
      </c>
      <c r="I249" s="358">
        <f t="shared" si="118"/>
        <v>100</v>
      </c>
    </row>
    <row r="250" spans="1:9" s="324" customFormat="1" ht="31.5" x14ac:dyDescent="0.25">
      <c r="A250" s="338" t="s">
        <v>419</v>
      </c>
      <c r="B250" s="331" t="s">
        <v>1517</v>
      </c>
      <c r="C250" s="339" t="s">
        <v>280</v>
      </c>
      <c r="D250" s="339" t="s">
        <v>231</v>
      </c>
      <c r="E250" s="339" t="s">
        <v>291</v>
      </c>
      <c r="F250" s="339" t="s">
        <v>653</v>
      </c>
      <c r="G250" s="6">
        <f>G247</f>
        <v>216.9</v>
      </c>
      <c r="H250" s="358">
        <f t="shared" ref="H250" si="139">H247</f>
        <v>216.9</v>
      </c>
      <c r="I250" s="358">
        <f t="shared" si="118"/>
        <v>100</v>
      </c>
    </row>
    <row r="251" spans="1:9" s="213" customFormat="1" ht="63" x14ac:dyDescent="0.25">
      <c r="A251" s="31" t="s">
        <v>305</v>
      </c>
      <c r="B251" s="20" t="s">
        <v>1020</v>
      </c>
      <c r="C251" s="40" t="s">
        <v>280</v>
      </c>
      <c r="D251" s="40" t="s">
        <v>231</v>
      </c>
      <c r="E251" s="40"/>
      <c r="F251" s="40"/>
      <c r="G251" s="6">
        <f>G252</f>
        <v>169.3</v>
      </c>
      <c r="H251" s="358">
        <f t="shared" ref="H251:H252" si="140">H252</f>
        <v>161.30000000000001</v>
      </c>
      <c r="I251" s="358">
        <f t="shared" si="118"/>
        <v>95.274660366213823</v>
      </c>
    </row>
    <row r="252" spans="1:9" s="213" customFormat="1" ht="31.5" x14ac:dyDescent="0.25">
      <c r="A252" s="25" t="s">
        <v>288</v>
      </c>
      <c r="B252" s="20" t="s">
        <v>1020</v>
      </c>
      <c r="C252" s="40" t="s">
        <v>280</v>
      </c>
      <c r="D252" s="40" t="s">
        <v>231</v>
      </c>
      <c r="E252" s="40" t="s">
        <v>289</v>
      </c>
      <c r="F252" s="40"/>
      <c r="G252" s="6">
        <f>G253</f>
        <v>169.3</v>
      </c>
      <c r="H252" s="358">
        <f t="shared" si="140"/>
        <v>161.30000000000001</v>
      </c>
      <c r="I252" s="358">
        <f t="shared" si="118"/>
        <v>95.274660366213823</v>
      </c>
    </row>
    <row r="253" spans="1:9" s="213" customFormat="1" ht="15.75" x14ac:dyDescent="0.25">
      <c r="A253" s="25" t="s">
        <v>290</v>
      </c>
      <c r="B253" s="20" t="s">
        <v>1020</v>
      </c>
      <c r="C253" s="40" t="s">
        <v>280</v>
      </c>
      <c r="D253" s="40" t="s">
        <v>231</v>
      </c>
      <c r="E253" s="40" t="s">
        <v>291</v>
      </c>
      <c r="F253" s="40"/>
      <c r="G253" s="6">
        <f>'Пр.4 ведом.20'!G757</f>
        <v>169.3</v>
      </c>
      <c r="H253" s="358">
        <f>'Пр.4 ведом.20'!H757</f>
        <v>161.30000000000001</v>
      </c>
      <c r="I253" s="358">
        <f t="shared" si="118"/>
        <v>95.274660366213823</v>
      </c>
    </row>
    <row r="254" spans="1:9" s="213" customFormat="1" ht="31.5" x14ac:dyDescent="0.25">
      <c r="A254" s="29" t="s">
        <v>419</v>
      </c>
      <c r="B254" s="20" t="s">
        <v>1020</v>
      </c>
      <c r="C254" s="40" t="s">
        <v>280</v>
      </c>
      <c r="D254" s="40" t="s">
        <v>231</v>
      </c>
      <c r="E254" s="40" t="s">
        <v>291</v>
      </c>
      <c r="F254" s="40" t="s">
        <v>653</v>
      </c>
      <c r="G254" s="10">
        <f>G253</f>
        <v>169.3</v>
      </c>
      <c r="H254" s="328">
        <f t="shared" ref="H254" si="141">H253</f>
        <v>161.30000000000001</v>
      </c>
      <c r="I254" s="358">
        <f t="shared" si="118"/>
        <v>95.274660366213823</v>
      </c>
    </row>
    <row r="255" spans="1:9" s="213" customFormat="1" ht="63" x14ac:dyDescent="0.25">
      <c r="A255" s="31" t="s">
        <v>307</v>
      </c>
      <c r="B255" s="20" t="s">
        <v>1023</v>
      </c>
      <c r="C255" s="40" t="s">
        <v>280</v>
      </c>
      <c r="D255" s="40" t="s">
        <v>231</v>
      </c>
      <c r="E255" s="40"/>
      <c r="F255" s="40"/>
      <c r="G255" s="6">
        <f>G256</f>
        <v>549.5</v>
      </c>
      <c r="H255" s="358">
        <f t="shared" ref="H255:H256" si="142">H256</f>
        <v>464</v>
      </c>
      <c r="I255" s="358">
        <f t="shared" si="118"/>
        <v>84.440400363967242</v>
      </c>
    </row>
    <row r="256" spans="1:9" s="213" customFormat="1" ht="31.5" x14ac:dyDescent="0.25">
      <c r="A256" s="25" t="s">
        <v>288</v>
      </c>
      <c r="B256" s="20" t="s">
        <v>1023</v>
      </c>
      <c r="C256" s="40" t="s">
        <v>280</v>
      </c>
      <c r="D256" s="40" t="s">
        <v>231</v>
      </c>
      <c r="E256" s="40" t="s">
        <v>289</v>
      </c>
      <c r="F256" s="40"/>
      <c r="G256" s="6">
        <f>G257</f>
        <v>549.5</v>
      </c>
      <c r="H256" s="358">
        <f t="shared" si="142"/>
        <v>464</v>
      </c>
      <c r="I256" s="358">
        <f t="shared" si="118"/>
        <v>84.440400363967242</v>
      </c>
    </row>
    <row r="257" spans="1:9" s="213" customFormat="1" ht="15.75" x14ac:dyDescent="0.25">
      <c r="A257" s="25" t="s">
        <v>290</v>
      </c>
      <c r="B257" s="20" t="s">
        <v>1023</v>
      </c>
      <c r="C257" s="40" t="s">
        <v>280</v>
      </c>
      <c r="D257" s="40" t="s">
        <v>231</v>
      </c>
      <c r="E257" s="40" t="s">
        <v>291</v>
      </c>
      <c r="F257" s="40"/>
      <c r="G257" s="6">
        <f>'Пр.4 ведом.20'!G760</f>
        <v>549.5</v>
      </c>
      <c r="H257" s="358">
        <f>'Пр.4 ведом.20'!H760</f>
        <v>464</v>
      </c>
      <c r="I257" s="358">
        <f t="shared" si="118"/>
        <v>84.440400363967242</v>
      </c>
    </row>
    <row r="258" spans="1:9" s="213" customFormat="1" ht="31.5" x14ac:dyDescent="0.25">
      <c r="A258" s="29" t="s">
        <v>419</v>
      </c>
      <c r="B258" s="20" t="s">
        <v>1023</v>
      </c>
      <c r="C258" s="40" t="s">
        <v>280</v>
      </c>
      <c r="D258" s="40" t="s">
        <v>231</v>
      </c>
      <c r="E258" s="40" t="s">
        <v>291</v>
      </c>
      <c r="F258" s="40" t="s">
        <v>653</v>
      </c>
      <c r="G258" s="10">
        <f>G257</f>
        <v>549.5</v>
      </c>
      <c r="H258" s="328">
        <f t="shared" ref="H258" si="143">H257</f>
        <v>464</v>
      </c>
      <c r="I258" s="358">
        <f t="shared" si="118"/>
        <v>84.440400363967242</v>
      </c>
    </row>
    <row r="259" spans="1:9" s="213" customFormat="1" ht="94.5" x14ac:dyDescent="0.25">
      <c r="A259" s="31" t="s">
        <v>309</v>
      </c>
      <c r="B259" s="20" t="s">
        <v>1024</v>
      </c>
      <c r="C259" s="40" t="s">
        <v>280</v>
      </c>
      <c r="D259" s="40" t="s">
        <v>231</v>
      </c>
      <c r="E259" s="40"/>
      <c r="F259" s="40"/>
      <c r="G259" s="6">
        <f>G260</f>
        <v>686.5</v>
      </c>
      <c r="H259" s="358">
        <f t="shared" ref="H259:H260" si="144">H260</f>
        <v>686.5</v>
      </c>
      <c r="I259" s="358">
        <f t="shared" si="118"/>
        <v>100</v>
      </c>
    </row>
    <row r="260" spans="1:9" s="213" customFormat="1" ht="31.5" x14ac:dyDescent="0.25">
      <c r="A260" s="25" t="s">
        <v>288</v>
      </c>
      <c r="B260" s="20" t="s">
        <v>1024</v>
      </c>
      <c r="C260" s="40" t="s">
        <v>280</v>
      </c>
      <c r="D260" s="40" t="s">
        <v>231</v>
      </c>
      <c r="E260" s="40" t="s">
        <v>289</v>
      </c>
      <c r="F260" s="40"/>
      <c r="G260" s="6">
        <f>G261</f>
        <v>686.5</v>
      </c>
      <c r="H260" s="358">
        <f t="shared" si="144"/>
        <v>686.5</v>
      </c>
      <c r="I260" s="358">
        <f t="shared" si="118"/>
        <v>100</v>
      </c>
    </row>
    <row r="261" spans="1:9" s="213" customFormat="1" ht="15.75" x14ac:dyDescent="0.25">
      <c r="A261" s="25" t="s">
        <v>290</v>
      </c>
      <c r="B261" s="20" t="s">
        <v>1024</v>
      </c>
      <c r="C261" s="40" t="s">
        <v>280</v>
      </c>
      <c r="D261" s="40" t="s">
        <v>231</v>
      </c>
      <c r="E261" s="40" t="s">
        <v>291</v>
      </c>
      <c r="F261" s="40"/>
      <c r="G261" s="6">
        <f>'Пр.4 ведом.20'!G762</f>
        <v>686.5</v>
      </c>
      <c r="H261" s="358">
        <f>'Пр.4 ведом.20'!H762</f>
        <v>686.5</v>
      </c>
      <c r="I261" s="358">
        <f t="shared" si="118"/>
        <v>100</v>
      </c>
    </row>
    <row r="262" spans="1:9" s="213" customFormat="1" ht="31.5" x14ac:dyDescent="0.25">
      <c r="A262" s="29" t="s">
        <v>419</v>
      </c>
      <c r="B262" s="20" t="s">
        <v>1024</v>
      </c>
      <c r="C262" s="40" t="s">
        <v>280</v>
      </c>
      <c r="D262" s="40" t="s">
        <v>231</v>
      </c>
      <c r="E262" s="40" t="s">
        <v>291</v>
      </c>
      <c r="F262" s="40" t="s">
        <v>653</v>
      </c>
      <c r="G262" s="10">
        <f>G261</f>
        <v>686.5</v>
      </c>
      <c r="H262" s="328">
        <f t="shared" ref="H262" si="145">H261</f>
        <v>686.5</v>
      </c>
      <c r="I262" s="358">
        <f t="shared" si="118"/>
        <v>100</v>
      </c>
    </row>
    <row r="263" spans="1:9" ht="31.5" x14ac:dyDescent="0.25">
      <c r="A263" s="41" t="s">
        <v>427</v>
      </c>
      <c r="B263" s="7" t="s">
        <v>428</v>
      </c>
      <c r="C263" s="7"/>
      <c r="D263" s="7"/>
      <c r="E263" s="7"/>
      <c r="F263" s="7"/>
      <c r="G263" s="59">
        <f>G264+G279+G294+G305</f>
        <v>11386.54</v>
      </c>
      <c r="H263" s="340">
        <f t="shared" ref="H263" si="146">H264+H279+H294+H305</f>
        <v>6807.9986000000008</v>
      </c>
      <c r="I263" s="4">
        <f t="shared" si="118"/>
        <v>59.789879981100491</v>
      </c>
    </row>
    <row r="264" spans="1:9" s="213" customFormat="1" ht="31.5" x14ac:dyDescent="0.25">
      <c r="A264" s="23" t="s">
        <v>1007</v>
      </c>
      <c r="B264" s="24" t="s">
        <v>1008</v>
      </c>
      <c r="C264" s="7"/>
      <c r="D264" s="7"/>
      <c r="E264" s="7"/>
      <c r="F264" s="7"/>
      <c r="G264" s="59">
        <f>G265</f>
        <v>4747.54</v>
      </c>
      <c r="H264" s="340">
        <f t="shared" ref="H264" si="147">H265</f>
        <v>3064.1356000000001</v>
      </c>
      <c r="I264" s="4">
        <f t="shared" si="118"/>
        <v>64.541543620485569</v>
      </c>
    </row>
    <row r="265" spans="1:9" ht="15.75" x14ac:dyDescent="0.25">
      <c r="A265" s="29" t="s">
        <v>279</v>
      </c>
      <c r="B265" s="40" t="s">
        <v>1008</v>
      </c>
      <c r="C265" s="40" t="s">
        <v>280</v>
      </c>
      <c r="D265" s="40"/>
      <c r="E265" s="40"/>
      <c r="F265" s="40"/>
      <c r="G265" s="10">
        <f t="shared" ref="G265:H265" si="148">G266</f>
        <v>4747.54</v>
      </c>
      <c r="H265" s="328">
        <f t="shared" si="148"/>
        <v>3064.1356000000001</v>
      </c>
      <c r="I265" s="358">
        <f t="shared" si="118"/>
        <v>64.541543620485569</v>
      </c>
    </row>
    <row r="266" spans="1:9" ht="15.75" x14ac:dyDescent="0.25">
      <c r="A266" s="45" t="s">
        <v>420</v>
      </c>
      <c r="B266" s="40" t="s">
        <v>1008</v>
      </c>
      <c r="C266" s="40" t="s">
        <v>280</v>
      </c>
      <c r="D266" s="40" t="s">
        <v>134</v>
      </c>
      <c r="E266" s="40"/>
      <c r="F266" s="40"/>
      <c r="G266" s="10">
        <f>G267+G271+G275</f>
        <v>4747.54</v>
      </c>
      <c r="H266" s="328">
        <f t="shared" ref="H266" si="149">H267+H271+H275</f>
        <v>3064.1356000000001</v>
      </c>
      <c r="I266" s="358">
        <f t="shared" si="118"/>
        <v>64.541543620485569</v>
      </c>
    </row>
    <row r="267" spans="1:9" ht="31.5" x14ac:dyDescent="0.25">
      <c r="A267" s="29" t="s">
        <v>294</v>
      </c>
      <c r="B267" s="20" t="s">
        <v>1009</v>
      </c>
      <c r="C267" s="40" t="s">
        <v>280</v>
      </c>
      <c r="D267" s="40" t="s">
        <v>134</v>
      </c>
      <c r="E267" s="40"/>
      <c r="F267" s="40"/>
      <c r="G267" s="10">
        <f t="shared" ref="G267:H268" si="150">G268</f>
        <v>574</v>
      </c>
      <c r="H267" s="328">
        <f t="shared" si="150"/>
        <v>374</v>
      </c>
      <c r="I267" s="358">
        <f t="shared" si="118"/>
        <v>65.156794425087099</v>
      </c>
    </row>
    <row r="268" spans="1:9" ht="31.5" x14ac:dyDescent="0.25">
      <c r="A268" s="29" t="s">
        <v>288</v>
      </c>
      <c r="B268" s="20" t="s">
        <v>1009</v>
      </c>
      <c r="C268" s="40" t="s">
        <v>280</v>
      </c>
      <c r="D268" s="40" t="s">
        <v>134</v>
      </c>
      <c r="E268" s="40" t="s">
        <v>289</v>
      </c>
      <c r="F268" s="40"/>
      <c r="G268" s="10">
        <f t="shared" si="150"/>
        <v>574</v>
      </c>
      <c r="H268" s="328">
        <f t="shared" si="150"/>
        <v>374</v>
      </c>
      <c r="I268" s="358">
        <f t="shared" si="118"/>
        <v>65.156794425087099</v>
      </c>
    </row>
    <row r="269" spans="1:9" ht="15.75" x14ac:dyDescent="0.25">
      <c r="A269" s="29" t="s">
        <v>290</v>
      </c>
      <c r="B269" s="20" t="s">
        <v>1009</v>
      </c>
      <c r="C269" s="40" t="s">
        <v>280</v>
      </c>
      <c r="D269" s="40" t="s">
        <v>134</v>
      </c>
      <c r="E269" s="40" t="s">
        <v>291</v>
      </c>
      <c r="F269" s="40"/>
      <c r="G269" s="10">
        <f>'Пр.4 ведом.20'!G588</f>
        <v>574</v>
      </c>
      <c r="H269" s="328">
        <f>'Пр.4 ведом.20'!H588</f>
        <v>374</v>
      </c>
      <c r="I269" s="358">
        <f t="shared" si="118"/>
        <v>65.156794425087099</v>
      </c>
    </row>
    <row r="270" spans="1:9" s="213" customFormat="1" ht="31.5" x14ac:dyDescent="0.25">
      <c r="A270" s="29" t="s">
        <v>419</v>
      </c>
      <c r="B270" s="20" t="s">
        <v>1009</v>
      </c>
      <c r="C270" s="40" t="s">
        <v>280</v>
      </c>
      <c r="D270" s="40" t="s">
        <v>134</v>
      </c>
      <c r="E270" s="40" t="s">
        <v>291</v>
      </c>
      <c r="F270" s="40" t="s">
        <v>653</v>
      </c>
      <c r="G270" s="10">
        <f>G269</f>
        <v>574</v>
      </c>
      <c r="H270" s="328">
        <f t="shared" ref="H270" si="151">H269</f>
        <v>374</v>
      </c>
      <c r="I270" s="358">
        <f t="shared" si="118"/>
        <v>65.156794425087099</v>
      </c>
    </row>
    <row r="271" spans="1:9" ht="31.7" customHeight="1" x14ac:dyDescent="0.25">
      <c r="A271" s="29" t="s">
        <v>296</v>
      </c>
      <c r="B271" s="20" t="s">
        <v>1010</v>
      </c>
      <c r="C271" s="40" t="s">
        <v>280</v>
      </c>
      <c r="D271" s="40" t="s">
        <v>134</v>
      </c>
      <c r="E271" s="40"/>
      <c r="F271" s="40"/>
      <c r="G271" s="10">
        <f t="shared" ref="G271:H272" si="152">G272</f>
        <v>67.400000000000006</v>
      </c>
      <c r="H271" s="328">
        <f t="shared" si="152"/>
        <v>67.315600000000003</v>
      </c>
      <c r="I271" s="358">
        <f t="shared" si="118"/>
        <v>99.874777448071214</v>
      </c>
    </row>
    <row r="272" spans="1:9" ht="31.7" customHeight="1" x14ac:dyDescent="0.25">
      <c r="A272" s="29" t="s">
        <v>288</v>
      </c>
      <c r="B272" s="20" t="s">
        <v>1010</v>
      </c>
      <c r="C272" s="40" t="s">
        <v>280</v>
      </c>
      <c r="D272" s="40" t="s">
        <v>134</v>
      </c>
      <c r="E272" s="40" t="s">
        <v>289</v>
      </c>
      <c r="F272" s="40"/>
      <c r="G272" s="10">
        <f t="shared" si="152"/>
        <v>67.400000000000006</v>
      </c>
      <c r="H272" s="328">
        <f t="shared" si="152"/>
        <v>67.315600000000003</v>
      </c>
      <c r="I272" s="358">
        <f t="shared" si="118"/>
        <v>99.874777448071214</v>
      </c>
    </row>
    <row r="273" spans="1:9" ht="15.75" customHeight="1" x14ac:dyDescent="0.25">
      <c r="A273" s="29" t="s">
        <v>290</v>
      </c>
      <c r="B273" s="20" t="s">
        <v>1010</v>
      </c>
      <c r="C273" s="40" t="s">
        <v>280</v>
      </c>
      <c r="D273" s="40" t="s">
        <v>134</v>
      </c>
      <c r="E273" s="40" t="s">
        <v>291</v>
      </c>
      <c r="F273" s="40"/>
      <c r="G273" s="10">
        <f>'Пр.4 ведом.20'!G591</f>
        <v>67.400000000000006</v>
      </c>
      <c r="H273" s="328">
        <f>'Пр.4 ведом.20'!H591</f>
        <v>67.315600000000003</v>
      </c>
      <c r="I273" s="358">
        <f t="shared" si="118"/>
        <v>99.874777448071214</v>
      </c>
    </row>
    <row r="274" spans="1:9" s="213" customFormat="1" ht="15.75" customHeight="1" x14ac:dyDescent="0.25">
      <c r="A274" s="29" t="s">
        <v>419</v>
      </c>
      <c r="B274" s="20" t="s">
        <v>1010</v>
      </c>
      <c r="C274" s="40" t="s">
        <v>280</v>
      </c>
      <c r="D274" s="40" t="s">
        <v>134</v>
      </c>
      <c r="E274" s="40" t="s">
        <v>291</v>
      </c>
      <c r="F274" s="40" t="s">
        <v>653</v>
      </c>
      <c r="G274" s="10">
        <f>G273</f>
        <v>67.400000000000006</v>
      </c>
      <c r="H274" s="328">
        <f t="shared" ref="H274" si="153">H273</f>
        <v>67.315600000000003</v>
      </c>
      <c r="I274" s="358">
        <f t="shared" ref="I274:I337" si="154">H274/G274*100</f>
        <v>99.874777448071214</v>
      </c>
    </row>
    <row r="275" spans="1:9" ht="31.5" x14ac:dyDescent="0.25">
      <c r="A275" s="29" t="s">
        <v>431</v>
      </c>
      <c r="B275" s="20" t="s">
        <v>1011</v>
      </c>
      <c r="C275" s="40" t="s">
        <v>280</v>
      </c>
      <c r="D275" s="40" t="s">
        <v>134</v>
      </c>
      <c r="E275" s="40"/>
      <c r="F275" s="40"/>
      <c r="G275" s="10">
        <f t="shared" ref="G275:H276" si="155">G276</f>
        <v>4106.1400000000003</v>
      </c>
      <c r="H275" s="328">
        <f t="shared" si="155"/>
        <v>2622.82</v>
      </c>
      <c r="I275" s="358">
        <f t="shared" si="154"/>
        <v>63.875561963303738</v>
      </c>
    </row>
    <row r="276" spans="1:9" ht="33.75" customHeight="1" x14ac:dyDescent="0.25">
      <c r="A276" s="29" t="s">
        <v>288</v>
      </c>
      <c r="B276" s="20" t="s">
        <v>1011</v>
      </c>
      <c r="C276" s="40" t="s">
        <v>280</v>
      </c>
      <c r="D276" s="40" t="s">
        <v>134</v>
      </c>
      <c r="E276" s="40" t="s">
        <v>289</v>
      </c>
      <c r="F276" s="40"/>
      <c r="G276" s="10">
        <f t="shared" si="155"/>
        <v>4106.1400000000003</v>
      </c>
      <c r="H276" s="328">
        <f t="shared" si="155"/>
        <v>2622.82</v>
      </c>
      <c r="I276" s="358">
        <f t="shared" si="154"/>
        <v>63.875561963303738</v>
      </c>
    </row>
    <row r="277" spans="1:9" ht="15.75" x14ac:dyDescent="0.25">
      <c r="A277" s="29" t="s">
        <v>290</v>
      </c>
      <c r="B277" s="20" t="s">
        <v>1011</v>
      </c>
      <c r="C277" s="40" t="s">
        <v>280</v>
      </c>
      <c r="D277" s="40" t="s">
        <v>134</v>
      </c>
      <c r="E277" s="40" t="s">
        <v>291</v>
      </c>
      <c r="F277" s="40"/>
      <c r="G277" s="6">
        <f>'Пр.4 ведом.20'!G594</f>
        <v>4106.1400000000003</v>
      </c>
      <c r="H277" s="358">
        <f>'Пр.4 ведом.20'!H594</f>
        <v>2622.82</v>
      </c>
      <c r="I277" s="358">
        <f t="shared" si="154"/>
        <v>63.875561963303738</v>
      </c>
    </row>
    <row r="278" spans="1:9" s="213" customFormat="1" ht="31.5" x14ac:dyDescent="0.25">
      <c r="A278" s="29" t="s">
        <v>419</v>
      </c>
      <c r="B278" s="20" t="s">
        <v>1011</v>
      </c>
      <c r="C278" s="40" t="s">
        <v>280</v>
      </c>
      <c r="D278" s="40" t="s">
        <v>134</v>
      </c>
      <c r="E278" s="40" t="s">
        <v>291</v>
      </c>
      <c r="F278" s="40" t="s">
        <v>653</v>
      </c>
      <c r="G278" s="10">
        <f>G277</f>
        <v>4106.1400000000003</v>
      </c>
      <c r="H278" s="328">
        <f t="shared" ref="H278" si="156">H277</f>
        <v>2622.82</v>
      </c>
      <c r="I278" s="358">
        <f t="shared" si="154"/>
        <v>63.875561963303738</v>
      </c>
    </row>
    <row r="279" spans="1:9" s="213" customFormat="1" ht="31.5" x14ac:dyDescent="0.25">
      <c r="A279" s="227" t="s">
        <v>1077</v>
      </c>
      <c r="B279" s="24" t="s">
        <v>1012</v>
      </c>
      <c r="C279" s="7"/>
      <c r="D279" s="7"/>
      <c r="E279" s="7"/>
      <c r="F279" s="7"/>
      <c r="G279" s="4">
        <f>G280</f>
        <v>4610</v>
      </c>
      <c r="H279" s="4">
        <f t="shared" ref="H279" si="157">H280</f>
        <v>3537.2</v>
      </c>
      <c r="I279" s="4">
        <f t="shared" si="154"/>
        <v>76.728850325379611</v>
      </c>
    </row>
    <row r="280" spans="1:9" s="213" customFormat="1" ht="15.75" x14ac:dyDescent="0.25">
      <c r="A280" s="29" t="s">
        <v>279</v>
      </c>
      <c r="B280" s="40" t="s">
        <v>1012</v>
      </c>
      <c r="C280" s="40" t="s">
        <v>280</v>
      </c>
      <c r="D280" s="40"/>
      <c r="E280" s="40"/>
      <c r="F280" s="40"/>
      <c r="G280" s="10">
        <f t="shared" ref="G280:H280" si="158">G281</f>
        <v>4610</v>
      </c>
      <c r="H280" s="328">
        <f t="shared" si="158"/>
        <v>3537.2</v>
      </c>
      <c r="I280" s="358">
        <f t="shared" si="154"/>
        <v>76.728850325379611</v>
      </c>
    </row>
    <row r="281" spans="1:9" s="213" customFormat="1" ht="15.75" x14ac:dyDescent="0.25">
      <c r="A281" s="45" t="s">
        <v>420</v>
      </c>
      <c r="B281" s="40" t="s">
        <v>1012</v>
      </c>
      <c r="C281" s="40" t="s">
        <v>280</v>
      </c>
      <c r="D281" s="40" t="s">
        <v>134</v>
      </c>
      <c r="E281" s="40"/>
      <c r="F281" s="40"/>
      <c r="G281" s="10">
        <f>G282+G286+G290</f>
        <v>4610</v>
      </c>
      <c r="H281" s="328">
        <f t="shared" ref="H281" si="159">H282+H286+H290</f>
        <v>3537.2</v>
      </c>
      <c r="I281" s="358">
        <f t="shared" si="154"/>
        <v>76.728850325379611</v>
      </c>
    </row>
    <row r="282" spans="1:9" ht="31.7" hidden="1" customHeight="1" x14ac:dyDescent="0.25">
      <c r="A282" s="29" t="s">
        <v>300</v>
      </c>
      <c r="B282" s="20" t="s">
        <v>1013</v>
      </c>
      <c r="C282" s="40" t="s">
        <v>280</v>
      </c>
      <c r="D282" s="40" t="s">
        <v>134</v>
      </c>
      <c r="E282" s="40"/>
      <c r="F282" s="40"/>
      <c r="G282" s="10">
        <f t="shared" ref="G282:H283" si="160">G283</f>
        <v>0</v>
      </c>
      <c r="H282" s="328">
        <f t="shared" si="160"/>
        <v>0</v>
      </c>
      <c r="I282" s="358" t="e">
        <f t="shared" si="154"/>
        <v>#DIV/0!</v>
      </c>
    </row>
    <row r="283" spans="1:9" ht="31.7" hidden="1" customHeight="1" x14ac:dyDescent="0.25">
      <c r="A283" s="29" t="s">
        <v>288</v>
      </c>
      <c r="B283" s="20" t="s">
        <v>1013</v>
      </c>
      <c r="C283" s="40" t="s">
        <v>280</v>
      </c>
      <c r="D283" s="40" t="s">
        <v>134</v>
      </c>
      <c r="E283" s="40" t="s">
        <v>289</v>
      </c>
      <c r="F283" s="40"/>
      <c r="G283" s="10">
        <f t="shared" si="160"/>
        <v>0</v>
      </c>
      <c r="H283" s="328">
        <f t="shared" si="160"/>
        <v>0</v>
      </c>
      <c r="I283" s="358" t="e">
        <f t="shared" si="154"/>
        <v>#DIV/0!</v>
      </c>
    </row>
    <row r="284" spans="1:9" ht="15.75" hidden="1" customHeight="1" x14ac:dyDescent="0.25">
      <c r="A284" s="29" t="s">
        <v>290</v>
      </c>
      <c r="B284" s="20" t="s">
        <v>1013</v>
      </c>
      <c r="C284" s="40" t="s">
        <v>280</v>
      </c>
      <c r="D284" s="40" t="s">
        <v>134</v>
      </c>
      <c r="E284" s="40" t="s">
        <v>291</v>
      </c>
      <c r="F284" s="40"/>
      <c r="G284" s="10">
        <f>'Пр.4 ведом.20'!G598</f>
        <v>0</v>
      </c>
      <c r="H284" s="328">
        <f>'Пр.4 ведом.20'!H598</f>
        <v>0</v>
      </c>
      <c r="I284" s="358" t="e">
        <f t="shared" si="154"/>
        <v>#DIV/0!</v>
      </c>
    </row>
    <row r="285" spans="1:9" s="213" customFormat="1" ht="15.75" hidden="1" customHeight="1" x14ac:dyDescent="0.25">
      <c r="A285" s="29" t="s">
        <v>419</v>
      </c>
      <c r="B285" s="20" t="s">
        <v>1013</v>
      </c>
      <c r="C285" s="40" t="s">
        <v>280</v>
      </c>
      <c r="D285" s="40" t="s">
        <v>134</v>
      </c>
      <c r="E285" s="40" t="s">
        <v>291</v>
      </c>
      <c r="F285" s="40" t="s">
        <v>653</v>
      </c>
      <c r="G285" s="10">
        <f>G284</f>
        <v>0</v>
      </c>
      <c r="H285" s="328">
        <f t="shared" ref="H285" si="161">H284</f>
        <v>0</v>
      </c>
      <c r="I285" s="358" t="e">
        <f t="shared" si="154"/>
        <v>#DIV/0!</v>
      </c>
    </row>
    <row r="286" spans="1:9" ht="31.5" x14ac:dyDescent="0.25">
      <c r="A286" s="60" t="s">
        <v>787</v>
      </c>
      <c r="B286" s="20" t="s">
        <v>1014</v>
      </c>
      <c r="C286" s="20" t="s">
        <v>280</v>
      </c>
      <c r="D286" s="20" t="s">
        <v>134</v>
      </c>
      <c r="E286" s="20"/>
      <c r="F286" s="20"/>
      <c r="G286" s="10">
        <f t="shared" ref="G286:H287" si="162">G287</f>
        <v>2850</v>
      </c>
      <c r="H286" s="328">
        <f t="shared" si="162"/>
        <v>2800</v>
      </c>
      <c r="I286" s="358">
        <f t="shared" si="154"/>
        <v>98.245614035087712</v>
      </c>
    </row>
    <row r="287" spans="1:9" ht="31.5" x14ac:dyDescent="0.25">
      <c r="A287" s="29" t="s">
        <v>288</v>
      </c>
      <c r="B287" s="20" t="s">
        <v>1014</v>
      </c>
      <c r="C287" s="20" t="s">
        <v>280</v>
      </c>
      <c r="D287" s="20" t="s">
        <v>134</v>
      </c>
      <c r="E287" s="20" t="s">
        <v>289</v>
      </c>
      <c r="F287" s="20"/>
      <c r="G287" s="10">
        <f t="shared" si="162"/>
        <v>2850</v>
      </c>
      <c r="H287" s="328">
        <f t="shared" si="162"/>
        <v>2800</v>
      </c>
      <c r="I287" s="358">
        <f t="shared" si="154"/>
        <v>98.245614035087712</v>
      </c>
    </row>
    <row r="288" spans="1:9" ht="15.75" x14ac:dyDescent="0.25">
      <c r="A288" s="192" t="s">
        <v>290</v>
      </c>
      <c r="B288" s="20" t="s">
        <v>1014</v>
      </c>
      <c r="C288" s="20" t="s">
        <v>280</v>
      </c>
      <c r="D288" s="20" t="s">
        <v>134</v>
      </c>
      <c r="E288" s="20" t="s">
        <v>291</v>
      </c>
      <c r="F288" s="20"/>
      <c r="G288" s="10">
        <f>'Пр.4 ведом.20'!G601</f>
        <v>2850</v>
      </c>
      <c r="H288" s="328">
        <f>'Пр.4 ведом.20'!H601</f>
        <v>2800</v>
      </c>
      <c r="I288" s="358">
        <f t="shared" si="154"/>
        <v>98.245614035087712</v>
      </c>
    </row>
    <row r="289" spans="1:9" s="213" customFormat="1" ht="31.5" x14ac:dyDescent="0.25">
      <c r="A289" s="29" t="s">
        <v>419</v>
      </c>
      <c r="B289" s="20" t="s">
        <v>1014</v>
      </c>
      <c r="C289" s="40" t="s">
        <v>280</v>
      </c>
      <c r="D289" s="40" t="s">
        <v>134</v>
      </c>
      <c r="E289" s="40" t="s">
        <v>291</v>
      </c>
      <c r="F289" s="40" t="s">
        <v>653</v>
      </c>
      <c r="G289" s="10">
        <f>G288</f>
        <v>2850</v>
      </c>
      <c r="H289" s="328">
        <f t="shared" ref="H289" si="163">H288</f>
        <v>2800</v>
      </c>
      <c r="I289" s="358">
        <f t="shared" si="154"/>
        <v>98.245614035087712</v>
      </c>
    </row>
    <row r="290" spans="1:9" ht="47.25" x14ac:dyDescent="0.25">
      <c r="A290" s="60" t="s">
        <v>788</v>
      </c>
      <c r="B290" s="20" t="s">
        <v>1015</v>
      </c>
      <c r="C290" s="20" t="s">
        <v>280</v>
      </c>
      <c r="D290" s="20" t="s">
        <v>134</v>
      </c>
      <c r="E290" s="20"/>
      <c r="F290" s="20"/>
      <c r="G290" s="10">
        <f t="shared" ref="G290:H291" si="164">G291</f>
        <v>1760</v>
      </c>
      <c r="H290" s="328">
        <f t="shared" si="164"/>
        <v>737.2</v>
      </c>
      <c r="I290" s="358">
        <f t="shared" si="154"/>
        <v>41.88636363636364</v>
      </c>
    </row>
    <row r="291" spans="1:9" ht="31.5" x14ac:dyDescent="0.25">
      <c r="A291" s="29" t="s">
        <v>288</v>
      </c>
      <c r="B291" s="20" t="s">
        <v>1015</v>
      </c>
      <c r="C291" s="20" t="s">
        <v>280</v>
      </c>
      <c r="D291" s="20" t="s">
        <v>134</v>
      </c>
      <c r="E291" s="20" t="s">
        <v>289</v>
      </c>
      <c r="F291" s="20"/>
      <c r="G291" s="10">
        <f t="shared" si="164"/>
        <v>1760</v>
      </c>
      <c r="H291" s="328">
        <f t="shared" si="164"/>
        <v>737.2</v>
      </c>
      <c r="I291" s="358">
        <f t="shared" si="154"/>
        <v>41.88636363636364</v>
      </c>
    </row>
    <row r="292" spans="1:9" ht="15.75" x14ac:dyDescent="0.25">
      <c r="A292" s="192" t="s">
        <v>290</v>
      </c>
      <c r="B292" s="20" t="s">
        <v>1015</v>
      </c>
      <c r="C292" s="20" t="s">
        <v>280</v>
      </c>
      <c r="D292" s="20" t="s">
        <v>134</v>
      </c>
      <c r="E292" s="20" t="s">
        <v>291</v>
      </c>
      <c r="F292" s="20"/>
      <c r="G292" s="10">
        <f>'Пр.4 ведом.20'!G604</f>
        <v>1760</v>
      </c>
      <c r="H292" s="328">
        <f>'Пр.4 ведом.20'!H604</f>
        <v>737.2</v>
      </c>
      <c r="I292" s="358">
        <f t="shared" si="154"/>
        <v>41.88636363636364</v>
      </c>
    </row>
    <row r="293" spans="1:9" s="213" customFormat="1" ht="31.5" x14ac:dyDescent="0.25">
      <c r="A293" s="29" t="s">
        <v>419</v>
      </c>
      <c r="B293" s="20" t="s">
        <v>1015</v>
      </c>
      <c r="C293" s="40" t="s">
        <v>280</v>
      </c>
      <c r="D293" s="40" t="s">
        <v>134</v>
      </c>
      <c r="E293" s="40" t="s">
        <v>291</v>
      </c>
      <c r="F293" s="40" t="s">
        <v>653</v>
      </c>
      <c r="G293" s="10">
        <f>G292</f>
        <v>1760</v>
      </c>
      <c r="H293" s="328">
        <f t="shared" ref="H293" si="165">H292</f>
        <v>737.2</v>
      </c>
      <c r="I293" s="358">
        <f t="shared" si="154"/>
        <v>41.88636363636364</v>
      </c>
    </row>
    <row r="294" spans="1:9" s="213" customFormat="1" ht="63" x14ac:dyDescent="0.25">
      <c r="A294" s="23" t="s">
        <v>1016</v>
      </c>
      <c r="B294" s="24" t="s">
        <v>1017</v>
      </c>
      <c r="C294" s="24"/>
      <c r="D294" s="24"/>
      <c r="E294" s="24"/>
      <c r="F294" s="24"/>
      <c r="G294" s="59">
        <f>G295</f>
        <v>291.10000000000002</v>
      </c>
      <c r="H294" s="340">
        <f t="shared" ref="H294" si="166">H295</f>
        <v>25</v>
      </c>
      <c r="I294" s="4">
        <f t="shared" si="154"/>
        <v>8.5881140501545854</v>
      </c>
    </row>
    <row r="295" spans="1:9" s="213" customFormat="1" ht="15.75" x14ac:dyDescent="0.25">
      <c r="A295" s="29" t="s">
        <v>279</v>
      </c>
      <c r="B295" s="40" t="s">
        <v>1017</v>
      </c>
      <c r="C295" s="40" t="s">
        <v>280</v>
      </c>
      <c r="D295" s="40"/>
      <c r="E295" s="40"/>
      <c r="F295" s="40"/>
      <c r="G295" s="10">
        <f t="shared" ref="G295:H295" si="167">G296</f>
        <v>291.10000000000002</v>
      </c>
      <c r="H295" s="328">
        <f t="shared" si="167"/>
        <v>25</v>
      </c>
      <c r="I295" s="358">
        <f t="shared" si="154"/>
        <v>8.5881140501545854</v>
      </c>
    </row>
    <row r="296" spans="1:9" s="213" customFormat="1" ht="15.75" x14ac:dyDescent="0.25">
      <c r="A296" s="45" t="s">
        <v>420</v>
      </c>
      <c r="B296" s="40" t="s">
        <v>1017</v>
      </c>
      <c r="C296" s="40" t="s">
        <v>280</v>
      </c>
      <c r="D296" s="40" t="s">
        <v>134</v>
      </c>
      <c r="E296" s="40"/>
      <c r="F296" s="40"/>
      <c r="G296" s="10">
        <f>G297+G301</f>
        <v>291.10000000000002</v>
      </c>
      <c r="H296" s="328">
        <f t="shared" ref="H296" si="168">H297+H301</f>
        <v>25</v>
      </c>
      <c r="I296" s="358">
        <f t="shared" si="154"/>
        <v>8.5881140501545854</v>
      </c>
    </row>
    <row r="297" spans="1:9" ht="130.69999999999999" customHeight="1" x14ac:dyDescent="0.25">
      <c r="A297" s="25" t="s">
        <v>1463</v>
      </c>
      <c r="B297" s="20" t="s">
        <v>1018</v>
      </c>
      <c r="C297" s="20" t="s">
        <v>280</v>
      </c>
      <c r="D297" s="20" t="s">
        <v>134</v>
      </c>
      <c r="E297" s="20"/>
      <c r="F297" s="20"/>
      <c r="G297" s="10">
        <f>G298</f>
        <v>124.4</v>
      </c>
      <c r="H297" s="328">
        <f t="shared" ref="H297:H298" si="169">H298</f>
        <v>0</v>
      </c>
      <c r="I297" s="358">
        <f t="shared" si="154"/>
        <v>0</v>
      </c>
    </row>
    <row r="298" spans="1:9" ht="31.5" x14ac:dyDescent="0.25">
      <c r="A298" s="25" t="s">
        <v>288</v>
      </c>
      <c r="B298" s="20" t="s">
        <v>1018</v>
      </c>
      <c r="C298" s="20" t="s">
        <v>280</v>
      </c>
      <c r="D298" s="20" t="s">
        <v>134</v>
      </c>
      <c r="E298" s="20" t="s">
        <v>289</v>
      </c>
      <c r="F298" s="20"/>
      <c r="G298" s="10">
        <f>G299</f>
        <v>124.4</v>
      </c>
      <c r="H298" s="328">
        <f t="shared" si="169"/>
        <v>0</v>
      </c>
      <c r="I298" s="358">
        <f t="shared" si="154"/>
        <v>0</v>
      </c>
    </row>
    <row r="299" spans="1:9" ht="15.75" x14ac:dyDescent="0.25">
      <c r="A299" s="25" t="s">
        <v>290</v>
      </c>
      <c r="B299" s="20" t="s">
        <v>1018</v>
      </c>
      <c r="C299" s="20" t="s">
        <v>280</v>
      </c>
      <c r="D299" s="20" t="s">
        <v>134</v>
      </c>
      <c r="E299" s="20" t="s">
        <v>291</v>
      </c>
      <c r="F299" s="20"/>
      <c r="G299" s="10">
        <f>'Пр.4 ведом.20'!G608</f>
        <v>124.4</v>
      </c>
      <c r="H299" s="328">
        <f>'Пр.4 ведом.20'!H608</f>
        <v>0</v>
      </c>
      <c r="I299" s="358">
        <f t="shared" si="154"/>
        <v>0</v>
      </c>
    </row>
    <row r="300" spans="1:9" s="213" customFormat="1" ht="31.5" x14ac:dyDescent="0.25">
      <c r="A300" s="29" t="s">
        <v>419</v>
      </c>
      <c r="B300" s="20" t="s">
        <v>1018</v>
      </c>
      <c r="C300" s="40" t="s">
        <v>280</v>
      </c>
      <c r="D300" s="40" t="s">
        <v>134</v>
      </c>
      <c r="E300" s="40" t="s">
        <v>291</v>
      </c>
      <c r="F300" s="40" t="s">
        <v>653</v>
      </c>
      <c r="G300" s="10">
        <f>G299</f>
        <v>124.4</v>
      </c>
      <c r="H300" s="328">
        <f t="shared" ref="H300" si="170">H299</f>
        <v>0</v>
      </c>
      <c r="I300" s="358">
        <f t="shared" si="154"/>
        <v>0</v>
      </c>
    </row>
    <row r="301" spans="1:9" s="213" customFormat="1" ht="126" x14ac:dyDescent="0.25">
      <c r="A301" s="25" t="s">
        <v>439</v>
      </c>
      <c r="B301" s="20" t="s">
        <v>1019</v>
      </c>
      <c r="C301" s="20" t="s">
        <v>280</v>
      </c>
      <c r="D301" s="20" t="s">
        <v>134</v>
      </c>
      <c r="E301" s="20"/>
      <c r="F301" s="20"/>
      <c r="G301" s="10">
        <f>G302</f>
        <v>166.7</v>
      </c>
      <c r="H301" s="328">
        <f t="shared" ref="H301:H302" si="171">H302</f>
        <v>25</v>
      </c>
      <c r="I301" s="358">
        <f t="shared" si="154"/>
        <v>14.997000599880025</v>
      </c>
    </row>
    <row r="302" spans="1:9" s="213" customFormat="1" ht="31.5" x14ac:dyDescent="0.25">
      <c r="A302" s="25" t="s">
        <v>288</v>
      </c>
      <c r="B302" s="20" t="s">
        <v>1019</v>
      </c>
      <c r="C302" s="20" t="s">
        <v>280</v>
      </c>
      <c r="D302" s="20" t="s">
        <v>134</v>
      </c>
      <c r="E302" s="20" t="s">
        <v>289</v>
      </c>
      <c r="F302" s="20"/>
      <c r="G302" s="10">
        <f>G303</f>
        <v>166.7</v>
      </c>
      <c r="H302" s="328">
        <f t="shared" si="171"/>
        <v>25</v>
      </c>
      <c r="I302" s="358">
        <f t="shared" si="154"/>
        <v>14.997000599880025</v>
      </c>
    </row>
    <row r="303" spans="1:9" s="213" customFormat="1" ht="15.75" x14ac:dyDescent="0.25">
      <c r="A303" s="25" t="s">
        <v>290</v>
      </c>
      <c r="B303" s="20" t="s">
        <v>1019</v>
      </c>
      <c r="C303" s="20" t="s">
        <v>280</v>
      </c>
      <c r="D303" s="20" t="s">
        <v>134</v>
      </c>
      <c r="E303" s="20" t="s">
        <v>291</v>
      </c>
      <c r="F303" s="20"/>
      <c r="G303" s="10">
        <f>'Пр.3 Рд,пр, ЦС,ВР 20'!F560</f>
        <v>166.7</v>
      </c>
      <c r="H303" s="328">
        <f>'Пр.3 Рд,пр, ЦС,ВР 20'!G560</f>
        <v>25</v>
      </c>
      <c r="I303" s="358">
        <f t="shared" si="154"/>
        <v>14.997000599880025</v>
      </c>
    </row>
    <row r="304" spans="1:9" s="213" customFormat="1" ht="31.5" x14ac:dyDescent="0.25">
      <c r="A304" s="29" t="s">
        <v>419</v>
      </c>
      <c r="B304" s="20" t="s">
        <v>1019</v>
      </c>
      <c r="C304" s="40" t="s">
        <v>280</v>
      </c>
      <c r="D304" s="40" t="s">
        <v>134</v>
      </c>
      <c r="E304" s="40" t="s">
        <v>291</v>
      </c>
      <c r="F304" s="40" t="s">
        <v>653</v>
      </c>
      <c r="G304" s="10">
        <f>G303</f>
        <v>166.7</v>
      </c>
      <c r="H304" s="328">
        <f t="shared" ref="H304" si="172">H303</f>
        <v>25</v>
      </c>
      <c r="I304" s="358">
        <f t="shared" si="154"/>
        <v>14.997000599880025</v>
      </c>
    </row>
    <row r="305" spans="1:9" s="213" customFormat="1" ht="94.5" x14ac:dyDescent="0.25">
      <c r="A305" s="23" t="s">
        <v>1400</v>
      </c>
      <c r="B305" s="24" t="s">
        <v>1398</v>
      </c>
      <c r="C305" s="24"/>
      <c r="D305" s="24"/>
      <c r="E305" s="40"/>
      <c r="F305" s="40"/>
      <c r="G305" s="59">
        <f>G306</f>
        <v>1737.8999999999999</v>
      </c>
      <c r="H305" s="340">
        <f t="shared" ref="H305:H306" si="173">H306</f>
        <v>181.66300000000001</v>
      </c>
      <c r="I305" s="4">
        <f t="shared" si="154"/>
        <v>10.453018010242248</v>
      </c>
    </row>
    <row r="306" spans="1:9" s="213" customFormat="1" ht="15.75" x14ac:dyDescent="0.25">
      <c r="A306" s="29" t="s">
        <v>279</v>
      </c>
      <c r="B306" s="20" t="s">
        <v>1398</v>
      </c>
      <c r="C306" s="20" t="s">
        <v>280</v>
      </c>
      <c r="D306" s="20"/>
      <c r="E306" s="40"/>
      <c r="F306" s="40"/>
      <c r="G306" s="10">
        <f>G307</f>
        <v>1737.8999999999999</v>
      </c>
      <c r="H306" s="328">
        <f t="shared" si="173"/>
        <v>181.66300000000001</v>
      </c>
      <c r="I306" s="358">
        <f t="shared" si="154"/>
        <v>10.453018010242248</v>
      </c>
    </row>
    <row r="307" spans="1:9" s="213" customFormat="1" ht="15.75" x14ac:dyDescent="0.25">
      <c r="A307" s="45" t="s">
        <v>420</v>
      </c>
      <c r="B307" s="20" t="s">
        <v>1398</v>
      </c>
      <c r="C307" s="20" t="s">
        <v>280</v>
      </c>
      <c r="D307" s="20" t="s">
        <v>134</v>
      </c>
      <c r="E307" s="40"/>
      <c r="F307" s="40"/>
      <c r="G307" s="10">
        <f>G308+G312</f>
        <v>1737.8999999999999</v>
      </c>
      <c r="H307" s="328">
        <f t="shared" ref="H307" si="174">H308+H312</f>
        <v>181.66300000000001</v>
      </c>
      <c r="I307" s="358">
        <f t="shared" si="154"/>
        <v>10.453018010242248</v>
      </c>
    </row>
    <row r="308" spans="1:9" s="213" customFormat="1" ht="88.5" customHeight="1" x14ac:dyDescent="0.25">
      <c r="A308" s="151" t="s">
        <v>1464</v>
      </c>
      <c r="B308" s="20" t="s">
        <v>1402</v>
      </c>
      <c r="C308" s="20" t="s">
        <v>280</v>
      </c>
      <c r="D308" s="20" t="s">
        <v>134</v>
      </c>
      <c r="E308" s="40"/>
      <c r="F308" s="40"/>
      <c r="G308" s="10">
        <f>G309</f>
        <v>71.3</v>
      </c>
      <c r="H308" s="328">
        <f t="shared" ref="H308:H309" si="175">H309</f>
        <v>0</v>
      </c>
      <c r="I308" s="358">
        <f t="shared" si="154"/>
        <v>0</v>
      </c>
    </row>
    <row r="309" spans="1:9" s="213" customFormat="1" ht="31.5" x14ac:dyDescent="0.25">
      <c r="A309" s="25" t="s">
        <v>288</v>
      </c>
      <c r="B309" s="20" t="s">
        <v>1402</v>
      </c>
      <c r="C309" s="20" t="s">
        <v>280</v>
      </c>
      <c r="D309" s="20" t="s">
        <v>134</v>
      </c>
      <c r="E309" s="20" t="s">
        <v>289</v>
      </c>
      <c r="F309" s="40"/>
      <c r="G309" s="10">
        <f>G310</f>
        <v>71.3</v>
      </c>
      <c r="H309" s="328">
        <f t="shared" si="175"/>
        <v>0</v>
      </c>
      <c r="I309" s="358">
        <f t="shared" si="154"/>
        <v>0</v>
      </c>
    </row>
    <row r="310" spans="1:9" s="213" customFormat="1" ht="15.75" x14ac:dyDescent="0.25">
      <c r="A310" s="25" t="s">
        <v>290</v>
      </c>
      <c r="B310" s="20" t="s">
        <v>1402</v>
      </c>
      <c r="C310" s="20" t="s">
        <v>280</v>
      </c>
      <c r="D310" s="20" t="s">
        <v>134</v>
      </c>
      <c r="E310" s="20" t="s">
        <v>291</v>
      </c>
      <c r="F310" s="40"/>
      <c r="G310" s="10">
        <f>'Пр.4 ведом.20'!G615</f>
        <v>71.3</v>
      </c>
      <c r="H310" s="328">
        <f>'Пр.4 ведом.20'!H615</f>
        <v>0</v>
      </c>
      <c r="I310" s="358">
        <f t="shared" si="154"/>
        <v>0</v>
      </c>
    </row>
    <row r="311" spans="1:9" s="213" customFormat="1" ht="31.5" x14ac:dyDescent="0.25">
      <c r="A311" s="29" t="s">
        <v>419</v>
      </c>
      <c r="B311" s="20" t="s">
        <v>1402</v>
      </c>
      <c r="C311" s="20" t="s">
        <v>280</v>
      </c>
      <c r="D311" s="20" t="s">
        <v>134</v>
      </c>
      <c r="E311" s="20" t="s">
        <v>291</v>
      </c>
      <c r="F311" s="40" t="s">
        <v>653</v>
      </c>
      <c r="G311" s="10">
        <f>G306</f>
        <v>1737.8999999999999</v>
      </c>
      <c r="H311" s="328">
        <f t="shared" ref="H311" si="176">H306</f>
        <v>181.66300000000001</v>
      </c>
      <c r="I311" s="358">
        <f t="shared" si="154"/>
        <v>10.453018010242248</v>
      </c>
    </row>
    <row r="312" spans="1:9" s="213" customFormat="1" ht="94.5" x14ac:dyDescent="0.25">
      <c r="A312" s="151" t="s">
        <v>1399</v>
      </c>
      <c r="B312" s="20" t="s">
        <v>1401</v>
      </c>
      <c r="C312" s="20" t="s">
        <v>280</v>
      </c>
      <c r="D312" s="20" t="s">
        <v>134</v>
      </c>
      <c r="E312" s="20"/>
      <c r="F312" s="40"/>
      <c r="G312" s="10">
        <f>G313</f>
        <v>1666.6</v>
      </c>
      <c r="H312" s="328">
        <f t="shared" ref="H312:H313" si="177">H313</f>
        <v>181.66300000000001</v>
      </c>
      <c r="I312" s="358">
        <f t="shared" si="154"/>
        <v>10.900216008640347</v>
      </c>
    </row>
    <row r="313" spans="1:9" s="213" customFormat="1" ht="31.5" x14ac:dyDescent="0.25">
      <c r="A313" s="25" t="s">
        <v>288</v>
      </c>
      <c r="B313" s="20" t="s">
        <v>1401</v>
      </c>
      <c r="C313" s="20" t="s">
        <v>280</v>
      </c>
      <c r="D313" s="20" t="s">
        <v>134</v>
      </c>
      <c r="E313" s="20" t="s">
        <v>289</v>
      </c>
      <c r="F313" s="40"/>
      <c r="G313" s="10">
        <f>G314</f>
        <v>1666.6</v>
      </c>
      <c r="H313" s="328">
        <f t="shared" si="177"/>
        <v>181.66300000000001</v>
      </c>
      <c r="I313" s="358">
        <f t="shared" si="154"/>
        <v>10.900216008640347</v>
      </c>
    </row>
    <row r="314" spans="1:9" s="213" customFormat="1" ht="15.75" x14ac:dyDescent="0.25">
      <c r="A314" s="25" t="s">
        <v>290</v>
      </c>
      <c r="B314" s="20" t="s">
        <v>1401</v>
      </c>
      <c r="C314" s="20" t="s">
        <v>280</v>
      </c>
      <c r="D314" s="20" t="s">
        <v>134</v>
      </c>
      <c r="E314" s="20" t="s">
        <v>291</v>
      </c>
      <c r="F314" s="40"/>
      <c r="G314" s="10">
        <f>'Пр.4 ведом.20'!G618</f>
        <v>1666.6</v>
      </c>
      <c r="H314" s="328">
        <f>'Пр.4 ведом.20'!H618</f>
        <v>181.66300000000001</v>
      </c>
      <c r="I314" s="358">
        <f t="shared" si="154"/>
        <v>10.900216008640347</v>
      </c>
    </row>
    <row r="315" spans="1:9" s="213" customFormat="1" ht="31.5" x14ac:dyDescent="0.25">
      <c r="A315" s="29" t="s">
        <v>419</v>
      </c>
      <c r="B315" s="20" t="s">
        <v>1401</v>
      </c>
      <c r="C315" s="20" t="s">
        <v>280</v>
      </c>
      <c r="D315" s="20" t="s">
        <v>134</v>
      </c>
      <c r="E315" s="20" t="s">
        <v>291</v>
      </c>
      <c r="F315" s="40" t="s">
        <v>653</v>
      </c>
      <c r="G315" s="10">
        <f>G312</f>
        <v>1666.6</v>
      </c>
      <c r="H315" s="328">
        <f t="shared" ref="H315" si="178">H312</f>
        <v>181.66300000000001</v>
      </c>
      <c r="I315" s="358">
        <f t="shared" si="154"/>
        <v>10.900216008640347</v>
      </c>
    </row>
    <row r="316" spans="1:9" ht="31.5" x14ac:dyDescent="0.25">
      <c r="A316" s="41" t="s">
        <v>446</v>
      </c>
      <c r="B316" s="7" t="s">
        <v>447</v>
      </c>
      <c r="C316" s="7"/>
      <c r="D316" s="7"/>
      <c r="E316" s="7"/>
      <c r="F316" s="7"/>
      <c r="G316" s="4">
        <f>G317+G336+G347+G358+G369+G413+G380+G391+G402</f>
        <v>17042.438999999998</v>
      </c>
      <c r="H316" s="4">
        <f t="shared" ref="H316" si="179">H317+H336+H347+H358+H369+H413+H380+H391+H402</f>
        <v>6522.951</v>
      </c>
      <c r="I316" s="4">
        <f t="shared" si="154"/>
        <v>38.274750462653849</v>
      </c>
    </row>
    <row r="317" spans="1:9" s="213" customFormat="1" ht="31.5" x14ac:dyDescent="0.25">
      <c r="A317" s="23" t="s">
        <v>1029</v>
      </c>
      <c r="B317" s="24" t="s">
        <v>1030</v>
      </c>
      <c r="C317" s="7"/>
      <c r="D317" s="7"/>
      <c r="E317" s="7"/>
      <c r="F317" s="7"/>
      <c r="G317" s="4">
        <f>G318</f>
        <v>2271.33</v>
      </c>
      <c r="H317" s="4">
        <f t="shared" ref="H317" si="180">H318</f>
        <v>1969.1310000000001</v>
      </c>
      <c r="I317" s="4">
        <f t="shared" si="154"/>
        <v>86.69506412542431</v>
      </c>
    </row>
    <row r="318" spans="1:9" ht="15.75" x14ac:dyDescent="0.25">
      <c r="A318" s="29" t="s">
        <v>279</v>
      </c>
      <c r="B318" s="40" t="s">
        <v>1030</v>
      </c>
      <c r="C318" s="40" t="s">
        <v>280</v>
      </c>
      <c r="D318" s="40"/>
      <c r="E318" s="40"/>
      <c r="F318" s="40"/>
      <c r="G318" s="10">
        <f t="shared" ref="G318:H318" si="181">G319</f>
        <v>2271.33</v>
      </c>
      <c r="H318" s="328">
        <f t="shared" si="181"/>
        <v>1969.1310000000001</v>
      </c>
      <c r="I318" s="358">
        <f t="shared" si="154"/>
        <v>86.69506412542431</v>
      </c>
    </row>
    <row r="319" spans="1:9" ht="15.75" x14ac:dyDescent="0.25">
      <c r="A319" s="29" t="s">
        <v>441</v>
      </c>
      <c r="B319" s="40" t="s">
        <v>1030</v>
      </c>
      <c r="C319" s="40" t="s">
        <v>280</v>
      </c>
      <c r="D319" s="40" t="s">
        <v>229</v>
      </c>
      <c r="E319" s="40"/>
      <c r="F319" s="40"/>
      <c r="G319" s="10">
        <f>G320+G324+G328+G332</f>
        <v>2271.33</v>
      </c>
      <c r="H319" s="328">
        <f t="shared" ref="H319" si="182">H320+H324+H328+H332</f>
        <v>1969.1310000000001</v>
      </c>
      <c r="I319" s="358">
        <f t="shared" si="154"/>
        <v>86.69506412542431</v>
      </c>
    </row>
    <row r="320" spans="1:9" ht="47.25" hidden="1" x14ac:dyDescent="0.25">
      <c r="A320" s="25" t="s">
        <v>813</v>
      </c>
      <c r="B320" s="20" t="s">
        <v>1034</v>
      </c>
      <c r="C320" s="40" t="s">
        <v>280</v>
      </c>
      <c r="D320" s="40" t="s">
        <v>229</v>
      </c>
      <c r="E320" s="40"/>
      <c r="F320" s="40"/>
      <c r="G320" s="6">
        <f>G321</f>
        <v>0</v>
      </c>
      <c r="H320" s="358">
        <f t="shared" ref="H320:H321" si="183">H321</f>
        <v>0</v>
      </c>
      <c r="I320" s="358" t="e">
        <f t="shared" si="154"/>
        <v>#DIV/0!</v>
      </c>
    </row>
    <row r="321" spans="1:9" ht="31.5" hidden="1" x14ac:dyDescent="0.25">
      <c r="A321" s="25" t="s">
        <v>288</v>
      </c>
      <c r="B321" s="20" t="s">
        <v>1034</v>
      </c>
      <c r="C321" s="40" t="s">
        <v>280</v>
      </c>
      <c r="D321" s="40" t="s">
        <v>229</v>
      </c>
      <c r="E321" s="40" t="s">
        <v>289</v>
      </c>
      <c r="F321" s="40"/>
      <c r="G321" s="6">
        <f>G322</f>
        <v>0</v>
      </c>
      <c r="H321" s="358">
        <f t="shared" si="183"/>
        <v>0</v>
      </c>
      <c r="I321" s="358" t="e">
        <f t="shared" si="154"/>
        <v>#DIV/0!</v>
      </c>
    </row>
    <row r="322" spans="1:9" ht="15.75" hidden="1" x14ac:dyDescent="0.25">
      <c r="A322" s="25" t="s">
        <v>290</v>
      </c>
      <c r="B322" s="20" t="s">
        <v>1034</v>
      </c>
      <c r="C322" s="40" t="s">
        <v>280</v>
      </c>
      <c r="D322" s="40" t="s">
        <v>229</v>
      </c>
      <c r="E322" s="40" t="s">
        <v>291</v>
      </c>
      <c r="F322" s="40"/>
      <c r="G322" s="6">
        <f>'Пр.4 ведом.20'!G668</f>
        <v>0</v>
      </c>
      <c r="H322" s="358">
        <f>'Пр.4 ведом.20'!H668</f>
        <v>0</v>
      </c>
      <c r="I322" s="358" t="e">
        <f t="shared" si="154"/>
        <v>#DIV/0!</v>
      </c>
    </row>
    <row r="323" spans="1:9" s="213" customFormat="1" ht="31.5" hidden="1" x14ac:dyDescent="0.25">
      <c r="A323" s="29" t="s">
        <v>419</v>
      </c>
      <c r="B323" s="20" t="s">
        <v>1034</v>
      </c>
      <c r="C323" s="40" t="s">
        <v>280</v>
      </c>
      <c r="D323" s="40" t="s">
        <v>229</v>
      </c>
      <c r="E323" s="40" t="s">
        <v>291</v>
      </c>
      <c r="F323" s="40" t="s">
        <v>653</v>
      </c>
      <c r="G323" s="10">
        <f>G322</f>
        <v>0</v>
      </c>
      <c r="H323" s="328">
        <f t="shared" ref="H323" si="184">H322</f>
        <v>0</v>
      </c>
      <c r="I323" s="358" t="e">
        <f t="shared" si="154"/>
        <v>#DIV/0!</v>
      </c>
    </row>
    <row r="324" spans="1:9" ht="31.5" x14ac:dyDescent="0.25">
      <c r="A324" s="25" t="s">
        <v>294</v>
      </c>
      <c r="B324" s="20" t="s">
        <v>1035</v>
      </c>
      <c r="C324" s="40" t="s">
        <v>280</v>
      </c>
      <c r="D324" s="40" t="s">
        <v>229</v>
      </c>
      <c r="E324" s="40"/>
      <c r="F324" s="40"/>
      <c r="G324" s="6">
        <f t="shared" ref="G324:H325" si="185">G325</f>
        <v>1522</v>
      </c>
      <c r="H324" s="358">
        <f t="shared" si="185"/>
        <v>1322</v>
      </c>
      <c r="I324" s="358">
        <f t="shared" si="154"/>
        <v>86.859395532194483</v>
      </c>
    </row>
    <row r="325" spans="1:9" ht="31.5" x14ac:dyDescent="0.25">
      <c r="A325" s="25" t="s">
        <v>288</v>
      </c>
      <c r="B325" s="20" t="s">
        <v>1035</v>
      </c>
      <c r="C325" s="40" t="s">
        <v>280</v>
      </c>
      <c r="D325" s="40" t="s">
        <v>229</v>
      </c>
      <c r="E325" s="40" t="s">
        <v>289</v>
      </c>
      <c r="F325" s="40"/>
      <c r="G325" s="6">
        <f t="shared" si="185"/>
        <v>1522</v>
      </c>
      <c r="H325" s="358">
        <f t="shared" si="185"/>
        <v>1322</v>
      </c>
      <c r="I325" s="358">
        <f t="shared" si="154"/>
        <v>86.859395532194483</v>
      </c>
    </row>
    <row r="326" spans="1:9" ht="15.75" x14ac:dyDescent="0.25">
      <c r="A326" s="25" t="s">
        <v>290</v>
      </c>
      <c r="B326" s="20" t="s">
        <v>1035</v>
      </c>
      <c r="C326" s="40" t="s">
        <v>280</v>
      </c>
      <c r="D326" s="40" t="s">
        <v>229</v>
      </c>
      <c r="E326" s="40" t="s">
        <v>291</v>
      </c>
      <c r="F326" s="40"/>
      <c r="G326" s="6">
        <f>'Пр.4 ведом.20'!G671</f>
        <v>1522</v>
      </c>
      <c r="H326" s="358">
        <f>'Пр.4 ведом.20'!H671</f>
        <v>1322</v>
      </c>
      <c r="I326" s="358">
        <f t="shared" si="154"/>
        <v>86.859395532194483</v>
      </c>
    </row>
    <row r="327" spans="1:9" s="213" customFormat="1" ht="31.5" x14ac:dyDescent="0.25">
      <c r="A327" s="29" t="s">
        <v>419</v>
      </c>
      <c r="B327" s="20" t="s">
        <v>1035</v>
      </c>
      <c r="C327" s="40" t="s">
        <v>280</v>
      </c>
      <c r="D327" s="40" t="s">
        <v>229</v>
      </c>
      <c r="E327" s="40" t="s">
        <v>291</v>
      </c>
      <c r="F327" s="40" t="s">
        <v>653</v>
      </c>
      <c r="G327" s="10">
        <f>G326</f>
        <v>1522</v>
      </c>
      <c r="H327" s="328">
        <f t="shared" ref="H327" si="186">H326</f>
        <v>1322</v>
      </c>
      <c r="I327" s="358">
        <f t="shared" si="154"/>
        <v>86.859395532194483</v>
      </c>
    </row>
    <row r="328" spans="1:9" ht="31.7" customHeight="1" x14ac:dyDescent="0.25">
      <c r="A328" s="25" t="s">
        <v>296</v>
      </c>
      <c r="B328" s="20" t="s">
        <v>1036</v>
      </c>
      <c r="C328" s="40" t="s">
        <v>280</v>
      </c>
      <c r="D328" s="40" t="s">
        <v>229</v>
      </c>
      <c r="E328" s="40"/>
      <c r="F328" s="40"/>
      <c r="G328" s="6">
        <f t="shared" ref="G328:H329" si="187">G329</f>
        <v>525.33000000000004</v>
      </c>
      <c r="H328" s="358">
        <f t="shared" si="187"/>
        <v>525.33100000000002</v>
      </c>
      <c r="I328" s="358">
        <f t="shared" si="154"/>
        <v>100.0001903565378</v>
      </c>
    </row>
    <row r="329" spans="1:9" ht="31.7" customHeight="1" x14ac:dyDescent="0.25">
      <c r="A329" s="25" t="s">
        <v>288</v>
      </c>
      <c r="B329" s="20" t="s">
        <v>1036</v>
      </c>
      <c r="C329" s="40" t="s">
        <v>280</v>
      </c>
      <c r="D329" s="40" t="s">
        <v>229</v>
      </c>
      <c r="E329" s="40" t="s">
        <v>289</v>
      </c>
      <c r="F329" s="40"/>
      <c r="G329" s="6">
        <f t="shared" si="187"/>
        <v>525.33000000000004</v>
      </c>
      <c r="H329" s="358">
        <f t="shared" si="187"/>
        <v>525.33100000000002</v>
      </c>
      <c r="I329" s="358">
        <f t="shared" si="154"/>
        <v>100.0001903565378</v>
      </c>
    </row>
    <row r="330" spans="1:9" ht="15.75" customHeight="1" x14ac:dyDescent="0.25">
      <c r="A330" s="25" t="s">
        <v>290</v>
      </c>
      <c r="B330" s="20" t="s">
        <v>1036</v>
      </c>
      <c r="C330" s="40" t="s">
        <v>280</v>
      </c>
      <c r="D330" s="40" t="s">
        <v>229</v>
      </c>
      <c r="E330" s="40" t="s">
        <v>291</v>
      </c>
      <c r="F330" s="40"/>
      <c r="G330" s="6">
        <f>'Пр.4 ведом.20'!G674</f>
        <v>525.33000000000004</v>
      </c>
      <c r="H330" s="358">
        <f>'Пр.4 ведом.20'!H674</f>
        <v>525.33100000000002</v>
      </c>
      <c r="I330" s="358">
        <f t="shared" si="154"/>
        <v>100.0001903565378</v>
      </c>
    </row>
    <row r="331" spans="1:9" s="213" customFormat="1" ht="15.75" customHeight="1" x14ac:dyDescent="0.25">
      <c r="A331" s="29" t="s">
        <v>419</v>
      </c>
      <c r="B331" s="20" t="s">
        <v>1036</v>
      </c>
      <c r="C331" s="40" t="s">
        <v>280</v>
      </c>
      <c r="D331" s="40" t="s">
        <v>229</v>
      </c>
      <c r="E331" s="40" t="s">
        <v>291</v>
      </c>
      <c r="F331" s="40" t="s">
        <v>653</v>
      </c>
      <c r="G331" s="10">
        <f>G330</f>
        <v>525.33000000000004</v>
      </c>
      <c r="H331" s="328">
        <f t="shared" ref="H331" si="188">H330</f>
        <v>525.33100000000002</v>
      </c>
      <c r="I331" s="358">
        <f t="shared" si="154"/>
        <v>100.0001903565378</v>
      </c>
    </row>
    <row r="332" spans="1:9" ht="31.5" x14ac:dyDescent="0.25">
      <c r="A332" s="29" t="s">
        <v>298</v>
      </c>
      <c r="B332" s="20" t="s">
        <v>1037</v>
      </c>
      <c r="C332" s="40" t="s">
        <v>280</v>
      </c>
      <c r="D332" s="40" t="s">
        <v>229</v>
      </c>
      <c r="E332" s="40"/>
      <c r="F332" s="40"/>
      <c r="G332" s="10">
        <f t="shared" ref="G332:H333" si="189">G333</f>
        <v>224</v>
      </c>
      <c r="H332" s="328">
        <f t="shared" si="189"/>
        <v>121.8</v>
      </c>
      <c r="I332" s="358">
        <f t="shared" si="154"/>
        <v>54.374999999999993</v>
      </c>
    </row>
    <row r="333" spans="1:9" ht="31.5" x14ac:dyDescent="0.25">
      <c r="A333" s="29" t="s">
        <v>288</v>
      </c>
      <c r="B333" s="20" t="s">
        <v>1037</v>
      </c>
      <c r="C333" s="40" t="s">
        <v>280</v>
      </c>
      <c r="D333" s="40" t="s">
        <v>229</v>
      </c>
      <c r="E333" s="40" t="s">
        <v>289</v>
      </c>
      <c r="F333" s="40"/>
      <c r="G333" s="10">
        <f t="shared" si="189"/>
        <v>224</v>
      </c>
      <c r="H333" s="328">
        <f t="shared" si="189"/>
        <v>121.8</v>
      </c>
      <c r="I333" s="358">
        <f t="shared" si="154"/>
        <v>54.374999999999993</v>
      </c>
    </row>
    <row r="334" spans="1:9" ht="21.75" customHeight="1" x14ac:dyDescent="0.25">
      <c r="A334" s="29" t="s">
        <v>290</v>
      </c>
      <c r="B334" s="20" t="s">
        <v>1037</v>
      </c>
      <c r="C334" s="40" t="s">
        <v>280</v>
      </c>
      <c r="D334" s="40" t="s">
        <v>229</v>
      </c>
      <c r="E334" s="40" t="s">
        <v>291</v>
      </c>
      <c r="F334" s="40"/>
      <c r="G334" s="10">
        <f>'Пр.4 ведом.20'!G677</f>
        <v>224</v>
      </c>
      <c r="H334" s="328">
        <f>'Пр.4 ведом.20'!H677</f>
        <v>121.8</v>
      </c>
      <c r="I334" s="358">
        <f t="shared" si="154"/>
        <v>54.374999999999993</v>
      </c>
    </row>
    <row r="335" spans="1:9" s="213" customFormat="1" ht="33" customHeight="1" x14ac:dyDescent="0.25">
      <c r="A335" s="29" t="s">
        <v>419</v>
      </c>
      <c r="B335" s="20" t="s">
        <v>1037</v>
      </c>
      <c r="C335" s="40" t="s">
        <v>280</v>
      </c>
      <c r="D335" s="40" t="s">
        <v>229</v>
      </c>
      <c r="E335" s="40" t="s">
        <v>291</v>
      </c>
      <c r="F335" s="40" t="s">
        <v>653</v>
      </c>
      <c r="G335" s="10">
        <f>G334</f>
        <v>224</v>
      </c>
      <c r="H335" s="328">
        <f t="shared" ref="H335" si="190">H334</f>
        <v>121.8</v>
      </c>
      <c r="I335" s="358">
        <f t="shared" si="154"/>
        <v>54.374999999999993</v>
      </c>
    </row>
    <row r="336" spans="1:9" s="213" customFormat="1" ht="33" customHeight="1" x14ac:dyDescent="0.25">
      <c r="A336" s="23" t="s">
        <v>1031</v>
      </c>
      <c r="B336" s="24" t="s">
        <v>1032</v>
      </c>
      <c r="C336" s="7"/>
      <c r="D336" s="7"/>
      <c r="E336" s="7"/>
      <c r="F336" s="7"/>
      <c r="G336" s="59">
        <f>G339+G343</f>
        <v>3865.2</v>
      </c>
      <c r="H336" s="340">
        <f t="shared" ref="H336" si="191">H339+H343</f>
        <v>370.28499999999997</v>
      </c>
      <c r="I336" s="4">
        <f t="shared" si="154"/>
        <v>9.5799699886163712</v>
      </c>
    </row>
    <row r="337" spans="1:9" s="213" customFormat="1" ht="17.45" customHeight="1" x14ac:dyDescent="0.25">
      <c r="A337" s="29" t="s">
        <v>279</v>
      </c>
      <c r="B337" s="40" t="s">
        <v>1032</v>
      </c>
      <c r="C337" s="40" t="s">
        <v>280</v>
      </c>
      <c r="D337" s="40"/>
      <c r="E337" s="40"/>
      <c r="F337" s="40"/>
      <c r="G337" s="10">
        <f t="shared" ref="G337:H337" si="192">G338</f>
        <v>3865.2</v>
      </c>
      <c r="H337" s="328">
        <f t="shared" si="192"/>
        <v>370.28499999999997</v>
      </c>
      <c r="I337" s="358">
        <f t="shared" si="154"/>
        <v>9.5799699886163712</v>
      </c>
    </row>
    <row r="338" spans="1:9" s="213" customFormat="1" ht="15.75" customHeight="1" x14ac:dyDescent="0.25">
      <c r="A338" s="29" t="s">
        <v>441</v>
      </c>
      <c r="B338" s="40" t="s">
        <v>1032</v>
      </c>
      <c r="C338" s="40" t="s">
        <v>280</v>
      </c>
      <c r="D338" s="40" t="s">
        <v>229</v>
      </c>
      <c r="E338" s="40"/>
      <c r="F338" s="40"/>
      <c r="G338" s="10">
        <f>G339+G343</f>
        <v>3865.2</v>
      </c>
      <c r="H338" s="328">
        <f t="shared" ref="H338" si="193">H339+H343</f>
        <v>370.28499999999997</v>
      </c>
      <c r="I338" s="358">
        <f t="shared" ref="I338:I401" si="194">H338/G338*100</f>
        <v>9.5799699886163712</v>
      </c>
    </row>
    <row r="339" spans="1:9" s="213" customFormat="1" ht="47.25" customHeight="1" x14ac:dyDescent="0.25">
      <c r="A339" s="29" t="s">
        <v>619</v>
      </c>
      <c r="B339" s="20" t="s">
        <v>1038</v>
      </c>
      <c r="C339" s="40" t="s">
        <v>280</v>
      </c>
      <c r="D339" s="40" t="s">
        <v>229</v>
      </c>
      <c r="E339" s="40"/>
      <c r="F339" s="40"/>
      <c r="G339" s="10">
        <f t="shared" ref="G339:H340" si="195">G340</f>
        <v>2200</v>
      </c>
      <c r="H339" s="328">
        <f t="shared" si="195"/>
        <v>233.505</v>
      </c>
      <c r="I339" s="358">
        <f t="shared" si="194"/>
        <v>10.613863636363636</v>
      </c>
    </row>
    <row r="340" spans="1:9" s="213" customFormat="1" ht="36.75" customHeight="1" x14ac:dyDescent="0.25">
      <c r="A340" s="29" t="s">
        <v>288</v>
      </c>
      <c r="B340" s="20" t="s">
        <v>1038</v>
      </c>
      <c r="C340" s="40" t="s">
        <v>280</v>
      </c>
      <c r="D340" s="40" t="s">
        <v>229</v>
      </c>
      <c r="E340" s="40" t="s">
        <v>289</v>
      </c>
      <c r="F340" s="40"/>
      <c r="G340" s="10">
        <f t="shared" si="195"/>
        <v>2200</v>
      </c>
      <c r="H340" s="328">
        <f t="shared" si="195"/>
        <v>233.505</v>
      </c>
      <c r="I340" s="358">
        <f t="shared" si="194"/>
        <v>10.613863636363636</v>
      </c>
    </row>
    <row r="341" spans="1:9" s="213" customFormat="1" ht="18" customHeight="1" x14ac:dyDescent="0.25">
      <c r="A341" s="29" t="s">
        <v>290</v>
      </c>
      <c r="B341" s="20" t="s">
        <v>1038</v>
      </c>
      <c r="C341" s="40" t="s">
        <v>280</v>
      </c>
      <c r="D341" s="40" t="s">
        <v>229</v>
      </c>
      <c r="E341" s="40" t="s">
        <v>291</v>
      </c>
      <c r="F341" s="40"/>
      <c r="G341" s="6">
        <f>'Пр.4 ведом.20'!G681</f>
        <v>2200</v>
      </c>
      <c r="H341" s="358">
        <f>'Пр.4 ведом.20'!H681</f>
        <v>233.505</v>
      </c>
      <c r="I341" s="358">
        <f t="shared" si="194"/>
        <v>10.613863636363636</v>
      </c>
    </row>
    <row r="342" spans="1:9" s="213" customFormat="1" ht="36.75" customHeight="1" x14ac:dyDescent="0.25">
      <c r="A342" s="29" t="s">
        <v>419</v>
      </c>
      <c r="B342" s="20" t="s">
        <v>1038</v>
      </c>
      <c r="C342" s="40" t="s">
        <v>280</v>
      </c>
      <c r="D342" s="40" t="s">
        <v>229</v>
      </c>
      <c r="E342" s="40" t="s">
        <v>291</v>
      </c>
      <c r="F342" s="40" t="s">
        <v>653</v>
      </c>
      <c r="G342" s="10">
        <f>G341</f>
        <v>2200</v>
      </c>
      <c r="H342" s="328">
        <f t="shared" ref="H342" si="196">H341</f>
        <v>233.505</v>
      </c>
      <c r="I342" s="358">
        <f t="shared" si="194"/>
        <v>10.613863636363636</v>
      </c>
    </row>
    <row r="343" spans="1:9" s="213" customFormat="1" ht="36" customHeight="1" x14ac:dyDescent="0.25">
      <c r="A343" s="25" t="s">
        <v>472</v>
      </c>
      <c r="B343" s="20" t="s">
        <v>1039</v>
      </c>
      <c r="C343" s="40" t="s">
        <v>280</v>
      </c>
      <c r="D343" s="40" t="s">
        <v>229</v>
      </c>
      <c r="E343" s="40"/>
      <c r="F343" s="40"/>
      <c r="G343" s="10">
        <f>G344</f>
        <v>1665.2</v>
      </c>
      <c r="H343" s="328">
        <f t="shared" ref="H343:H344" si="197">H344</f>
        <v>136.78</v>
      </c>
      <c r="I343" s="358">
        <f t="shared" si="194"/>
        <v>8.2140283449435501</v>
      </c>
    </row>
    <row r="344" spans="1:9" s="213" customFormat="1" ht="36.75" customHeight="1" x14ac:dyDescent="0.25">
      <c r="A344" s="25" t="s">
        <v>288</v>
      </c>
      <c r="B344" s="20" t="s">
        <v>1039</v>
      </c>
      <c r="C344" s="40" t="s">
        <v>280</v>
      </c>
      <c r="D344" s="40" t="s">
        <v>229</v>
      </c>
      <c r="E344" s="40" t="s">
        <v>289</v>
      </c>
      <c r="F344" s="40"/>
      <c r="G344" s="10">
        <f>G345</f>
        <v>1665.2</v>
      </c>
      <c r="H344" s="328">
        <f t="shared" si="197"/>
        <v>136.78</v>
      </c>
      <c r="I344" s="358">
        <f t="shared" si="194"/>
        <v>8.2140283449435501</v>
      </c>
    </row>
    <row r="345" spans="1:9" s="213" customFormat="1" ht="15.75" customHeight="1" x14ac:dyDescent="0.25">
      <c r="A345" s="25" t="s">
        <v>290</v>
      </c>
      <c r="B345" s="20" t="s">
        <v>1039</v>
      </c>
      <c r="C345" s="40" t="s">
        <v>280</v>
      </c>
      <c r="D345" s="40" t="s">
        <v>229</v>
      </c>
      <c r="E345" s="40" t="s">
        <v>291</v>
      </c>
      <c r="F345" s="40"/>
      <c r="G345" s="10">
        <f>'Пр.4 ведом.20'!G684</f>
        <v>1665.2</v>
      </c>
      <c r="H345" s="328">
        <f>'Пр.4 ведом.20'!H684</f>
        <v>136.78</v>
      </c>
      <c r="I345" s="358">
        <f t="shared" si="194"/>
        <v>8.2140283449435501</v>
      </c>
    </row>
    <row r="346" spans="1:9" s="213" customFormat="1" ht="38.25" customHeight="1" x14ac:dyDescent="0.25">
      <c r="A346" s="29" t="s">
        <v>419</v>
      </c>
      <c r="B346" s="20" t="s">
        <v>1039</v>
      </c>
      <c r="C346" s="40" t="s">
        <v>280</v>
      </c>
      <c r="D346" s="40" t="s">
        <v>229</v>
      </c>
      <c r="E346" s="40" t="s">
        <v>291</v>
      </c>
      <c r="F346" s="40" t="s">
        <v>653</v>
      </c>
      <c r="G346" s="10">
        <f>G345</f>
        <v>1665.2</v>
      </c>
      <c r="H346" s="328">
        <f t="shared" ref="H346" si="198">H345</f>
        <v>136.78</v>
      </c>
      <c r="I346" s="358">
        <f t="shared" si="194"/>
        <v>8.2140283449435501</v>
      </c>
    </row>
    <row r="347" spans="1:9" s="213" customFormat="1" ht="31.7" customHeight="1" x14ac:dyDescent="0.25">
      <c r="A347" s="23" t="s">
        <v>1033</v>
      </c>
      <c r="B347" s="24" t="s">
        <v>1040</v>
      </c>
      <c r="C347" s="7"/>
      <c r="D347" s="7"/>
      <c r="E347" s="7"/>
      <c r="F347" s="7"/>
      <c r="G347" s="59">
        <f>G350+G354</f>
        <v>1364.7</v>
      </c>
      <c r="H347" s="340">
        <f t="shared" ref="H347" si="199">H350+H354</f>
        <v>311.59800000000001</v>
      </c>
      <c r="I347" s="4">
        <f t="shared" si="194"/>
        <v>22.83271048582106</v>
      </c>
    </row>
    <row r="348" spans="1:9" s="213" customFormat="1" ht="18" customHeight="1" x14ac:dyDescent="0.25">
      <c r="A348" s="29" t="s">
        <v>279</v>
      </c>
      <c r="B348" s="40" t="s">
        <v>1040</v>
      </c>
      <c r="C348" s="40" t="s">
        <v>280</v>
      </c>
      <c r="D348" s="40"/>
      <c r="E348" s="40"/>
      <c r="F348" s="40"/>
      <c r="G348" s="10">
        <f t="shared" ref="G348:H348" si="200">G349</f>
        <v>1364.7</v>
      </c>
      <c r="H348" s="328">
        <f t="shared" si="200"/>
        <v>311.59800000000001</v>
      </c>
      <c r="I348" s="358">
        <f t="shared" si="194"/>
        <v>22.83271048582106</v>
      </c>
    </row>
    <row r="349" spans="1:9" s="213" customFormat="1" ht="15" customHeight="1" x14ac:dyDescent="0.25">
      <c r="A349" s="29" t="s">
        <v>441</v>
      </c>
      <c r="B349" s="40" t="s">
        <v>1040</v>
      </c>
      <c r="C349" s="40" t="s">
        <v>280</v>
      </c>
      <c r="D349" s="40" t="s">
        <v>229</v>
      </c>
      <c r="E349" s="40"/>
      <c r="F349" s="40"/>
      <c r="G349" s="10">
        <f>G350+G354</f>
        <v>1364.7</v>
      </c>
      <c r="H349" s="328">
        <f t="shared" ref="H349" si="201">H350+H354</f>
        <v>311.59800000000001</v>
      </c>
      <c r="I349" s="358">
        <f t="shared" si="194"/>
        <v>22.83271048582106</v>
      </c>
    </row>
    <row r="350" spans="1:9" s="213" customFormat="1" ht="47.25" customHeight="1" x14ac:dyDescent="0.25">
      <c r="A350" s="25" t="s">
        <v>454</v>
      </c>
      <c r="B350" s="20" t="s">
        <v>1041</v>
      </c>
      <c r="C350" s="40" t="s">
        <v>280</v>
      </c>
      <c r="D350" s="40" t="s">
        <v>229</v>
      </c>
      <c r="E350" s="40"/>
      <c r="F350" s="40"/>
      <c r="G350" s="10">
        <f>G351</f>
        <v>868</v>
      </c>
      <c r="H350" s="328">
        <f t="shared" ref="H350:H351" si="202">H351</f>
        <v>239.554</v>
      </c>
      <c r="I350" s="358">
        <f t="shared" si="194"/>
        <v>27.598387096774196</v>
      </c>
    </row>
    <row r="351" spans="1:9" s="213" customFormat="1" ht="37.5" customHeight="1" x14ac:dyDescent="0.25">
      <c r="A351" s="25" t="s">
        <v>288</v>
      </c>
      <c r="B351" s="20" t="s">
        <v>1041</v>
      </c>
      <c r="C351" s="40" t="s">
        <v>280</v>
      </c>
      <c r="D351" s="40" t="s">
        <v>229</v>
      </c>
      <c r="E351" s="40" t="s">
        <v>289</v>
      </c>
      <c r="F351" s="40"/>
      <c r="G351" s="10">
        <f>G352</f>
        <v>868</v>
      </c>
      <c r="H351" s="328">
        <f t="shared" si="202"/>
        <v>239.554</v>
      </c>
      <c r="I351" s="358">
        <f t="shared" si="194"/>
        <v>27.598387096774196</v>
      </c>
    </row>
    <row r="352" spans="1:9" s="213" customFormat="1" ht="15.75" customHeight="1" x14ac:dyDescent="0.25">
      <c r="A352" s="25" t="s">
        <v>290</v>
      </c>
      <c r="B352" s="20" t="s">
        <v>1041</v>
      </c>
      <c r="C352" s="40" t="s">
        <v>280</v>
      </c>
      <c r="D352" s="40" t="s">
        <v>229</v>
      </c>
      <c r="E352" s="40" t="s">
        <v>291</v>
      </c>
      <c r="F352" s="40"/>
      <c r="G352" s="10">
        <f>'Пр.3 Рд,пр, ЦС,ВР 20'!F637</f>
        <v>868</v>
      </c>
      <c r="H352" s="328">
        <f>'Пр.3 Рд,пр, ЦС,ВР 20'!G637</f>
        <v>239.554</v>
      </c>
      <c r="I352" s="358">
        <f t="shared" si="194"/>
        <v>27.598387096774196</v>
      </c>
    </row>
    <row r="353" spans="1:9" s="213" customFormat="1" ht="37.5" customHeight="1" x14ac:dyDescent="0.25">
      <c r="A353" s="29" t="s">
        <v>419</v>
      </c>
      <c r="B353" s="20" t="s">
        <v>1041</v>
      </c>
      <c r="C353" s="40" t="s">
        <v>280</v>
      </c>
      <c r="D353" s="40" t="s">
        <v>229</v>
      </c>
      <c r="E353" s="40" t="s">
        <v>291</v>
      </c>
      <c r="F353" s="40" t="s">
        <v>653</v>
      </c>
      <c r="G353" s="10">
        <f>G352</f>
        <v>868</v>
      </c>
      <c r="H353" s="328">
        <f t="shared" ref="H353" si="203">H352</f>
        <v>239.554</v>
      </c>
      <c r="I353" s="358">
        <f t="shared" si="194"/>
        <v>27.598387096774196</v>
      </c>
    </row>
    <row r="354" spans="1:9" s="213" customFormat="1" ht="54" customHeight="1" x14ac:dyDescent="0.25">
      <c r="A354" s="25" t="s">
        <v>474</v>
      </c>
      <c r="B354" s="20" t="s">
        <v>1042</v>
      </c>
      <c r="C354" s="40" t="s">
        <v>280</v>
      </c>
      <c r="D354" s="40" t="s">
        <v>229</v>
      </c>
      <c r="E354" s="40"/>
      <c r="F354" s="40"/>
      <c r="G354" s="10">
        <f>G355</f>
        <v>496.7</v>
      </c>
      <c r="H354" s="328">
        <f t="shared" ref="H354:H355" si="204">H355</f>
        <v>72.043999999999997</v>
      </c>
      <c r="I354" s="358">
        <f t="shared" si="194"/>
        <v>14.504529897322326</v>
      </c>
    </row>
    <row r="355" spans="1:9" s="213" customFormat="1" ht="36" customHeight="1" x14ac:dyDescent="0.25">
      <c r="A355" s="270" t="s">
        <v>288</v>
      </c>
      <c r="B355" s="20" t="s">
        <v>1042</v>
      </c>
      <c r="C355" s="40" t="s">
        <v>280</v>
      </c>
      <c r="D355" s="40" t="s">
        <v>229</v>
      </c>
      <c r="E355" s="40" t="s">
        <v>289</v>
      </c>
      <c r="F355" s="40"/>
      <c r="G355" s="10">
        <f>G356</f>
        <v>496.7</v>
      </c>
      <c r="H355" s="328">
        <f t="shared" si="204"/>
        <v>72.043999999999997</v>
      </c>
      <c r="I355" s="358">
        <f t="shared" si="194"/>
        <v>14.504529897322326</v>
      </c>
    </row>
    <row r="356" spans="1:9" s="213" customFormat="1" ht="15.75" customHeight="1" x14ac:dyDescent="0.25">
      <c r="A356" s="25" t="s">
        <v>290</v>
      </c>
      <c r="B356" s="20" t="s">
        <v>1042</v>
      </c>
      <c r="C356" s="40" t="s">
        <v>280</v>
      </c>
      <c r="D356" s="40" t="s">
        <v>229</v>
      </c>
      <c r="E356" s="40" t="s">
        <v>291</v>
      </c>
      <c r="F356" s="40"/>
      <c r="G356" s="10">
        <f>'Пр.3 Рд,пр, ЦС,ВР 20'!F640</f>
        <v>496.7</v>
      </c>
      <c r="H356" s="328">
        <f>'Пр.3 Рд,пр, ЦС,ВР 20'!G640</f>
        <v>72.043999999999997</v>
      </c>
      <c r="I356" s="358">
        <f t="shared" si="194"/>
        <v>14.504529897322326</v>
      </c>
    </row>
    <row r="357" spans="1:9" s="213" customFormat="1" ht="41.25" customHeight="1" x14ac:dyDescent="0.25">
      <c r="A357" s="29" t="s">
        <v>419</v>
      </c>
      <c r="B357" s="20" t="s">
        <v>1042</v>
      </c>
      <c r="C357" s="40" t="s">
        <v>280</v>
      </c>
      <c r="D357" s="40" t="s">
        <v>229</v>
      </c>
      <c r="E357" s="40" t="s">
        <v>291</v>
      </c>
      <c r="F357" s="40" t="s">
        <v>653</v>
      </c>
      <c r="G357" s="10">
        <f>G356</f>
        <v>496.7</v>
      </c>
      <c r="H357" s="328">
        <f t="shared" ref="H357" si="205">H356</f>
        <v>72.043999999999997</v>
      </c>
      <c r="I357" s="358">
        <f t="shared" si="194"/>
        <v>14.504529897322326</v>
      </c>
    </row>
    <row r="358" spans="1:9" s="213" customFormat="1" ht="34.5" customHeight="1" x14ac:dyDescent="0.25">
      <c r="A358" s="227" t="s">
        <v>1077</v>
      </c>
      <c r="B358" s="24" t="s">
        <v>1043</v>
      </c>
      <c r="C358" s="7"/>
      <c r="D358" s="7"/>
      <c r="E358" s="7"/>
      <c r="F358" s="7"/>
      <c r="G358" s="59">
        <f>G361+G365</f>
        <v>2634</v>
      </c>
      <c r="H358" s="340">
        <f t="shared" ref="H358" si="206">H361+H365</f>
        <v>2567</v>
      </c>
      <c r="I358" s="4">
        <f t="shared" si="194"/>
        <v>97.456340167046321</v>
      </c>
    </row>
    <row r="359" spans="1:9" s="213" customFormat="1" ht="18.75" customHeight="1" x14ac:dyDescent="0.25">
      <c r="A359" s="29" t="s">
        <v>279</v>
      </c>
      <c r="B359" s="40" t="s">
        <v>1043</v>
      </c>
      <c r="C359" s="40" t="s">
        <v>280</v>
      </c>
      <c r="D359" s="40"/>
      <c r="E359" s="40"/>
      <c r="F359" s="40"/>
      <c r="G359" s="10">
        <f t="shared" ref="G359:H359" si="207">G360</f>
        <v>2634</v>
      </c>
      <c r="H359" s="328">
        <f t="shared" si="207"/>
        <v>2567</v>
      </c>
      <c r="I359" s="358">
        <f t="shared" si="194"/>
        <v>97.456340167046321</v>
      </c>
    </row>
    <row r="360" spans="1:9" s="213" customFormat="1" ht="20.25" customHeight="1" x14ac:dyDescent="0.25">
      <c r="A360" s="29" t="s">
        <v>441</v>
      </c>
      <c r="B360" s="40" t="s">
        <v>1043</v>
      </c>
      <c r="C360" s="40" t="s">
        <v>280</v>
      </c>
      <c r="D360" s="40" t="s">
        <v>229</v>
      </c>
      <c r="E360" s="40"/>
      <c r="F360" s="40"/>
      <c r="G360" s="10">
        <f>G361+G365</f>
        <v>2634</v>
      </c>
      <c r="H360" s="328">
        <f t="shared" ref="H360" si="208">H361+H365</f>
        <v>2567</v>
      </c>
      <c r="I360" s="358">
        <f t="shared" si="194"/>
        <v>97.456340167046321</v>
      </c>
    </row>
    <row r="361" spans="1:9" ht="31.7" hidden="1" customHeight="1" x14ac:dyDescent="0.25">
      <c r="A361" s="29" t="s">
        <v>300</v>
      </c>
      <c r="B361" s="20" t="s">
        <v>1045</v>
      </c>
      <c r="C361" s="40" t="s">
        <v>280</v>
      </c>
      <c r="D361" s="40" t="s">
        <v>229</v>
      </c>
      <c r="E361" s="40"/>
      <c r="F361" s="40"/>
      <c r="G361" s="10">
        <f t="shared" ref="G361:H362" si="209">G362</f>
        <v>0</v>
      </c>
      <c r="H361" s="328">
        <f t="shared" si="209"/>
        <v>0</v>
      </c>
      <c r="I361" s="358" t="e">
        <f t="shared" si="194"/>
        <v>#DIV/0!</v>
      </c>
    </row>
    <row r="362" spans="1:9" ht="31.7" hidden="1" customHeight="1" x14ac:dyDescent="0.25">
      <c r="A362" s="29" t="s">
        <v>288</v>
      </c>
      <c r="B362" s="20" t="s">
        <v>1045</v>
      </c>
      <c r="C362" s="40" t="s">
        <v>280</v>
      </c>
      <c r="D362" s="40" t="s">
        <v>229</v>
      </c>
      <c r="E362" s="40" t="s">
        <v>289</v>
      </c>
      <c r="F362" s="40"/>
      <c r="G362" s="10">
        <f t="shared" si="209"/>
        <v>0</v>
      </c>
      <c r="H362" s="328">
        <f t="shared" si="209"/>
        <v>0</v>
      </c>
      <c r="I362" s="358" t="e">
        <f t="shared" si="194"/>
        <v>#DIV/0!</v>
      </c>
    </row>
    <row r="363" spans="1:9" ht="26.45" hidden="1" customHeight="1" x14ac:dyDescent="0.25">
      <c r="A363" s="29" t="s">
        <v>290</v>
      </c>
      <c r="B363" s="20" t="s">
        <v>1045</v>
      </c>
      <c r="C363" s="40" t="s">
        <v>280</v>
      </c>
      <c r="D363" s="40" t="s">
        <v>229</v>
      </c>
      <c r="E363" s="40" t="s">
        <v>291</v>
      </c>
      <c r="F363" s="40"/>
      <c r="G363" s="10">
        <f>'Пр.4 ведом.20'!G695</f>
        <v>0</v>
      </c>
      <c r="H363" s="328">
        <f>'Пр.4 ведом.20'!H695</f>
        <v>0</v>
      </c>
      <c r="I363" s="358" t="e">
        <f t="shared" si="194"/>
        <v>#DIV/0!</v>
      </c>
    </row>
    <row r="364" spans="1:9" s="213" customFormat="1" ht="34.5" hidden="1" customHeight="1" x14ac:dyDescent="0.25">
      <c r="A364" s="29" t="s">
        <v>419</v>
      </c>
      <c r="B364" s="20" t="s">
        <v>1045</v>
      </c>
      <c r="C364" s="40" t="s">
        <v>280</v>
      </c>
      <c r="D364" s="40" t="s">
        <v>229</v>
      </c>
      <c r="E364" s="40" t="s">
        <v>291</v>
      </c>
      <c r="F364" s="40" t="s">
        <v>653</v>
      </c>
      <c r="G364" s="10">
        <f>G363</f>
        <v>0</v>
      </c>
      <c r="H364" s="328">
        <f t="shared" ref="H364" si="210">H363</f>
        <v>0</v>
      </c>
      <c r="I364" s="358" t="e">
        <f t="shared" si="194"/>
        <v>#DIV/0!</v>
      </c>
    </row>
    <row r="365" spans="1:9" ht="34.5" customHeight="1" x14ac:dyDescent="0.25">
      <c r="A365" s="60" t="s">
        <v>787</v>
      </c>
      <c r="B365" s="20" t="s">
        <v>1046</v>
      </c>
      <c r="C365" s="40" t="s">
        <v>280</v>
      </c>
      <c r="D365" s="40" t="s">
        <v>229</v>
      </c>
      <c r="E365" s="40"/>
      <c r="F365" s="40"/>
      <c r="G365" s="10">
        <f t="shared" ref="G365:H366" si="211">G366</f>
        <v>2634</v>
      </c>
      <c r="H365" s="328">
        <f t="shared" si="211"/>
        <v>2567</v>
      </c>
      <c r="I365" s="358">
        <f t="shared" si="194"/>
        <v>97.456340167046321</v>
      </c>
    </row>
    <row r="366" spans="1:9" ht="40.700000000000003" customHeight="1" x14ac:dyDescent="0.25">
      <c r="A366" s="29" t="s">
        <v>288</v>
      </c>
      <c r="B366" s="20" t="s">
        <v>1046</v>
      </c>
      <c r="C366" s="40" t="s">
        <v>280</v>
      </c>
      <c r="D366" s="40" t="s">
        <v>229</v>
      </c>
      <c r="E366" s="40" t="s">
        <v>289</v>
      </c>
      <c r="F366" s="40"/>
      <c r="G366" s="10">
        <f t="shared" si="211"/>
        <v>2634</v>
      </c>
      <c r="H366" s="328">
        <f t="shared" si="211"/>
        <v>2567</v>
      </c>
      <c r="I366" s="358">
        <f t="shared" si="194"/>
        <v>97.456340167046321</v>
      </c>
    </row>
    <row r="367" spans="1:9" ht="19.5" customHeight="1" x14ac:dyDescent="0.25">
      <c r="A367" s="192" t="s">
        <v>290</v>
      </c>
      <c r="B367" s="20" t="s">
        <v>1046</v>
      </c>
      <c r="C367" s="40" t="s">
        <v>280</v>
      </c>
      <c r="D367" s="40" t="s">
        <v>229</v>
      </c>
      <c r="E367" s="40" t="s">
        <v>291</v>
      </c>
      <c r="F367" s="40"/>
      <c r="G367" s="10">
        <f>'Пр.4 ведом.20'!G698</f>
        <v>2634</v>
      </c>
      <c r="H367" s="328">
        <f>'Пр.4 ведом.20'!H698</f>
        <v>2567</v>
      </c>
      <c r="I367" s="358">
        <f t="shared" si="194"/>
        <v>97.456340167046321</v>
      </c>
    </row>
    <row r="368" spans="1:9" s="213" customFormat="1" ht="33" customHeight="1" x14ac:dyDescent="0.25">
      <c r="A368" s="29" t="s">
        <v>419</v>
      </c>
      <c r="B368" s="20" t="s">
        <v>1046</v>
      </c>
      <c r="C368" s="40" t="s">
        <v>280</v>
      </c>
      <c r="D368" s="40" t="s">
        <v>229</v>
      </c>
      <c r="E368" s="40" t="s">
        <v>291</v>
      </c>
      <c r="F368" s="40" t="s">
        <v>653</v>
      </c>
      <c r="G368" s="10">
        <f>G367</f>
        <v>2634</v>
      </c>
      <c r="H368" s="328">
        <f t="shared" ref="H368" si="212">H367</f>
        <v>2567</v>
      </c>
      <c r="I368" s="358">
        <f t="shared" si="194"/>
        <v>97.456340167046321</v>
      </c>
    </row>
    <row r="369" spans="1:9" s="213" customFormat="1" ht="38.25" customHeight="1" x14ac:dyDescent="0.25">
      <c r="A369" s="225" t="s">
        <v>1048</v>
      </c>
      <c r="B369" s="24" t="s">
        <v>1044</v>
      </c>
      <c r="C369" s="7"/>
      <c r="D369" s="7"/>
      <c r="E369" s="7"/>
      <c r="F369" s="7"/>
      <c r="G369" s="59">
        <f>G370</f>
        <v>752.8</v>
      </c>
      <c r="H369" s="340">
        <f t="shared" ref="H369" si="213">H370</f>
        <v>131.09800000000001</v>
      </c>
      <c r="I369" s="4">
        <f t="shared" si="194"/>
        <v>17.414718384697135</v>
      </c>
    </row>
    <row r="370" spans="1:9" s="213" customFormat="1" ht="18.75" customHeight="1" x14ac:dyDescent="0.25">
      <c r="A370" s="29" t="s">
        <v>279</v>
      </c>
      <c r="B370" s="40" t="s">
        <v>1044</v>
      </c>
      <c r="C370" s="40" t="s">
        <v>280</v>
      </c>
      <c r="D370" s="40"/>
      <c r="E370" s="40"/>
      <c r="F370" s="40"/>
      <c r="G370" s="10">
        <f t="shared" ref="G370:H370" si="214">G371</f>
        <v>752.8</v>
      </c>
      <c r="H370" s="328">
        <f t="shared" si="214"/>
        <v>131.09800000000001</v>
      </c>
      <c r="I370" s="358">
        <f t="shared" si="194"/>
        <v>17.414718384697135</v>
      </c>
    </row>
    <row r="371" spans="1:9" s="213" customFormat="1" ht="18" customHeight="1" x14ac:dyDescent="0.25">
      <c r="A371" s="29" t="s">
        <v>441</v>
      </c>
      <c r="B371" s="40" t="s">
        <v>1044</v>
      </c>
      <c r="C371" s="40" t="s">
        <v>280</v>
      </c>
      <c r="D371" s="40" t="s">
        <v>229</v>
      </c>
      <c r="E371" s="40"/>
      <c r="F371" s="40"/>
      <c r="G371" s="10">
        <f>G372+G376</f>
        <v>752.8</v>
      </c>
      <c r="H371" s="328">
        <f t="shared" ref="H371" si="215">H372+H376</f>
        <v>131.09800000000001</v>
      </c>
      <c r="I371" s="358">
        <f t="shared" si="194"/>
        <v>17.414718384697135</v>
      </c>
    </row>
    <row r="372" spans="1:9" s="213" customFormat="1" ht="47.25" x14ac:dyDescent="0.25">
      <c r="A372" s="192" t="s">
        <v>874</v>
      </c>
      <c r="B372" s="331" t="s">
        <v>1515</v>
      </c>
      <c r="C372" s="40" t="s">
        <v>280</v>
      </c>
      <c r="D372" s="40" t="s">
        <v>229</v>
      </c>
      <c r="E372" s="40"/>
      <c r="F372" s="40"/>
      <c r="G372" s="10">
        <f>G373</f>
        <v>678</v>
      </c>
      <c r="H372" s="328">
        <f t="shared" ref="H372:H373" si="216">H373</f>
        <v>116.298</v>
      </c>
      <c r="I372" s="358">
        <f t="shared" si="194"/>
        <v>17.153097345132743</v>
      </c>
    </row>
    <row r="373" spans="1:9" s="213" customFormat="1" ht="39.75" customHeight="1" x14ac:dyDescent="0.25">
      <c r="A373" s="29" t="s">
        <v>288</v>
      </c>
      <c r="B373" s="331" t="s">
        <v>1515</v>
      </c>
      <c r="C373" s="40" t="s">
        <v>280</v>
      </c>
      <c r="D373" s="40" t="s">
        <v>229</v>
      </c>
      <c r="E373" s="40" t="s">
        <v>289</v>
      </c>
      <c r="F373" s="40"/>
      <c r="G373" s="10">
        <f>G374</f>
        <v>678</v>
      </c>
      <c r="H373" s="328">
        <f t="shared" si="216"/>
        <v>116.298</v>
      </c>
      <c r="I373" s="358">
        <f t="shared" si="194"/>
        <v>17.153097345132743</v>
      </c>
    </row>
    <row r="374" spans="1:9" s="213" customFormat="1" ht="19.5" customHeight="1" x14ac:dyDescent="0.25">
      <c r="A374" s="192" t="s">
        <v>290</v>
      </c>
      <c r="B374" s="331" t="s">
        <v>1515</v>
      </c>
      <c r="C374" s="40" t="s">
        <v>280</v>
      </c>
      <c r="D374" s="40" t="s">
        <v>229</v>
      </c>
      <c r="E374" s="40" t="s">
        <v>291</v>
      </c>
      <c r="F374" s="40"/>
      <c r="G374" s="10">
        <f>'Пр.3 Рд,пр, ЦС,ВР 20'!F651</f>
        <v>678</v>
      </c>
      <c r="H374" s="328">
        <f>'Пр.3 Рд,пр, ЦС,ВР 20'!G651</f>
        <v>116.298</v>
      </c>
      <c r="I374" s="358">
        <f t="shared" si="194"/>
        <v>17.153097345132743</v>
      </c>
    </row>
    <row r="375" spans="1:9" s="213" customFormat="1" ht="31.7" customHeight="1" x14ac:dyDescent="0.25">
      <c r="A375" s="29" t="s">
        <v>419</v>
      </c>
      <c r="B375" s="331" t="s">
        <v>1515</v>
      </c>
      <c r="C375" s="40" t="s">
        <v>280</v>
      </c>
      <c r="D375" s="40" t="s">
        <v>229</v>
      </c>
      <c r="E375" s="40" t="s">
        <v>291</v>
      </c>
      <c r="F375" s="40" t="s">
        <v>653</v>
      </c>
      <c r="G375" s="10">
        <f>G374</f>
        <v>678</v>
      </c>
      <c r="H375" s="328">
        <f t="shared" ref="H375" si="217">H374</f>
        <v>116.298</v>
      </c>
      <c r="I375" s="358">
        <f t="shared" si="194"/>
        <v>17.153097345132743</v>
      </c>
    </row>
    <row r="376" spans="1:9" s="324" customFormat="1" ht="31.7" customHeight="1" x14ac:dyDescent="0.25">
      <c r="A376" s="31" t="s">
        <v>1514</v>
      </c>
      <c r="B376" s="331" t="s">
        <v>1516</v>
      </c>
      <c r="C376" s="339" t="s">
        <v>280</v>
      </c>
      <c r="D376" s="339" t="s">
        <v>229</v>
      </c>
      <c r="E376" s="339"/>
      <c r="F376" s="339"/>
      <c r="G376" s="328">
        <f>G377</f>
        <v>74.8</v>
      </c>
      <c r="H376" s="328">
        <f t="shared" ref="H376:H378" si="218">H377</f>
        <v>14.8</v>
      </c>
      <c r="I376" s="358">
        <f t="shared" si="194"/>
        <v>19.786096256684495</v>
      </c>
    </row>
    <row r="377" spans="1:9" s="324" customFormat="1" ht="31.7" customHeight="1" x14ac:dyDescent="0.25">
      <c r="A377" s="31" t="s">
        <v>288</v>
      </c>
      <c r="B377" s="331" t="s">
        <v>1516</v>
      </c>
      <c r="C377" s="339" t="s">
        <v>280</v>
      </c>
      <c r="D377" s="339" t="s">
        <v>229</v>
      </c>
      <c r="E377" s="339" t="s">
        <v>289</v>
      </c>
      <c r="F377" s="339"/>
      <c r="G377" s="328">
        <f>G378</f>
        <v>74.8</v>
      </c>
      <c r="H377" s="328">
        <f t="shared" si="218"/>
        <v>14.8</v>
      </c>
      <c r="I377" s="358">
        <f t="shared" si="194"/>
        <v>19.786096256684495</v>
      </c>
    </row>
    <row r="378" spans="1:9" s="324" customFormat="1" ht="31.7" customHeight="1" x14ac:dyDescent="0.25">
      <c r="A378" s="31" t="s">
        <v>290</v>
      </c>
      <c r="B378" s="331" t="s">
        <v>1516</v>
      </c>
      <c r="C378" s="339" t="s">
        <v>280</v>
      </c>
      <c r="D378" s="339" t="s">
        <v>229</v>
      </c>
      <c r="E378" s="339" t="s">
        <v>291</v>
      </c>
      <c r="F378" s="339"/>
      <c r="G378" s="328">
        <f>G379</f>
        <v>74.8</v>
      </c>
      <c r="H378" s="328">
        <f t="shared" si="218"/>
        <v>14.8</v>
      </c>
      <c r="I378" s="358">
        <f t="shared" si="194"/>
        <v>19.786096256684495</v>
      </c>
    </row>
    <row r="379" spans="1:9" s="324" customFormat="1" ht="31.7" customHeight="1" x14ac:dyDescent="0.25">
      <c r="A379" s="338" t="s">
        <v>419</v>
      </c>
      <c r="B379" s="331" t="s">
        <v>1516</v>
      </c>
      <c r="C379" s="339" t="s">
        <v>280</v>
      </c>
      <c r="D379" s="339" t="s">
        <v>229</v>
      </c>
      <c r="E379" s="339" t="s">
        <v>291</v>
      </c>
      <c r="F379" s="339" t="s">
        <v>653</v>
      </c>
      <c r="G379" s="328">
        <f>'Пр.4 ведом.20'!G705</f>
        <v>74.8</v>
      </c>
      <c r="H379" s="328">
        <f>'Пр.4 ведом.20'!H705</f>
        <v>14.8</v>
      </c>
      <c r="I379" s="358">
        <f t="shared" si="194"/>
        <v>19.786096256684495</v>
      </c>
    </row>
    <row r="380" spans="1:9" s="357" customFormat="1" ht="31.5" x14ac:dyDescent="0.25">
      <c r="A380" s="225" t="s">
        <v>1564</v>
      </c>
      <c r="B380" s="334" t="s">
        <v>1555</v>
      </c>
      <c r="C380" s="339"/>
      <c r="D380" s="339"/>
      <c r="E380" s="339"/>
      <c r="F380" s="339"/>
      <c r="G380" s="340">
        <f>G381</f>
        <v>2372.5</v>
      </c>
      <c r="H380" s="340">
        <f t="shared" ref="H380:H381" si="219">H381</f>
        <v>0</v>
      </c>
      <c r="I380" s="4">
        <f t="shared" si="194"/>
        <v>0</v>
      </c>
    </row>
    <row r="381" spans="1:9" s="357" customFormat="1" ht="15.75" x14ac:dyDescent="0.25">
      <c r="A381" s="338" t="s">
        <v>279</v>
      </c>
      <c r="B381" s="339" t="s">
        <v>1555</v>
      </c>
      <c r="C381" s="339" t="s">
        <v>280</v>
      </c>
      <c r="D381" s="339"/>
      <c r="E381" s="339"/>
      <c r="F381" s="339"/>
      <c r="G381" s="328">
        <f>G382</f>
        <v>2372.5</v>
      </c>
      <c r="H381" s="328">
        <f t="shared" si="219"/>
        <v>0</v>
      </c>
      <c r="I381" s="358">
        <f t="shared" si="194"/>
        <v>0</v>
      </c>
    </row>
    <row r="382" spans="1:9" s="357" customFormat="1" ht="15.75" x14ac:dyDescent="0.25">
      <c r="A382" s="338" t="s">
        <v>441</v>
      </c>
      <c r="B382" s="339" t="s">
        <v>1555</v>
      </c>
      <c r="C382" s="339" t="s">
        <v>280</v>
      </c>
      <c r="D382" s="339" t="s">
        <v>229</v>
      </c>
      <c r="E382" s="339"/>
      <c r="F382" s="339"/>
      <c r="G382" s="328">
        <f>G383+G387</f>
        <v>2372.5</v>
      </c>
      <c r="H382" s="328">
        <f t="shared" ref="H382" si="220">H383+H387</f>
        <v>0</v>
      </c>
      <c r="I382" s="358">
        <f t="shared" si="194"/>
        <v>0</v>
      </c>
    </row>
    <row r="383" spans="1:9" s="357" customFormat="1" ht="31.5" x14ac:dyDescent="0.25">
      <c r="A383" s="31" t="s">
        <v>1565</v>
      </c>
      <c r="B383" s="360" t="s">
        <v>1556</v>
      </c>
      <c r="C383" s="339" t="s">
        <v>280</v>
      </c>
      <c r="D383" s="339" t="s">
        <v>229</v>
      </c>
      <c r="E383" s="339"/>
      <c r="F383" s="339"/>
      <c r="G383" s="328">
        <f>G384</f>
        <v>97.3</v>
      </c>
      <c r="H383" s="328">
        <f t="shared" ref="H383:H384" si="221">H384</f>
        <v>0</v>
      </c>
      <c r="I383" s="358">
        <f t="shared" si="194"/>
        <v>0</v>
      </c>
    </row>
    <row r="384" spans="1:9" s="357" customFormat="1" ht="31.5" x14ac:dyDescent="0.25">
      <c r="A384" s="31" t="s">
        <v>288</v>
      </c>
      <c r="B384" s="360" t="s">
        <v>1556</v>
      </c>
      <c r="C384" s="339" t="s">
        <v>280</v>
      </c>
      <c r="D384" s="339" t="s">
        <v>229</v>
      </c>
      <c r="E384" s="339" t="s">
        <v>289</v>
      </c>
      <c r="F384" s="339"/>
      <c r="G384" s="328">
        <f>G385</f>
        <v>97.3</v>
      </c>
      <c r="H384" s="328">
        <f t="shared" si="221"/>
        <v>0</v>
      </c>
      <c r="I384" s="358">
        <f t="shared" si="194"/>
        <v>0</v>
      </c>
    </row>
    <row r="385" spans="1:9" s="357" customFormat="1" ht="15.75" x14ac:dyDescent="0.25">
      <c r="A385" s="31" t="s">
        <v>290</v>
      </c>
      <c r="B385" s="360" t="s">
        <v>1556</v>
      </c>
      <c r="C385" s="339" t="s">
        <v>280</v>
      </c>
      <c r="D385" s="339" t="s">
        <v>229</v>
      </c>
      <c r="E385" s="339" t="s">
        <v>291</v>
      </c>
      <c r="F385" s="339"/>
      <c r="G385" s="328">
        <f>'Пр.4 ведом.20'!G709</f>
        <v>97.3</v>
      </c>
      <c r="H385" s="328">
        <f>'Пр.4 ведом.20'!H709</f>
        <v>0</v>
      </c>
      <c r="I385" s="358">
        <f t="shared" si="194"/>
        <v>0</v>
      </c>
    </row>
    <row r="386" spans="1:9" s="357" customFormat="1" ht="31.5" x14ac:dyDescent="0.25">
      <c r="A386" s="338" t="s">
        <v>419</v>
      </c>
      <c r="B386" s="360" t="s">
        <v>1556</v>
      </c>
      <c r="C386" s="339" t="s">
        <v>280</v>
      </c>
      <c r="D386" s="339" t="s">
        <v>229</v>
      </c>
      <c r="E386" s="339" t="s">
        <v>291</v>
      </c>
      <c r="F386" s="339" t="s">
        <v>653</v>
      </c>
      <c r="G386" s="328">
        <f>G385</f>
        <v>97.3</v>
      </c>
      <c r="H386" s="328">
        <f t="shared" ref="H386" si="222">H385</f>
        <v>0</v>
      </c>
      <c r="I386" s="358">
        <f t="shared" si="194"/>
        <v>0</v>
      </c>
    </row>
    <row r="387" spans="1:9" s="357" customFormat="1" ht="31.5" x14ac:dyDescent="0.25">
      <c r="A387" s="31" t="s">
        <v>1566</v>
      </c>
      <c r="B387" s="360" t="s">
        <v>1557</v>
      </c>
      <c r="C387" s="339" t="s">
        <v>280</v>
      </c>
      <c r="D387" s="339" t="s">
        <v>229</v>
      </c>
      <c r="E387" s="339"/>
      <c r="F387" s="339"/>
      <c r="G387" s="328">
        <f>G388</f>
        <v>2275.1999999999998</v>
      </c>
      <c r="H387" s="328">
        <f t="shared" ref="H387:H388" si="223">H388</f>
        <v>0</v>
      </c>
      <c r="I387" s="358">
        <f t="shared" si="194"/>
        <v>0</v>
      </c>
    </row>
    <row r="388" spans="1:9" s="357" customFormat="1" ht="31.5" x14ac:dyDescent="0.25">
      <c r="A388" s="31" t="s">
        <v>288</v>
      </c>
      <c r="B388" s="360" t="s">
        <v>1557</v>
      </c>
      <c r="C388" s="339" t="s">
        <v>280</v>
      </c>
      <c r="D388" s="339" t="s">
        <v>229</v>
      </c>
      <c r="E388" s="339" t="s">
        <v>289</v>
      </c>
      <c r="F388" s="339"/>
      <c r="G388" s="328">
        <f>G389</f>
        <v>2275.1999999999998</v>
      </c>
      <c r="H388" s="328">
        <f t="shared" si="223"/>
        <v>0</v>
      </c>
      <c r="I388" s="358">
        <f t="shared" si="194"/>
        <v>0</v>
      </c>
    </row>
    <row r="389" spans="1:9" s="357" customFormat="1" ht="15.75" x14ac:dyDescent="0.25">
      <c r="A389" s="31" t="s">
        <v>290</v>
      </c>
      <c r="B389" s="360" t="s">
        <v>1557</v>
      </c>
      <c r="C389" s="339" t="s">
        <v>280</v>
      </c>
      <c r="D389" s="339" t="s">
        <v>229</v>
      </c>
      <c r="E389" s="339" t="s">
        <v>291</v>
      </c>
      <c r="F389" s="339"/>
      <c r="G389" s="328">
        <f>'Пр.4 ведом.20'!G712</f>
        <v>2275.1999999999998</v>
      </c>
      <c r="H389" s="328">
        <f>'Пр.4 ведом.20'!H712</f>
        <v>0</v>
      </c>
      <c r="I389" s="358">
        <f t="shared" si="194"/>
        <v>0</v>
      </c>
    </row>
    <row r="390" spans="1:9" s="357" customFormat="1" ht="31.5" x14ac:dyDescent="0.25">
      <c r="A390" s="338" t="s">
        <v>419</v>
      </c>
      <c r="B390" s="360" t="s">
        <v>1557</v>
      </c>
      <c r="C390" s="339" t="s">
        <v>280</v>
      </c>
      <c r="D390" s="339" t="s">
        <v>229</v>
      </c>
      <c r="E390" s="339" t="s">
        <v>291</v>
      </c>
      <c r="F390" s="339" t="s">
        <v>653</v>
      </c>
      <c r="G390" s="328">
        <f>G389</f>
        <v>2275.1999999999998</v>
      </c>
      <c r="H390" s="328">
        <f t="shared" ref="H390" si="224">H389</f>
        <v>0</v>
      </c>
      <c r="I390" s="358">
        <f t="shared" si="194"/>
        <v>0</v>
      </c>
    </row>
    <row r="391" spans="1:9" s="357" customFormat="1" ht="31.5" x14ac:dyDescent="0.25">
      <c r="A391" s="225" t="s">
        <v>1558</v>
      </c>
      <c r="B391" s="334" t="s">
        <v>1561</v>
      </c>
      <c r="C391" s="327"/>
      <c r="D391" s="327"/>
      <c r="E391" s="327"/>
      <c r="F391" s="327"/>
      <c r="G391" s="340">
        <f>G392</f>
        <v>641.29999999999995</v>
      </c>
      <c r="H391" s="340">
        <f t="shared" ref="H391:H392" si="225">H392</f>
        <v>9</v>
      </c>
      <c r="I391" s="4">
        <f t="shared" si="194"/>
        <v>1.4033993450803057</v>
      </c>
    </row>
    <row r="392" spans="1:9" s="357" customFormat="1" ht="15.75" x14ac:dyDescent="0.25">
      <c r="A392" s="338" t="s">
        <v>279</v>
      </c>
      <c r="B392" s="339" t="s">
        <v>1561</v>
      </c>
      <c r="C392" s="339" t="s">
        <v>280</v>
      </c>
      <c r="D392" s="339"/>
      <c r="E392" s="339"/>
      <c r="F392" s="339"/>
      <c r="G392" s="328">
        <f>G393</f>
        <v>641.29999999999995</v>
      </c>
      <c r="H392" s="328">
        <f t="shared" si="225"/>
        <v>9</v>
      </c>
      <c r="I392" s="358">
        <f t="shared" si="194"/>
        <v>1.4033993450803057</v>
      </c>
    </row>
    <row r="393" spans="1:9" s="357" customFormat="1" ht="15.75" x14ac:dyDescent="0.25">
      <c r="A393" s="338" t="s">
        <v>441</v>
      </c>
      <c r="B393" s="339" t="s">
        <v>1561</v>
      </c>
      <c r="C393" s="339" t="s">
        <v>280</v>
      </c>
      <c r="D393" s="339" t="s">
        <v>229</v>
      </c>
      <c r="E393" s="339"/>
      <c r="F393" s="339"/>
      <c r="G393" s="328">
        <f>G394+G398</f>
        <v>641.29999999999995</v>
      </c>
      <c r="H393" s="328">
        <f t="shared" ref="H393" si="226">H394+H398</f>
        <v>9</v>
      </c>
      <c r="I393" s="358">
        <f t="shared" si="194"/>
        <v>1.4033993450803057</v>
      </c>
    </row>
    <row r="394" spans="1:9" s="357" customFormat="1" ht="47.25" x14ac:dyDescent="0.25">
      <c r="A394" s="31" t="s">
        <v>1559</v>
      </c>
      <c r="B394" s="360" t="s">
        <v>1562</v>
      </c>
      <c r="C394" s="339" t="s">
        <v>280</v>
      </c>
      <c r="D394" s="339" t="s">
        <v>229</v>
      </c>
      <c r="E394" s="339"/>
      <c r="F394" s="339"/>
      <c r="G394" s="328">
        <f>G395</f>
        <v>26.3</v>
      </c>
      <c r="H394" s="328">
        <f t="shared" ref="H394:H395" si="227">H395</f>
        <v>9</v>
      </c>
      <c r="I394" s="358">
        <f t="shared" si="194"/>
        <v>34.22053231939163</v>
      </c>
    </row>
    <row r="395" spans="1:9" s="357" customFormat="1" ht="31.5" x14ac:dyDescent="0.25">
      <c r="A395" s="31" t="s">
        <v>288</v>
      </c>
      <c r="B395" s="360" t="s">
        <v>1562</v>
      </c>
      <c r="C395" s="339" t="s">
        <v>280</v>
      </c>
      <c r="D395" s="339" t="s">
        <v>229</v>
      </c>
      <c r="E395" s="339" t="s">
        <v>289</v>
      </c>
      <c r="F395" s="339"/>
      <c r="G395" s="328">
        <f>G396</f>
        <v>26.3</v>
      </c>
      <c r="H395" s="328">
        <f t="shared" si="227"/>
        <v>9</v>
      </c>
      <c r="I395" s="358">
        <f t="shared" si="194"/>
        <v>34.22053231939163</v>
      </c>
    </row>
    <row r="396" spans="1:9" s="357" customFormat="1" ht="15.75" x14ac:dyDescent="0.25">
      <c r="A396" s="31" t="s">
        <v>290</v>
      </c>
      <c r="B396" s="360" t="s">
        <v>1562</v>
      </c>
      <c r="C396" s="339" t="s">
        <v>280</v>
      </c>
      <c r="D396" s="339" t="s">
        <v>229</v>
      </c>
      <c r="E396" s="339" t="s">
        <v>291</v>
      </c>
      <c r="F396" s="339"/>
      <c r="G396" s="328">
        <f>'Пр.4 ведом.20'!G716</f>
        <v>26.3</v>
      </c>
      <c r="H396" s="328">
        <f>'Пр.4 ведом.20'!H716</f>
        <v>9</v>
      </c>
      <c r="I396" s="358">
        <f t="shared" si="194"/>
        <v>34.22053231939163</v>
      </c>
    </row>
    <row r="397" spans="1:9" s="357" customFormat="1" ht="31.5" x14ac:dyDescent="0.25">
      <c r="A397" s="338" t="s">
        <v>419</v>
      </c>
      <c r="B397" s="360" t="s">
        <v>1562</v>
      </c>
      <c r="C397" s="339" t="s">
        <v>280</v>
      </c>
      <c r="D397" s="339" t="s">
        <v>229</v>
      </c>
      <c r="E397" s="339" t="s">
        <v>291</v>
      </c>
      <c r="F397" s="339" t="s">
        <v>653</v>
      </c>
      <c r="G397" s="328">
        <f>G396</f>
        <v>26.3</v>
      </c>
      <c r="H397" s="328">
        <f t="shared" ref="H397" si="228">H396</f>
        <v>9</v>
      </c>
      <c r="I397" s="358">
        <f t="shared" si="194"/>
        <v>34.22053231939163</v>
      </c>
    </row>
    <row r="398" spans="1:9" s="357" customFormat="1" ht="31.5" x14ac:dyDescent="0.25">
      <c r="A398" s="31" t="s">
        <v>1560</v>
      </c>
      <c r="B398" s="360" t="s">
        <v>1563</v>
      </c>
      <c r="C398" s="339" t="s">
        <v>280</v>
      </c>
      <c r="D398" s="339" t="s">
        <v>229</v>
      </c>
      <c r="E398" s="339"/>
      <c r="F398" s="339"/>
      <c r="G398" s="328">
        <f>G399</f>
        <v>615</v>
      </c>
      <c r="H398" s="328">
        <f t="shared" ref="H398:H399" si="229">H399</f>
        <v>0</v>
      </c>
      <c r="I398" s="358">
        <f t="shared" si="194"/>
        <v>0</v>
      </c>
    </row>
    <row r="399" spans="1:9" s="357" customFormat="1" ht="31.5" x14ac:dyDescent="0.25">
      <c r="A399" s="31" t="s">
        <v>288</v>
      </c>
      <c r="B399" s="360" t="s">
        <v>1563</v>
      </c>
      <c r="C399" s="339" t="s">
        <v>280</v>
      </c>
      <c r="D399" s="339" t="s">
        <v>229</v>
      </c>
      <c r="E399" s="339" t="s">
        <v>289</v>
      </c>
      <c r="F399" s="339"/>
      <c r="G399" s="328">
        <f>G400</f>
        <v>615</v>
      </c>
      <c r="H399" s="328">
        <f t="shared" si="229"/>
        <v>0</v>
      </c>
      <c r="I399" s="358">
        <f t="shared" si="194"/>
        <v>0</v>
      </c>
    </row>
    <row r="400" spans="1:9" s="357" customFormat="1" ht="15.75" x14ac:dyDescent="0.25">
      <c r="A400" s="31" t="s">
        <v>290</v>
      </c>
      <c r="B400" s="360" t="s">
        <v>1563</v>
      </c>
      <c r="C400" s="339" t="s">
        <v>280</v>
      </c>
      <c r="D400" s="339" t="s">
        <v>229</v>
      </c>
      <c r="E400" s="339" t="s">
        <v>291</v>
      </c>
      <c r="F400" s="339"/>
      <c r="G400" s="328">
        <f>'Пр.4 ведом.20'!G719</f>
        <v>615</v>
      </c>
      <c r="H400" s="328">
        <f>'Пр.4 ведом.20'!H719</f>
        <v>0</v>
      </c>
      <c r="I400" s="358">
        <f t="shared" si="194"/>
        <v>0</v>
      </c>
    </row>
    <row r="401" spans="1:9" s="357" customFormat="1" ht="31.5" x14ac:dyDescent="0.25">
      <c r="A401" s="338" t="s">
        <v>419</v>
      </c>
      <c r="B401" s="360" t="s">
        <v>1563</v>
      </c>
      <c r="C401" s="339" t="s">
        <v>280</v>
      </c>
      <c r="D401" s="339" t="s">
        <v>229</v>
      </c>
      <c r="E401" s="339" t="s">
        <v>291</v>
      </c>
      <c r="F401" s="339" t="s">
        <v>653</v>
      </c>
      <c r="G401" s="328">
        <f>G400</f>
        <v>615</v>
      </c>
      <c r="H401" s="328">
        <f t="shared" ref="H401" si="230">H400</f>
        <v>0</v>
      </c>
      <c r="I401" s="358">
        <f t="shared" si="194"/>
        <v>0</v>
      </c>
    </row>
    <row r="402" spans="1:9" s="357" customFormat="1" ht="31.5" x14ac:dyDescent="0.25">
      <c r="A402" s="365" t="s">
        <v>1567</v>
      </c>
      <c r="B402" s="334" t="s">
        <v>1568</v>
      </c>
      <c r="C402" s="327"/>
      <c r="D402" s="327"/>
      <c r="E402" s="327"/>
      <c r="F402" s="327"/>
      <c r="G402" s="340">
        <f>G403</f>
        <v>1975.75</v>
      </c>
      <c r="H402" s="340">
        <f t="shared" ref="H402:H403" si="231">H403</f>
        <v>0</v>
      </c>
      <c r="I402" s="4">
        <f t="shared" ref="I402:I465" si="232">H402/G402*100</f>
        <v>0</v>
      </c>
    </row>
    <row r="403" spans="1:9" s="357" customFormat="1" ht="15.75" x14ac:dyDescent="0.25">
      <c r="A403" s="338" t="s">
        <v>279</v>
      </c>
      <c r="B403" s="360" t="s">
        <v>1568</v>
      </c>
      <c r="C403" s="339" t="s">
        <v>280</v>
      </c>
      <c r="D403" s="339"/>
      <c r="E403" s="339"/>
      <c r="F403" s="339"/>
      <c r="G403" s="328">
        <f>G404</f>
        <v>1975.75</v>
      </c>
      <c r="H403" s="328">
        <f t="shared" si="231"/>
        <v>0</v>
      </c>
      <c r="I403" s="358">
        <f t="shared" si="232"/>
        <v>0</v>
      </c>
    </row>
    <row r="404" spans="1:9" s="357" customFormat="1" ht="15.75" x14ac:dyDescent="0.25">
      <c r="A404" s="338" t="s">
        <v>441</v>
      </c>
      <c r="B404" s="360" t="s">
        <v>1568</v>
      </c>
      <c r="C404" s="339" t="s">
        <v>280</v>
      </c>
      <c r="D404" s="339" t="s">
        <v>229</v>
      </c>
      <c r="E404" s="339"/>
      <c r="F404" s="339"/>
      <c r="G404" s="328">
        <f>G405+G409</f>
        <v>1975.75</v>
      </c>
      <c r="H404" s="328">
        <f t="shared" ref="H404" si="233">H405+H409</f>
        <v>0</v>
      </c>
      <c r="I404" s="358">
        <f t="shared" si="232"/>
        <v>0</v>
      </c>
    </row>
    <row r="405" spans="1:9" s="357" customFormat="1" ht="63" x14ac:dyDescent="0.25">
      <c r="A405" s="364" t="s">
        <v>1569</v>
      </c>
      <c r="B405" s="360" t="s">
        <v>1573</v>
      </c>
      <c r="C405" s="339" t="s">
        <v>280</v>
      </c>
      <c r="D405" s="339" t="s">
        <v>229</v>
      </c>
      <c r="E405" s="339"/>
      <c r="F405" s="339"/>
      <c r="G405" s="328">
        <f>G406</f>
        <v>81.05</v>
      </c>
      <c r="H405" s="328">
        <f t="shared" ref="H405:H406" si="234">H406</f>
        <v>0</v>
      </c>
      <c r="I405" s="358">
        <f t="shared" si="232"/>
        <v>0</v>
      </c>
    </row>
    <row r="406" spans="1:9" s="357" customFormat="1" ht="31.5" x14ac:dyDescent="0.25">
      <c r="A406" s="31" t="s">
        <v>288</v>
      </c>
      <c r="B406" s="360" t="s">
        <v>1573</v>
      </c>
      <c r="C406" s="339" t="s">
        <v>280</v>
      </c>
      <c r="D406" s="339" t="s">
        <v>229</v>
      </c>
      <c r="E406" s="339" t="s">
        <v>289</v>
      </c>
      <c r="F406" s="339"/>
      <c r="G406" s="328">
        <f>G407</f>
        <v>81.05</v>
      </c>
      <c r="H406" s="328">
        <f t="shared" si="234"/>
        <v>0</v>
      </c>
      <c r="I406" s="358">
        <f t="shared" si="232"/>
        <v>0</v>
      </c>
    </row>
    <row r="407" spans="1:9" s="357" customFormat="1" ht="15.75" x14ac:dyDescent="0.25">
      <c r="A407" s="31" t="s">
        <v>290</v>
      </c>
      <c r="B407" s="360" t="s">
        <v>1573</v>
      </c>
      <c r="C407" s="339" t="s">
        <v>280</v>
      </c>
      <c r="D407" s="339" t="s">
        <v>229</v>
      </c>
      <c r="E407" s="339" t="s">
        <v>291</v>
      </c>
      <c r="F407" s="339"/>
      <c r="G407" s="328">
        <f>'Пр.4 ведом.20'!G723</f>
        <v>81.05</v>
      </c>
      <c r="H407" s="328">
        <f>'Пр.4 ведом.20'!H723</f>
        <v>0</v>
      </c>
      <c r="I407" s="358">
        <f t="shared" si="232"/>
        <v>0</v>
      </c>
    </row>
    <row r="408" spans="1:9" s="357" customFormat="1" ht="31.5" x14ac:dyDescent="0.25">
      <c r="A408" s="338" t="s">
        <v>419</v>
      </c>
      <c r="B408" s="360" t="s">
        <v>1573</v>
      </c>
      <c r="C408" s="339" t="s">
        <v>280</v>
      </c>
      <c r="D408" s="339" t="s">
        <v>229</v>
      </c>
      <c r="E408" s="339" t="s">
        <v>291</v>
      </c>
      <c r="F408" s="339" t="s">
        <v>653</v>
      </c>
      <c r="G408" s="328">
        <f>G407</f>
        <v>81.05</v>
      </c>
      <c r="H408" s="328">
        <f t="shared" ref="H408" si="235">H407</f>
        <v>0</v>
      </c>
      <c r="I408" s="358">
        <f t="shared" si="232"/>
        <v>0</v>
      </c>
    </row>
    <row r="409" spans="1:9" s="357" customFormat="1" ht="63" x14ac:dyDescent="0.25">
      <c r="A409" s="364" t="s">
        <v>1572</v>
      </c>
      <c r="B409" s="360" t="s">
        <v>1574</v>
      </c>
      <c r="C409" s="339" t="s">
        <v>280</v>
      </c>
      <c r="D409" s="339" t="s">
        <v>229</v>
      </c>
      <c r="E409" s="339"/>
      <c r="F409" s="339"/>
      <c r="G409" s="328">
        <f>G410</f>
        <v>1894.7</v>
      </c>
      <c r="H409" s="328">
        <f t="shared" ref="H409:H410" si="236">H410</f>
        <v>0</v>
      </c>
      <c r="I409" s="358">
        <f t="shared" si="232"/>
        <v>0</v>
      </c>
    </row>
    <row r="410" spans="1:9" s="357" customFormat="1" ht="31.5" x14ac:dyDescent="0.25">
      <c r="A410" s="31" t="s">
        <v>288</v>
      </c>
      <c r="B410" s="360" t="s">
        <v>1574</v>
      </c>
      <c r="C410" s="339" t="s">
        <v>280</v>
      </c>
      <c r="D410" s="339" t="s">
        <v>229</v>
      </c>
      <c r="E410" s="339" t="s">
        <v>289</v>
      </c>
      <c r="F410" s="339"/>
      <c r="G410" s="328">
        <f>G411</f>
        <v>1894.7</v>
      </c>
      <c r="H410" s="328">
        <f t="shared" si="236"/>
        <v>0</v>
      </c>
      <c r="I410" s="358">
        <f t="shared" si="232"/>
        <v>0</v>
      </c>
    </row>
    <row r="411" spans="1:9" s="357" customFormat="1" ht="15.75" x14ac:dyDescent="0.25">
      <c r="A411" s="31" t="s">
        <v>290</v>
      </c>
      <c r="B411" s="360" t="s">
        <v>1574</v>
      </c>
      <c r="C411" s="339" t="s">
        <v>280</v>
      </c>
      <c r="D411" s="339" t="s">
        <v>229</v>
      </c>
      <c r="E411" s="339" t="s">
        <v>291</v>
      </c>
      <c r="F411" s="339"/>
      <c r="G411" s="328">
        <f>'Пр.4 ведом.20'!G726</f>
        <v>1894.7</v>
      </c>
      <c r="H411" s="328">
        <f>'Пр.4 ведом.20'!H726</f>
        <v>0</v>
      </c>
      <c r="I411" s="358">
        <f t="shared" si="232"/>
        <v>0</v>
      </c>
    </row>
    <row r="412" spans="1:9" s="357" customFormat="1" ht="31.5" x14ac:dyDescent="0.25">
      <c r="A412" s="338" t="s">
        <v>419</v>
      </c>
      <c r="B412" s="360" t="s">
        <v>1574</v>
      </c>
      <c r="C412" s="339" t="s">
        <v>280</v>
      </c>
      <c r="D412" s="339" t="s">
        <v>229</v>
      </c>
      <c r="E412" s="339" t="s">
        <v>291</v>
      </c>
      <c r="F412" s="339" t="s">
        <v>653</v>
      </c>
      <c r="G412" s="328">
        <f>G411</f>
        <v>1894.7</v>
      </c>
      <c r="H412" s="328">
        <f t="shared" ref="H412" si="237">H411</f>
        <v>0</v>
      </c>
      <c r="I412" s="358">
        <f t="shared" si="232"/>
        <v>0</v>
      </c>
    </row>
    <row r="413" spans="1:9" s="213" customFormat="1" ht="48.2" customHeight="1" x14ac:dyDescent="0.25">
      <c r="A413" s="225" t="s">
        <v>1413</v>
      </c>
      <c r="B413" s="24" t="s">
        <v>1411</v>
      </c>
      <c r="C413" s="40"/>
      <c r="D413" s="40"/>
      <c r="E413" s="40"/>
      <c r="F413" s="40"/>
      <c r="G413" s="59">
        <f>G414</f>
        <v>1164.8589999999999</v>
      </c>
      <c r="H413" s="340">
        <f t="shared" ref="H413" si="238">H414</f>
        <v>1164.8389999999999</v>
      </c>
      <c r="I413" s="4">
        <f t="shared" si="232"/>
        <v>99.998283054000524</v>
      </c>
    </row>
    <row r="414" spans="1:9" s="213" customFormat="1" ht="15" customHeight="1" x14ac:dyDescent="0.25">
      <c r="A414" s="29" t="s">
        <v>279</v>
      </c>
      <c r="B414" s="20" t="s">
        <v>1411</v>
      </c>
      <c r="C414" s="40" t="s">
        <v>280</v>
      </c>
      <c r="D414" s="40"/>
      <c r="E414" s="40"/>
      <c r="F414" s="40"/>
      <c r="G414" s="10">
        <f>G415+G420</f>
        <v>1164.8589999999999</v>
      </c>
      <c r="H414" s="328">
        <f t="shared" ref="H414" si="239">H415+H420</f>
        <v>1164.8389999999999</v>
      </c>
      <c r="I414" s="358">
        <f t="shared" si="232"/>
        <v>99.998283054000524</v>
      </c>
    </row>
    <row r="415" spans="1:9" s="213" customFormat="1" ht="19.5" customHeight="1" x14ac:dyDescent="0.25">
      <c r="A415" s="29" t="s">
        <v>441</v>
      </c>
      <c r="B415" s="20" t="s">
        <v>1411</v>
      </c>
      <c r="C415" s="40" t="s">
        <v>280</v>
      </c>
      <c r="D415" s="40" t="s">
        <v>229</v>
      </c>
      <c r="E415" s="40"/>
      <c r="F415" s="40"/>
      <c r="G415" s="10">
        <f>G416</f>
        <v>1164.8589999999999</v>
      </c>
      <c r="H415" s="328">
        <f t="shared" ref="H415:H417" si="240">H416</f>
        <v>1164.8389999999999</v>
      </c>
      <c r="I415" s="358">
        <f t="shared" si="232"/>
        <v>99.998283054000524</v>
      </c>
    </row>
    <row r="416" spans="1:9" s="213" customFormat="1" ht="48.75" customHeight="1" x14ac:dyDescent="0.25">
      <c r="A416" s="192" t="s">
        <v>1452</v>
      </c>
      <c r="B416" s="20" t="s">
        <v>1412</v>
      </c>
      <c r="C416" s="40" t="s">
        <v>280</v>
      </c>
      <c r="D416" s="40" t="s">
        <v>229</v>
      </c>
      <c r="E416" s="40"/>
      <c r="F416" s="40"/>
      <c r="G416" s="10">
        <f>G417</f>
        <v>1164.8589999999999</v>
      </c>
      <c r="H416" s="328">
        <f t="shared" si="240"/>
        <v>1164.8389999999999</v>
      </c>
      <c r="I416" s="358">
        <f t="shared" si="232"/>
        <v>99.998283054000524</v>
      </c>
    </row>
    <row r="417" spans="1:9" s="213" customFormat="1" ht="33.75" customHeight="1" x14ac:dyDescent="0.25">
      <c r="A417" s="31" t="s">
        <v>288</v>
      </c>
      <c r="B417" s="20" t="s">
        <v>1412</v>
      </c>
      <c r="C417" s="40" t="s">
        <v>280</v>
      </c>
      <c r="D417" s="40" t="s">
        <v>229</v>
      </c>
      <c r="E417" s="40" t="s">
        <v>289</v>
      </c>
      <c r="F417" s="40"/>
      <c r="G417" s="10">
        <f>G418</f>
        <v>1164.8589999999999</v>
      </c>
      <c r="H417" s="328">
        <f t="shared" si="240"/>
        <v>1164.8389999999999</v>
      </c>
      <c r="I417" s="358">
        <f t="shared" si="232"/>
        <v>99.998283054000524</v>
      </c>
    </row>
    <row r="418" spans="1:9" s="213" customFormat="1" ht="21.2" customHeight="1" x14ac:dyDescent="0.25">
      <c r="A418" s="31" t="s">
        <v>290</v>
      </c>
      <c r="B418" s="20" t="s">
        <v>1412</v>
      </c>
      <c r="C418" s="40" t="s">
        <v>280</v>
      </c>
      <c r="D418" s="40" t="s">
        <v>229</v>
      </c>
      <c r="E418" s="40" t="s">
        <v>291</v>
      </c>
      <c r="F418" s="40"/>
      <c r="G418" s="10">
        <f>'Пр.4 ведом.20'!G730</f>
        <v>1164.8589999999999</v>
      </c>
      <c r="H418" s="328">
        <f>'Пр.4 ведом.20'!H730</f>
        <v>1164.8389999999999</v>
      </c>
      <c r="I418" s="358">
        <f t="shared" si="232"/>
        <v>99.998283054000524</v>
      </c>
    </row>
    <row r="419" spans="1:9" s="213" customFormat="1" ht="31.7" customHeight="1" x14ac:dyDescent="0.25">
      <c r="A419" s="29" t="s">
        <v>419</v>
      </c>
      <c r="B419" s="20" t="s">
        <v>1412</v>
      </c>
      <c r="C419" s="40" t="s">
        <v>280</v>
      </c>
      <c r="D419" s="40" t="s">
        <v>229</v>
      </c>
      <c r="E419" s="40" t="s">
        <v>291</v>
      </c>
      <c r="F419" s="40" t="s">
        <v>653</v>
      </c>
      <c r="G419" s="10">
        <f>G413</f>
        <v>1164.8589999999999</v>
      </c>
      <c r="H419" s="328">
        <f t="shared" ref="H419" si="241">H413</f>
        <v>1164.8389999999999</v>
      </c>
      <c r="I419" s="358">
        <f t="shared" si="232"/>
        <v>99.998283054000524</v>
      </c>
    </row>
    <row r="420" spans="1:9" s="324" customFormat="1" ht="67.7" hidden="1" customHeight="1" x14ac:dyDescent="0.25">
      <c r="A420" s="192" t="s">
        <v>1535</v>
      </c>
      <c r="B420" s="331" t="s">
        <v>1534</v>
      </c>
      <c r="C420" s="339" t="s">
        <v>280</v>
      </c>
      <c r="D420" s="339" t="s">
        <v>229</v>
      </c>
      <c r="E420" s="339"/>
      <c r="F420" s="339"/>
      <c r="G420" s="328">
        <f>G421</f>
        <v>0</v>
      </c>
      <c r="H420" s="328">
        <f t="shared" ref="H420:H421" si="242">H421</f>
        <v>0</v>
      </c>
      <c r="I420" s="358" t="e">
        <f t="shared" si="232"/>
        <v>#DIV/0!</v>
      </c>
    </row>
    <row r="421" spans="1:9" s="324" customFormat="1" ht="38.85" hidden="1" customHeight="1" x14ac:dyDescent="0.25">
      <c r="A421" s="31" t="s">
        <v>288</v>
      </c>
      <c r="B421" s="331" t="s">
        <v>1534</v>
      </c>
      <c r="C421" s="339" t="s">
        <v>280</v>
      </c>
      <c r="D421" s="339" t="s">
        <v>229</v>
      </c>
      <c r="E421" s="339" t="s">
        <v>289</v>
      </c>
      <c r="F421" s="339"/>
      <c r="G421" s="328">
        <f>G422</f>
        <v>0</v>
      </c>
      <c r="H421" s="328">
        <f t="shared" si="242"/>
        <v>0</v>
      </c>
      <c r="I421" s="358" t="e">
        <f t="shared" si="232"/>
        <v>#DIV/0!</v>
      </c>
    </row>
    <row r="422" spans="1:9" s="324" customFormat="1" ht="19.149999999999999" hidden="1" customHeight="1" x14ac:dyDescent="0.25">
      <c r="A422" s="31" t="s">
        <v>290</v>
      </c>
      <c r="B422" s="331" t="s">
        <v>1534</v>
      </c>
      <c r="C422" s="339" t="s">
        <v>280</v>
      </c>
      <c r="D422" s="339" t="s">
        <v>229</v>
      </c>
      <c r="E422" s="339" t="s">
        <v>291</v>
      </c>
      <c r="F422" s="339"/>
      <c r="G422" s="328">
        <f>'Пр.4 ведом.20'!G733</f>
        <v>0</v>
      </c>
      <c r="H422" s="328">
        <f>'Пр.4 ведом.20'!H733</f>
        <v>0</v>
      </c>
      <c r="I422" s="358" t="e">
        <f t="shared" si="232"/>
        <v>#DIV/0!</v>
      </c>
    </row>
    <row r="423" spans="1:9" s="324" customFormat="1" ht="31.7" hidden="1" customHeight="1" x14ac:dyDescent="0.25">
      <c r="A423" s="338" t="s">
        <v>419</v>
      </c>
      <c r="B423" s="331" t="s">
        <v>1534</v>
      </c>
      <c r="C423" s="339" t="s">
        <v>280</v>
      </c>
      <c r="D423" s="339" t="s">
        <v>229</v>
      </c>
      <c r="E423" s="339" t="s">
        <v>291</v>
      </c>
      <c r="F423" s="339" t="s">
        <v>653</v>
      </c>
      <c r="G423" s="328">
        <f>G420</f>
        <v>0</v>
      </c>
      <c r="H423" s="328">
        <f t="shared" ref="H423" si="243">H420</f>
        <v>0</v>
      </c>
      <c r="I423" s="358" t="e">
        <f t="shared" si="232"/>
        <v>#DIV/0!</v>
      </c>
    </row>
    <row r="424" spans="1:9" ht="36" customHeight="1" x14ac:dyDescent="0.25">
      <c r="A424" s="41" t="s">
        <v>462</v>
      </c>
      <c r="B424" s="7" t="s">
        <v>463</v>
      </c>
      <c r="C424" s="7"/>
      <c r="D424" s="7"/>
      <c r="E424" s="7"/>
      <c r="F424" s="7"/>
      <c r="G424" s="59">
        <f>G433+G425</f>
        <v>764.2</v>
      </c>
      <c r="H424" s="340">
        <f t="shared" ref="H424" si="244">H433+H425</f>
        <v>600</v>
      </c>
      <c r="I424" s="4">
        <f t="shared" si="232"/>
        <v>78.513478147081912</v>
      </c>
    </row>
    <row r="425" spans="1:9" s="324" customFormat="1" ht="36" customHeight="1" x14ac:dyDescent="0.25">
      <c r="A425" s="333" t="s">
        <v>1052</v>
      </c>
      <c r="B425" s="334" t="s">
        <v>1233</v>
      </c>
      <c r="C425" s="327"/>
      <c r="D425" s="327"/>
      <c r="E425" s="327"/>
      <c r="F425" s="327"/>
      <c r="G425" s="340">
        <f>G426</f>
        <v>50</v>
      </c>
      <c r="H425" s="340">
        <f t="shared" ref="H425:H429" si="245">H426</f>
        <v>0</v>
      </c>
      <c r="I425" s="4">
        <f t="shared" si="232"/>
        <v>0</v>
      </c>
    </row>
    <row r="426" spans="1:9" s="324" customFormat="1" ht="15.75" x14ac:dyDescent="0.25">
      <c r="A426" s="338" t="s">
        <v>279</v>
      </c>
      <c r="B426" s="331" t="s">
        <v>1233</v>
      </c>
      <c r="C426" s="339" t="s">
        <v>280</v>
      </c>
      <c r="D426" s="339"/>
      <c r="E426" s="339"/>
      <c r="F426" s="339"/>
      <c r="G426" s="328">
        <f>G427</f>
        <v>50</v>
      </c>
      <c r="H426" s="328">
        <f t="shared" si="245"/>
        <v>0</v>
      </c>
      <c r="I426" s="358">
        <f t="shared" si="232"/>
        <v>0</v>
      </c>
    </row>
    <row r="427" spans="1:9" s="324" customFormat="1" ht="15.75" x14ac:dyDescent="0.25">
      <c r="A427" s="338" t="s">
        <v>281</v>
      </c>
      <c r="B427" s="331" t="s">
        <v>1233</v>
      </c>
      <c r="C427" s="339" t="s">
        <v>280</v>
      </c>
      <c r="D427" s="339" t="s">
        <v>231</v>
      </c>
      <c r="E427" s="339"/>
      <c r="F427" s="339"/>
      <c r="G427" s="328">
        <f>G428</f>
        <v>50</v>
      </c>
      <c r="H427" s="328">
        <f t="shared" si="245"/>
        <v>0</v>
      </c>
      <c r="I427" s="358">
        <f t="shared" si="232"/>
        <v>0</v>
      </c>
    </row>
    <row r="428" spans="1:9" s="324" customFormat="1" ht="36" customHeight="1" x14ac:dyDescent="0.25">
      <c r="A428" s="335" t="s">
        <v>294</v>
      </c>
      <c r="B428" s="331" t="s">
        <v>1552</v>
      </c>
      <c r="C428" s="339" t="s">
        <v>280</v>
      </c>
      <c r="D428" s="339" t="s">
        <v>231</v>
      </c>
      <c r="E428" s="327"/>
      <c r="F428" s="327"/>
      <c r="G428" s="328">
        <f>G429</f>
        <v>50</v>
      </c>
      <c r="H428" s="328">
        <f t="shared" si="245"/>
        <v>0</v>
      </c>
      <c r="I428" s="358">
        <f t="shared" si="232"/>
        <v>0</v>
      </c>
    </row>
    <row r="429" spans="1:9" s="324" customFormat="1" ht="36" customHeight="1" x14ac:dyDescent="0.25">
      <c r="A429" s="31" t="s">
        <v>288</v>
      </c>
      <c r="B429" s="331" t="s">
        <v>1552</v>
      </c>
      <c r="C429" s="339" t="s">
        <v>280</v>
      </c>
      <c r="D429" s="339" t="s">
        <v>231</v>
      </c>
      <c r="E429" s="339" t="s">
        <v>289</v>
      </c>
      <c r="F429" s="327"/>
      <c r="G429" s="328">
        <f>G430</f>
        <v>50</v>
      </c>
      <c r="H429" s="328">
        <f t="shared" si="245"/>
        <v>0</v>
      </c>
      <c r="I429" s="358">
        <f t="shared" si="232"/>
        <v>0</v>
      </c>
    </row>
    <row r="430" spans="1:9" s="324" customFormat="1" ht="15.75" x14ac:dyDescent="0.25">
      <c r="A430" s="31" t="s">
        <v>290</v>
      </c>
      <c r="B430" s="331" t="s">
        <v>1552</v>
      </c>
      <c r="C430" s="339" t="s">
        <v>280</v>
      </c>
      <c r="D430" s="339" t="s">
        <v>231</v>
      </c>
      <c r="E430" s="339" t="s">
        <v>291</v>
      </c>
      <c r="F430" s="327"/>
      <c r="G430" s="328">
        <f>'Пр.4 ведом.20'!G768</f>
        <v>50</v>
      </c>
      <c r="H430" s="328">
        <f>'Пр.4 ведом.20'!H768</f>
        <v>0</v>
      </c>
      <c r="I430" s="358">
        <f t="shared" si="232"/>
        <v>0</v>
      </c>
    </row>
    <row r="431" spans="1:9" s="324" customFormat="1" ht="31.5" x14ac:dyDescent="0.25">
      <c r="A431" s="338" t="s">
        <v>419</v>
      </c>
      <c r="B431" s="331" t="s">
        <v>1552</v>
      </c>
      <c r="C431" s="339" t="s">
        <v>280</v>
      </c>
      <c r="D431" s="339" t="s">
        <v>231</v>
      </c>
      <c r="E431" s="339" t="s">
        <v>291</v>
      </c>
      <c r="F431" s="339" t="s">
        <v>653</v>
      </c>
      <c r="G431" s="328">
        <f>G425</f>
        <v>50</v>
      </c>
      <c r="H431" s="328">
        <f t="shared" ref="H431" si="246">H425</f>
        <v>0</v>
      </c>
      <c r="I431" s="358">
        <f t="shared" si="232"/>
        <v>0</v>
      </c>
    </row>
    <row r="432" spans="1:9" s="213" customFormat="1" ht="36" customHeight="1" x14ac:dyDescent="0.25">
      <c r="A432" s="227" t="s">
        <v>1077</v>
      </c>
      <c r="B432" s="24" t="s">
        <v>1053</v>
      </c>
      <c r="C432" s="7"/>
      <c r="D432" s="7"/>
      <c r="E432" s="7"/>
      <c r="F432" s="7"/>
      <c r="G432" s="59">
        <f>G433</f>
        <v>714.2</v>
      </c>
      <c r="H432" s="340">
        <f t="shared" ref="H432" si="247">H433</f>
        <v>600</v>
      </c>
      <c r="I432" s="4">
        <f t="shared" si="232"/>
        <v>84.010081209745167</v>
      </c>
    </row>
    <row r="433" spans="1:9" ht="16.5" customHeight="1" x14ac:dyDescent="0.25">
      <c r="A433" s="29" t="s">
        <v>279</v>
      </c>
      <c r="B433" s="40" t="s">
        <v>1053</v>
      </c>
      <c r="C433" s="40" t="s">
        <v>280</v>
      </c>
      <c r="D433" s="40"/>
      <c r="E433" s="40"/>
      <c r="F433" s="40"/>
      <c r="G433" s="10">
        <f t="shared" ref="G433:H433" si="248">G434</f>
        <v>714.2</v>
      </c>
      <c r="H433" s="328">
        <f t="shared" si="248"/>
        <v>600</v>
      </c>
      <c r="I433" s="358">
        <f t="shared" si="232"/>
        <v>84.010081209745167</v>
      </c>
    </row>
    <row r="434" spans="1:9" ht="17.45" customHeight="1" x14ac:dyDescent="0.25">
      <c r="A434" s="29" t="s">
        <v>281</v>
      </c>
      <c r="B434" s="40" t="s">
        <v>1053</v>
      </c>
      <c r="C434" s="40" t="s">
        <v>280</v>
      </c>
      <c r="D434" s="40" t="s">
        <v>231</v>
      </c>
      <c r="E434" s="40"/>
      <c r="F434" s="40"/>
      <c r="G434" s="10">
        <f>G439+G435</f>
        <v>714.2</v>
      </c>
      <c r="H434" s="328">
        <f t="shared" ref="H434" si="249">H439+H435</f>
        <v>600</v>
      </c>
      <c r="I434" s="358">
        <f t="shared" si="232"/>
        <v>84.010081209745167</v>
      </c>
    </row>
    <row r="435" spans="1:9" s="324" customFormat="1" ht="17.45" customHeight="1" x14ac:dyDescent="0.25">
      <c r="A435" s="355" t="s">
        <v>1553</v>
      </c>
      <c r="B435" s="331" t="s">
        <v>1554</v>
      </c>
      <c r="C435" s="339" t="s">
        <v>280</v>
      </c>
      <c r="D435" s="339" t="s">
        <v>231</v>
      </c>
      <c r="E435" s="327"/>
      <c r="F435" s="327"/>
      <c r="G435" s="328">
        <f>G436</f>
        <v>25.2</v>
      </c>
      <c r="H435" s="328">
        <f t="shared" ref="H435:H436" si="250">H436</f>
        <v>0</v>
      </c>
      <c r="I435" s="358">
        <f t="shared" si="232"/>
        <v>0</v>
      </c>
    </row>
    <row r="436" spans="1:9" s="324" customFormat="1" ht="31.5" x14ac:dyDescent="0.25">
      <c r="A436" s="31" t="s">
        <v>288</v>
      </c>
      <c r="B436" s="331" t="s">
        <v>1554</v>
      </c>
      <c r="C436" s="339" t="s">
        <v>280</v>
      </c>
      <c r="D436" s="339" t="s">
        <v>231</v>
      </c>
      <c r="E436" s="339" t="s">
        <v>289</v>
      </c>
      <c r="F436" s="327"/>
      <c r="G436" s="328">
        <f>G437</f>
        <v>25.2</v>
      </c>
      <c r="H436" s="328">
        <f t="shared" si="250"/>
        <v>0</v>
      </c>
      <c r="I436" s="358">
        <f t="shared" si="232"/>
        <v>0</v>
      </c>
    </row>
    <row r="437" spans="1:9" s="324" customFormat="1" ht="17.45" customHeight="1" x14ac:dyDescent="0.25">
      <c r="A437" s="31" t="s">
        <v>290</v>
      </c>
      <c r="B437" s="331" t="s">
        <v>1554</v>
      </c>
      <c r="C437" s="339" t="s">
        <v>280</v>
      </c>
      <c r="D437" s="339" t="s">
        <v>231</v>
      </c>
      <c r="E437" s="339" t="s">
        <v>291</v>
      </c>
      <c r="F437" s="327"/>
      <c r="G437" s="328">
        <f>'Пр.4 ведом.20'!G772</f>
        <v>25.2</v>
      </c>
      <c r="H437" s="328">
        <f>'Пр.4 ведом.20'!H772</f>
        <v>0</v>
      </c>
      <c r="I437" s="358">
        <f t="shared" si="232"/>
        <v>0</v>
      </c>
    </row>
    <row r="438" spans="1:9" s="324" customFormat="1" ht="31.5" x14ac:dyDescent="0.25">
      <c r="A438" s="338" t="s">
        <v>419</v>
      </c>
      <c r="B438" s="331" t="s">
        <v>1554</v>
      </c>
      <c r="C438" s="339" t="s">
        <v>280</v>
      </c>
      <c r="D438" s="339" t="s">
        <v>231</v>
      </c>
      <c r="E438" s="339" t="s">
        <v>291</v>
      </c>
      <c r="F438" s="339" t="s">
        <v>653</v>
      </c>
      <c r="G438" s="328">
        <f>G435</f>
        <v>25.2</v>
      </c>
      <c r="H438" s="328">
        <f t="shared" ref="H438" si="251">H435</f>
        <v>0</v>
      </c>
      <c r="I438" s="358">
        <f t="shared" si="232"/>
        <v>0</v>
      </c>
    </row>
    <row r="439" spans="1:9" ht="31.5" x14ac:dyDescent="0.25">
      <c r="A439" s="45" t="s">
        <v>787</v>
      </c>
      <c r="B439" s="20" t="s">
        <v>1054</v>
      </c>
      <c r="C439" s="20" t="s">
        <v>280</v>
      </c>
      <c r="D439" s="20" t="s">
        <v>231</v>
      </c>
      <c r="E439" s="20"/>
      <c r="F439" s="20"/>
      <c r="G439" s="10">
        <f t="shared" ref="G439:H440" si="252">G440</f>
        <v>689</v>
      </c>
      <c r="H439" s="328">
        <f t="shared" si="252"/>
        <v>600</v>
      </c>
      <c r="I439" s="358">
        <f t="shared" si="232"/>
        <v>87.082728592162553</v>
      </c>
    </row>
    <row r="440" spans="1:9" ht="31.5" x14ac:dyDescent="0.25">
      <c r="A440" s="29" t="s">
        <v>288</v>
      </c>
      <c r="B440" s="20" t="s">
        <v>1054</v>
      </c>
      <c r="C440" s="20" t="s">
        <v>280</v>
      </c>
      <c r="D440" s="20" t="s">
        <v>231</v>
      </c>
      <c r="E440" s="20" t="s">
        <v>289</v>
      </c>
      <c r="F440" s="20"/>
      <c r="G440" s="10">
        <f t="shared" si="252"/>
        <v>689</v>
      </c>
      <c r="H440" s="328">
        <f t="shared" si="252"/>
        <v>600</v>
      </c>
      <c r="I440" s="358">
        <f t="shared" si="232"/>
        <v>87.082728592162553</v>
      </c>
    </row>
    <row r="441" spans="1:9" ht="15.75" x14ac:dyDescent="0.25">
      <c r="A441" s="31" t="s">
        <v>290</v>
      </c>
      <c r="B441" s="20" t="s">
        <v>1054</v>
      </c>
      <c r="C441" s="20" t="s">
        <v>280</v>
      </c>
      <c r="D441" s="20" t="s">
        <v>231</v>
      </c>
      <c r="E441" s="20" t="s">
        <v>291</v>
      </c>
      <c r="F441" s="20"/>
      <c r="G441" s="10">
        <f>'Пр.4 ведом.20'!G775</f>
        <v>689</v>
      </c>
      <c r="H441" s="328">
        <f>'Пр.4 ведом.20'!H775</f>
        <v>600</v>
      </c>
      <c r="I441" s="358">
        <f t="shared" si="232"/>
        <v>87.082728592162553</v>
      </c>
    </row>
    <row r="442" spans="1:9" s="213" customFormat="1" ht="34.5" customHeight="1" x14ac:dyDescent="0.25">
      <c r="A442" s="29" t="s">
        <v>419</v>
      </c>
      <c r="B442" s="20" t="s">
        <v>1054</v>
      </c>
      <c r="C442" s="40" t="s">
        <v>280</v>
      </c>
      <c r="D442" s="40" t="s">
        <v>231</v>
      </c>
      <c r="E442" s="40" t="s">
        <v>291</v>
      </c>
      <c r="F442" s="40" t="s">
        <v>653</v>
      </c>
      <c r="G442" s="10">
        <f>G441</f>
        <v>689</v>
      </c>
      <c r="H442" s="328">
        <f t="shared" ref="H442" si="253">H441</f>
        <v>600</v>
      </c>
      <c r="I442" s="358">
        <f t="shared" si="232"/>
        <v>87.082728592162553</v>
      </c>
    </row>
    <row r="443" spans="1:9" ht="31.5" x14ac:dyDescent="0.25">
      <c r="A443" s="41" t="s">
        <v>483</v>
      </c>
      <c r="B443" s="7" t="s">
        <v>485</v>
      </c>
      <c r="C443" s="7"/>
      <c r="D443" s="7"/>
      <c r="E443" s="7"/>
      <c r="F443" s="7"/>
      <c r="G443" s="59">
        <f>G444</f>
        <v>6662.8</v>
      </c>
      <c r="H443" s="340">
        <f t="shared" ref="H443:H444" si="254">H444</f>
        <v>3598.2570000000001</v>
      </c>
      <c r="I443" s="4">
        <f t="shared" si="232"/>
        <v>54.00517800324188</v>
      </c>
    </row>
    <row r="444" spans="1:9" s="213" customFormat="1" ht="31.5" x14ac:dyDescent="0.25">
      <c r="A444" s="23" t="s">
        <v>1056</v>
      </c>
      <c r="B444" s="24" t="s">
        <v>1057</v>
      </c>
      <c r="C444" s="7"/>
      <c r="D444" s="7"/>
      <c r="E444" s="7"/>
      <c r="F444" s="7"/>
      <c r="G444" s="59">
        <f>G445</f>
        <v>6662.8</v>
      </c>
      <c r="H444" s="340">
        <f t="shared" si="254"/>
        <v>3598.2570000000001</v>
      </c>
      <c r="I444" s="4">
        <f t="shared" si="232"/>
        <v>54.00517800324188</v>
      </c>
    </row>
    <row r="445" spans="1:9" ht="15.75" x14ac:dyDescent="0.25">
      <c r="A445" s="29" t="s">
        <v>279</v>
      </c>
      <c r="B445" s="40" t="s">
        <v>1057</v>
      </c>
      <c r="C445" s="40" t="s">
        <v>280</v>
      </c>
      <c r="D445" s="40"/>
      <c r="E445" s="40"/>
      <c r="F445" s="40"/>
      <c r="G445" s="10">
        <f t="shared" ref="G445:H448" si="255">G446</f>
        <v>6662.8</v>
      </c>
      <c r="H445" s="328">
        <f t="shared" si="255"/>
        <v>3598.2570000000001</v>
      </c>
      <c r="I445" s="358">
        <f t="shared" si="232"/>
        <v>54.00517800324188</v>
      </c>
    </row>
    <row r="446" spans="1:9" ht="15.75" x14ac:dyDescent="0.25">
      <c r="A446" s="29" t="s">
        <v>482</v>
      </c>
      <c r="B446" s="40" t="s">
        <v>1057</v>
      </c>
      <c r="C446" s="40" t="s">
        <v>280</v>
      </c>
      <c r="D446" s="40" t="s">
        <v>280</v>
      </c>
      <c r="E446" s="40"/>
      <c r="F446" s="40"/>
      <c r="G446" s="10">
        <f>G447+G451</f>
        <v>6662.8</v>
      </c>
      <c r="H446" s="328">
        <f t="shared" ref="H446" si="256">H447+H451</f>
        <v>3598.2570000000001</v>
      </c>
      <c r="I446" s="358">
        <f t="shared" si="232"/>
        <v>54.00517800324188</v>
      </c>
    </row>
    <row r="447" spans="1:9" ht="31.5" x14ac:dyDescent="0.25">
      <c r="A447" s="31" t="s">
        <v>1235</v>
      </c>
      <c r="B447" s="20" t="s">
        <v>1058</v>
      </c>
      <c r="C447" s="40" t="s">
        <v>280</v>
      </c>
      <c r="D447" s="40" t="s">
        <v>280</v>
      </c>
      <c r="E447" s="40"/>
      <c r="F447" s="40"/>
      <c r="G447" s="10">
        <f t="shared" si="255"/>
        <v>3584</v>
      </c>
      <c r="H447" s="328">
        <f t="shared" si="255"/>
        <v>1693</v>
      </c>
      <c r="I447" s="358">
        <f t="shared" si="232"/>
        <v>47.237723214285715</v>
      </c>
    </row>
    <row r="448" spans="1:9" ht="31.5" x14ac:dyDescent="0.25">
      <c r="A448" s="25" t="s">
        <v>288</v>
      </c>
      <c r="B448" s="20" t="s">
        <v>1058</v>
      </c>
      <c r="C448" s="40" t="s">
        <v>280</v>
      </c>
      <c r="D448" s="40" t="s">
        <v>280</v>
      </c>
      <c r="E448" s="40" t="s">
        <v>289</v>
      </c>
      <c r="F448" s="40"/>
      <c r="G448" s="10">
        <f t="shared" si="255"/>
        <v>3584</v>
      </c>
      <c r="H448" s="328">
        <f t="shared" si="255"/>
        <v>1693</v>
      </c>
      <c r="I448" s="358">
        <f t="shared" si="232"/>
        <v>47.237723214285715</v>
      </c>
    </row>
    <row r="449" spans="1:9" ht="15.75" x14ac:dyDescent="0.25">
      <c r="A449" s="25" t="s">
        <v>290</v>
      </c>
      <c r="B449" s="20" t="s">
        <v>1058</v>
      </c>
      <c r="C449" s="40" t="s">
        <v>280</v>
      </c>
      <c r="D449" s="40" t="s">
        <v>280</v>
      </c>
      <c r="E449" s="40" t="s">
        <v>291</v>
      </c>
      <c r="F449" s="40"/>
      <c r="G449" s="10">
        <f>'Пр.4 ведом.20'!G787</f>
        <v>3584</v>
      </c>
      <c r="H449" s="328">
        <f>'Пр.4 ведом.20'!H787</f>
        <v>1693</v>
      </c>
      <c r="I449" s="358">
        <f t="shared" si="232"/>
        <v>47.237723214285715</v>
      </c>
    </row>
    <row r="450" spans="1:9" s="213" customFormat="1" ht="31.5" x14ac:dyDescent="0.25">
      <c r="A450" s="29" t="s">
        <v>419</v>
      </c>
      <c r="B450" s="20" t="s">
        <v>1058</v>
      </c>
      <c r="C450" s="40" t="s">
        <v>280</v>
      </c>
      <c r="D450" s="40" t="s">
        <v>280</v>
      </c>
      <c r="E450" s="40" t="s">
        <v>291</v>
      </c>
      <c r="F450" s="40" t="s">
        <v>653</v>
      </c>
      <c r="G450" s="10">
        <f>G449</f>
        <v>3584</v>
      </c>
      <c r="H450" s="328">
        <f t="shared" ref="H450" si="257">H449</f>
        <v>1693</v>
      </c>
      <c r="I450" s="358">
        <f t="shared" si="232"/>
        <v>47.237723214285715</v>
      </c>
    </row>
    <row r="451" spans="1:9" s="213" customFormat="1" ht="31.5" x14ac:dyDescent="0.25">
      <c r="A451" s="31" t="s">
        <v>490</v>
      </c>
      <c r="B451" s="20" t="s">
        <v>1059</v>
      </c>
      <c r="C451" s="40" t="s">
        <v>280</v>
      </c>
      <c r="D451" s="40" t="s">
        <v>280</v>
      </c>
      <c r="E451" s="40"/>
      <c r="F451" s="40"/>
      <c r="G451" s="10">
        <f>G452</f>
        <v>3078.8</v>
      </c>
      <c r="H451" s="328">
        <f t="shared" ref="H451:H452" si="258">H452</f>
        <v>1905.2570000000001</v>
      </c>
      <c r="I451" s="358">
        <f t="shared" si="232"/>
        <v>61.883103806677923</v>
      </c>
    </row>
    <row r="452" spans="1:9" s="213" customFormat="1" ht="31.5" x14ac:dyDescent="0.25">
      <c r="A452" s="25" t="s">
        <v>288</v>
      </c>
      <c r="B452" s="20" t="s">
        <v>1059</v>
      </c>
      <c r="C452" s="40" t="s">
        <v>280</v>
      </c>
      <c r="D452" s="40" t="s">
        <v>280</v>
      </c>
      <c r="E452" s="40" t="s">
        <v>289</v>
      </c>
      <c r="F452" s="40"/>
      <c r="G452" s="10">
        <f>G453</f>
        <v>3078.8</v>
      </c>
      <c r="H452" s="328">
        <f t="shared" si="258"/>
        <v>1905.2570000000001</v>
      </c>
      <c r="I452" s="358">
        <f t="shared" si="232"/>
        <v>61.883103806677923</v>
      </c>
    </row>
    <row r="453" spans="1:9" s="213" customFormat="1" ht="15.75" x14ac:dyDescent="0.25">
      <c r="A453" s="25" t="s">
        <v>290</v>
      </c>
      <c r="B453" s="20" t="s">
        <v>1059</v>
      </c>
      <c r="C453" s="40" t="s">
        <v>280</v>
      </c>
      <c r="D453" s="40" t="s">
        <v>280</v>
      </c>
      <c r="E453" s="40" t="s">
        <v>291</v>
      </c>
      <c r="F453" s="40"/>
      <c r="G453" s="10">
        <f>'Пр.3 Рд,пр, ЦС,ВР 20'!F798</f>
        <v>3078.8</v>
      </c>
      <c r="H453" s="328">
        <f>'Пр.3 Рд,пр, ЦС,ВР 20'!G798</f>
        <v>1905.2570000000001</v>
      </c>
      <c r="I453" s="358">
        <f t="shared" si="232"/>
        <v>61.883103806677923</v>
      </c>
    </row>
    <row r="454" spans="1:9" ht="31.5" x14ac:dyDescent="0.25">
      <c r="A454" s="29" t="s">
        <v>419</v>
      </c>
      <c r="B454" s="20" t="s">
        <v>1059</v>
      </c>
      <c r="C454" s="40" t="s">
        <v>280</v>
      </c>
      <c r="D454" s="40" t="s">
        <v>280</v>
      </c>
      <c r="E454" s="40" t="s">
        <v>291</v>
      </c>
      <c r="F454" s="40" t="s">
        <v>653</v>
      </c>
      <c r="G454" s="10">
        <f>G453</f>
        <v>3078.8</v>
      </c>
      <c r="H454" s="328">
        <f t="shared" ref="H454" si="259">H453</f>
        <v>1905.2570000000001</v>
      </c>
      <c r="I454" s="358">
        <f t="shared" si="232"/>
        <v>61.883103806677923</v>
      </c>
    </row>
    <row r="455" spans="1:9" ht="47.25" x14ac:dyDescent="0.25">
      <c r="A455" s="58" t="s">
        <v>815</v>
      </c>
      <c r="B455" s="206" t="s">
        <v>172</v>
      </c>
      <c r="C455" s="7"/>
      <c r="D455" s="206"/>
      <c r="E455" s="206"/>
      <c r="F455" s="206"/>
      <c r="G455" s="59">
        <f>G457</f>
        <v>250</v>
      </c>
      <c r="H455" s="340">
        <f t="shared" ref="H455" si="260">H457</f>
        <v>0</v>
      </c>
      <c r="I455" s="4">
        <f t="shared" si="232"/>
        <v>0</v>
      </c>
    </row>
    <row r="456" spans="1:9" s="213" customFormat="1" ht="50.25" customHeight="1" x14ac:dyDescent="0.25">
      <c r="A456" s="23" t="s">
        <v>1243</v>
      </c>
      <c r="B456" s="24" t="s">
        <v>1240</v>
      </c>
      <c r="C456" s="7"/>
      <c r="D456" s="7"/>
      <c r="E456" s="7"/>
      <c r="F456" s="7"/>
      <c r="G456" s="59">
        <f>G457</f>
        <v>250</v>
      </c>
      <c r="H456" s="340">
        <f t="shared" ref="H456:H457" si="261">H457</f>
        <v>0</v>
      </c>
      <c r="I456" s="4">
        <f t="shared" si="232"/>
        <v>0</v>
      </c>
    </row>
    <row r="457" spans="1:9" ht="15.75" x14ac:dyDescent="0.25">
      <c r="A457" s="45" t="s">
        <v>248</v>
      </c>
      <c r="B457" s="5" t="s">
        <v>1240</v>
      </c>
      <c r="C457" s="40" t="s">
        <v>166</v>
      </c>
      <c r="D457" s="40"/>
      <c r="E457" s="40"/>
      <c r="F457" s="40"/>
      <c r="G457" s="10">
        <f>G458</f>
        <v>250</v>
      </c>
      <c r="H457" s="328">
        <f t="shared" si="261"/>
        <v>0</v>
      </c>
      <c r="I457" s="358">
        <f t="shared" si="232"/>
        <v>0</v>
      </c>
    </row>
    <row r="458" spans="1:9" ht="15.75" x14ac:dyDescent="0.25">
      <c r="A458" s="45" t="s">
        <v>798</v>
      </c>
      <c r="B458" s="5" t="s">
        <v>1240</v>
      </c>
      <c r="C458" s="40" t="s">
        <v>166</v>
      </c>
      <c r="D458" s="40" t="s">
        <v>254</v>
      </c>
      <c r="E458" s="40"/>
      <c r="F458" s="40"/>
      <c r="G458" s="10">
        <f>G459+G463</f>
        <v>250</v>
      </c>
      <c r="H458" s="328">
        <f t="shared" ref="H458" si="262">H459+H463</f>
        <v>0</v>
      </c>
      <c r="I458" s="358">
        <f t="shared" si="232"/>
        <v>0</v>
      </c>
    </row>
    <row r="459" spans="1:9" ht="31.5" x14ac:dyDescent="0.25">
      <c r="A459" s="25" t="s">
        <v>1244</v>
      </c>
      <c r="B459" s="20" t="s">
        <v>1241</v>
      </c>
      <c r="C459" s="40" t="s">
        <v>166</v>
      </c>
      <c r="D459" s="40" t="s">
        <v>254</v>
      </c>
      <c r="E459" s="40"/>
      <c r="F459" s="40"/>
      <c r="G459" s="10">
        <f>G460</f>
        <v>250</v>
      </c>
      <c r="H459" s="328">
        <f t="shared" ref="H459:H460" si="263">H460</f>
        <v>0</v>
      </c>
      <c r="I459" s="358">
        <f t="shared" si="232"/>
        <v>0</v>
      </c>
    </row>
    <row r="460" spans="1:9" ht="15.75" x14ac:dyDescent="0.25">
      <c r="A460" s="25" t="s">
        <v>151</v>
      </c>
      <c r="B460" s="20" t="s">
        <v>1241</v>
      </c>
      <c r="C460" s="40" t="s">
        <v>166</v>
      </c>
      <c r="D460" s="40" t="s">
        <v>254</v>
      </c>
      <c r="E460" s="40" t="s">
        <v>161</v>
      </c>
      <c r="F460" s="40"/>
      <c r="G460" s="10">
        <f>G461</f>
        <v>250</v>
      </c>
      <c r="H460" s="328">
        <f t="shared" si="263"/>
        <v>0</v>
      </c>
      <c r="I460" s="358">
        <f t="shared" si="232"/>
        <v>0</v>
      </c>
    </row>
    <row r="461" spans="1:9" ht="47.25" x14ac:dyDescent="0.25">
      <c r="A461" s="25" t="s">
        <v>200</v>
      </c>
      <c r="B461" s="20" t="s">
        <v>1241</v>
      </c>
      <c r="C461" s="40" t="s">
        <v>166</v>
      </c>
      <c r="D461" s="40" t="s">
        <v>254</v>
      </c>
      <c r="E461" s="40" t="s">
        <v>176</v>
      </c>
      <c r="F461" s="40"/>
      <c r="G461" s="10">
        <f>'Пр.3 Рд,пр, ЦС,ВР 20'!F329</f>
        <v>250</v>
      </c>
      <c r="H461" s="328">
        <f>'Пр.3 Рд,пр, ЦС,ВР 20'!G329</f>
        <v>0</v>
      </c>
      <c r="I461" s="358">
        <f t="shared" si="232"/>
        <v>0</v>
      </c>
    </row>
    <row r="462" spans="1:9" s="213" customFormat="1" ht="15.75" x14ac:dyDescent="0.25">
      <c r="A462" s="29" t="s">
        <v>164</v>
      </c>
      <c r="B462" s="20" t="s">
        <v>1241</v>
      </c>
      <c r="C462" s="40" t="s">
        <v>166</v>
      </c>
      <c r="D462" s="40" t="s">
        <v>254</v>
      </c>
      <c r="E462" s="40" t="s">
        <v>176</v>
      </c>
      <c r="F462" s="40" t="s">
        <v>658</v>
      </c>
      <c r="G462" s="10">
        <f>G461</f>
        <v>250</v>
      </c>
      <c r="H462" s="328">
        <f t="shared" ref="H462" si="264">H461</f>
        <v>0</v>
      </c>
      <c r="I462" s="358">
        <f t="shared" si="232"/>
        <v>0</v>
      </c>
    </row>
    <row r="463" spans="1:9" s="213" customFormat="1" ht="31.5" hidden="1" x14ac:dyDescent="0.25">
      <c r="A463" s="25" t="s">
        <v>255</v>
      </c>
      <c r="B463" s="20" t="s">
        <v>1242</v>
      </c>
      <c r="C463" s="40" t="s">
        <v>166</v>
      </c>
      <c r="D463" s="40" t="s">
        <v>254</v>
      </c>
      <c r="E463" s="40"/>
      <c r="F463" s="40"/>
      <c r="G463" s="10">
        <f>G464</f>
        <v>0</v>
      </c>
      <c r="H463" s="328">
        <f t="shared" ref="H463:H464" si="265">H464</f>
        <v>0</v>
      </c>
      <c r="I463" s="358" t="e">
        <f t="shared" si="232"/>
        <v>#DIV/0!</v>
      </c>
    </row>
    <row r="464" spans="1:9" s="213" customFormat="1" ht="15.75" hidden="1" x14ac:dyDescent="0.25">
      <c r="A464" s="25" t="s">
        <v>151</v>
      </c>
      <c r="B464" s="20" t="s">
        <v>1242</v>
      </c>
      <c r="C464" s="40" t="s">
        <v>166</v>
      </c>
      <c r="D464" s="40" t="s">
        <v>254</v>
      </c>
      <c r="E464" s="40" t="s">
        <v>161</v>
      </c>
      <c r="F464" s="40"/>
      <c r="G464" s="10">
        <f>G465</f>
        <v>0</v>
      </c>
      <c r="H464" s="328">
        <f t="shared" si="265"/>
        <v>0</v>
      </c>
      <c r="I464" s="358" t="e">
        <f t="shared" si="232"/>
        <v>#DIV/0!</v>
      </c>
    </row>
    <row r="465" spans="1:9" s="213" customFormat="1" ht="47.25" hidden="1" x14ac:dyDescent="0.25">
      <c r="A465" s="25" t="s">
        <v>200</v>
      </c>
      <c r="B465" s="20" t="s">
        <v>1242</v>
      </c>
      <c r="C465" s="40" t="s">
        <v>166</v>
      </c>
      <c r="D465" s="40" t="s">
        <v>254</v>
      </c>
      <c r="E465" s="40" t="s">
        <v>176</v>
      </c>
      <c r="F465" s="40"/>
      <c r="G465" s="10">
        <f>'Пр.3 Рд,пр, ЦС,ВР 20'!F332</f>
        <v>0</v>
      </c>
      <c r="H465" s="328">
        <f>'Пр.3 Рд,пр, ЦС,ВР 20'!G332</f>
        <v>0</v>
      </c>
      <c r="I465" s="358" t="e">
        <f t="shared" si="232"/>
        <v>#DIV/0!</v>
      </c>
    </row>
    <row r="466" spans="1:9" ht="15.75" hidden="1" x14ac:dyDescent="0.25">
      <c r="A466" s="29" t="s">
        <v>164</v>
      </c>
      <c r="B466" s="20" t="s">
        <v>1242</v>
      </c>
      <c r="C466" s="40" t="s">
        <v>166</v>
      </c>
      <c r="D466" s="40" t="s">
        <v>254</v>
      </c>
      <c r="E466" s="40" t="s">
        <v>176</v>
      </c>
      <c r="F466" s="40" t="s">
        <v>658</v>
      </c>
      <c r="G466" s="10">
        <f>G465</f>
        <v>0</v>
      </c>
      <c r="H466" s="328">
        <f t="shared" ref="H466" si="266">H465</f>
        <v>0</v>
      </c>
      <c r="I466" s="358" t="e">
        <f t="shared" ref="I466:I529" si="267">H466/G466*100</f>
        <v>#DIV/0!</v>
      </c>
    </row>
    <row r="467" spans="1:9" ht="45.75" customHeight="1" x14ac:dyDescent="0.25">
      <c r="A467" s="41" t="s">
        <v>819</v>
      </c>
      <c r="B467" s="206" t="s">
        <v>178</v>
      </c>
      <c r="C467" s="7"/>
      <c r="D467" s="7"/>
      <c r="E467" s="7"/>
      <c r="F467" s="7"/>
      <c r="G467" s="59">
        <f>G468+G475+G494</f>
        <v>538</v>
      </c>
      <c r="H467" s="340">
        <f t="shared" ref="H467" si="268">H468+H475+H494</f>
        <v>382.15</v>
      </c>
      <c r="I467" s="4">
        <f t="shared" si="267"/>
        <v>71.031598513011147</v>
      </c>
    </row>
    <row r="468" spans="1:9" s="213" customFormat="1" ht="67.7" customHeight="1" x14ac:dyDescent="0.25">
      <c r="A468" s="229" t="s">
        <v>1155</v>
      </c>
      <c r="B468" s="7" t="s">
        <v>895</v>
      </c>
      <c r="C468" s="7"/>
      <c r="D468" s="8"/>
      <c r="E468" s="206"/>
      <c r="F468" s="7"/>
      <c r="G468" s="59">
        <f>G470</f>
        <v>446</v>
      </c>
      <c r="H468" s="340">
        <f t="shared" ref="H468" si="269">H470</f>
        <v>348.9</v>
      </c>
      <c r="I468" s="4">
        <f t="shared" si="267"/>
        <v>78.228699551569505</v>
      </c>
    </row>
    <row r="469" spans="1:9" s="213" customFormat="1" ht="15.75" customHeight="1" x14ac:dyDescent="0.25">
      <c r="A469" s="45" t="s">
        <v>133</v>
      </c>
      <c r="B469" s="5" t="s">
        <v>895</v>
      </c>
      <c r="C469" s="40" t="s">
        <v>134</v>
      </c>
      <c r="D469" s="5"/>
      <c r="E469" s="5"/>
      <c r="F469" s="40"/>
      <c r="G469" s="10">
        <f t="shared" ref="G469:H470" si="270">G470</f>
        <v>446</v>
      </c>
      <c r="H469" s="328">
        <f t="shared" si="270"/>
        <v>348.9</v>
      </c>
      <c r="I469" s="358">
        <f t="shared" si="267"/>
        <v>78.228699551569505</v>
      </c>
    </row>
    <row r="470" spans="1:9" s="213" customFormat="1" ht="45.75" customHeight="1" x14ac:dyDescent="0.25">
      <c r="A470" s="29" t="s">
        <v>165</v>
      </c>
      <c r="B470" s="5" t="s">
        <v>895</v>
      </c>
      <c r="C470" s="40" t="s">
        <v>134</v>
      </c>
      <c r="D470" s="9" t="s">
        <v>166</v>
      </c>
      <c r="E470" s="5"/>
      <c r="F470" s="40"/>
      <c r="G470" s="10">
        <f>G471</f>
        <v>446</v>
      </c>
      <c r="H470" s="328">
        <f t="shared" si="270"/>
        <v>348.9</v>
      </c>
      <c r="I470" s="358">
        <f t="shared" si="267"/>
        <v>78.228699551569505</v>
      </c>
    </row>
    <row r="471" spans="1:9" s="213" customFormat="1" ht="36" customHeight="1" x14ac:dyDescent="0.25">
      <c r="A471" s="29" t="s">
        <v>179</v>
      </c>
      <c r="B471" s="40" t="s">
        <v>887</v>
      </c>
      <c r="C471" s="40" t="s">
        <v>134</v>
      </c>
      <c r="D471" s="9" t="s">
        <v>166</v>
      </c>
      <c r="E471" s="40"/>
      <c r="F471" s="40"/>
      <c r="G471" s="10">
        <f t="shared" ref="G471:H472" si="271">G472</f>
        <v>446</v>
      </c>
      <c r="H471" s="328">
        <f t="shared" si="271"/>
        <v>348.9</v>
      </c>
      <c r="I471" s="358">
        <f t="shared" si="267"/>
        <v>78.228699551569505</v>
      </c>
    </row>
    <row r="472" spans="1:9" s="213" customFormat="1" ht="34.5" customHeight="1" x14ac:dyDescent="0.25">
      <c r="A472" s="29" t="s">
        <v>147</v>
      </c>
      <c r="B472" s="40" t="s">
        <v>887</v>
      </c>
      <c r="C472" s="40" t="s">
        <v>134</v>
      </c>
      <c r="D472" s="9" t="s">
        <v>166</v>
      </c>
      <c r="E472" s="40" t="s">
        <v>148</v>
      </c>
      <c r="F472" s="40"/>
      <c r="G472" s="10">
        <f t="shared" si="271"/>
        <v>446</v>
      </c>
      <c r="H472" s="328">
        <f t="shared" si="271"/>
        <v>348.9</v>
      </c>
      <c r="I472" s="358">
        <f t="shared" si="267"/>
        <v>78.228699551569505</v>
      </c>
    </row>
    <row r="473" spans="1:9" s="213" customFormat="1" ht="36" customHeight="1" x14ac:dyDescent="0.25">
      <c r="A473" s="29" t="s">
        <v>149</v>
      </c>
      <c r="B473" s="40" t="s">
        <v>887</v>
      </c>
      <c r="C473" s="40" t="s">
        <v>134</v>
      </c>
      <c r="D473" s="9" t="s">
        <v>166</v>
      </c>
      <c r="E473" s="40" t="s">
        <v>150</v>
      </c>
      <c r="F473" s="40"/>
      <c r="G473" s="10">
        <f>'Пр.3 Рд,пр, ЦС,ВР 20'!F90</f>
        <v>446</v>
      </c>
      <c r="H473" s="328">
        <f>'Пр.3 Рд,пр, ЦС,ВР 20'!G90</f>
        <v>348.9</v>
      </c>
      <c r="I473" s="358">
        <f t="shared" si="267"/>
        <v>78.228699551569505</v>
      </c>
    </row>
    <row r="474" spans="1:9" s="213" customFormat="1" ht="20.25" customHeight="1" x14ac:dyDescent="0.25">
      <c r="A474" s="29" t="s">
        <v>164</v>
      </c>
      <c r="B474" s="40" t="s">
        <v>887</v>
      </c>
      <c r="C474" s="40" t="s">
        <v>134</v>
      </c>
      <c r="D474" s="9" t="s">
        <v>166</v>
      </c>
      <c r="E474" s="40" t="s">
        <v>150</v>
      </c>
      <c r="F474" s="40" t="s">
        <v>658</v>
      </c>
      <c r="G474" s="10">
        <f>G473</f>
        <v>446</v>
      </c>
      <c r="H474" s="328">
        <f t="shared" ref="H474" si="272">H473</f>
        <v>348.9</v>
      </c>
      <c r="I474" s="358">
        <f t="shared" si="267"/>
        <v>78.228699551569505</v>
      </c>
    </row>
    <row r="475" spans="1:9" s="213" customFormat="1" ht="63" customHeight="1" x14ac:dyDescent="0.25">
      <c r="A475" s="228" t="s">
        <v>889</v>
      </c>
      <c r="B475" s="7" t="s">
        <v>896</v>
      </c>
      <c r="C475" s="7"/>
      <c r="D475" s="8"/>
      <c r="E475" s="206"/>
      <c r="F475" s="7"/>
      <c r="G475" s="59">
        <f>G476</f>
        <v>91.5</v>
      </c>
      <c r="H475" s="340">
        <f t="shared" ref="H475" si="273">H476</f>
        <v>33.25</v>
      </c>
      <c r="I475" s="4">
        <f t="shared" si="267"/>
        <v>36.338797814207652</v>
      </c>
    </row>
    <row r="476" spans="1:9" ht="15.75" x14ac:dyDescent="0.25">
      <c r="A476" s="45" t="s">
        <v>133</v>
      </c>
      <c r="B476" s="5" t="s">
        <v>896</v>
      </c>
      <c r="C476" s="40" t="s">
        <v>134</v>
      </c>
      <c r="D476" s="5"/>
      <c r="E476" s="5"/>
      <c r="F476" s="40"/>
      <c r="G476" s="10">
        <f>G477+G486</f>
        <v>91.5</v>
      </c>
      <c r="H476" s="328">
        <f t="shared" ref="H476" si="274">H477+H486</f>
        <v>33.25</v>
      </c>
      <c r="I476" s="358">
        <f t="shared" si="267"/>
        <v>36.338797814207652</v>
      </c>
    </row>
    <row r="477" spans="1:9" ht="47.25" x14ac:dyDescent="0.25">
      <c r="A477" s="29" t="s">
        <v>591</v>
      </c>
      <c r="B477" s="5" t="s">
        <v>896</v>
      </c>
      <c r="C477" s="40" t="s">
        <v>134</v>
      </c>
      <c r="D477" s="9" t="s">
        <v>229</v>
      </c>
      <c r="E477" s="5"/>
      <c r="F477" s="40"/>
      <c r="G477" s="10">
        <f>G478+G482</f>
        <v>15</v>
      </c>
      <c r="H477" s="328">
        <f t="shared" ref="H477" si="275">H478+H482</f>
        <v>15</v>
      </c>
      <c r="I477" s="358">
        <f t="shared" si="267"/>
        <v>100</v>
      </c>
    </row>
    <row r="478" spans="1:9" s="213" customFormat="1" ht="47.25" x14ac:dyDescent="0.25">
      <c r="A478" s="31" t="s">
        <v>712</v>
      </c>
      <c r="B478" s="40" t="s">
        <v>1142</v>
      </c>
      <c r="C478" s="40" t="s">
        <v>134</v>
      </c>
      <c r="D478" s="9" t="s">
        <v>229</v>
      </c>
      <c r="E478" s="5"/>
      <c r="F478" s="40"/>
      <c r="G478" s="10">
        <f>G479</f>
        <v>1</v>
      </c>
      <c r="H478" s="328">
        <f t="shared" ref="H478:H479" si="276">H479</f>
        <v>1</v>
      </c>
      <c r="I478" s="358">
        <f t="shared" si="267"/>
        <v>100</v>
      </c>
    </row>
    <row r="479" spans="1:9" s="213" customFormat="1" ht="31.5" x14ac:dyDescent="0.25">
      <c r="A479" s="25" t="s">
        <v>147</v>
      </c>
      <c r="B479" s="40" t="s">
        <v>1142</v>
      </c>
      <c r="C479" s="40" t="s">
        <v>134</v>
      </c>
      <c r="D479" s="9" t="s">
        <v>229</v>
      </c>
      <c r="E479" s="5">
        <v>200</v>
      </c>
      <c r="F479" s="40"/>
      <c r="G479" s="10">
        <f>G480</f>
        <v>1</v>
      </c>
      <c r="H479" s="328">
        <f t="shared" si="276"/>
        <v>1</v>
      </c>
      <c r="I479" s="358">
        <f t="shared" si="267"/>
        <v>100</v>
      </c>
    </row>
    <row r="480" spans="1:9" s="213" customFormat="1" ht="31.5" x14ac:dyDescent="0.25">
      <c r="A480" s="25" t="s">
        <v>149</v>
      </c>
      <c r="B480" s="40" t="s">
        <v>713</v>
      </c>
      <c r="C480" s="40" t="s">
        <v>134</v>
      </c>
      <c r="D480" s="9" t="s">
        <v>229</v>
      </c>
      <c r="E480" s="5">
        <v>240</v>
      </c>
      <c r="F480" s="40"/>
      <c r="G480" s="10">
        <f>'Пр.3 Рд,пр, ЦС,ВР 20'!F26</f>
        <v>1</v>
      </c>
      <c r="H480" s="328">
        <f>'Пр.3 Рд,пр, ЦС,ВР 20'!G26</f>
        <v>1</v>
      </c>
      <c r="I480" s="358">
        <f t="shared" si="267"/>
        <v>100</v>
      </c>
    </row>
    <row r="481" spans="1:9" s="213" customFormat="1" ht="31.5" x14ac:dyDescent="0.25">
      <c r="A481" s="45" t="s">
        <v>590</v>
      </c>
      <c r="B481" s="40" t="s">
        <v>713</v>
      </c>
      <c r="C481" s="40" t="s">
        <v>134</v>
      </c>
      <c r="D481" s="9" t="s">
        <v>229</v>
      </c>
      <c r="E481" s="5">
        <v>240</v>
      </c>
      <c r="F481" s="40" t="s">
        <v>814</v>
      </c>
      <c r="G481" s="10">
        <f>G480</f>
        <v>1</v>
      </c>
      <c r="H481" s="328">
        <f t="shared" ref="H481" si="277">H480</f>
        <v>1</v>
      </c>
      <c r="I481" s="358">
        <f t="shared" si="267"/>
        <v>100</v>
      </c>
    </row>
    <row r="482" spans="1:9" s="213" customFormat="1" ht="47.25" x14ac:dyDescent="0.25">
      <c r="A482" s="31" t="s">
        <v>712</v>
      </c>
      <c r="B482" s="20" t="s">
        <v>1141</v>
      </c>
      <c r="C482" s="40" t="s">
        <v>134</v>
      </c>
      <c r="D482" s="9" t="s">
        <v>229</v>
      </c>
      <c r="E482" s="5"/>
      <c r="F482" s="40"/>
      <c r="G482" s="10">
        <f>G483</f>
        <v>14</v>
      </c>
      <c r="H482" s="328">
        <f t="shared" ref="H482:H483" si="278">H483</f>
        <v>14</v>
      </c>
      <c r="I482" s="358">
        <f t="shared" si="267"/>
        <v>100</v>
      </c>
    </row>
    <row r="483" spans="1:9" s="213" customFormat="1" ht="31.5" x14ac:dyDescent="0.25">
      <c r="A483" s="25" t="s">
        <v>147</v>
      </c>
      <c r="B483" s="20" t="s">
        <v>1141</v>
      </c>
      <c r="C483" s="40" t="s">
        <v>134</v>
      </c>
      <c r="D483" s="9" t="s">
        <v>229</v>
      </c>
      <c r="E483" s="5">
        <v>200</v>
      </c>
      <c r="F483" s="40"/>
      <c r="G483" s="10">
        <f>G484</f>
        <v>14</v>
      </c>
      <c r="H483" s="328">
        <f t="shared" si="278"/>
        <v>14</v>
      </c>
      <c r="I483" s="358">
        <f t="shared" si="267"/>
        <v>100</v>
      </c>
    </row>
    <row r="484" spans="1:9" s="213" customFormat="1" ht="31.5" x14ac:dyDescent="0.25">
      <c r="A484" s="25" t="s">
        <v>149</v>
      </c>
      <c r="B484" s="20" t="s">
        <v>1141</v>
      </c>
      <c r="C484" s="40" t="s">
        <v>134</v>
      </c>
      <c r="D484" s="9" t="s">
        <v>229</v>
      </c>
      <c r="E484" s="5">
        <v>240</v>
      </c>
      <c r="F484" s="40"/>
      <c r="G484" s="10">
        <f>'Пр.3 Рд,пр, ЦС,ВР 20'!F29</f>
        <v>14</v>
      </c>
      <c r="H484" s="328">
        <f>'Пр.3 Рд,пр, ЦС,ВР 20'!G29</f>
        <v>14</v>
      </c>
      <c r="I484" s="358">
        <f t="shared" si="267"/>
        <v>100</v>
      </c>
    </row>
    <row r="485" spans="1:9" s="213" customFormat="1" ht="31.5" x14ac:dyDescent="0.25">
      <c r="A485" s="45" t="s">
        <v>590</v>
      </c>
      <c r="B485" s="20" t="s">
        <v>1141</v>
      </c>
      <c r="C485" s="40" t="s">
        <v>134</v>
      </c>
      <c r="D485" s="9" t="s">
        <v>229</v>
      </c>
      <c r="E485" s="5">
        <v>240</v>
      </c>
      <c r="F485" s="40" t="s">
        <v>814</v>
      </c>
      <c r="G485" s="10">
        <f>G484</f>
        <v>14</v>
      </c>
      <c r="H485" s="328">
        <f t="shared" ref="H485" si="279">H484</f>
        <v>14</v>
      </c>
      <c r="I485" s="358">
        <f t="shared" si="267"/>
        <v>100</v>
      </c>
    </row>
    <row r="486" spans="1:9" s="213" customFormat="1" ht="63" x14ac:dyDescent="0.25">
      <c r="A486" s="29" t="s">
        <v>165</v>
      </c>
      <c r="B486" s="5" t="s">
        <v>896</v>
      </c>
      <c r="C486" s="40" t="s">
        <v>134</v>
      </c>
      <c r="D486" s="9" t="s">
        <v>166</v>
      </c>
      <c r="E486" s="5"/>
      <c r="F486" s="40"/>
      <c r="G486" s="10">
        <f>G487</f>
        <v>76.5</v>
      </c>
      <c r="H486" s="328">
        <f t="shared" ref="H486" si="280">H487</f>
        <v>18.25</v>
      </c>
      <c r="I486" s="358">
        <f t="shared" si="267"/>
        <v>23.856209150326798</v>
      </c>
    </row>
    <row r="487" spans="1:9" ht="47.25" x14ac:dyDescent="0.25">
      <c r="A487" s="178" t="s">
        <v>181</v>
      </c>
      <c r="B487" s="40" t="s">
        <v>888</v>
      </c>
      <c r="C487" s="40" t="s">
        <v>134</v>
      </c>
      <c r="D487" s="9" t="s">
        <v>166</v>
      </c>
      <c r="E487" s="40"/>
      <c r="F487" s="40"/>
      <c r="G487" s="10">
        <f>G488+G491</f>
        <v>76.5</v>
      </c>
      <c r="H487" s="328">
        <f t="shared" ref="H487" si="281">H488+H491</f>
        <v>18.25</v>
      </c>
      <c r="I487" s="358">
        <f t="shared" si="267"/>
        <v>23.856209150326798</v>
      </c>
    </row>
    <row r="488" spans="1:9" ht="78.75" x14ac:dyDescent="0.25">
      <c r="A488" s="25" t="s">
        <v>143</v>
      </c>
      <c r="B488" s="40" t="s">
        <v>888</v>
      </c>
      <c r="C488" s="40" t="s">
        <v>134</v>
      </c>
      <c r="D488" s="9" t="s">
        <v>166</v>
      </c>
      <c r="E488" s="40" t="s">
        <v>144</v>
      </c>
      <c r="F488" s="40"/>
      <c r="G488" s="10">
        <f t="shared" ref="G488:H488" si="282">G489</f>
        <v>37</v>
      </c>
      <c r="H488" s="328">
        <f t="shared" si="282"/>
        <v>0</v>
      </c>
      <c r="I488" s="358">
        <f t="shared" si="267"/>
        <v>0</v>
      </c>
    </row>
    <row r="489" spans="1:9" ht="31.5" x14ac:dyDescent="0.25">
      <c r="A489" s="25" t="s">
        <v>145</v>
      </c>
      <c r="B489" s="40" t="s">
        <v>888</v>
      </c>
      <c r="C489" s="40" t="s">
        <v>134</v>
      </c>
      <c r="D489" s="9" t="s">
        <v>166</v>
      </c>
      <c r="E489" s="40" t="s">
        <v>146</v>
      </c>
      <c r="F489" s="40"/>
      <c r="G489" s="10">
        <f>'Пр.3 Рд,пр, ЦС,ВР 20'!F94</f>
        <v>37</v>
      </c>
      <c r="H489" s="328">
        <f>'Пр.3 Рд,пр, ЦС,ВР 20'!G94</f>
        <v>0</v>
      </c>
      <c r="I489" s="358">
        <f t="shared" si="267"/>
        <v>0</v>
      </c>
    </row>
    <row r="490" spans="1:9" s="213" customFormat="1" ht="15.75" x14ac:dyDescent="0.25">
      <c r="A490" s="29" t="s">
        <v>164</v>
      </c>
      <c r="B490" s="40" t="s">
        <v>888</v>
      </c>
      <c r="C490" s="40" t="s">
        <v>134</v>
      </c>
      <c r="D490" s="9" t="s">
        <v>166</v>
      </c>
      <c r="E490" s="40" t="s">
        <v>146</v>
      </c>
      <c r="F490" s="40" t="s">
        <v>658</v>
      </c>
      <c r="G490" s="10">
        <f>G489</f>
        <v>37</v>
      </c>
      <c r="H490" s="328">
        <f t="shared" ref="H490" si="283">H489</f>
        <v>0</v>
      </c>
      <c r="I490" s="358">
        <f t="shared" si="267"/>
        <v>0</v>
      </c>
    </row>
    <row r="491" spans="1:9" ht="31.5" x14ac:dyDescent="0.25">
      <c r="A491" s="25" t="s">
        <v>147</v>
      </c>
      <c r="B491" s="40" t="s">
        <v>888</v>
      </c>
      <c r="C491" s="40" t="s">
        <v>134</v>
      </c>
      <c r="D491" s="9" t="s">
        <v>166</v>
      </c>
      <c r="E491" s="40" t="s">
        <v>148</v>
      </c>
      <c r="F491" s="40"/>
      <c r="G491" s="10">
        <f t="shared" ref="G491:H491" si="284">G492</f>
        <v>39.5</v>
      </c>
      <c r="H491" s="328">
        <f t="shared" si="284"/>
        <v>18.25</v>
      </c>
      <c r="I491" s="358">
        <f t="shared" si="267"/>
        <v>46.202531645569621</v>
      </c>
    </row>
    <row r="492" spans="1:9" ht="31.5" x14ac:dyDescent="0.25">
      <c r="A492" s="25" t="s">
        <v>149</v>
      </c>
      <c r="B492" s="40" t="s">
        <v>888</v>
      </c>
      <c r="C492" s="40" t="s">
        <v>134</v>
      </c>
      <c r="D492" s="9" t="s">
        <v>166</v>
      </c>
      <c r="E492" s="40" t="s">
        <v>150</v>
      </c>
      <c r="F492" s="40"/>
      <c r="G492" s="10">
        <f>'Пр.3 Рд,пр, ЦС,ВР 20'!F96</f>
        <v>39.5</v>
      </c>
      <c r="H492" s="328">
        <f>'Пр.3 Рд,пр, ЦС,ВР 20'!G96</f>
        <v>18.25</v>
      </c>
      <c r="I492" s="358">
        <f t="shared" si="267"/>
        <v>46.202531645569621</v>
      </c>
    </row>
    <row r="493" spans="1:9" s="213" customFormat="1" ht="19.5" customHeight="1" x14ac:dyDescent="0.25">
      <c r="A493" s="29" t="s">
        <v>164</v>
      </c>
      <c r="B493" s="40" t="s">
        <v>888</v>
      </c>
      <c r="C493" s="40" t="s">
        <v>134</v>
      </c>
      <c r="D493" s="9" t="s">
        <v>166</v>
      </c>
      <c r="E493" s="40" t="s">
        <v>150</v>
      </c>
      <c r="F493" s="40" t="s">
        <v>658</v>
      </c>
      <c r="G493" s="10">
        <f>G492</f>
        <v>39.5</v>
      </c>
      <c r="H493" s="328">
        <f t="shared" ref="H493" si="285">H492</f>
        <v>18.25</v>
      </c>
      <c r="I493" s="358">
        <f t="shared" si="267"/>
        <v>46.202531645569621</v>
      </c>
    </row>
    <row r="494" spans="1:9" s="213" customFormat="1" ht="63" x14ac:dyDescent="0.25">
      <c r="A494" s="230" t="s">
        <v>1156</v>
      </c>
      <c r="B494" s="7" t="s">
        <v>897</v>
      </c>
      <c r="C494" s="7"/>
      <c r="D494" s="8"/>
      <c r="E494" s="7"/>
      <c r="F494" s="7"/>
      <c r="G494" s="59">
        <f>G495</f>
        <v>0.5</v>
      </c>
      <c r="H494" s="340">
        <f t="shared" ref="H494:H498" si="286">H495</f>
        <v>0</v>
      </c>
      <c r="I494" s="4">
        <f t="shared" si="267"/>
        <v>0</v>
      </c>
    </row>
    <row r="495" spans="1:9" s="213" customFormat="1" ht="15.75" x14ac:dyDescent="0.25">
      <c r="A495" s="45" t="s">
        <v>133</v>
      </c>
      <c r="B495" s="40" t="s">
        <v>897</v>
      </c>
      <c r="C495" s="40" t="s">
        <v>134</v>
      </c>
      <c r="D495" s="9"/>
      <c r="E495" s="7"/>
      <c r="F495" s="7"/>
      <c r="G495" s="10">
        <f>G496</f>
        <v>0.5</v>
      </c>
      <c r="H495" s="328">
        <f t="shared" si="286"/>
        <v>0</v>
      </c>
      <c r="I495" s="358">
        <f t="shared" si="267"/>
        <v>0</v>
      </c>
    </row>
    <row r="496" spans="1:9" s="213" customFormat="1" ht="63" x14ac:dyDescent="0.25">
      <c r="A496" s="29" t="s">
        <v>165</v>
      </c>
      <c r="B496" s="40" t="s">
        <v>897</v>
      </c>
      <c r="C496" s="40" t="s">
        <v>134</v>
      </c>
      <c r="D496" s="9" t="s">
        <v>166</v>
      </c>
      <c r="E496" s="7"/>
      <c r="F496" s="7"/>
      <c r="G496" s="10">
        <f>G497</f>
        <v>0.5</v>
      </c>
      <c r="H496" s="328">
        <f t="shared" si="286"/>
        <v>0</v>
      </c>
      <c r="I496" s="358">
        <f t="shared" si="267"/>
        <v>0</v>
      </c>
    </row>
    <row r="497" spans="1:9" s="213" customFormat="1" ht="47.25" x14ac:dyDescent="0.25">
      <c r="A497" s="33" t="s">
        <v>207</v>
      </c>
      <c r="B497" s="40" t="s">
        <v>890</v>
      </c>
      <c r="C497" s="40" t="s">
        <v>134</v>
      </c>
      <c r="D497" s="9" t="s">
        <v>166</v>
      </c>
      <c r="E497" s="40"/>
      <c r="F497" s="40"/>
      <c r="G497" s="10">
        <f>G498</f>
        <v>0.5</v>
      </c>
      <c r="H497" s="328">
        <f t="shared" si="286"/>
        <v>0</v>
      </c>
      <c r="I497" s="358">
        <f t="shared" si="267"/>
        <v>0</v>
      </c>
    </row>
    <row r="498" spans="1:9" s="213" customFormat="1" ht="31.5" x14ac:dyDescent="0.25">
      <c r="A498" s="25" t="s">
        <v>147</v>
      </c>
      <c r="B498" s="40" t="s">
        <v>890</v>
      </c>
      <c r="C498" s="40" t="s">
        <v>134</v>
      </c>
      <c r="D498" s="9" t="s">
        <v>166</v>
      </c>
      <c r="E498" s="40" t="s">
        <v>148</v>
      </c>
      <c r="F498" s="40"/>
      <c r="G498" s="10">
        <f>G499</f>
        <v>0.5</v>
      </c>
      <c r="H498" s="328">
        <f t="shared" si="286"/>
        <v>0</v>
      </c>
      <c r="I498" s="358">
        <f t="shared" si="267"/>
        <v>0</v>
      </c>
    </row>
    <row r="499" spans="1:9" s="213" customFormat="1" ht="31.5" x14ac:dyDescent="0.25">
      <c r="A499" s="25" t="s">
        <v>149</v>
      </c>
      <c r="B499" s="40" t="s">
        <v>890</v>
      </c>
      <c r="C499" s="40" t="s">
        <v>134</v>
      </c>
      <c r="D499" s="9" t="s">
        <v>166</v>
      </c>
      <c r="E499" s="40" t="s">
        <v>150</v>
      </c>
      <c r="F499" s="40"/>
      <c r="G499" s="10">
        <f>'Пр.3 Рд,пр, ЦС,ВР 20'!F100</f>
        <v>0.5</v>
      </c>
      <c r="H499" s="328">
        <f>'Пр.3 Рд,пр, ЦС,ВР 20'!G100</f>
        <v>0</v>
      </c>
      <c r="I499" s="358">
        <f t="shared" si="267"/>
        <v>0</v>
      </c>
    </row>
    <row r="500" spans="1:9" s="213" customFormat="1" ht="15.75" x14ac:dyDescent="0.25">
      <c r="A500" s="29" t="s">
        <v>164</v>
      </c>
      <c r="B500" s="40" t="s">
        <v>890</v>
      </c>
      <c r="C500" s="40" t="s">
        <v>134</v>
      </c>
      <c r="D500" s="9" t="s">
        <v>166</v>
      </c>
      <c r="E500" s="40" t="s">
        <v>150</v>
      </c>
      <c r="F500" s="40" t="s">
        <v>658</v>
      </c>
      <c r="G500" s="10">
        <f>G499</f>
        <v>0.5</v>
      </c>
      <c r="H500" s="328">
        <f t="shared" ref="H500" si="287">H499</f>
        <v>0</v>
      </c>
      <c r="I500" s="358">
        <f t="shared" si="267"/>
        <v>0</v>
      </c>
    </row>
    <row r="501" spans="1:9" s="213" customFormat="1" ht="47.25" hidden="1" x14ac:dyDescent="0.25">
      <c r="A501" s="33" t="s">
        <v>207</v>
      </c>
      <c r="B501" s="20" t="s">
        <v>891</v>
      </c>
      <c r="C501" s="40" t="s">
        <v>134</v>
      </c>
      <c r="D501" s="9" t="s">
        <v>166</v>
      </c>
      <c r="E501" s="40"/>
      <c r="F501" s="40"/>
      <c r="G501" s="10">
        <f>G502</f>
        <v>0</v>
      </c>
      <c r="H501" s="328">
        <f t="shared" ref="H501:H502" si="288">H502</f>
        <v>0</v>
      </c>
      <c r="I501" s="358" t="e">
        <f t="shared" si="267"/>
        <v>#DIV/0!</v>
      </c>
    </row>
    <row r="502" spans="1:9" s="213" customFormat="1" ht="31.5" hidden="1" x14ac:dyDescent="0.25">
      <c r="A502" s="25" t="s">
        <v>147</v>
      </c>
      <c r="B502" s="20" t="s">
        <v>891</v>
      </c>
      <c r="C502" s="40" t="s">
        <v>134</v>
      </c>
      <c r="D502" s="9" t="s">
        <v>166</v>
      </c>
      <c r="E502" s="40" t="s">
        <v>148</v>
      </c>
      <c r="F502" s="40"/>
      <c r="G502" s="10">
        <f>G503</f>
        <v>0</v>
      </c>
      <c r="H502" s="328">
        <f t="shared" si="288"/>
        <v>0</v>
      </c>
      <c r="I502" s="358" t="e">
        <f t="shared" si="267"/>
        <v>#DIV/0!</v>
      </c>
    </row>
    <row r="503" spans="1:9" s="213" customFormat="1" ht="31.5" hidden="1" x14ac:dyDescent="0.25">
      <c r="A503" s="25" t="s">
        <v>149</v>
      </c>
      <c r="B503" s="20" t="s">
        <v>891</v>
      </c>
      <c r="C503" s="40" t="s">
        <v>134</v>
      </c>
      <c r="D503" s="9" t="s">
        <v>166</v>
      </c>
      <c r="E503" s="40" t="s">
        <v>150</v>
      </c>
      <c r="F503" s="40"/>
      <c r="G503" s="10">
        <f>'Пр.3 Рд,пр, ЦС,ВР 20'!F103</f>
        <v>0</v>
      </c>
      <c r="H503" s="328">
        <f>'Пр.3 Рд,пр, ЦС,ВР 20'!G103</f>
        <v>0</v>
      </c>
      <c r="I503" s="358" t="e">
        <f t="shared" si="267"/>
        <v>#DIV/0!</v>
      </c>
    </row>
    <row r="504" spans="1:9" ht="15.75" hidden="1" x14ac:dyDescent="0.25">
      <c r="A504" s="29" t="s">
        <v>164</v>
      </c>
      <c r="B504" s="20" t="s">
        <v>891</v>
      </c>
      <c r="C504" s="40" t="s">
        <v>134</v>
      </c>
      <c r="D504" s="9" t="s">
        <v>166</v>
      </c>
      <c r="E504" s="40" t="s">
        <v>150</v>
      </c>
      <c r="F504" s="40" t="s">
        <v>658</v>
      </c>
      <c r="G504" s="10">
        <f>G503</f>
        <v>0</v>
      </c>
      <c r="H504" s="328">
        <f t="shared" ref="H504" si="289">H503</f>
        <v>0</v>
      </c>
      <c r="I504" s="358" t="e">
        <f t="shared" si="267"/>
        <v>#DIV/0!</v>
      </c>
    </row>
    <row r="505" spans="1:9" ht="70.5" customHeight="1" x14ac:dyDescent="0.25">
      <c r="A505" s="41" t="s">
        <v>269</v>
      </c>
      <c r="B505" s="206" t="s">
        <v>270</v>
      </c>
      <c r="C505" s="40"/>
      <c r="D505" s="40"/>
      <c r="E505" s="40"/>
      <c r="F505" s="40"/>
      <c r="G505" s="59">
        <f t="shared" ref="G505:H505" si="290">G507</f>
        <v>10</v>
      </c>
      <c r="H505" s="340">
        <f t="shared" si="290"/>
        <v>0</v>
      </c>
      <c r="I505" s="4">
        <f t="shared" si="267"/>
        <v>0</v>
      </c>
    </row>
    <row r="506" spans="1:9" s="213" customFormat="1" ht="54" customHeight="1" x14ac:dyDescent="0.25">
      <c r="A506" s="23" t="s">
        <v>931</v>
      </c>
      <c r="B506" s="24" t="s">
        <v>929</v>
      </c>
      <c r="C506" s="40"/>
      <c r="D506" s="40"/>
      <c r="E506" s="40"/>
      <c r="F506" s="40"/>
      <c r="G506" s="59">
        <f>G507</f>
        <v>10</v>
      </c>
      <c r="H506" s="340">
        <f t="shared" ref="H506:H508" si="291">H507</f>
        <v>0</v>
      </c>
      <c r="I506" s="4">
        <f t="shared" si="267"/>
        <v>0</v>
      </c>
    </row>
    <row r="507" spans="1:9" ht="15.75" x14ac:dyDescent="0.25">
      <c r="A507" s="29" t="s">
        <v>259</v>
      </c>
      <c r="B507" s="5" t="s">
        <v>929</v>
      </c>
      <c r="C507" s="40" t="s">
        <v>260</v>
      </c>
      <c r="D507" s="40"/>
      <c r="E507" s="40"/>
      <c r="F507" s="40"/>
      <c r="G507" s="10">
        <f>G508</f>
        <v>10</v>
      </c>
      <c r="H507" s="328">
        <f t="shared" si="291"/>
        <v>0</v>
      </c>
      <c r="I507" s="358">
        <f t="shared" si="267"/>
        <v>0</v>
      </c>
    </row>
    <row r="508" spans="1:9" ht="22.7" customHeight="1" x14ac:dyDescent="0.25">
      <c r="A508" s="29" t="s">
        <v>268</v>
      </c>
      <c r="B508" s="5" t="s">
        <v>929</v>
      </c>
      <c r="C508" s="40" t="s">
        <v>260</v>
      </c>
      <c r="D508" s="40" t="s">
        <v>231</v>
      </c>
      <c r="E508" s="40"/>
      <c r="F508" s="40"/>
      <c r="G508" s="10">
        <f>G509</f>
        <v>10</v>
      </c>
      <c r="H508" s="328">
        <f t="shared" si="291"/>
        <v>0</v>
      </c>
      <c r="I508" s="358">
        <f t="shared" si="267"/>
        <v>0</v>
      </c>
    </row>
    <row r="509" spans="1:9" ht="31.5" x14ac:dyDescent="0.25">
      <c r="A509" s="25" t="s">
        <v>930</v>
      </c>
      <c r="B509" s="20" t="s">
        <v>1469</v>
      </c>
      <c r="C509" s="40" t="s">
        <v>260</v>
      </c>
      <c r="D509" s="40" t="s">
        <v>231</v>
      </c>
      <c r="E509" s="40"/>
      <c r="F509" s="40"/>
      <c r="G509" s="10">
        <f t="shared" ref="G509:H510" si="292">G510</f>
        <v>10</v>
      </c>
      <c r="H509" s="328">
        <f t="shared" si="292"/>
        <v>0</v>
      </c>
      <c r="I509" s="358">
        <f t="shared" si="267"/>
        <v>0</v>
      </c>
    </row>
    <row r="510" spans="1:9" ht="21.75" customHeight="1" x14ac:dyDescent="0.25">
      <c r="A510" s="25" t="s">
        <v>264</v>
      </c>
      <c r="B510" s="20" t="s">
        <v>1469</v>
      </c>
      <c r="C510" s="40" t="s">
        <v>260</v>
      </c>
      <c r="D510" s="40" t="s">
        <v>231</v>
      </c>
      <c r="E510" s="40" t="s">
        <v>265</v>
      </c>
      <c r="F510" s="40"/>
      <c r="G510" s="10">
        <f t="shared" si="292"/>
        <v>10</v>
      </c>
      <c r="H510" s="328">
        <f t="shared" si="292"/>
        <v>0</v>
      </c>
      <c r="I510" s="358">
        <f t="shared" si="267"/>
        <v>0</v>
      </c>
    </row>
    <row r="511" spans="1:9" ht="31.7" customHeight="1" x14ac:dyDescent="0.25">
      <c r="A511" s="25" t="s">
        <v>266</v>
      </c>
      <c r="B511" s="20" t="s">
        <v>1469</v>
      </c>
      <c r="C511" s="40" t="s">
        <v>260</v>
      </c>
      <c r="D511" s="40" t="s">
        <v>231</v>
      </c>
      <c r="E511" s="40" t="s">
        <v>267</v>
      </c>
      <c r="F511" s="40"/>
      <c r="G511" s="10">
        <f>'Пр.4 ведом.20'!G205</f>
        <v>10</v>
      </c>
      <c r="H511" s="328">
        <f>'Пр.4 ведом.20'!H205</f>
        <v>0</v>
      </c>
      <c r="I511" s="358">
        <f t="shared" si="267"/>
        <v>0</v>
      </c>
    </row>
    <row r="512" spans="1:9" ht="15.75" x14ac:dyDescent="0.25">
      <c r="A512" s="45" t="s">
        <v>164</v>
      </c>
      <c r="B512" s="20" t="s">
        <v>1469</v>
      </c>
      <c r="C512" s="40" t="s">
        <v>260</v>
      </c>
      <c r="D512" s="40" t="s">
        <v>231</v>
      </c>
      <c r="E512" s="40" t="s">
        <v>267</v>
      </c>
      <c r="F512" s="40" t="s">
        <v>658</v>
      </c>
      <c r="G512" s="10">
        <f>G511</f>
        <v>10</v>
      </c>
      <c r="H512" s="328">
        <f t="shared" ref="H512" si="293">H511</f>
        <v>0</v>
      </c>
      <c r="I512" s="358">
        <f t="shared" si="267"/>
        <v>0</v>
      </c>
    </row>
    <row r="513" spans="1:9" ht="53.45" customHeight="1" x14ac:dyDescent="0.25">
      <c r="A513" s="41" t="s">
        <v>497</v>
      </c>
      <c r="B513" s="3" t="s">
        <v>498</v>
      </c>
      <c r="C513" s="68"/>
      <c r="D513" s="68"/>
      <c r="E513" s="68"/>
      <c r="F513" s="68"/>
      <c r="G513" s="4">
        <f>G514+G581</f>
        <v>55306.430400000005</v>
      </c>
      <c r="H513" s="4">
        <f t="shared" ref="H513" si="294">H514+H581</f>
        <v>38217.217999999993</v>
      </c>
      <c r="I513" s="4">
        <f t="shared" si="267"/>
        <v>69.100858116491253</v>
      </c>
    </row>
    <row r="514" spans="1:9" ht="47.25" x14ac:dyDescent="0.25">
      <c r="A514" s="58" t="s">
        <v>509</v>
      </c>
      <c r="B514" s="7" t="s">
        <v>510</v>
      </c>
      <c r="C514" s="7"/>
      <c r="D514" s="7"/>
      <c r="E514" s="7"/>
      <c r="F514" s="3"/>
      <c r="G514" s="59">
        <f>G515+G530+G545+G556+G563+G570</f>
        <v>52558.430400000005</v>
      </c>
      <c r="H514" s="340">
        <f t="shared" ref="H514" si="295">H515+H530+H545+H556+H563+H570</f>
        <v>37299.547999999995</v>
      </c>
      <c r="I514" s="4">
        <f t="shared" si="267"/>
        <v>70.967773801707736</v>
      </c>
    </row>
    <row r="515" spans="1:9" s="213" customFormat="1" ht="31.5" x14ac:dyDescent="0.25">
      <c r="A515" s="23" t="s">
        <v>1028</v>
      </c>
      <c r="B515" s="24" t="s">
        <v>1061</v>
      </c>
      <c r="C515" s="7"/>
      <c r="D515" s="7"/>
      <c r="E515" s="232"/>
      <c r="F515" s="206"/>
      <c r="G515" s="59">
        <f>G516</f>
        <v>44780.4</v>
      </c>
      <c r="H515" s="340">
        <f t="shared" ref="H515" si="296">H516</f>
        <v>30645.095999999998</v>
      </c>
      <c r="I515" s="4">
        <f t="shared" si="267"/>
        <v>68.434172093147879</v>
      </c>
    </row>
    <row r="516" spans="1:9" ht="17.45" customHeight="1" x14ac:dyDescent="0.25">
      <c r="A516" s="29" t="s">
        <v>506</v>
      </c>
      <c r="B516" s="40" t="s">
        <v>1061</v>
      </c>
      <c r="C516" s="2">
        <v>11</v>
      </c>
      <c r="D516" s="68"/>
      <c r="E516" s="68"/>
      <c r="F516" s="68"/>
      <c r="G516" s="10">
        <f t="shared" ref="G516:H516" si="297">G517</f>
        <v>44780.4</v>
      </c>
      <c r="H516" s="328">
        <f t="shared" si="297"/>
        <v>30645.095999999998</v>
      </c>
      <c r="I516" s="358">
        <f t="shared" si="267"/>
        <v>68.434172093147879</v>
      </c>
    </row>
    <row r="517" spans="1:9" ht="19.5" customHeight="1" x14ac:dyDescent="0.25">
      <c r="A517" s="29" t="s">
        <v>508</v>
      </c>
      <c r="B517" s="40" t="s">
        <v>1061</v>
      </c>
      <c r="C517" s="40" t="s">
        <v>507</v>
      </c>
      <c r="D517" s="40" t="s">
        <v>134</v>
      </c>
      <c r="E517" s="71"/>
      <c r="F517" s="5"/>
      <c r="G517" s="10">
        <f>G518+G522+G526</f>
        <v>44780.4</v>
      </c>
      <c r="H517" s="328">
        <f t="shared" ref="H517" si="298">H518+H522+H526</f>
        <v>30645.095999999998</v>
      </c>
      <c r="I517" s="358">
        <f t="shared" si="267"/>
        <v>68.434172093147879</v>
      </c>
    </row>
    <row r="518" spans="1:9" ht="47.25" x14ac:dyDescent="0.25">
      <c r="A518" s="25" t="s">
        <v>837</v>
      </c>
      <c r="B518" s="20" t="s">
        <v>1071</v>
      </c>
      <c r="C518" s="40" t="s">
        <v>507</v>
      </c>
      <c r="D518" s="40" t="s">
        <v>134</v>
      </c>
      <c r="E518" s="71"/>
      <c r="F518" s="5"/>
      <c r="G518" s="10">
        <f>G519</f>
        <v>12963.2</v>
      </c>
      <c r="H518" s="328">
        <f t="shared" ref="H518:H519" si="299">H519</f>
        <v>8482.4</v>
      </c>
      <c r="I518" s="358">
        <f t="shared" si="267"/>
        <v>65.434460627005677</v>
      </c>
    </row>
    <row r="519" spans="1:9" ht="31.5" x14ac:dyDescent="0.25">
      <c r="A519" s="29" t="s">
        <v>288</v>
      </c>
      <c r="B519" s="20" t="s">
        <v>1071</v>
      </c>
      <c r="C519" s="40" t="s">
        <v>507</v>
      </c>
      <c r="D519" s="40" t="s">
        <v>134</v>
      </c>
      <c r="E519" s="40" t="s">
        <v>289</v>
      </c>
      <c r="F519" s="5"/>
      <c r="G519" s="10">
        <f>G520</f>
        <v>12963.2</v>
      </c>
      <c r="H519" s="328">
        <f t="shared" si="299"/>
        <v>8482.4</v>
      </c>
      <c r="I519" s="358">
        <f t="shared" si="267"/>
        <v>65.434460627005677</v>
      </c>
    </row>
    <row r="520" spans="1:9" ht="15.75" x14ac:dyDescent="0.25">
      <c r="A520" s="29" t="s">
        <v>290</v>
      </c>
      <c r="B520" s="20" t="s">
        <v>1071</v>
      </c>
      <c r="C520" s="40" t="s">
        <v>507</v>
      </c>
      <c r="D520" s="40" t="s">
        <v>134</v>
      </c>
      <c r="E520" s="40" t="s">
        <v>291</v>
      </c>
      <c r="F520" s="5"/>
      <c r="G520" s="10">
        <f>'Пр.4 ведом.20'!G837</f>
        <v>12963.2</v>
      </c>
      <c r="H520" s="328">
        <f>'Пр.4 ведом.20'!H837</f>
        <v>8482.4</v>
      </c>
      <c r="I520" s="358">
        <f t="shared" si="267"/>
        <v>65.434460627005677</v>
      </c>
    </row>
    <row r="521" spans="1:9" s="213" customFormat="1" ht="31.5" x14ac:dyDescent="0.25">
      <c r="A521" s="70" t="s">
        <v>496</v>
      </c>
      <c r="B521" s="20" t="s">
        <v>1071</v>
      </c>
      <c r="C521" s="40" t="s">
        <v>507</v>
      </c>
      <c r="D521" s="40" t="s">
        <v>134</v>
      </c>
      <c r="E521" s="40" t="s">
        <v>291</v>
      </c>
      <c r="F521" s="5">
        <v>907</v>
      </c>
      <c r="G521" s="10">
        <f>G520</f>
        <v>12963.2</v>
      </c>
      <c r="H521" s="328">
        <f t="shared" ref="H521" si="300">H520</f>
        <v>8482.4</v>
      </c>
      <c r="I521" s="358">
        <f t="shared" si="267"/>
        <v>65.434460627005677</v>
      </c>
    </row>
    <row r="522" spans="1:9" ht="31.5" x14ac:dyDescent="0.25">
      <c r="A522" s="25" t="s">
        <v>836</v>
      </c>
      <c r="B522" s="20" t="s">
        <v>1072</v>
      </c>
      <c r="C522" s="40" t="s">
        <v>507</v>
      </c>
      <c r="D522" s="40" t="s">
        <v>134</v>
      </c>
      <c r="E522" s="40"/>
      <c r="F522" s="5"/>
      <c r="G522" s="10">
        <f>G523</f>
        <v>13290.199999999999</v>
      </c>
      <c r="H522" s="328">
        <f t="shared" ref="H522:H523" si="301">H523</f>
        <v>10034.219999999999</v>
      </c>
      <c r="I522" s="358">
        <f t="shared" si="267"/>
        <v>75.50089539660803</v>
      </c>
    </row>
    <row r="523" spans="1:9" ht="31.5" x14ac:dyDescent="0.25">
      <c r="A523" s="25" t="s">
        <v>288</v>
      </c>
      <c r="B523" s="20" t="s">
        <v>1072</v>
      </c>
      <c r="C523" s="40" t="s">
        <v>507</v>
      </c>
      <c r="D523" s="40" t="s">
        <v>134</v>
      </c>
      <c r="E523" s="40" t="s">
        <v>289</v>
      </c>
      <c r="F523" s="5"/>
      <c r="G523" s="10">
        <f>G524</f>
        <v>13290.199999999999</v>
      </c>
      <c r="H523" s="328">
        <f t="shared" si="301"/>
        <v>10034.219999999999</v>
      </c>
      <c r="I523" s="358">
        <f t="shared" si="267"/>
        <v>75.50089539660803</v>
      </c>
    </row>
    <row r="524" spans="1:9" ht="15.75" x14ac:dyDescent="0.25">
      <c r="A524" s="25" t="s">
        <v>290</v>
      </c>
      <c r="B524" s="20" t="s">
        <v>1072</v>
      </c>
      <c r="C524" s="40" t="s">
        <v>507</v>
      </c>
      <c r="D524" s="40" t="s">
        <v>134</v>
      </c>
      <c r="E524" s="40" t="s">
        <v>291</v>
      </c>
      <c r="F524" s="5"/>
      <c r="G524" s="10">
        <f>'Пр.4 ведом.20'!G840</f>
        <v>13290.199999999999</v>
      </c>
      <c r="H524" s="328">
        <f>'Пр.4 ведом.20'!H840</f>
        <v>10034.219999999999</v>
      </c>
      <c r="I524" s="358">
        <f t="shared" si="267"/>
        <v>75.50089539660803</v>
      </c>
    </row>
    <row r="525" spans="1:9" s="213" customFormat="1" ht="31.5" x14ac:dyDescent="0.25">
      <c r="A525" s="70" t="s">
        <v>496</v>
      </c>
      <c r="B525" s="20" t="s">
        <v>1072</v>
      </c>
      <c r="C525" s="40" t="s">
        <v>507</v>
      </c>
      <c r="D525" s="40" t="s">
        <v>134</v>
      </c>
      <c r="E525" s="40" t="s">
        <v>291</v>
      </c>
      <c r="F525" s="5">
        <v>907</v>
      </c>
      <c r="G525" s="10">
        <f>G522</f>
        <v>13290.199999999999</v>
      </c>
      <c r="H525" s="328">
        <f t="shared" ref="H525" si="302">H522</f>
        <v>10034.219999999999</v>
      </c>
      <c r="I525" s="358">
        <f t="shared" si="267"/>
        <v>75.50089539660803</v>
      </c>
    </row>
    <row r="526" spans="1:9" ht="47.25" x14ac:dyDescent="0.25">
      <c r="A526" s="25" t="s">
        <v>835</v>
      </c>
      <c r="B526" s="20" t="s">
        <v>1073</v>
      </c>
      <c r="C526" s="40" t="s">
        <v>507</v>
      </c>
      <c r="D526" s="40" t="s">
        <v>134</v>
      </c>
      <c r="E526" s="40"/>
      <c r="F526" s="5"/>
      <c r="G526" s="10">
        <f>G527</f>
        <v>18527</v>
      </c>
      <c r="H526" s="328">
        <f t="shared" ref="H526:H527" si="303">H527</f>
        <v>12128.476000000001</v>
      </c>
      <c r="I526" s="358">
        <f t="shared" si="267"/>
        <v>65.463787985102826</v>
      </c>
    </row>
    <row r="527" spans="1:9" ht="31.5" x14ac:dyDescent="0.25">
      <c r="A527" s="25" t="s">
        <v>288</v>
      </c>
      <c r="B527" s="20" t="s">
        <v>1073</v>
      </c>
      <c r="C527" s="40" t="s">
        <v>507</v>
      </c>
      <c r="D527" s="40" t="s">
        <v>134</v>
      </c>
      <c r="E527" s="40" t="s">
        <v>289</v>
      </c>
      <c r="F527" s="5"/>
      <c r="G527" s="10">
        <f>G528</f>
        <v>18527</v>
      </c>
      <c r="H527" s="328">
        <f t="shared" si="303"/>
        <v>12128.476000000001</v>
      </c>
      <c r="I527" s="358">
        <f t="shared" si="267"/>
        <v>65.463787985102826</v>
      </c>
    </row>
    <row r="528" spans="1:9" ht="15.75" x14ac:dyDescent="0.25">
      <c r="A528" s="25" t="s">
        <v>290</v>
      </c>
      <c r="B528" s="20" t="s">
        <v>1073</v>
      </c>
      <c r="C528" s="40" t="s">
        <v>507</v>
      </c>
      <c r="D528" s="40" t="s">
        <v>134</v>
      </c>
      <c r="E528" s="40" t="s">
        <v>291</v>
      </c>
      <c r="F528" s="5"/>
      <c r="G528" s="10">
        <f>'Пр.4 ведом.20'!G843</f>
        <v>18527</v>
      </c>
      <c r="H528" s="328">
        <f>'Пр.4 ведом.20'!H843</f>
        <v>12128.476000000001</v>
      </c>
      <c r="I528" s="358">
        <f t="shared" si="267"/>
        <v>65.463787985102826</v>
      </c>
    </row>
    <row r="529" spans="1:9" s="213" customFormat="1" ht="31.5" x14ac:dyDescent="0.25">
      <c r="A529" s="70" t="s">
        <v>496</v>
      </c>
      <c r="B529" s="20" t="s">
        <v>1073</v>
      </c>
      <c r="C529" s="40" t="s">
        <v>507</v>
      </c>
      <c r="D529" s="40" t="s">
        <v>134</v>
      </c>
      <c r="E529" s="40" t="s">
        <v>291</v>
      </c>
      <c r="F529" s="5">
        <v>907</v>
      </c>
      <c r="G529" s="10">
        <f>G526</f>
        <v>18527</v>
      </c>
      <c r="H529" s="328">
        <f t="shared" ref="H529" si="304">H526</f>
        <v>12128.476000000001</v>
      </c>
      <c r="I529" s="358">
        <f t="shared" si="267"/>
        <v>65.463787985102826</v>
      </c>
    </row>
    <row r="530" spans="1:9" s="213" customFormat="1" ht="31.5" x14ac:dyDescent="0.25">
      <c r="A530" s="23" t="s">
        <v>1074</v>
      </c>
      <c r="B530" s="24" t="s">
        <v>1075</v>
      </c>
      <c r="C530" s="7"/>
      <c r="D530" s="7"/>
      <c r="E530" s="7"/>
      <c r="F530" s="206"/>
      <c r="G530" s="59">
        <f>G531</f>
        <v>288</v>
      </c>
      <c r="H530" s="340">
        <f t="shared" ref="H530" si="305">H531</f>
        <v>288</v>
      </c>
      <c r="I530" s="4">
        <f t="shared" ref="I530:I593" si="306">H530/G530*100</f>
        <v>100</v>
      </c>
    </row>
    <row r="531" spans="1:9" s="213" customFormat="1" ht="15.75" x14ac:dyDescent="0.25">
      <c r="A531" s="29" t="s">
        <v>506</v>
      </c>
      <c r="B531" s="40" t="s">
        <v>1075</v>
      </c>
      <c r="C531" s="2">
        <v>11</v>
      </c>
      <c r="D531" s="68"/>
      <c r="E531" s="68"/>
      <c r="F531" s="68"/>
      <c r="G531" s="10">
        <f t="shared" ref="G531:H531" si="307">G532</f>
        <v>288</v>
      </c>
      <c r="H531" s="328">
        <f t="shared" si="307"/>
        <v>288</v>
      </c>
      <c r="I531" s="358">
        <f t="shared" si="306"/>
        <v>100</v>
      </c>
    </row>
    <row r="532" spans="1:9" s="213" customFormat="1" ht="16.5" x14ac:dyDescent="0.25">
      <c r="A532" s="29" t="s">
        <v>508</v>
      </c>
      <c r="B532" s="40" t="s">
        <v>1075</v>
      </c>
      <c r="C532" s="40" t="s">
        <v>507</v>
      </c>
      <c r="D532" s="40" t="s">
        <v>134</v>
      </c>
      <c r="E532" s="71"/>
      <c r="F532" s="5"/>
      <c r="G532" s="10">
        <f>G533+G537+G541</f>
        <v>288</v>
      </c>
      <c r="H532" s="328">
        <f t="shared" ref="H532" si="308">H533+H537+H541</f>
        <v>288</v>
      </c>
      <c r="I532" s="358">
        <f t="shared" si="306"/>
        <v>100</v>
      </c>
    </row>
    <row r="533" spans="1:9" ht="31.7" hidden="1" customHeight="1" x14ac:dyDescent="0.25">
      <c r="A533" s="29" t="s">
        <v>294</v>
      </c>
      <c r="B533" s="20" t="s">
        <v>1079</v>
      </c>
      <c r="C533" s="40" t="s">
        <v>507</v>
      </c>
      <c r="D533" s="40" t="s">
        <v>134</v>
      </c>
      <c r="E533" s="40"/>
      <c r="F533" s="5"/>
      <c r="G533" s="10">
        <f t="shared" ref="G533:H534" si="309">G534</f>
        <v>252</v>
      </c>
      <c r="H533" s="328">
        <f t="shared" si="309"/>
        <v>252</v>
      </c>
      <c r="I533" s="358">
        <f t="shared" si="306"/>
        <v>100</v>
      </c>
    </row>
    <row r="534" spans="1:9" ht="31.7" hidden="1" customHeight="1" x14ac:dyDescent="0.25">
      <c r="A534" s="29" t="s">
        <v>288</v>
      </c>
      <c r="B534" s="20" t="s">
        <v>1079</v>
      </c>
      <c r="C534" s="40" t="s">
        <v>507</v>
      </c>
      <c r="D534" s="40" t="s">
        <v>134</v>
      </c>
      <c r="E534" s="40" t="s">
        <v>289</v>
      </c>
      <c r="F534" s="5"/>
      <c r="G534" s="10">
        <f t="shared" si="309"/>
        <v>252</v>
      </c>
      <c r="H534" s="328">
        <f t="shared" si="309"/>
        <v>252</v>
      </c>
      <c r="I534" s="358">
        <f t="shared" si="306"/>
        <v>100</v>
      </c>
    </row>
    <row r="535" spans="1:9" ht="15.75" hidden="1" customHeight="1" x14ac:dyDescent="0.25">
      <c r="A535" s="29" t="s">
        <v>290</v>
      </c>
      <c r="B535" s="20" t="s">
        <v>1079</v>
      </c>
      <c r="C535" s="40" t="s">
        <v>507</v>
      </c>
      <c r="D535" s="40" t="s">
        <v>134</v>
      </c>
      <c r="E535" s="40" t="s">
        <v>291</v>
      </c>
      <c r="F535" s="5"/>
      <c r="G535" s="10">
        <f>'Пр.4 ведом.20'!G847</f>
        <v>252</v>
      </c>
      <c r="H535" s="328">
        <f>'Пр.4 ведом.20'!H847</f>
        <v>252</v>
      </c>
      <c r="I535" s="358">
        <f t="shared" si="306"/>
        <v>100</v>
      </c>
    </row>
    <row r="536" spans="1:9" s="213" customFormat="1" ht="34.5" hidden="1" customHeight="1" x14ac:dyDescent="0.25">
      <c r="A536" s="70" t="s">
        <v>496</v>
      </c>
      <c r="B536" s="20" t="s">
        <v>1079</v>
      </c>
      <c r="C536" s="40" t="s">
        <v>507</v>
      </c>
      <c r="D536" s="40" t="s">
        <v>134</v>
      </c>
      <c r="E536" s="40" t="s">
        <v>291</v>
      </c>
      <c r="F536" s="5">
        <v>907</v>
      </c>
      <c r="G536" s="10">
        <f>G535</f>
        <v>252</v>
      </c>
      <c r="H536" s="328">
        <f t="shared" ref="H536" si="310">H535</f>
        <v>252</v>
      </c>
      <c r="I536" s="358">
        <f t="shared" si="306"/>
        <v>100</v>
      </c>
    </row>
    <row r="537" spans="1:9" ht="31.7" hidden="1" customHeight="1" x14ac:dyDescent="0.25">
      <c r="A537" s="29" t="s">
        <v>296</v>
      </c>
      <c r="B537" s="20" t="s">
        <v>1080</v>
      </c>
      <c r="C537" s="40" t="s">
        <v>507</v>
      </c>
      <c r="D537" s="40" t="s">
        <v>134</v>
      </c>
      <c r="E537" s="40"/>
      <c r="F537" s="5"/>
      <c r="G537" s="10">
        <f t="shared" ref="G537:H538" si="311">G538</f>
        <v>0</v>
      </c>
      <c r="H537" s="328">
        <f t="shared" si="311"/>
        <v>0</v>
      </c>
      <c r="I537" s="358" t="e">
        <f t="shared" si="306"/>
        <v>#DIV/0!</v>
      </c>
    </row>
    <row r="538" spans="1:9" ht="31.7" hidden="1" customHeight="1" x14ac:dyDescent="0.25">
      <c r="A538" s="29" t="s">
        <v>288</v>
      </c>
      <c r="B538" s="20" t="s">
        <v>1080</v>
      </c>
      <c r="C538" s="40" t="s">
        <v>507</v>
      </c>
      <c r="D538" s="40" t="s">
        <v>134</v>
      </c>
      <c r="E538" s="40" t="s">
        <v>289</v>
      </c>
      <c r="F538" s="5"/>
      <c r="G538" s="10">
        <f t="shared" si="311"/>
        <v>0</v>
      </c>
      <c r="H538" s="328">
        <f t="shared" si="311"/>
        <v>0</v>
      </c>
      <c r="I538" s="358" t="e">
        <f t="shared" si="306"/>
        <v>#DIV/0!</v>
      </c>
    </row>
    <row r="539" spans="1:9" ht="15.75" hidden="1" customHeight="1" x14ac:dyDescent="0.25">
      <c r="A539" s="29" t="s">
        <v>290</v>
      </c>
      <c r="B539" s="20" t="s">
        <v>1080</v>
      </c>
      <c r="C539" s="40" t="s">
        <v>507</v>
      </c>
      <c r="D539" s="40" t="s">
        <v>134</v>
      </c>
      <c r="E539" s="40" t="s">
        <v>291</v>
      </c>
      <c r="F539" s="5"/>
      <c r="G539" s="10">
        <f>'Пр.4 ведом.20'!G850</f>
        <v>0</v>
      </c>
      <c r="H539" s="328">
        <f>'Пр.4 ведом.20'!H850</f>
        <v>0</v>
      </c>
      <c r="I539" s="358" t="e">
        <f t="shared" si="306"/>
        <v>#DIV/0!</v>
      </c>
    </row>
    <row r="540" spans="1:9" s="213" customFormat="1" ht="36" hidden="1" customHeight="1" x14ac:dyDescent="0.25">
      <c r="A540" s="70" t="s">
        <v>496</v>
      </c>
      <c r="B540" s="20" t="s">
        <v>1080</v>
      </c>
      <c r="C540" s="40" t="s">
        <v>507</v>
      </c>
      <c r="D540" s="40" t="s">
        <v>134</v>
      </c>
      <c r="E540" s="40" t="s">
        <v>291</v>
      </c>
      <c r="F540" s="5">
        <v>907</v>
      </c>
      <c r="G540" s="10">
        <f>G539</f>
        <v>0</v>
      </c>
      <c r="H540" s="328">
        <f t="shared" ref="H540" si="312">H539</f>
        <v>0</v>
      </c>
      <c r="I540" s="358" t="e">
        <f t="shared" si="306"/>
        <v>#DIV/0!</v>
      </c>
    </row>
    <row r="541" spans="1:9" s="213" customFormat="1" ht="15.75" customHeight="1" x14ac:dyDescent="0.25">
      <c r="A541" s="25" t="s">
        <v>876</v>
      </c>
      <c r="B541" s="20" t="s">
        <v>1081</v>
      </c>
      <c r="C541" s="40" t="s">
        <v>507</v>
      </c>
      <c r="D541" s="40" t="s">
        <v>134</v>
      </c>
      <c r="E541" s="40"/>
      <c r="F541" s="5"/>
      <c r="G541" s="10">
        <f>G542</f>
        <v>36</v>
      </c>
      <c r="H541" s="328">
        <f t="shared" ref="H541:H542" si="313">H542</f>
        <v>36</v>
      </c>
      <c r="I541" s="358">
        <f t="shared" si="306"/>
        <v>100</v>
      </c>
    </row>
    <row r="542" spans="1:9" s="213" customFormat="1" ht="31.5" x14ac:dyDescent="0.25">
      <c r="A542" s="25" t="s">
        <v>288</v>
      </c>
      <c r="B542" s="20" t="s">
        <v>1081</v>
      </c>
      <c r="C542" s="40" t="s">
        <v>507</v>
      </c>
      <c r="D542" s="40" t="s">
        <v>134</v>
      </c>
      <c r="E542" s="40" t="s">
        <v>289</v>
      </c>
      <c r="F542" s="5"/>
      <c r="G542" s="10">
        <f>G543</f>
        <v>36</v>
      </c>
      <c r="H542" s="328">
        <f t="shared" si="313"/>
        <v>36</v>
      </c>
      <c r="I542" s="358">
        <f t="shared" si="306"/>
        <v>100</v>
      </c>
    </row>
    <row r="543" spans="1:9" s="213" customFormat="1" ht="15.75" customHeight="1" x14ac:dyDescent="0.25">
      <c r="A543" s="25" t="s">
        <v>290</v>
      </c>
      <c r="B543" s="20" t="s">
        <v>1081</v>
      </c>
      <c r="C543" s="40" t="s">
        <v>507</v>
      </c>
      <c r="D543" s="40" t="s">
        <v>134</v>
      </c>
      <c r="E543" s="40" t="s">
        <v>291</v>
      </c>
      <c r="F543" s="5"/>
      <c r="G543" s="10">
        <f>'Пр.4 ведом.20'!G853</f>
        <v>36</v>
      </c>
      <c r="H543" s="328">
        <f>'Пр.4 ведом.20'!H853</f>
        <v>36</v>
      </c>
      <c r="I543" s="358">
        <f t="shared" si="306"/>
        <v>100</v>
      </c>
    </row>
    <row r="544" spans="1:9" s="213" customFormat="1" ht="33" customHeight="1" x14ac:dyDescent="0.25">
      <c r="A544" s="70" t="s">
        <v>496</v>
      </c>
      <c r="B544" s="20" t="s">
        <v>1081</v>
      </c>
      <c r="C544" s="40" t="s">
        <v>507</v>
      </c>
      <c r="D544" s="40" t="s">
        <v>134</v>
      </c>
      <c r="E544" s="40" t="s">
        <v>291</v>
      </c>
      <c r="F544" s="5">
        <v>907</v>
      </c>
      <c r="G544" s="10">
        <f>G543</f>
        <v>36</v>
      </c>
      <c r="H544" s="328">
        <f t="shared" ref="H544" si="314">H543</f>
        <v>36</v>
      </c>
      <c r="I544" s="358">
        <f t="shared" si="306"/>
        <v>100</v>
      </c>
    </row>
    <row r="545" spans="1:9" s="213" customFormat="1" ht="36" customHeight="1" x14ac:dyDescent="0.25">
      <c r="A545" s="23" t="s">
        <v>1076</v>
      </c>
      <c r="B545" s="24" t="s">
        <v>1078</v>
      </c>
      <c r="C545" s="7"/>
      <c r="D545" s="7"/>
      <c r="E545" s="7"/>
      <c r="F545" s="206"/>
      <c r="G545" s="59">
        <f>G546</f>
        <v>1205.8</v>
      </c>
      <c r="H545" s="340">
        <f t="shared" ref="H545" si="315">H546</f>
        <v>1205.8</v>
      </c>
      <c r="I545" s="4">
        <f t="shared" si="306"/>
        <v>100</v>
      </c>
    </row>
    <row r="546" spans="1:9" s="213" customFormat="1" ht="18" customHeight="1" x14ac:dyDescent="0.25">
      <c r="A546" s="29" t="s">
        <v>506</v>
      </c>
      <c r="B546" s="40" t="s">
        <v>1078</v>
      </c>
      <c r="C546" s="2">
        <v>11</v>
      </c>
      <c r="D546" s="68"/>
      <c r="E546" s="68"/>
      <c r="F546" s="68"/>
      <c r="G546" s="10">
        <f t="shared" ref="G546:H546" si="316">G547</f>
        <v>1205.8</v>
      </c>
      <c r="H546" s="328">
        <f t="shared" si="316"/>
        <v>1205.8</v>
      </c>
      <c r="I546" s="358">
        <f t="shared" si="306"/>
        <v>100</v>
      </c>
    </row>
    <row r="547" spans="1:9" s="213" customFormat="1" ht="18" customHeight="1" x14ac:dyDescent="0.25">
      <c r="A547" s="29" t="s">
        <v>508</v>
      </c>
      <c r="B547" s="40" t="s">
        <v>1078</v>
      </c>
      <c r="C547" s="40" t="s">
        <v>507</v>
      </c>
      <c r="D547" s="40" t="s">
        <v>134</v>
      </c>
      <c r="E547" s="71"/>
      <c r="F547" s="5"/>
      <c r="G547" s="10">
        <f>G548+G552</f>
        <v>1205.8</v>
      </c>
      <c r="H547" s="328">
        <f t="shared" ref="H547" si="317">H548+H552</f>
        <v>1205.8</v>
      </c>
      <c r="I547" s="358">
        <f t="shared" si="306"/>
        <v>100</v>
      </c>
    </row>
    <row r="548" spans="1:9" ht="31.7" hidden="1" customHeight="1" x14ac:dyDescent="0.25">
      <c r="A548" s="29" t="s">
        <v>300</v>
      </c>
      <c r="B548" s="20" t="s">
        <v>1082</v>
      </c>
      <c r="C548" s="40" t="s">
        <v>507</v>
      </c>
      <c r="D548" s="40" t="s">
        <v>134</v>
      </c>
      <c r="E548" s="40"/>
      <c r="F548" s="5"/>
      <c r="G548" s="10">
        <f t="shared" ref="G548:H549" si="318">G549</f>
        <v>0</v>
      </c>
      <c r="H548" s="328">
        <f t="shared" si="318"/>
        <v>0</v>
      </c>
      <c r="I548" s="358" t="e">
        <f t="shared" si="306"/>
        <v>#DIV/0!</v>
      </c>
    </row>
    <row r="549" spans="1:9" ht="31.7" hidden="1" customHeight="1" x14ac:dyDescent="0.25">
      <c r="A549" s="29" t="s">
        <v>288</v>
      </c>
      <c r="B549" s="20" t="s">
        <v>1082</v>
      </c>
      <c r="C549" s="40" t="s">
        <v>507</v>
      </c>
      <c r="D549" s="40" t="s">
        <v>134</v>
      </c>
      <c r="E549" s="40" t="s">
        <v>289</v>
      </c>
      <c r="F549" s="5"/>
      <c r="G549" s="10">
        <f t="shared" si="318"/>
        <v>0</v>
      </c>
      <c r="H549" s="328">
        <f t="shared" si="318"/>
        <v>0</v>
      </c>
      <c r="I549" s="358" t="e">
        <f t="shared" si="306"/>
        <v>#DIV/0!</v>
      </c>
    </row>
    <row r="550" spans="1:9" ht="15.75" hidden="1" customHeight="1" x14ac:dyDescent="0.25">
      <c r="A550" s="29" t="s">
        <v>290</v>
      </c>
      <c r="B550" s="20" t="s">
        <v>1082</v>
      </c>
      <c r="C550" s="40" t="s">
        <v>507</v>
      </c>
      <c r="D550" s="40" t="s">
        <v>134</v>
      </c>
      <c r="E550" s="40" t="s">
        <v>291</v>
      </c>
      <c r="F550" s="5"/>
      <c r="G550" s="10">
        <f>'Пр.4 ведом.20'!G857</f>
        <v>0</v>
      </c>
      <c r="H550" s="328">
        <f>'Пр.4 ведом.20'!H857</f>
        <v>0</v>
      </c>
      <c r="I550" s="358" t="e">
        <f t="shared" si="306"/>
        <v>#DIV/0!</v>
      </c>
    </row>
    <row r="551" spans="1:9" s="213" customFormat="1" ht="15.75" hidden="1" customHeight="1" x14ac:dyDescent="0.25">
      <c r="A551" s="70" t="s">
        <v>496</v>
      </c>
      <c r="B551" s="20" t="s">
        <v>1082</v>
      </c>
      <c r="C551" s="40" t="s">
        <v>507</v>
      </c>
      <c r="D551" s="40" t="s">
        <v>134</v>
      </c>
      <c r="E551" s="40" t="s">
        <v>291</v>
      </c>
      <c r="F551" s="5">
        <v>907</v>
      </c>
      <c r="G551" s="10">
        <f>G550</f>
        <v>0</v>
      </c>
      <c r="H551" s="328">
        <f t="shared" ref="H551" si="319">H550</f>
        <v>0</v>
      </c>
      <c r="I551" s="358" t="e">
        <f t="shared" si="306"/>
        <v>#DIV/0!</v>
      </c>
    </row>
    <row r="552" spans="1:9" ht="31.5" x14ac:dyDescent="0.25">
      <c r="A552" s="45" t="s">
        <v>787</v>
      </c>
      <c r="B552" s="20" t="s">
        <v>1083</v>
      </c>
      <c r="C552" s="40" t="s">
        <v>507</v>
      </c>
      <c r="D552" s="40" t="s">
        <v>134</v>
      </c>
      <c r="E552" s="40"/>
      <c r="F552" s="5"/>
      <c r="G552" s="10">
        <f t="shared" ref="G552:H553" si="320">G553</f>
        <v>1205.8</v>
      </c>
      <c r="H552" s="328">
        <f t="shared" si="320"/>
        <v>1205.8</v>
      </c>
      <c r="I552" s="358">
        <f t="shared" si="306"/>
        <v>100</v>
      </c>
    </row>
    <row r="553" spans="1:9" ht="31.5" x14ac:dyDescent="0.25">
      <c r="A553" s="31" t="s">
        <v>288</v>
      </c>
      <c r="B553" s="20" t="s">
        <v>1083</v>
      </c>
      <c r="C553" s="40" t="s">
        <v>507</v>
      </c>
      <c r="D553" s="40" t="s">
        <v>134</v>
      </c>
      <c r="E553" s="40" t="s">
        <v>289</v>
      </c>
      <c r="F553" s="5"/>
      <c r="G553" s="10">
        <f t="shared" si="320"/>
        <v>1205.8</v>
      </c>
      <c r="H553" s="328">
        <f t="shared" si="320"/>
        <v>1205.8</v>
      </c>
      <c r="I553" s="358">
        <f t="shared" si="306"/>
        <v>100</v>
      </c>
    </row>
    <row r="554" spans="1:9" ht="15.75" x14ac:dyDescent="0.25">
      <c r="A554" s="31" t="s">
        <v>290</v>
      </c>
      <c r="B554" s="20" t="s">
        <v>1083</v>
      </c>
      <c r="C554" s="40" t="s">
        <v>507</v>
      </c>
      <c r="D554" s="40" t="s">
        <v>134</v>
      </c>
      <c r="E554" s="40" t="s">
        <v>291</v>
      </c>
      <c r="F554" s="5"/>
      <c r="G554" s="10">
        <f>'Пр.4 ведом.20'!G860</f>
        <v>1205.8</v>
      </c>
      <c r="H554" s="328">
        <f>'Пр.4 ведом.20'!H860</f>
        <v>1205.8</v>
      </c>
      <c r="I554" s="358">
        <f t="shared" si="306"/>
        <v>100</v>
      </c>
    </row>
    <row r="555" spans="1:9" s="213" customFormat="1" ht="31.5" x14ac:dyDescent="0.25">
      <c r="A555" s="70" t="s">
        <v>496</v>
      </c>
      <c r="B555" s="20" t="s">
        <v>1083</v>
      </c>
      <c r="C555" s="40" t="s">
        <v>507</v>
      </c>
      <c r="D555" s="40" t="s">
        <v>134</v>
      </c>
      <c r="E555" s="40" t="s">
        <v>291</v>
      </c>
      <c r="F555" s="5">
        <v>907</v>
      </c>
      <c r="G555" s="10">
        <f>G554</f>
        <v>1205.8</v>
      </c>
      <c r="H555" s="328">
        <f t="shared" ref="H555" si="321">H554</f>
        <v>1205.8</v>
      </c>
      <c r="I555" s="358">
        <f t="shared" si="306"/>
        <v>100</v>
      </c>
    </row>
    <row r="556" spans="1:9" s="213" customFormat="1" ht="47.25" x14ac:dyDescent="0.25">
      <c r="A556" s="23" t="s">
        <v>971</v>
      </c>
      <c r="B556" s="24" t="s">
        <v>1084</v>
      </c>
      <c r="C556" s="7"/>
      <c r="D556" s="7"/>
      <c r="E556" s="7"/>
      <c r="F556" s="206"/>
      <c r="G556" s="59">
        <f>G557</f>
        <v>813.5</v>
      </c>
      <c r="H556" s="340">
        <f t="shared" ref="H556" si="322">H557</f>
        <v>549.83600000000001</v>
      </c>
      <c r="I556" s="4">
        <f t="shared" si="306"/>
        <v>67.588936693300553</v>
      </c>
    </row>
    <row r="557" spans="1:9" s="213" customFormat="1" ht="15.75" x14ac:dyDescent="0.25">
      <c r="A557" s="29" t="s">
        <v>506</v>
      </c>
      <c r="B557" s="40" t="s">
        <v>1084</v>
      </c>
      <c r="C557" s="2">
        <v>11</v>
      </c>
      <c r="D557" s="68"/>
      <c r="E557" s="68"/>
      <c r="F557" s="68"/>
      <c r="G557" s="10">
        <f t="shared" ref="G557:H560" si="323">G558</f>
        <v>813.5</v>
      </c>
      <c r="H557" s="328">
        <f t="shared" si="323"/>
        <v>549.83600000000001</v>
      </c>
      <c r="I557" s="358">
        <f t="shared" si="306"/>
        <v>67.588936693300553</v>
      </c>
    </row>
    <row r="558" spans="1:9" s="213" customFormat="1" ht="16.5" x14ac:dyDescent="0.25">
      <c r="A558" s="29" t="s">
        <v>508</v>
      </c>
      <c r="B558" s="40" t="s">
        <v>1084</v>
      </c>
      <c r="C558" s="40" t="s">
        <v>507</v>
      </c>
      <c r="D558" s="40" t="s">
        <v>134</v>
      </c>
      <c r="E558" s="71"/>
      <c r="F558" s="5"/>
      <c r="G558" s="10">
        <f>G559</f>
        <v>813.5</v>
      </c>
      <c r="H558" s="328">
        <f t="shared" si="323"/>
        <v>549.83600000000001</v>
      </c>
      <c r="I558" s="358">
        <f t="shared" si="306"/>
        <v>67.588936693300553</v>
      </c>
    </row>
    <row r="559" spans="1:9" s="213" customFormat="1" ht="94.5" x14ac:dyDescent="0.25">
      <c r="A559" s="31" t="s">
        <v>480</v>
      </c>
      <c r="B559" s="20" t="s">
        <v>1519</v>
      </c>
      <c r="C559" s="40" t="s">
        <v>507</v>
      </c>
      <c r="D559" s="40" t="s">
        <v>134</v>
      </c>
      <c r="E559" s="40"/>
      <c r="F559" s="5"/>
      <c r="G559" s="10">
        <f>G560</f>
        <v>813.5</v>
      </c>
      <c r="H559" s="328">
        <f t="shared" si="323"/>
        <v>549.83600000000001</v>
      </c>
      <c r="I559" s="358">
        <f t="shared" si="306"/>
        <v>67.588936693300553</v>
      </c>
    </row>
    <row r="560" spans="1:9" s="213" customFormat="1" ht="31.5" x14ac:dyDescent="0.25">
      <c r="A560" s="25" t="s">
        <v>288</v>
      </c>
      <c r="B560" s="331" t="s">
        <v>1519</v>
      </c>
      <c r="C560" s="40" t="s">
        <v>507</v>
      </c>
      <c r="D560" s="40" t="s">
        <v>134</v>
      </c>
      <c r="E560" s="40" t="s">
        <v>289</v>
      </c>
      <c r="F560" s="5"/>
      <c r="G560" s="10">
        <f>G561</f>
        <v>813.5</v>
      </c>
      <c r="H560" s="328">
        <f t="shared" si="323"/>
        <v>549.83600000000001</v>
      </c>
      <c r="I560" s="358">
        <f t="shared" si="306"/>
        <v>67.588936693300553</v>
      </c>
    </row>
    <row r="561" spans="1:9" s="213" customFormat="1" ht="15.75" x14ac:dyDescent="0.25">
      <c r="A561" s="25" t="s">
        <v>290</v>
      </c>
      <c r="B561" s="331" t="s">
        <v>1519</v>
      </c>
      <c r="C561" s="40" t="s">
        <v>507</v>
      </c>
      <c r="D561" s="40" t="s">
        <v>134</v>
      </c>
      <c r="E561" s="40" t="s">
        <v>291</v>
      </c>
      <c r="F561" s="5"/>
      <c r="G561" s="10">
        <f>'Пр.4 ведом.20'!G864</f>
        <v>813.5</v>
      </c>
      <c r="H561" s="328">
        <f>'Пр.4 ведом.20'!H864</f>
        <v>549.83600000000001</v>
      </c>
      <c r="I561" s="358">
        <f t="shared" si="306"/>
        <v>67.588936693300553</v>
      </c>
    </row>
    <row r="562" spans="1:9" s="213" customFormat="1" ht="31.5" x14ac:dyDescent="0.25">
      <c r="A562" s="70" t="s">
        <v>496</v>
      </c>
      <c r="B562" s="331" t="s">
        <v>1519</v>
      </c>
      <c r="C562" s="40" t="s">
        <v>507</v>
      </c>
      <c r="D562" s="40" t="s">
        <v>134</v>
      </c>
      <c r="E562" s="40" t="s">
        <v>291</v>
      </c>
      <c r="F562" s="5">
        <v>907</v>
      </c>
      <c r="G562" s="10">
        <f>G561</f>
        <v>813.5</v>
      </c>
      <c r="H562" s="328">
        <f t="shared" ref="H562" si="324">H561</f>
        <v>549.83600000000001</v>
      </c>
      <c r="I562" s="358">
        <f t="shared" si="306"/>
        <v>67.588936693300553</v>
      </c>
    </row>
    <row r="563" spans="1:9" s="213" customFormat="1" ht="63" x14ac:dyDescent="0.25">
      <c r="A563" s="23" t="s">
        <v>1484</v>
      </c>
      <c r="B563" s="24" t="s">
        <v>1481</v>
      </c>
      <c r="C563" s="7"/>
      <c r="D563" s="7"/>
      <c r="E563" s="7"/>
      <c r="F563" s="206"/>
      <c r="G563" s="59">
        <f>G564</f>
        <v>439.56040000000002</v>
      </c>
      <c r="H563" s="340">
        <f t="shared" ref="H563:H567" si="325">H564</f>
        <v>439.56</v>
      </c>
      <c r="I563" s="4">
        <f t="shared" si="306"/>
        <v>99.999908999991803</v>
      </c>
    </row>
    <row r="564" spans="1:9" s="213" customFormat="1" ht="15.75" x14ac:dyDescent="0.25">
      <c r="A564" s="29" t="s">
        <v>506</v>
      </c>
      <c r="B564" s="20" t="s">
        <v>1481</v>
      </c>
      <c r="C564" s="40" t="s">
        <v>507</v>
      </c>
      <c r="D564" s="40"/>
      <c r="E564" s="40"/>
      <c r="F564" s="5"/>
      <c r="G564" s="10">
        <f>G565</f>
        <v>439.56040000000002</v>
      </c>
      <c r="H564" s="328">
        <f t="shared" si="325"/>
        <v>439.56</v>
      </c>
      <c r="I564" s="358">
        <f t="shared" si="306"/>
        <v>99.999908999991803</v>
      </c>
    </row>
    <row r="565" spans="1:9" s="213" customFormat="1" ht="15.75" x14ac:dyDescent="0.25">
      <c r="A565" s="29" t="s">
        <v>508</v>
      </c>
      <c r="B565" s="20" t="s">
        <v>1481</v>
      </c>
      <c r="C565" s="40" t="s">
        <v>507</v>
      </c>
      <c r="D565" s="40" t="s">
        <v>134</v>
      </c>
      <c r="E565" s="40"/>
      <c r="F565" s="5"/>
      <c r="G565" s="10">
        <f>G566</f>
        <v>439.56040000000002</v>
      </c>
      <c r="H565" s="328">
        <f t="shared" si="325"/>
        <v>439.56</v>
      </c>
      <c r="I565" s="358">
        <f t="shared" si="306"/>
        <v>99.999908999991803</v>
      </c>
    </row>
    <row r="566" spans="1:9" s="213" customFormat="1" ht="47.25" x14ac:dyDescent="0.25">
      <c r="A566" s="25" t="s">
        <v>1485</v>
      </c>
      <c r="B566" s="20" t="s">
        <v>1480</v>
      </c>
      <c r="C566" s="40" t="s">
        <v>507</v>
      </c>
      <c r="D566" s="40" t="s">
        <v>134</v>
      </c>
      <c r="E566" s="40"/>
      <c r="F566" s="5"/>
      <c r="G566" s="10">
        <f>G567</f>
        <v>439.56040000000002</v>
      </c>
      <c r="H566" s="328">
        <f t="shared" si="325"/>
        <v>439.56</v>
      </c>
      <c r="I566" s="358">
        <f t="shared" si="306"/>
        <v>99.999908999991803</v>
      </c>
    </row>
    <row r="567" spans="1:9" s="213" customFormat="1" ht="31.5" x14ac:dyDescent="0.25">
      <c r="A567" s="25" t="s">
        <v>288</v>
      </c>
      <c r="B567" s="20" t="s">
        <v>1480</v>
      </c>
      <c r="C567" s="40" t="s">
        <v>507</v>
      </c>
      <c r="D567" s="40" t="s">
        <v>134</v>
      </c>
      <c r="E567" s="40" t="s">
        <v>289</v>
      </c>
      <c r="F567" s="5"/>
      <c r="G567" s="10">
        <f>G568</f>
        <v>439.56040000000002</v>
      </c>
      <c r="H567" s="328">
        <f t="shared" si="325"/>
        <v>439.56</v>
      </c>
      <c r="I567" s="358">
        <f t="shared" si="306"/>
        <v>99.999908999991803</v>
      </c>
    </row>
    <row r="568" spans="1:9" s="213" customFormat="1" ht="15.75" x14ac:dyDescent="0.25">
      <c r="A568" s="25" t="s">
        <v>290</v>
      </c>
      <c r="B568" s="20" t="s">
        <v>1480</v>
      </c>
      <c r="C568" s="40" t="s">
        <v>507</v>
      </c>
      <c r="D568" s="40" t="s">
        <v>134</v>
      </c>
      <c r="E568" s="40" t="s">
        <v>291</v>
      </c>
      <c r="F568" s="5"/>
      <c r="G568" s="10">
        <f>'Пр.4 ведом.20'!G871</f>
        <v>439.56040000000002</v>
      </c>
      <c r="H568" s="328">
        <f>'Пр.4 ведом.20'!H871</f>
        <v>439.56</v>
      </c>
      <c r="I568" s="358">
        <f t="shared" si="306"/>
        <v>99.999908999991803</v>
      </c>
    </row>
    <row r="569" spans="1:9" s="213" customFormat="1" ht="31.5" x14ac:dyDescent="0.25">
      <c r="A569" s="70" t="s">
        <v>496</v>
      </c>
      <c r="B569" s="20" t="s">
        <v>1480</v>
      </c>
      <c r="C569" s="40" t="s">
        <v>507</v>
      </c>
      <c r="D569" s="40" t="s">
        <v>134</v>
      </c>
      <c r="E569" s="40" t="s">
        <v>291</v>
      </c>
      <c r="F569" s="5">
        <v>907</v>
      </c>
      <c r="G569" s="10">
        <f>G563</f>
        <v>439.56040000000002</v>
      </c>
      <c r="H569" s="328">
        <f t="shared" ref="H569" si="326">H563</f>
        <v>439.56</v>
      </c>
      <c r="I569" s="358">
        <f t="shared" si="306"/>
        <v>99.999908999991803</v>
      </c>
    </row>
    <row r="570" spans="1:9" s="324" customFormat="1" ht="47.25" x14ac:dyDescent="0.25">
      <c r="A570" s="333" t="s">
        <v>1505</v>
      </c>
      <c r="B570" s="334" t="s">
        <v>1507</v>
      </c>
      <c r="C570" s="339"/>
      <c r="D570" s="339"/>
      <c r="E570" s="339"/>
      <c r="F570" s="326"/>
      <c r="G570" s="340">
        <f>G571</f>
        <v>5031.17</v>
      </c>
      <c r="H570" s="340">
        <f t="shared" ref="H570:H571" si="327">H571</f>
        <v>4171.2559999999994</v>
      </c>
      <c r="I570" s="4">
        <f t="shared" si="306"/>
        <v>82.90826984578139</v>
      </c>
    </row>
    <row r="571" spans="1:9" s="324" customFormat="1" ht="15.75" x14ac:dyDescent="0.25">
      <c r="A571" s="338" t="s">
        <v>506</v>
      </c>
      <c r="B571" s="331" t="s">
        <v>1507</v>
      </c>
      <c r="C571" s="339" t="s">
        <v>507</v>
      </c>
      <c r="D571" s="339"/>
      <c r="E571" s="339"/>
      <c r="F571" s="326"/>
      <c r="G571" s="328">
        <f>G572</f>
        <v>5031.17</v>
      </c>
      <c r="H571" s="328">
        <f t="shared" si="327"/>
        <v>4171.2559999999994</v>
      </c>
      <c r="I571" s="358">
        <f t="shared" si="306"/>
        <v>82.90826984578139</v>
      </c>
    </row>
    <row r="572" spans="1:9" s="324" customFormat="1" ht="15.75" x14ac:dyDescent="0.25">
      <c r="A572" s="338" t="s">
        <v>508</v>
      </c>
      <c r="B572" s="331" t="s">
        <v>1507</v>
      </c>
      <c r="C572" s="339" t="s">
        <v>507</v>
      </c>
      <c r="D572" s="339" t="s">
        <v>134</v>
      </c>
      <c r="E572" s="339"/>
      <c r="F572" s="326"/>
      <c r="G572" s="328">
        <f>G573+G577</f>
        <v>5031.17</v>
      </c>
      <c r="H572" s="328">
        <f t="shared" ref="H572" si="328">H573+H577</f>
        <v>4171.2559999999994</v>
      </c>
      <c r="I572" s="358">
        <f t="shared" si="306"/>
        <v>82.90826984578139</v>
      </c>
    </row>
    <row r="573" spans="1:9" s="324" customFormat="1" ht="55.5" customHeight="1" x14ac:dyDescent="0.25">
      <c r="A573" s="335" t="s">
        <v>1506</v>
      </c>
      <c r="B573" s="331" t="s">
        <v>1508</v>
      </c>
      <c r="C573" s="339" t="s">
        <v>507</v>
      </c>
      <c r="D573" s="339" t="s">
        <v>134</v>
      </c>
      <c r="E573" s="339"/>
      <c r="F573" s="326"/>
      <c r="G573" s="328">
        <f>G574</f>
        <v>206.27</v>
      </c>
      <c r="H573" s="328">
        <f t="shared" ref="H573:H574" si="329">H574</f>
        <v>206.25700000000001</v>
      </c>
      <c r="I573" s="358">
        <f t="shared" si="306"/>
        <v>99.993697580840646</v>
      </c>
    </row>
    <row r="574" spans="1:9" s="324" customFormat="1" ht="31.5" x14ac:dyDescent="0.25">
      <c r="A574" s="335" t="s">
        <v>288</v>
      </c>
      <c r="B574" s="331" t="s">
        <v>1508</v>
      </c>
      <c r="C574" s="339" t="s">
        <v>507</v>
      </c>
      <c r="D574" s="339" t="s">
        <v>134</v>
      </c>
      <c r="E574" s="339" t="s">
        <v>289</v>
      </c>
      <c r="F574" s="326"/>
      <c r="G574" s="328">
        <f>G575</f>
        <v>206.27</v>
      </c>
      <c r="H574" s="328">
        <f t="shared" si="329"/>
        <v>206.25700000000001</v>
      </c>
      <c r="I574" s="358">
        <f t="shared" si="306"/>
        <v>99.993697580840646</v>
      </c>
    </row>
    <row r="575" spans="1:9" s="324" customFormat="1" ht="15.75" x14ac:dyDescent="0.25">
      <c r="A575" s="335" t="s">
        <v>290</v>
      </c>
      <c r="B575" s="331" t="s">
        <v>1508</v>
      </c>
      <c r="C575" s="339" t="s">
        <v>507</v>
      </c>
      <c r="D575" s="339" t="s">
        <v>134</v>
      </c>
      <c r="E575" s="339" t="s">
        <v>291</v>
      </c>
      <c r="F575" s="326"/>
      <c r="G575" s="328">
        <f>'Пр.4 ведом.20'!G875</f>
        <v>206.27</v>
      </c>
      <c r="H575" s="328">
        <f>'Пр.4 ведом.20'!H875</f>
        <v>206.25700000000001</v>
      </c>
      <c r="I575" s="358">
        <f t="shared" si="306"/>
        <v>99.993697580840646</v>
      </c>
    </row>
    <row r="576" spans="1:9" s="324" customFormat="1" ht="31.5" x14ac:dyDescent="0.25">
      <c r="A576" s="341" t="s">
        <v>496</v>
      </c>
      <c r="B576" s="331" t="s">
        <v>1508</v>
      </c>
      <c r="C576" s="339" t="s">
        <v>507</v>
      </c>
      <c r="D576" s="339" t="s">
        <v>134</v>
      </c>
      <c r="E576" s="339" t="s">
        <v>291</v>
      </c>
      <c r="F576" s="326">
        <v>907</v>
      </c>
      <c r="G576" s="328">
        <f>G573</f>
        <v>206.27</v>
      </c>
      <c r="H576" s="328">
        <f t="shared" ref="H576" si="330">H573</f>
        <v>206.25700000000001</v>
      </c>
      <c r="I576" s="358">
        <f t="shared" si="306"/>
        <v>99.993697580840646</v>
      </c>
    </row>
    <row r="577" spans="1:9" s="324" customFormat="1" ht="38.25" customHeight="1" x14ac:dyDescent="0.25">
      <c r="A577" s="335" t="s">
        <v>1504</v>
      </c>
      <c r="B577" s="331" t="s">
        <v>1509</v>
      </c>
      <c r="C577" s="339" t="s">
        <v>507</v>
      </c>
      <c r="D577" s="339" t="s">
        <v>134</v>
      </c>
      <c r="E577" s="339"/>
      <c r="F577" s="326"/>
      <c r="G577" s="328">
        <f>G578</f>
        <v>4824.8999999999996</v>
      </c>
      <c r="H577" s="328">
        <f t="shared" ref="H577:H578" si="331">H578</f>
        <v>3964.9989999999998</v>
      </c>
      <c r="I577" s="358">
        <f t="shared" si="306"/>
        <v>82.177848245559488</v>
      </c>
    </row>
    <row r="578" spans="1:9" s="324" customFormat="1" ht="31.5" x14ac:dyDescent="0.25">
      <c r="A578" s="335" t="s">
        <v>288</v>
      </c>
      <c r="B578" s="331" t="s">
        <v>1509</v>
      </c>
      <c r="C578" s="339" t="s">
        <v>507</v>
      </c>
      <c r="D578" s="339" t="s">
        <v>134</v>
      </c>
      <c r="E578" s="339" t="s">
        <v>289</v>
      </c>
      <c r="F578" s="326"/>
      <c r="G578" s="328">
        <f>G579</f>
        <v>4824.8999999999996</v>
      </c>
      <c r="H578" s="328">
        <f t="shared" si="331"/>
        <v>3964.9989999999998</v>
      </c>
      <c r="I578" s="358">
        <f t="shared" si="306"/>
        <v>82.177848245559488</v>
      </c>
    </row>
    <row r="579" spans="1:9" s="324" customFormat="1" ht="15.75" x14ac:dyDescent="0.25">
      <c r="A579" s="335" t="s">
        <v>290</v>
      </c>
      <c r="B579" s="331" t="s">
        <v>1509</v>
      </c>
      <c r="C579" s="339" t="s">
        <v>507</v>
      </c>
      <c r="D579" s="339" t="s">
        <v>134</v>
      </c>
      <c r="E579" s="339" t="s">
        <v>291</v>
      </c>
      <c r="F579" s="326"/>
      <c r="G579" s="328">
        <f>'Пр.4 ведом.20'!G878</f>
        <v>4824.8999999999996</v>
      </c>
      <c r="H579" s="328">
        <f>'Пр.4 ведом.20'!H878</f>
        <v>3964.9989999999998</v>
      </c>
      <c r="I579" s="358">
        <f t="shared" si="306"/>
        <v>82.177848245559488</v>
      </c>
    </row>
    <row r="580" spans="1:9" s="324" customFormat="1" ht="31.5" x14ac:dyDescent="0.25">
      <c r="A580" s="341" t="s">
        <v>496</v>
      </c>
      <c r="B580" s="331" t="s">
        <v>1509</v>
      </c>
      <c r="C580" s="339" t="s">
        <v>507</v>
      </c>
      <c r="D580" s="339" t="s">
        <v>134</v>
      </c>
      <c r="E580" s="339" t="s">
        <v>291</v>
      </c>
      <c r="F580" s="326">
        <v>907</v>
      </c>
      <c r="G580" s="328">
        <f>G577</f>
        <v>4824.8999999999996</v>
      </c>
      <c r="H580" s="328">
        <f t="shared" ref="H580" si="332">H577</f>
        <v>3964.9989999999998</v>
      </c>
      <c r="I580" s="358">
        <f t="shared" si="306"/>
        <v>82.177848245559488</v>
      </c>
    </row>
    <row r="581" spans="1:9" ht="47.25" x14ac:dyDescent="0.25">
      <c r="A581" s="58" t="s">
        <v>517</v>
      </c>
      <c r="B581" s="7" t="s">
        <v>518</v>
      </c>
      <c r="C581" s="40"/>
      <c r="D581" s="40"/>
      <c r="E581" s="7"/>
      <c r="F581" s="206"/>
      <c r="G581" s="4">
        <f>G582</f>
        <v>2748</v>
      </c>
      <c r="H581" s="4">
        <f t="shared" ref="H581:H584" si="333">H582</f>
        <v>917.67000000000007</v>
      </c>
      <c r="I581" s="4">
        <f t="shared" si="306"/>
        <v>33.394104803493448</v>
      </c>
    </row>
    <row r="582" spans="1:9" s="213" customFormat="1" ht="31.5" x14ac:dyDescent="0.25">
      <c r="A582" s="58" t="s">
        <v>1086</v>
      </c>
      <c r="B582" s="7" t="s">
        <v>1087</v>
      </c>
      <c r="C582" s="7"/>
      <c r="D582" s="7"/>
      <c r="E582" s="7"/>
      <c r="F582" s="206"/>
      <c r="G582" s="4">
        <f>G583</f>
        <v>2748</v>
      </c>
      <c r="H582" s="4">
        <f t="shared" si="333"/>
        <v>917.67000000000007</v>
      </c>
      <c r="I582" s="4">
        <f t="shared" si="306"/>
        <v>33.394104803493448</v>
      </c>
    </row>
    <row r="583" spans="1:9" ht="15.75" x14ac:dyDescent="0.25">
      <c r="A583" s="29" t="s">
        <v>506</v>
      </c>
      <c r="B583" s="40" t="s">
        <v>1087</v>
      </c>
      <c r="C583" s="40" t="s">
        <v>507</v>
      </c>
      <c r="D583" s="40"/>
      <c r="E583" s="40"/>
      <c r="F583" s="5"/>
      <c r="G583" s="6">
        <f>G584</f>
        <v>2748</v>
      </c>
      <c r="H583" s="358">
        <f t="shared" si="333"/>
        <v>917.67000000000007</v>
      </c>
      <c r="I583" s="358">
        <f t="shared" si="306"/>
        <v>33.394104803493448</v>
      </c>
    </row>
    <row r="584" spans="1:9" ht="31.5" x14ac:dyDescent="0.25">
      <c r="A584" s="25" t="s">
        <v>516</v>
      </c>
      <c r="B584" s="40" t="s">
        <v>1087</v>
      </c>
      <c r="C584" s="40" t="s">
        <v>507</v>
      </c>
      <c r="D584" s="40" t="s">
        <v>250</v>
      </c>
      <c r="E584" s="40"/>
      <c r="F584" s="5"/>
      <c r="G584" s="6">
        <f>G585</f>
        <v>2748</v>
      </c>
      <c r="H584" s="358">
        <f t="shared" si="333"/>
        <v>917.67000000000007</v>
      </c>
      <c r="I584" s="358">
        <f t="shared" si="306"/>
        <v>33.394104803493448</v>
      </c>
    </row>
    <row r="585" spans="1:9" ht="15.75" x14ac:dyDescent="0.25">
      <c r="A585" s="29" t="s">
        <v>1088</v>
      </c>
      <c r="B585" s="40" t="s">
        <v>1236</v>
      </c>
      <c r="C585" s="40" t="s">
        <v>507</v>
      </c>
      <c r="D585" s="40" t="s">
        <v>250</v>
      </c>
      <c r="E585" s="40"/>
      <c r="F585" s="5"/>
      <c r="G585" s="6">
        <f>G586+G589</f>
        <v>2748</v>
      </c>
      <c r="H585" s="358">
        <f t="shared" ref="H585" si="334">H586+H589</f>
        <v>917.67000000000007</v>
      </c>
      <c r="I585" s="358">
        <f t="shared" si="306"/>
        <v>33.394104803493448</v>
      </c>
    </row>
    <row r="586" spans="1:9" ht="78.75" x14ac:dyDescent="0.25">
      <c r="A586" s="25" t="s">
        <v>143</v>
      </c>
      <c r="B586" s="40" t="s">
        <v>1236</v>
      </c>
      <c r="C586" s="40" t="s">
        <v>507</v>
      </c>
      <c r="D586" s="40" t="s">
        <v>250</v>
      </c>
      <c r="E586" s="40" t="s">
        <v>144</v>
      </c>
      <c r="F586" s="5"/>
      <c r="G586" s="6">
        <f t="shared" ref="G586:H586" si="335">G587</f>
        <v>2148</v>
      </c>
      <c r="H586" s="358">
        <f t="shared" si="335"/>
        <v>453.04</v>
      </c>
      <c r="I586" s="358">
        <f t="shared" si="306"/>
        <v>21.09124767225326</v>
      </c>
    </row>
    <row r="587" spans="1:9" ht="24" customHeight="1" x14ac:dyDescent="0.25">
      <c r="A587" s="25" t="s">
        <v>358</v>
      </c>
      <c r="B587" s="40" t="s">
        <v>1236</v>
      </c>
      <c r="C587" s="40" t="s">
        <v>507</v>
      </c>
      <c r="D587" s="40" t="s">
        <v>250</v>
      </c>
      <c r="E587" s="40" t="s">
        <v>225</v>
      </c>
      <c r="F587" s="5"/>
      <c r="G587" s="6">
        <f>'Пр.4 ведом.20'!G915</f>
        <v>2148</v>
      </c>
      <c r="H587" s="358">
        <f>'Пр.4 ведом.20'!H915</f>
        <v>453.04</v>
      </c>
      <c r="I587" s="358">
        <f t="shared" si="306"/>
        <v>21.09124767225326</v>
      </c>
    </row>
    <row r="588" spans="1:9" s="213" customFormat="1" ht="24" customHeight="1" x14ac:dyDescent="0.25">
      <c r="A588" s="70" t="s">
        <v>496</v>
      </c>
      <c r="B588" s="40" t="s">
        <v>1236</v>
      </c>
      <c r="C588" s="40" t="s">
        <v>507</v>
      </c>
      <c r="D588" s="40" t="s">
        <v>250</v>
      </c>
      <c r="E588" s="40" t="s">
        <v>225</v>
      </c>
      <c r="F588" s="5">
        <v>907</v>
      </c>
      <c r="G588" s="10">
        <f>G587</f>
        <v>2148</v>
      </c>
      <c r="H588" s="328">
        <f t="shared" ref="H588" si="336">H587</f>
        <v>453.04</v>
      </c>
      <c r="I588" s="358">
        <f t="shared" si="306"/>
        <v>21.09124767225326</v>
      </c>
    </row>
    <row r="589" spans="1:9" ht="31.5" x14ac:dyDescent="0.25">
      <c r="A589" s="29" t="s">
        <v>147</v>
      </c>
      <c r="B589" s="40" t="s">
        <v>1236</v>
      </c>
      <c r="C589" s="40" t="s">
        <v>507</v>
      </c>
      <c r="D589" s="40" t="s">
        <v>250</v>
      </c>
      <c r="E589" s="40" t="s">
        <v>148</v>
      </c>
      <c r="F589" s="5"/>
      <c r="G589" s="6">
        <f t="shared" ref="G589:H589" si="337">G590</f>
        <v>600</v>
      </c>
      <c r="H589" s="358">
        <f t="shared" si="337"/>
        <v>464.63</v>
      </c>
      <c r="I589" s="358">
        <f t="shared" si="306"/>
        <v>77.438333333333333</v>
      </c>
    </row>
    <row r="590" spans="1:9" ht="31.5" x14ac:dyDescent="0.25">
      <c r="A590" s="29" t="s">
        <v>149</v>
      </c>
      <c r="B590" s="40" t="s">
        <v>1236</v>
      </c>
      <c r="C590" s="40" t="s">
        <v>507</v>
      </c>
      <c r="D590" s="40" t="s">
        <v>250</v>
      </c>
      <c r="E590" s="40" t="s">
        <v>150</v>
      </c>
      <c r="F590" s="5"/>
      <c r="G590" s="6">
        <f>'Пр.4 ведом.20'!G917</f>
        <v>600</v>
      </c>
      <c r="H590" s="358">
        <f>'Пр.4 ведом.20'!H917</f>
        <v>464.63</v>
      </c>
      <c r="I590" s="358">
        <f t="shared" si="306"/>
        <v>77.438333333333333</v>
      </c>
    </row>
    <row r="591" spans="1:9" ht="31.5" x14ac:dyDescent="0.25">
      <c r="A591" s="70" t="s">
        <v>496</v>
      </c>
      <c r="B591" s="40" t="s">
        <v>1236</v>
      </c>
      <c r="C591" s="40" t="s">
        <v>507</v>
      </c>
      <c r="D591" s="40" t="s">
        <v>250</v>
      </c>
      <c r="E591" s="40" t="s">
        <v>150</v>
      </c>
      <c r="F591" s="5">
        <v>907</v>
      </c>
      <c r="G591" s="10">
        <f>G590</f>
        <v>600</v>
      </c>
      <c r="H591" s="328">
        <f t="shared" ref="H591" si="338">H590</f>
        <v>464.63</v>
      </c>
      <c r="I591" s="358">
        <f t="shared" si="306"/>
        <v>77.438333333333333</v>
      </c>
    </row>
    <row r="592" spans="1:9" ht="31.5" x14ac:dyDescent="0.25">
      <c r="A592" s="41" t="s">
        <v>282</v>
      </c>
      <c r="B592" s="7" t="s">
        <v>283</v>
      </c>
      <c r="C592" s="72"/>
      <c r="D592" s="72"/>
      <c r="E592" s="72"/>
      <c r="F592" s="3"/>
      <c r="G592" s="59">
        <f>G593+G642+G696</f>
        <v>70683.623000000007</v>
      </c>
      <c r="H592" s="340">
        <f t="shared" ref="H592" si="339">H593+H642+H696</f>
        <v>47090.797999999995</v>
      </c>
      <c r="I592" s="4">
        <f t="shared" si="306"/>
        <v>66.621935890298076</v>
      </c>
    </row>
    <row r="593" spans="1:9" ht="72.75" customHeight="1" x14ac:dyDescent="0.25">
      <c r="A593" s="41" t="s">
        <v>317</v>
      </c>
      <c r="B593" s="7" t="s">
        <v>318</v>
      </c>
      <c r="C593" s="7"/>
      <c r="D593" s="7"/>
      <c r="E593" s="72"/>
      <c r="F593" s="3"/>
      <c r="G593" s="59">
        <f>G594+G607+G617+G624+G635</f>
        <v>29692.922999999999</v>
      </c>
      <c r="H593" s="340">
        <f t="shared" ref="H593" si="340">H594+H607+H617+H624+H635</f>
        <v>20516.516999999996</v>
      </c>
      <c r="I593" s="4">
        <f t="shared" si="306"/>
        <v>69.0956461241623</v>
      </c>
    </row>
    <row r="594" spans="1:9" s="213" customFormat="1" ht="50.25" customHeight="1" x14ac:dyDescent="0.25">
      <c r="A594" s="23" t="s">
        <v>956</v>
      </c>
      <c r="B594" s="24" t="s">
        <v>957</v>
      </c>
      <c r="C594" s="7"/>
      <c r="D594" s="7"/>
      <c r="E594" s="7"/>
      <c r="F594" s="3"/>
      <c r="G594" s="59">
        <f>G595</f>
        <v>25838</v>
      </c>
      <c r="H594" s="340">
        <f t="shared" ref="H594:H596" si="341">H595</f>
        <v>17635.77</v>
      </c>
      <c r="I594" s="4">
        <f t="shared" ref="I594:I657" si="342">H594/G594*100</f>
        <v>68.255166808576519</v>
      </c>
    </row>
    <row r="595" spans="1:9" ht="15.75" x14ac:dyDescent="0.25">
      <c r="A595" s="73" t="s">
        <v>314</v>
      </c>
      <c r="B595" s="40" t="s">
        <v>957</v>
      </c>
      <c r="C595" s="40" t="s">
        <v>315</v>
      </c>
      <c r="D595" s="73"/>
      <c r="E595" s="73"/>
      <c r="F595" s="2"/>
      <c r="G595" s="10">
        <f>G596</f>
        <v>25838</v>
      </c>
      <c r="H595" s="328">
        <f t="shared" si="341"/>
        <v>17635.77</v>
      </c>
      <c r="I595" s="358">
        <f t="shared" si="342"/>
        <v>68.255166808576519</v>
      </c>
    </row>
    <row r="596" spans="1:9" ht="15.75" x14ac:dyDescent="0.25">
      <c r="A596" s="73" t="s">
        <v>316</v>
      </c>
      <c r="B596" s="40" t="s">
        <v>957</v>
      </c>
      <c r="C596" s="40" t="s">
        <v>315</v>
      </c>
      <c r="D596" s="40" t="s">
        <v>134</v>
      </c>
      <c r="E596" s="73"/>
      <c r="F596" s="2"/>
      <c r="G596" s="10">
        <f>G597</f>
        <v>25838</v>
      </c>
      <c r="H596" s="328">
        <f t="shared" si="341"/>
        <v>17635.77</v>
      </c>
      <c r="I596" s="358">
        <f t="shared" si="342"/>
        <v>68.255166808576519</v>
      </c>
    </row>
    <row r="597" spans="1:9" ht="15.75" x14ac:dyDescent="0.25">
      <c r="A597" s="25" t="s">
        <v>832</v>
      </c>
      <c r="B597" s="20" t="s">
        <v>955</v>
      </c>
      <c r="C597" s="40" t="s">
        <v>315</v>
      </c>
      <c r="D597" s="40" t="s">
        <v>134</v>
      </c>
      <c r="E597" s="40"/>
      <c r="F597" s="2"/>
      <c r="G597" s="10">
        <f>G598+G601+G604</f>
        <v>25838</v>
      </c>
      <c r="H597" s="328">
        <f t="shared" ref="H597" si="343">H598+H601+H604</f>
        <v>17635.77</v>
      </c>
      <c r="I597" s="358">
        <f t="shared" si="342"/>
        <v>68.255166808576519</v>
      </c>
    </row>
    <row r="598" spans="1:9" ht="78.75" x14ac:dyDescent="0.25">
      <c r="A598" s="25" t="s">
        <v>143</v>
      </c>
      <c r="B598" s="20" t="s">
        <v>955</v>
      </c>
      <c r="C598" s="40" t="s">
        <v>315</v>
      </c>
      <c r="D598" s="40" t="s">
        <v>134</v>
      </c>
      <c r="E598" s="40" t="s">
        <v>144</v>
      </c>
      <c r="F598" s="2"/>
      <c r="G598" s="10">
        <f>G599</f>
        <v>20047.5</v>
      </c>
      <c r="H598" s="328">
        <f t="shared" ref="H598" si="344">H599</f>
        <v>13980.53</v>
      </c>
      <c r="I598" s="358">
        <f t="shared" si="342"/>
        <v>69.737024566654199</v>
      </c>
    </row>
    <row r="599" spans="1:9" ht="15.75" x14ac:dyDescent="0.25">
      <c r="A599" s="25" t="s">
        <v>224</v>
      </c>
      <c r="B599" s="20" t="s">
        <v>955</v>
      </c>
      <c r="C599" s="40" t="s">
        <v>315</v>
      </c>
      <c r="D599" s="40" t="s">
        <v>134</v>
      </c>
      <c r="E599" s="40" t="s">
        <v>225</v>
      </c>
      <c r="F599" s="2"/>
      <c r="G599" s="10">
        <f>'Пр.4 ведом.20'!G348</f>
        <v>20047.5</v>
      </c>
      <c r="H599" s="328">
        <f>'Пр.4 ведом.20'!H348</f>
        <v>13980.53</v>
      </c>
      <c r="I599" s="358">
        <f t="shared" si="342"/>
        <v>69.737024566654199</v>
      </c>
    </row>
    <row r="600" spans="1:9" s="213" customFormat="1" ht="47.25" x14ac:dyDescent="0.25">
      <c r="A600" s="25" t="s">
        <v>1269</v>
      </c>
      <c r="B600" s="20" t="s">
        <v>955</v>
      </c>
      <c r="C600" s="40" t="s">
        <v>315</v>
      </c>
      <c r="D600" s="40" t="s">
        <v>134</v>
      </c>
      <c r="E600" s="40" t="s">
        <v>225</v>
      </c>
      <c r="F600" s="2">
        <v>903</v>
      </c>
      <c r="G600" s="10">
        <f>G599</f>
        <v>20047.5</v>
      </c>
      <c r="H600" s="328">
        <f t="shared" ref="H600" si="345">H599</f>
        <v>13980.53</v>
      </c>
      <c r="I600" s="358">
        <f t="shared" si="342"/>
        <v>69.737024566654199</v>
      </c>
    </row>
    <row r="601" spans="1:9" ht="31.5" x14ac:dyDescent="0.25">
      <c r="A601" s="25" t="s">
        <v>147</v>
      </c>
      <c r="B601" s="20" t="s">
        <v>955</v>
      </c>
      <c r="C601" s="40" t="s">
        <v>315</v>
      </c>
      <c r="D601" s="40" t="s">
        <v>134</v>
      </c>
      <c r="E601" s="40" t="s">
        <v>148</v>
      </c>
      <c r="F601" s="2"/>
      <c r="G601" s="10">
        <f>G602</f>
        <v>5666.5</v>
      </c>
      <c r="H601" s="328">
        <f t="shared" ref="H601" si="346">H602</f>
        <v>3533.6</v>
      </c>
      <c r="I601" s="358">
        <f t="shared" si="342"/>
        <v>62.359481161210617</v>
      </c>
    </row>
    <row r="602" spans="1:9" ht="31.5" x14ac:dyDescent="0.25">
      <c r="A602" s="25" t="s">
        <v>149</v>
      </c>
      <c r="B602" s="20" t="s">
        <v>955</v>
      </c>
      <c r="C602" s="40" t="s">
        <v>315</v>
      </c>
      <c r="D602" s="40" t="s">
        <v>134</v>
      </c>
      <c r="E602" s="40" t="s">
        <v>150</v>
      </c>
      <c r="F602" s="2"/>
      <c r="G602" s="10">
        <f>'Пр.4 ведом.20'!G350</f>
        <v>5666.5</v>
      </c>
      <c r="H602" s="328">
        <f>'Пр.4 ведом.20'!H350</f>
        <v>3533.6</v>
      </c>
      <c r="I602" s="358">
        <f t="shared" si="342"/>
        <v>62.359481161210617</v>
      </c>
    </row>
    <row r="603" spans="1:9" s="213" customFormat="1" ht="47.25" x14ac:dyDescent="0.25">
      <c r="A603" s="25" t="s">
        <v>1269</v>
      </c>
      <c r="B603" s="20" t="s">
        <v>955</v>
      </c>
      <c r="C603" s="40" t="s">
        <v>315</v>
      </c>
      <c r="D603" s="40" t="s">
        <v>134</v>
      </c>
      <c r="E603" s="40" t="s">
        <v>150</v>
      </c>
      <c r="F603" s="2">
        <v>903</v>
      </c>
      <c r="G603" s="10">
        <f>G602</f>
        <v>5666.5</v>
      </c>
      <c r="H603" s="328">
        <f t="shared" ref="H603" si="347">H602</f>
        <v>3533.6</v>
      </c>
      <c r="I603" s="358">
        <f t="shared" si="342"/>
        <v>62.359481161210617</v>
      </c>
    </row>
    <row r="604" spans="1:9" ht="15.75" customHeight="1" x14ac:dyDescent="0.25">
      <c r="A604" s="25" t="s">
        <v>151</v>
      </c>
      <c r="B604" s="20" t="s">
        <v>955</v>
      </c>
      <c r="C604" s="40" t="s">
        <v>315</v>
      </c>
      <c r="D604" s="40" t="s">
        <v>134</v>
      </c>
      <c r="E604" s="40" t="s">
        <v>161</v>
      </c>
      <c r="F604" s="2"/>
      <c r="G604" s="10">
        <f>G605</f>
        <v>124</v>
      </c>
      <c r="H604" s="328">
        <f t="shared" ref="H604" si="348">H605</f>
        <v>121.64</v>
      </c>
      <c r="I604" s="358">
        <f t="shared" si="342"/>
        <v>98.096774193548384</v>
      </c>
    </row>
    <row r="605" spans="1:9" ht="15.75" customHeight="1" x14ac:dyDescent="0.25">
      <c r="A605" s="25" t="s">
        <v>153</v>
      </c>
      <c r="B605" s="20" t="s">
        <v>955</v>
      </c>
      <c r="C605" s="40" t="s">
        <v>315</v>
      </c>
      <c r="D605" s="40" t="s">
        <v>134</v>
      </c>
      <c r="E605" s="40" t="s">
        <v>154</v>
      </c>
      <c r="F605" s="2"/>
      <c r="G605" s="10">
        <f>'Пр.4 ведом.20'!G352</f>
        <v>124</v>
      </c>
      <c r="H605" s="328">
        <f>'Пр.4 ведом.20'!H352</f>
        <v>121.64</v>
      </c>
      <c r="I605" s="358">
        <f t="shared" si="342"/>
        <v>98.096774193548384</v>
      </c>
    </row>
    <row r="606" spans="1:9" s="213" customFormat="1" ht="50.25" customHeight="1" x14ac:dyDescent="0.25">
      <c r="A606" s="25" t="s">
        <v>1269</v>
      </c>
      <c r="B606" s="20" t="s">
        <v>955</v>
      </c>
      <c r="C606" s="40" t="s">
        <v>315</v>
      </c>
      <c r="D606" s="40" t="s">
        <v>134</v>
      </c>
      <c r="E606" s="40" t="s">
        <v>154</v>
      </c>
      <c r="F606" s="2">
        <v>903</v>
      </c>
      <c r="G606" s="10">
        <f>G605</f>
        <v>124</v>
      </c>
      <c r="H606" s="328">
        <f t="shared" ref="H606" si="349">H605</f>
        <v>121.64</v>
      </c>
      <c r="I606" s="358">
        <f t="shared" si="342"/>
        <v>98.096774193548384</v>
      </c>
    </row>
    <row r="607" spans="1:9" s="213" customFormat="1" ht="31.7" customHeight="1" x14ac:dyDescent="0.25">
      <c r="A607" s="225" t="s">
        <v>970</v>
      </c>
      <c r="B607" s="24" t="s">
        <v>958</v>
      </c>
      <c r="C607" s="7"/>
      <c r="D607" s="7"/>
      <c r="E607" s="7"/>
      <c r="F607" s="3"/>
      <c r="G607" s="59">
        <f>G610+G614</f>
        <v>1111.7</v>
      </c>
      <c r="H607" s="340">
        <f t="shared" ref="H607" si="350">H610+H614</f>
        <v>517.6</v>
      </c>
      <c r="I607" s="4">
        <f t="shared" si="342"/>
        <v>46.559323558513988</v>
      </c>
    </row>
    <row r="608" spans="1:9" s="213" customFormat="1" ht="16.5" customHeight="1" x14ac:dyDescent="0.25">
      <c r="A608" s="73" t="s">
        <v>314</v>
      </c>
      <c r="B608" s="40" t="s">
        <v>958</v>
      </c>
      <c r="C608" s="40" t="s">
        <v>315</v>
      </c>
      <c r="D608" s="73"/>
      <c r="E608" s="73"/>
      <c r="F608" s="2"/>
      <c r="G608" s="10">
        <f>G609</f>
        <v>1111.7</v>
      </c>
      <c r="H608" s="328">
        <f t="shared" ref="H608" si="351">H609</f>
        <v>517.6</v>
      </c>
      <c r="I608" s="358">
        <f t="shared" si="342"/>
        <v>46.559323558513988</v>
      </c>
    </row>
    <row r="609" spans="1:9" s="213" customFormat="1" ht="16.5" customHeight="1" x14ac:dyDescent="0.25">
      <c r="A609" s="73" t="s">
        <v>316</v>
      </c>
      <c r="B609" s="40" t="s">
        <v>958</v>
      </c>
      <c r="C609" s="40" t="s">
        <v>315</v>
      </c>
      <c r="D609" s="40" t="s">
        <v>134</v>
      </c>
      <c r="E609" s="73"/>
      <c r="F609" s="2"/>
      <c r="G609" s="10">
        <f>G610+G614</f>
        <v>1111.7</v>
      </c>
      <c r="H609" s="328">
        <f t="shared" ref="H609" si="352">H610+H614</f>
        <v>517.6</v>
      </c>
      <c r="I609" s="358">
        <f t="shared" si="342"/>
        <v>46.559323558513988</v>
      </c>
    </row>
    <row r="610" spans="1:9" s="213" customFormat="1" ht="41.25" customHeight="1" x14ac:dyDescent="0.25">
      <c r="A610" s="31" t="s">
        <v>860</v>
      </c>
      <c r="B610" s="20" t="s">
        <v>959</v>
      </c>
      <c r="C610" s="40" t="s">
        <v>315</v>
      </c>
      <c r="D610" s="40" t="s">
        <v>134</v>
      </c>
      <c r="E610" s="40"/>
      <c r="F610" s="2"/>
      <c r="G610" s="10">
        <f>G611</f>
        <v>396.09999999999997</v>
      </c>
      <c r="H610" s="328">
        <f t="shared" ref="H610:H611" si="353">H611</f>
        <v>135.37</v>
      </c>
      <c r="I610" s="358">
        <f t="shared" si="342"/>
        <v>34.175713203736436</v>
      </c>
    </row>
    <row r="611" spans="1:9" s="213" customFormat="1" ht="83.25" customHeight="1" x14ac:dyDescent="0.25">
      <c r="A611" s="25" t="s">
        <v>143</v>
      </c>
      <c r="B611" s="20" t="s">
        <v>959</v>
      </c>
      <c r="C611" s="40" t="s">
        <v>315</v>
      </c>
      <c r="D611" s="40" t="s">
        <v>134</v>
      </c>
      <c r="E611" s="40" t="s">
        <v>144</v>
      </c>
      <c r="F611" s="2"/>
      <c r="G611" s="10">
        <f>G612</f>
        <v>396.09999999999997</v>
      </c>
      <c r="H611" s="328">
        <f t="shared" si="353"/>
        <v>135.37</v>
      </c>
      <c r="I611" s="358">
        <f t="shared" si="342"/>
        <v>34.175713203736436</v>
      </c>
    </row>
    <row r="612" spans="1:9" s="213" customFormat="1" ht="15.75" customHeight="1" x14ac:dyDescent="0.25">
      <c r="A612" s="25" t="s">
        <v>224</v>
      </c>
      <c r="B612" s="20" t="s">
        <v>959</v>
      </c>
      <c r="C612" s="40" t="s">
        <v>315</v>
      </c>
      <c r="D612" s="40" t="s">
        <v>134</v>
      </c>
      <c r="E612" s="40" t="s">
        <v>225</v>
      </c>
      <c r="F612" s="2"/>
      <c r="G612" s="10">
        <f>'Пр.3 Рд,пр, ЦС,ВР 20'!F841</f>
        <v>396.09999999999997</v>
      </c>
      <c r="H612" s="328">
        <f>'Пр.3 Рд,пр, ЦС,ВР 20'!G841</f>
        <v>135.37</v>
      </c>
      <c r="I612" s="358">
        <f t="shared" si="342"/>
        <v>34.175713203736436</v>
      </c>
    </row>
    <row r="613" spans="1:9" s="213" customFormat="1" ht="15.75" customHeight="1" x14ac:dyDescent="0.25">
      <c r="A613" s="25" t="s">
        <v>1269</v>
      </c>
      <c r="B613" s="20" t="s">
        <v>959</v>
      </c>
      <c r="C613" s="40" t="s">
        <v>315</v>
      </c>
      <c r="D613" s="40" t="s">
        <v>134</v>
      </c>
      <c r="E613" s="40" t="s">
        <v>225</v>
      </c>
      <c r="F613" s="2">
        <v>903</v>
      </c>
      <c r="G613" s="10">
        <f>G612</f>
        <v>396.09999999999997</v>
      </c>
      <c r="H613" s="328">
        <f t="shared" ref="H613" si="354">H612</f>
        <v>135.37</v>
      </c>
      <c r="I613" s="358">
        <f t="shared" si="342"/>
        <v>34.175713203736436</v>
      </c>
    </row>
    <row r="614" spans="1:9" s="213" customFormat="1" ht="40.700000000000003" customHeight="1" x14ac:dyDescent="0.25">
      <c r="A614" s="25" t="s">
        <v>147</v>
      </c>
      <c r="B614" s="20" t="s">
        <v>959</v>
      </c>
      <c r="C614" s="40" t="s">
        <v>315</v>
      </c>
      <c r="D614" s="40" t="s">
        <v>134</v>
      </c>
      <c r="E614" s="40" t="s">
        <v>148</v>
      </c>
      <c r="F614" s="2"/>
      <c r="G614" s="10">
        <f>G615</f>
        <v>715.6</v>
      </c>
      <c r="H614" s="328">
        <f t="shared" ref="H614" si="355">H615</f>
        <v>382.23</v>
      </c>
      <c r="I614" s="358">
        <f t="shared" si="342"/>
        <v>53.41391839016211</v>
      </c>
    </row>
    <row r="615" spans="1:9" s="213" customFormat="1" ht="40.700000000000003" customHeight="1" x14ac:dyDescent="0.25">
      <c r="A615" s="25" t="s">
        <v>149</v>
      </c>
      <c r="B615" s="20" t="s">
        <v>959</v>
      </c>
      <c r="C615" s="40" t="s">
        <v>315</v>
      </c>
      <c r="D615" s="40" t="s">
        <v>134</v>
      </c>
      <c r="E615" s="40" t="s">
        <v>150</v>
      </c>
      <c r="F615" s="2"/>
      <c r="G615" s="10">
        <f>'Пр.3 Рд,пр, ЦС,ВР 20'!F843</f>
        <v>715.6</v>
      </c>
      <c r="H615" s="328">
        <f>'Пр.3 Рд,пр, ЦС,ВР 20'!G843</f>
        <v>382.23</v>
      </c>
      <c r="I615" s="358">
        <f t="shared" si="342"/>
        <v>53.41391839016211</v>
      </c>
    </row>
    <row r="616" spans="1:9" s="213" customFormat="1" ht="46.5" customHeight="1" x14ac:dyDescent="0.25">
      <c r="A616" s="25" t="s">
        <v>1269</v>
      </c>
      <c r="B616" s="20" t="s">
        <v>959</v>
      </c>
      <c r="C616" s="40" t="s">
        <v>315</v>
      </c>
      <c r="D616" s="40" t="s">
        <v>134</v>
      </c>
      <c r="E616" s="40" t="s">
        <v>150</v>
      </c>
      <c r="F616" s="2">
        <v>903</v>
      </c>
      <c r="G616" s="10">
        <f>G615</f>
        <v>715.6</v>
      </c>
      <c r="H616" s="328">
        <f t="shared" ref="H616" si="356">H615</f>
        <v>382.23</v>
      </c>
      <c r="I616" s="358">
        <f t="shared" si="342"/>
        <v>53.41391839016211</v>
      </c>
    </row>
    <row r="617" spans="1:9" s="213" customFormat="1" ht="35.450000000000003" customHeight="1" x14ac:dyDescent="0.25">
      <c r="A617" s="23" t="s">
        <v>1076</v>
      </c>
      <c r="B617" s="24" t="s">
        <v>1164</v>
      </c>
      <c r="C617" s="7"/>
      <c r="D617" s="7"/>
      <c r="E617" s="7"/>
      <c r="F617" s="3"/>
      <c r="G617" s="59">
        <f>G620</f>
        <v>588</v>
      </c>
      <c r="H617" s="340">
        <f t="shared" ref="H617" si="357">H620</f>
        <v>468.67</v>
      </c>
      <c r="I617" s="4">
        <f t="shared" si="342"/>
        <v>79.70578231292518</v>
      </c>
    </row>
    <row r="618" spans="1:9" s="213" customFormat="1" ht="16.5" customHeight="1" x14ac:dyDescent="0.25">
      <c r="A618" s="73" t="s">
        <v>314</v>
      </c>
      <c r="B618" s="40" t="s">
        <v>1164</v>
      </c>
      <c r="C618" s="40" t="s">
        <v>315</v>
      </c>
      <c r="D618" s="73"/>
      <c r="E618" s="73"/>
      <c r="F618" s="2"/>
      <c r="G618" s="10">
        <f>G619</f>
        <v>1412.3</v>
      </c>
      <c r="H618" s="328">
        <f t="shared" ref="H618" si="358">H619</f>
        <v>1032.24</v>
      </c>
      <c r="I618" s="358">
        <f t="shared" si="342"/>
        <v>73.089286978687255</v>
      </c>
    </row>
    <row r="619" spans="1:9" s="213" customFormat="1" ht="18.75" customHeight="1" x14ac:dyDescent="0.25">
      <c r="A619" s="73" t="s">
        <v>316</v>
      </c>
      <c r="B619" s="40" t="s">
        <v>1164</v>
      </c>
      <c r="C619" s="40" t="s">
        <v>315</v>
      </c>
      <c r="D619" s="40" t="s">
        <v>134</v>
      </c>
      <c r="E619" s="73"/>
      <c r="F619" s="2"/>
      <c r="G619" s="10">
        <f>G620+G624</f>
        <v>1412.3</v>
      </c>
      <c r="H619" s="328">
        <f t="shared" ref="H619" si="359">H620+H624</f>
        <v>1032.24</v>
      </c>
      <c r="I619" s="358">
        <f t="shared" si="342"/>
        <v>73.089286978687255</v>
      </c>
    </row>
    <row r="620" spans="1:9" s="213" customFormat="1" ht="43.5" customHeight="1" x14ac:dyDescent="0.25">
      <c r="A620" s="25" t="s">
        <v>885</v>
      </c>
      <c r="B620" s="20" t="s">
        <v>1165</v>
      </c>
      <c r="C620" s="40" t="s">
        <v>315</v>
      </c>
      <c r="D620" s="40" t="s">
        <v>134</v>
      </c>
      <c r="E620" s="40"/>
      <c r="F620" s="2"/>
      <c r="G620" s="10">
        <f>G621</f>
        <v>588</v>
      </c>
      <c r="H620" s="328">
        <f t="shared" ref="H620:H621" si="360">H621</f>
        <v>468.67</v>
      </c>
      <c r="I620" s="358">
        <f t="shared" si="342"/>
        <v>79.70578231292518</v>
      </c>
    </row>
    <row r="621" spans="1:9" s="213" customFormat="1" ht="81" customHeight="1" x14ac:dyDescent="0.25">
      <c r="A621" s="25" t="s">
        <v>143</v>
      </c>
      <c r="B621" s="20" t="s">
        <v>1165</v>
      </c>
      <c r="C621" s="40" t="s">
        <v>315</v>
      </c>
      <c r="D621" s="40" t="s">
        <v>134</v>
      </c>
      <c r="E621" s="40" t="s">
        <v>144</v>
      </c>
      <c r="F621" s="2"/>
      <c r="G621" s="10">
        <f>G622</f>
        <v>588</v>
      </c>
      <c r="H621" s="328">
        <f t="shared" si="360"/>
        <v>468.67</v>
      </c>
      <c r="I621" s="358">
        <f t="shared" si="342"/>
        <v>79.70578231292518</v>
      </c>
    </row>
    <row r="622" spans="1:9" s="213" customFormat="1" ht="38.25" customHeight="1" x14ac:dyDescent="0.25">
      <c r="A622" s="25" t="s">
        <v>145</v>
      </c>
      <c r="B622" s="20" t="s">
        <v>1165</v>
      </c>
      <c r="C622" s="40" t="s">
        <v>315</v>
      </c>
      <c r="D622" s="40" t="s">
        <v>134</v>
      </c>
      <c r="E622" s="40" t="s">
        <v>225</v>
      </c>
      <c r="F622" s="2"/>
      <c r="G622" s="10">
        <f>'Пр.3 Рд,пр, ЦС,ВР 20'!F847</f>
        <v>588</v>
      </c>
      <c r="H622" s="328">
        <f>'Пр.3 Рд,пр, ЦС,ВР 20'!G847</f>
        <v>468.67</v>
      </c>
      <c r="I622" s="358">
        <f t="shared" si="342"/>
        <v>79.70578231292518</v>
      </c>
    </row>
    <row r="623" spans="1:9" s="213" customFormat="1" ht="47.25" customHeight="1" x14ac:dyDescent="0.25">
      <c r="A623" s="25" t="s">
        <v>1269</v>
      </c>
      <c r="B623" s="20" t="s">
        <v>1165</v>
      </c>
      <c r="C623" s="40" t="s">
        <v>315</v>
      </c>
      <c r="D623" s="40" t="s">
        <v>134</v>
      </c>
      <c r="E623" s="40" t="s">
        <v>225</v>
      </c>
      <c r="F623" s="2">
        <v>903</v>
      </c>
      <c r="G623" s="10">
        <f>G622</f>
        <v>588</v>
      </c>
      <c r="H623" s="328">
        <f t="shared" ref="H623" si="361">H622</f>
        <v>468.67</v>
      </c>
      <c r="I623" s="358">
        <f t="shared" si="342"/>
        <v>79.70578231292518</v>
      </c>
    </row>
    <row r="624" spans="1:9" s="213" customFormat="1" ht="48.2" customHeight="1" x14ac:dyDescent="0.25">
      <c r="A624" s="226" t="s">
        <v>971</v>
      </c>
      <c r="B624" s="24" t="s">
        <v>1166</v>
      </c>
      <c r="C624" s="7"/>
      <c r="D624" s="7"/>
      <c r="E624" s="7"/>
      <c r="F624" s="3"/>
      <c r="G624" s="59">
        <f>G631+G627</f>
        <v>824.3</v>
      </c>
      <c r="H624" s="340">
        <f t="shared" ref="H624" si="362">H631+H627</f>
        <v>563.56999999999994</v>
      </c>
      <c r="I624" s="4">
        <f t="shared" si="342"/>
        <v>68.369525658134165</v>
      </c>
    </row>
    <row r="625" spans="1:9" s="213" customFormat="1" ht="17.45" customHeight="1" x14ac:dyDescent="0.25">
      <c r="A625" s="73" t="s">
        <v>314</v>
      </c>
      <c r="B625" s="40" t="s">
        <v>1166</v>
      </c>
      <c r="C625" s="40" t="s">
        <v>315</v>
      </c>
      <c r="D625" s="73"/>
      <c r="E625" s="73"/>
      <c r="F625" s="2"/>
      <c r="G625" s="10">
        <f>G626</f>
        <v>824.3</v>
      </c>
      <c r="H625" s="328">
        <f t="shared" ref="H625" si="363">H626</f>
        <v>563.56999999999994</v>
      </c>
      <c r="I625" s="358">
        <f t="shared" si="342"/>
        <v>68.369525658134165</v>
      </c>
    </row>
    <row r="626" spans="1:9" s="213" customFormat="1" ht="18" customHeight="1" x14ac:dyDescent="0.25">
      <c r="A626" s="73" t="s">
        <v>316</v>
      </c>
      <c r="B626" s="40" t="s">
        <v>1166</v>
      </c>
      <c r="C626" s="40" t="s">
        <v>315</v>
      </c>
      <c r="D626" s="40" t="s">
        <v>134</v>
      </c>
      <c r="E626" s="73"/>
      <c r="F626" s="2"/>
      <c r="G626" s="10">
        <f>G631+G627</f>
        <v>824.3</v>
      </c>
      <c r="H626" s="328">
        <f t="shared" ref="H626" si="364">H631+H627</f>
        <v>563.56999999999994</v>
      </c>
      <c r="I626" s="358">
        <f t="shared" si="342"/>
        <v>68.369525658134165</v>
      </c>
    </row>
    <row r="627" spans="1:9" s="324" customFormat="1" ht="94.5" x14ac:dyDescent="0.25">
      <c r="A627" s="31" t="s">
        <v>309</v>
      </c>
      <c r="B627" s="331" t="s">
        <v>1521</v>
      </c>
      <c r="C627" s="339" t="s">
        <v>315</v>
      </c>
      <c r="D627" s="339" t="s">
        <v>134</v>
      </c>
      <c r="E627" s="343"/>
      <c r="F627" s="2"/>
      <c r="G627" s="328">
        <f>G628</f>
        <v>749.3</v>
      </c>
      <c r="H627" s="328">
        <f t="shared" ref="H627:H628" si="365">H628</f>
        <v>489</v>
      </c>
      <c r="I627" s="358">
        <f t="shared" si="342"/>
        <v>65.260910182837321</v>
      </c>
    </row>
    <row r="628" spans="1:9" s="324" customFormat="1" ht="78.75" x14ac:dyDescent="0.25">
      <c r="A628" s="335" t="s">
        <v>143</v>
      </c>
      <c r="B628" s="331" t="s">
        <v>1521</v>
      </c>
      <c r="C628" s="339" t="s">
        <v>315</v>
      </c>
      <c r="D628" s="339" t="s">
        <v>134</v>
      </c>
      <c r="E628" s="339">
        <v>100</v>
      </c>
      <c r="F628" s="339"/>
      <c r="G628" s="328">
        <f>G629</f>
        <v>749.3</v>
      </c>
      <c r="H628" s="328">
        <f t="shared" si="365"/>
        <v>489</v>
      </c>
      <c r="I628" s="358">
        <f t="shared" si="342"/>
        <v>65.260910182837321</v>
      </c>
    </row>
    <row r="629" spans="1:9" s="324" customFormat="1" ht="18" customHeight="1" x14ac:dyDescent="0.25">
      <c r="A629" s="335" t="s">
        <v>224</v>
      </c>
      <c r="B629" s="331" t="s">
        <v>1521</v>
      </c>
      <c r="C629" s="339" t="s">
        <v>315</v>
      </c>
      <c r="D629" s="339" t="s">
        <v>134</v>
      </c>
      <c r="E629" s="339">
        <v>110</v>
      </c>
      <c r="F629" s="339"/>
      <c r="G629" s="328">
        <f>'Пр.3 Рд,пр, ЦС,ВР 20'!F851</f>
        <v>749.3</v>
      </c>
      <c r="H629" s="328">
        <f>'Пр.3 Рд,пр, ЦС,ВР 20'!G851</f>
        <v>489</v>
      </c>
      <c r="I629" s="358">
        <f t="shared" si="342"/>
        <v>65.260910182837321</v>
      </c>
    </row>
    <row r="630" spans="1:9" s="324" customFormat="1" ht="47.25" x14ac:dyDescent="0.25">
      <c r="A630" s="335" t="s">
        <v>1269</v>
      </c>
      <c r="B630" s="331" t="s">
        <v>1521</v>
      </c>
      <c r="C630" s="339" t="s">
        <v>315</v>
      </c>
      <c r="D630" s="339" t="s">
        <v>134</v>
      </c>
      <c r="E630" s="339">
        <v>110</v>
      </c>
      <c r="F630" s="339" t="s">
        <v>644</v>
      </c>
      <c r="G630" s="328">
        <f>G627</f>
        <v>749.3</v>
      </c>
      <c r="H630" s="328">
        <f t="shared" ref="H630" si="366">H627</f>
        <v>489</v>
      </c>
      <c r="I630" s="358">
        <f t="shared" si="342"/>
        <v>65.260910182837321</v>
      </c>
    </row>
    <row r="631" spans="1:9" s="213" customFormat="1" ht="100.5" customHeight="1" x14ac:dyDescent="0.25">
      <c r="A631" s="31" t="s">
        <v>309</v>
      </c>
      <c r="B631" s="20" t="s">
        <v>1167</v>
      </c>
      <c r="C631" s="40" t="s">
        <v>315</v>
      </c>
      <c r="D631" s="40" t="s">
        <v>134</v>
      </c>
      <c r="E631" s="40"/>
      <c r="F631" s="2"/>
      <c r="G631" s="10">
        <f>G632</f>
        <v>75</v>
      </c>
      <c r="H631" s="328">
        <f t="shared" ref="H631:H632" si="367">H632</f>
        <v>74.569999999999993</v>
      </c>
      <c r="I631" s="358">
        <f t="shared" si="342"/>
        <v>99.426666666666648</v>
      </c>
    </row>
    <row r="632" spans="1:9" s="213" customFormat="1" ht="82.5" customHeight="1" x14ac:dyDescent="0.25">
      <c r="A632" s="25" t="s">
        <v>143</v>
      </c>
      <c r="B632" s="20" t="s">
        <v>1167</v>
      </c>
      <c r="C632" s="40" t="s">
        <v>315</v>
      </c>
      <c r="D632" s="40" t="s">
        <v>134</v>
      </c>
      <c r="E632" s="40" t="s">
        <v>144</v>
      </c>
      <c r="F632" s="2"/>
      <c r="G632" s="10">
        <f>G633</f>
        <v>75</v>
      </c>
      <c r="H632" s="328">
        <f t="shared" si="367"/>
        <v>74.569999999999993</v>
      </c>
      <c r="I632" s="358">
        <f t="shared" si="342"/>
        <v>99.426666666666648</v>
      </c>
    </row>
    <row r="633" spans="1:9" s="213" customFormat="1" ht="15.75" customHeight="1" x14ac:dyDescent="0.25">
      <c r="A633" s="25" t="s">
        <v>224</v>
      </c>
      <c r="B633" s="20" t="s">
        <v>1167</v>
      </c>
      <c r="C633" s="40" t="s">
        <v>315</v>
      </c>
      <c r="D633" s="40" t="s">
        <v>134</v>
      </c>
      <c r="E633" s="40" t="s">
        <v>225</v>
      </c>
      <c r="F633" s="2"/>
      <c r="G633" s="10">
        <f>'Пр.3 Рд,пр, ЦС,ВР 20'!F854</f>
        <v>75</v>
      </c>
      <c r="H633" s="328">
        <f>'Пр.3 Рд,пр, ЦС,ВР 20'!G854</f>
        <v>74.569999999999993</v>
      </c>
      <c r="I633" s="358">
        <f t="shared" si="342"/>
        <v>99.426666666666648</v>
      </c>
    </row>
    <row r="634" spans="1:9" s="213" customFormat="1" ht="53.45" customHeight="1" x14ac:dyDescent="0.25">
      <c r="A634" s="25" t="s">
        <v>1269</v>
      </c>
      <c r="B634" s="20" t="s">
        <v>1167</v>
      </c>
      <c r="C634" s="40" t="s">
        <v>315</v>
      </c>
      <c r="D634" s="40" t="s">
        <v>134</v>
      </c>
      <c r="E634" s="40" t="s">
        <v>225</v>
      </c>
      <c r="F634" s="2">
        <v>903</v>
      </c>
      <c r="G634" s="10">
        <f>G633</f>
        <v>75</v>
      </c>
      <c r="H634" s="328">
        <f t="shared" ref="H634" si="368">H633</f>
        <v>74.569999999999993</v>
      </c>
      <c r="I634" s="358">
        <f t="shared" si="342"/>
        <v>99.426666666666648</v>
      </c>
    </row>
    <row r="635" spans="1:9" s="213" customFormat="1" ht="41.25" customHeight="1" x14ac:dyDescent="0.25">
      <c r="A635" s="276" t="s">
        <v>1403</v>
      </c>
      <c r="B635" s="24" t="s">
        <v>1404</v>
      </c>
      <c r="C635" s="24"/>
      <c r="D635" s="24"/>
      <c r="E635" s="40"/>
      <c r="F635" s="2"/>
      <c r="G635" s="59">
        <f>G638</f>
        <v>1330.923</v>
      </c>
      <c r="H635" s="340">
        <f t="shared" ref="H635" si="369">H638</f>
        <v>1330.9069999999999</v>
      </c>
      <c r="I635" s="4">
        <f t="shared" si="342"/>
        <v>99.998797826771337</v>
      </c>
    </row>
    <row r="636" spans="1:9" s="213" customFormat="1" ht="19.5" customHeight="1" x14ac:dyDescent="0.25">
      <c r="A636" s="68" t="s">
        <v>314</v>
      </c>
      <c r="B636" s="20" t="s">
        <v>1404</v>
      </c>
      <c r="C636" s="20" t="s">
        <v>315</v>
      </c>
      <c r="D636" s="20"/>
      <c r="E636" s="40"/>
      <c r="F636" s="2"/>
      <c r="G636" s="10">
        <f>G637</f>
        <v>1330.923</v>
      </c>
      <c r="H636" s="328">
        <f t="shared" ref="H636:H639" si="370">H637</f>
        <v>1330.9069999999999</v>
      </c>
      <c r="I636" s="358">
        <f t="shared" si="342"/>
        <v>99.998797826771337</v>
      </c>
    </row>
    <row r="637" spans="1:9" s="213" customFormat="1" ht="18" customHeight="1" x14ac:dyDescent="0.25">
      <c r="A637" s="68" t="s">
        <v>316</v>
      </c>
      <c r="B637" s="20" t="s">
        <v>1404</v>
      </c>
      <c r="C637" s="20" t="s">
        <v>315</v>
      </c>
      <c r="D637" s="20" t="s">
        <v>134</v>
      </c>
      <c r="E637" s="40"/>
      <c r="F637" s="2"/>
      <c r="G637" s="10">
        <f>G638</f>
        <v>1330.923</v>
      </c>
      <c r="H637" s="328">
        <f t="shared" si="370"/>
        <v>1330.9069999999999</v>
      </c>
      <c r="I637" s="358">
        <f t="shared" si="342"/>
        <v>99.998797826771337</v>
      </c>
    </row>
    <row r="638" spans="1:9" s="213" customFormat="1" ht="49.7" customHeight="1" x14ac:dyDescent="0.25">
      <c r="A638" s="277" t="s">
        <v>1405</v>
      </c>
      <c r="B638" s="20" t="s">
        <v>1406</v>
      </c>
      <c r="C638" s="20" t="s">
        <v>315</v>
      </c>
      <c r="D638" s="20" t="s">
        <v>134</v>
      </c>
      <c r="E638" s="40"/>
      <c r="F638" s="2"/>
      <c r="G638" s="10">
        <f>G639</f>
        <v>1330.923</v>
      </c>
      <c r="H638" s="328">
        <f t="shared" si="370"/>
        <v>1330.9069999999999</v>
      </c>
      <c r="I638" s="358">
        <f t="shared" si="342"/>
        <v>99.998797826771337</v>
      </c>
    </row>
    <row r="639" spans="1:9" s="213" customFormat="1" ht="35.450000000000003" customHeight="1" x14ac:dyDescent="0.25">
      <c r="A639" s="25" t="s">
        <v>147</v>
      </c>
      <c r="B639" s="20" t="s">
        <v>1406</v>
      </c>
      <c r="C639" s="20" t="s">
        <v>315</v>
      </c>
      <c r="D639" s="20" t="s">
        <v>134</v>
      </c>
      <c r="E639" s="40" t="s">
        <v>148</v>
      </c>
      <c r="F639" s="2"/>
      <c r="G639" s="10">
        <f>G640</f>
        <v>1330.923</v>
      </c>
      <c r="H639" s="328">
        <f t="shared" si="370"/>
        <v>1330.9069999999999</v>
      </c>
      <c r="I639" s="358">
        <f t="shared" si="342"/>
        <v>99.998797826771337</v>
      </c>
    </row>
    <row r="640" spans="1:9" s="213" customFormat="1" ht="36" customHeight="1" x14ac:dyDescent="0.25">
      <c r="A640" s="25" t="s">
        <v>149</v>
      </c>
      <c r="B640" s="20" t="s">
        <v>1406</v>
      </c>
      <c r="C640" s="20" t="s">
        <v>315</v>
      </c>
      <c r="D640" s="20" t="s">
        <v>134</v>
      </c>
      <c r="E640" s="40" t="s">
        <v>150</v>
      </c>
      <c r="F640" s="2"/>
      <c r="G640" s="10">
        <f>'Пр.4 ведом.20'!G373</f>
        <v>1330.923</v>
      </c>
      <c r="H640" s="328">
        <f>'Пр.4 ведом.20'!H373</f>
        <v>1330.9069999999999</v>
      </c>
      <c r="I640" s="358">
        <f t="shared" si="342"/>
        <v>99.998797826771337</v>
      </c>
    </row>
    <row r="641" spans="1:9" s="213" customFormat="1" ht="50.25" customHeight="1" x14ac:dyDescent="0.25">
      <c r="A641" s="25" t="s">
        <v>1269</v>
      </c>
      <c r="B641" s="20" t="s">
        <v>1406</v>
      </c>
      <c r="C641" s="20" t="s">
        <v>315</v>
      </c>
      <c r="D641" s="20" t="s">
        <v>134</v>
      </c>
      <c r="E641" s="40" t="s">
        <v>150</v>
      </c>
      <c r="F641" s="2">
        <v>903</v>
      </c>
      <c r="G641" s="10">
        <f>G635</f>
        <v>1330.923</v>
      </c>
      <c r="H641" s="328">
        <f t="shared" ref="H641" si="371">H635</f>
        <v>1330.9069999999999</v>
      </c>
      <c r="I641" s="358">
        <f t="shared" si="342"/>
        <v>99.998797826771337</v>
      </c>
    </row>
    <row r="642" spans="1:9" ht="31.5" x14ac:dyDescent="0.25">
      <c r="A642" s="41" t="s">
        <v>328</v>
      </c>
      <c r="B642" s="7" t="s">
        <v>329</v>
      </c>
      <c r="C642" s="7"/>
      <c r="D642" s="7"/>
      <c r="E642" s="7"/>
      <c r="F642" s="75"/>
      <c r="G642" s="59">
        <f>G643+G656+G663+G670+G681</f>
        <v>23679.000000000004</v>
      </c>
      <c r="H642" s="340">
        <f t="shared" ref="H642" si="372">H643+H656+H663+H670+H681</f>
        <v>15979.234</v>
      </c>
      <c r="I642" s="4">
        <f t="shared" si="342"/>
        <v>67.482723087968239</v>
      </c>
    </row>
    <row r="643" spans="1:9" s="213" customFormat="1" ht="41.25" customHeight="1" x14ac:dyDescent="0.25">
      <c r="A643" s="23" t="s">
        <v>956</v>
      </c>
      <c r="B643" s="24" t="s">
        <v>960</v>
      </c>
      <c r="C643" s="7"/>
      <c r="D643" s="7"/>
      <c r="E643" s="7"/>
      <c r="F643" s="3"/>
      <c r="G643" s="59">
        <f>G644</f>
        <v>21457.300000000003</v>
      </c>
      <c r="H643" s="340">
        <f t="shared" ref="H643" si="373">H644</f>
        <v>14779.460000000001</v>
      </c>
      <c r="I643" s="4">
        <f t="shared" si="342"/>
        <v>68.878470264199123</v>
      </c>
    </row>
    <row r="644" spans="1:9" ht="15.75" x14ac:dyDescent="0.25">
      <c r="A644" s="73" t="s">
        <v>314</v>
      </c>
      <c r="B644" s="40" t="s">
        <v>960</v>
      </c>
      <c r="C644" s="40" t="s">
        <v>315</v>
      </c>
      <c r="D644" s="40"/>
      <c r="E644" s="40"/>
      <c r="F644" s="74"/>
      <c r="G644" s="10">
        <f t="shared" ref="G644:H645" si="374">G645</f>
        <v>21457.300000000003</v>
      </c>
      <c r="H644" s="328">
        <f t="shared" si="374"/>
        <v>14779.460000000001</v>
      </c>
      <c r="I644" s="358">
        <f t="shared" si="342"/>
        <v>68.878470264199123</v>
      </c>
    </row>
    <row r="645" spans="1:9" ht="15.75" x14ac:dyDescent="0.25">
      <c r="A645" s="73" t="s">
        <v>316</v>
      </c>
      <c r="B645" s="40" t="s">
        <v>960</v>
      </c>
      <c r="C645" s="40" t="s">
        <v>315</v>
      </c>
      <c r="D645" s="40" t="s">
        <v>134</v>
      </c>
      <c r="E645" s="40"/>
      <c r="F645" s="74"/>
      <c r="G645" s="10">
        <f>G646</f>
        <v>21457.300000000003</v>
      </c>
      <c r="H645" s="328">
        <f t="shared" si="374"/>
        <v>14779.460000000001</v>
      </c>
      <c r="I645" s="358">
        <f t="shared" si="342"/>
        <v>68.878470264199123</v>
      </c>
    </row>
    <row r="646" spans="1:9" ht="15.75" x14ac:dyDescent="0.25">
      <c r="A646" s="25" t="s">
        <v>832</v>
      </c>
      <c r="B646" s="20" t="s">
        <v>961</v>
      </c>
      <c r="C646" s="40" t="s">
        <v>315</v>
      </c>
      <c r="D646" s="40" t="s">
        <v>134</v>
      </c>
      <c r="E646" s="40"/>
      <c r="F646" s="2"/>
      <c r="G646" s="10">
        <f>G647+G650+G653</f>
        <v>21457.300000000003</v>
      </c>
      <c r="H646" s="328">
        <f t="shared" ref="H646" si="375">H647+H650+H653</f>
        <v>14779.460000000001</v>
      </c>
      <c r="I646" s="358">
        <f t="shared" si="342"/>
        <v>68.878470264199123</v>
      </c>
    </row>
    <row r="647" spans="1:9" ht="78.75" x14ac:dyDescent="0.25">
      <c r="A647" s="25" t="s">
        <v>143</v>
      </c>
      <c r="B647" s="20" t="s">
        <v>961</v>
      </c>
      <c r="C647" s="40" t="s">
        <v>315</v>
      </c>
      <c r="D647" s="40" t="s">
        <v>134</v>
      </c>
      <c r="E647" s="40" t="s">
        <v>144</v>
      </c>
      <c r="F647" s="2"/>
      <c r="G647" s="10">
        <f>G648</f>
        <v>17679.2</v>
      </c>
      <c r="H647" s="328">
        <f t="shared" ref="H647" si="376">H648</f>
        <v>12522.28</v>
      </c>
      <c r="I647" s="358">
        <f t="shared" si="342"/>
        <v>70.830580569256526</v>
      </c>
    </row>
    <row r="648" spans="1:9" ht="15.75" x14ac:dyDescent="0.25">
      <c r="A648" s="25" t="s">
        <v>224</v>
      </c>
      <c r="B648" s="20" t="s">
        <v>961</v>
      </c>
      <c r="C648" s="40" t="s">
        <v>315</v>
      </c>
      <c r="D648" s="40" t="s">
        <v>134</v>
      </c>
      <c r="E648" s="40" t="s">
        <v>225</v>
      </c>
      <c r="F648" s="2"/>
      <c r="G648" s="10">
        <f>'Пр.4 ведом.20'!G378</f>
        <v>17679.2</v>
      </c>
      <c r="H648" s="328">
        <f>'Пр.4 ведом.20'!H378</f>
        <v>12522.28</v>
      </c>
      <c r="I648" s="358">
        <f t="shared" si="342"/>
        <v>70.830580569256526</v>
      </c>
    </row>
    <row r="649" spans="1:9" s="213" customFormat="1" ht="47.25" x14ac:dyDescent="0.25">
      <c r="A649" s="25" t="s">
        <v>1269</v>
      </c>
      <c r="B649" s="20" t="s">
        <v>961</v>
      </c>
      <c r="C649" s="40" t="s">
        <v>315</v>
      </c>
      <c r="D649" s="40" t="s">
        <v>134</v>
      </c>
      <c r="E649" s="40" t="s">
        <v>225</v>
      </c>
      <c r="F649" s="2">
        <v>903</v>
      </c>
      <c r="G649" s="10">
        <f>G648</f>
        <v>17679.2</v>
      </c>
      <c r="H649" s="328">
        <f t="shared" ref="H649" si="377">H648</f>
        <v>12522.28</v>
      </c>
      <c r="I649" s="358">
        <f t="shared" si="342"/>
        <v>70.830580569256526</v>
      </c>
    </row>
    <row r="650" spans="1:9" ht="31.5" x14ac:dyDescent="0.25">
      <c r="A650" s="25" t="s">
        <v>147</v>
      </c>
      <c r="B650" s="20" t="s">
        <v>961</v>
      </c>
      <c r="C650" s="40" t="s">
        <v>315</v>
      </c>
      <c r="D650" s="40" t="s">
        <v>134</v>
      </c>
      <c r="E650" s="40" t="s">
        <v>148</v>
      </c>
      <c r="F650" s="2"/>
      <c r="G650" s="10">
        <f>G651</f>
        <v>3749.7</v>
      </c>
      <c r="H650" s="328">
        <f t="shared" ref="H650" si="378">H651</f>
        <v>2229.92</v>
      </c>
      <c r="I650" s="358">
        <f t="shared" si="342"/>
        <v>59.469290876603466</v>
      </c>
    </row>
    <row r="651" spans="1:9" ht="31.5" x14ac:dyDescent="0.25">
      <c r="A651" s="25" t="s">
        <v>149</v>
      </c>
      <c r="B651" s="20" t="s">
        <v>961</v>
      </c>
      <c r="C651" s="40" t="s">
        <v>315</v>
      </c>
      <c r="D651" s="40" t="s">
        <v>134</v>
      </c>
      <c r="E651" s="40" t="s">
        <v>150</v>
      </c>
      <c r="F651" s="2"/>
      <c r="G651" s="10">
        <f>'Пр.4 ведом.20'!G380</f>
        <v>3749.7</v>
      </c>
      <c r="H651" s="328">
        <f>'Пр.4 ведом.20'!H380</f>
        <v>2229.92</v>
      </c>
      <c r="I651" s="358">
        <f t="shared" si="342"/>
        <v>59.469290876603466</v>
      </c>
    </row>
    <row r="652" spans="1:9" s="213" customFormat="1" ht="47.25" x14ac:dyDescent="0.25">
      <c r="A652" s="25" t="s">
        <v>1269</v>
      </c>
      <c r="B652" s="20" t="s">
        <v>961</v>
      </c>
      <c r="C652" s="40" t="s">
        <v>315</v>
      </c>
      <c r="D652" s="40" t="s">
        <v>134</v>
      </c>
      <c r="E652" s="40" t="s">
        <v>150</v>
      </c>
      <c r="F652" s="2">
        <v>903</v>
      </c>
      <c r="G652" s="10">
        <f>G651</f>
        <v>3749.7</v>
      </c>
      <c r="H652" s="328">
        <f t="shared" ref="H652" si="379">H651</f>
        <v>2229.92</v>
      </c>
      <c r="I652" s="358">
        <f t="shared" si="342"/>
        <v>59.469290876603466</v>
      </c>
    </row>
    <row r="653" spans="1:9" ht="15.75" customHeight="1" x14ac:dyDescent="0.25">
      <c r="A653" s="25" t="s">
        <v>151</v>
      </c>
      <c r="B653" s="20" t="s">
        <v>961</v>
      </c>
      <c r="C653" s="40" t="s">
        <v>315</v>
      </c>
      <c r="D653" s="40" t="s">
        <v>134</v>
      </c>
      <c r="E653" s="40" t="s">
        <v>161</v>
      </c>
      <c r="F653" s="2"/>
      <c r="G653" s="10">
        <f>G654</f>
        <v>28.400000000000002</v>
      </c>
      <c r="H653" s="328">
        <f t="shared" ref="H653" si="380">H654</f>
        <v>27.26</v>
      </c>
      <c r="I653" s="358">
        <f t="shared" si="342"/>
        <v>95.985915492957744</v>
      </c>
    </row>
    <row r="654" spans="1:9" ht="15.75" customHeight="1" x14ac:dyDescent="0.25">
      <c r="A654" s="25" t="s">
        <v>153</v>
      </c>
      <c r="B654" s="20" t="s">
        <v>961</v>
      </c>
      <c r="C654" s="40" t="s">
        <v>315</v>
      </c>
      <c r="D654" s="40" t="s">
        <v>134</v>
      </c>
      <c r="E654" s="40" t="s">
        <v>154</v>
      </c>
      <c r="F654" s="2"/>
      <c r="G654" s="10">
        <f>'Пр.4 ведом.20'!G382</f>
        <v>28.400000000000002</v>
      </c>
      <c r="H654" s="328">
        <f>'Пр.4 ведом.20'!H382</f>
        <v>27.26</v>
      </c>
      <c r="I654" s="358">
        <f t="shared" si="342"/>
        <v>95.985915492957744</v>
      </c>
    </row>
    <row r="655" spans="1:9" s="213" customFormat="1" ht="50.25" customHeight="1" x14ac:dyDescent="0.25">
      <c r="A655" s="25" t="s">
        <v>1269</v>
      </c>
      <c r="B655" s="20" t="s">
        <v>961</v>
      </c>
      <c r="C655" s="40" t="s">
        <v>315</v>
      </c>
      <c r="D655" s="40" t="s">
        <v>134</v>
      </c>
      <c r="E655" s="40" t="s">
        <v>154</v>
      </c>
      <c r="F655" s="2">
        <v>903</v>
      </c>
      <c r="G655" s="10">
        <f>G654</f>
        <v>28.400000000000002</v>
      </c>
      <c r="H655" s="328">
        <f t="shared" ref="H655" si="381">H654</f>
        <v>27.26</v>
      </c>
      <c r="I655" s="358">
        <f t="shared" si="342"/>
        <v>95.985915492957744</v>
      </c>
    </row>
    <row r="656" spans="1:9" s="213" customFormat="1" ht="30.75" customHeight="1" x14ac:dyDescent="0.25">
      <c r="A656" s="23" t="s">
        <v>973</v>
      </c>
      <c r="B656" s="24" t="s">
        <v>962</v>
      </c>
      <c r="C656" s="7"/>
      <c r="D656" s="7"/>
      <c r="E656" s="7"/>
      <c r="F656" s="3"/>
      <c r="G656" s="59">
        <f>G659</f>
        <v>50</v>
      </c>
      <c r="H656" s="340">
        <f t="shared" ref="H656" si="382">H659</f>
        <v>37.58</v>
      </c>
      <c r="I656" s="4">
        <f t="shared" si="342"/>
        <v>75.16</v>
      </c>
    </row>
    <row r="657" spans="1:9" s="213" customFormat="1" ht="15.75" customHeight="1" x14ac:dyDescent="0.25">
      <c r="A657" s="73" t="s">
        <v>314</v>
      </c>
      <c r="B657" s="40" t="s">
        <v>962</v>
      </c>
      <c r="C657" s="40" t="s">
        <v>315</v>
      </c>
      <c r="D657" s="40"/>
      <c r="E657" s="40"/>
      <c r="F657" s="74"/>
      <c r="G657" s="10">
        <f t="shared" ref="G657:H660" si="383">G658</f>
        <v>50</v>
      </c>
      <c r="H657" s="328">
        <f t="shared" si="383"/>
        <v>37.58</v>
      </c>
      <c r="I657" s="358">
        <f t="shared" si="342"/>
        <v>75.16</v>
      </c>
    </row>
    <row r="658" spans="1:9" s="213" customFormat="1" ht="18" customHeight="1" x14ac:dyDescent="0.25">
      <c r="A658" s="73" t="s">
        <v>316</v>
      </c>
      <c r="B658" s="40" t="s">
        <v>962</v>
      </c>
      <c r="C658" s="40" t="s">
        <v>315</v>
      </c>
      <c r="D658" s="40" t="s">
        <v>134</v>
      </c>
      <c r="E658" s="40"/>
      <c r="F658" s="74"/>
      <c r="G658" s="10">
        <f>G659</f>
        <v>50</v>
      </c>
      <c r="H658" s="328">
        <f t="shared" si="383"/>
        <v>37.58</v>
      </c>
      <c r="I658" s="358">
        <f t="shared" ref="I658:I721" si="384">H658/G658*100</f>
        <v>75.16</v>
      </c>
    </row>
    <row r="659" spans="1:9" s="213" customFormat="1" ht="33.75" customHeight="1" x14ac:dyDescent="0.25">
      <c r="A659" s="25" t="s">
        <v>866</v>
      </c>
      <c r="B659" s="20" t="s">
        <v>963</v>
      </c>
      <c r="C659" s="40" t="s">
        <v>315</v>
      </c>
      <c r="D659" s="40" t="s">
        <v>134</v>
      </c>
      <c r="E659" s="40"/>
      <c r="F659" s="2"/>
      <c r="G659" s="10">
        <f>G660</f>
        <v>50</v>
      </c>
      <c r="H659" s="328">
        <f t="shared" si="383"/>
        <v>37.58</v>
      </c>
      <c r="I659" s="358">
        <f t="shared" si="384"/>
        <v>75.16</v>
      </c>
    </row>
    <row r="660" spans="1:9" s="213" customFormat="1" ht="36.75" customHeight="1" x14ac:dyDescent="0.25">
      <c r="A660" s="25" t="s">
        <v>147</v>
      </c>
      <c r="B660" s="20" t="s">
        <v>963</v>
      </c>
      <c r="C660" s="40" t="s">
        <v>315</v>
      </c>
      <c r="D660" s="40" t="s">
        <v>134</v>
      </c>
      <c r="E660" s="40" t="s">
        <v>148</v>
      </c>
      <c r="F660" s="2"/>
      <c r="G660" s="10">
        <f>G661</f>
        <v>50</v>
      </c>
      <c r="H660" s="328">
        <f t="shared" si="383"/>
        <v>37.58</v>
      </c>
      <c r="I660" s="358">
        <f t="shared" si="384"/>
        <v>75.16</v>
      </c>
    </row>
    <row r="661" spans="1:9" s="213" customFormat="1" ht="33" customHeight="1" x14ac:dyDescent="0.25">
      <c r="A661" s="25" t="s">
        <v>149</v>
      </c>
      <c r="B661" s="20" t="s">
        <v>963</v>
      </c>
      <c r="C661" s="40" t="s">
        <v>315</v>
      </c>
      <c r="D661" s="40" t="s">
        <v>134</v>
      </c>
      <c r="E661" s="40" t="s">
        <v>150</v>
      </c>
      <c r="F661" s="2"/>
      <c r="G661" s="10">
        <f>'Пр.4 ведом.20'!G386</f>
        <v>50</v>
      </c>
      <c r="H661" s="328">
        <f>'Пр.4 ведом.20'!H386</f>
        <v>37.58</v>
      </c>
      <c r="I661" s="358">
        <f t="shared" si="384"/>
        <v>75.16</v>
      </c>
    </row>
    <row r="662" spans="1:9" s="213" customFormat="1" ht="48.2" customHeight="1" x14ac:dyDescent="0.25">
      <c r="A662" s="25" t="s">
        <v>1269</v>
      </c>
      <c r="B662" s="20" t="s">
        <v>963</v>
      </c>
      <c r="C662" s="40" t="s">
        <v>315</v>
      </c>
      <c r="D662" s="40" t="s">
        <v>134</v>
      </c>
      <c r="E662" s="40" t="s">
        <v>150</v>
      </c>
      <c r="F662" s="2">
        <v>903</v>
      </c>
      <c r="G662" s="10">
        <f>G661</f>
        <v>50</v>
      </c>
      <c r="H662" s="328">
        <f t="shared" ref="H662" si="385">H661</f>
        <v>37.58</v>
      </c>
      <c r="I662" s="358">
        <f t="shared" si="384"/>
        <v>75.16</v>
      </c>
    </row>
    <row r="663" spans="1:9" s="213" customFormat="1" ht="36.75" customHeight="1" x14ac:dyDescent="0.25">
      <c r="A663" s="23" t="s">
        <v>1076</v>
      </c>
      <c r="B663" s="24" t="s">
        <v>964</v>
      </c>
      <c r="C663" s="7"/>
      <c r="D663" s="7"/>
      <c r="E663" s="7"/>
      <c r="F663" s="3"/>
      <c r="G663" s="59">
        <f>G666</f>
        <v>507</v>
      </c>
      <c r="H663" s="340">
        <f t="shared" ref="H663" si="386">H666</f>
        <v>290.89999999999998</v>
      </c>
      <c r="I663" s="4">
        <f t="shared" si="384"/>
        <v>57.376725838264299</v>
      </c>
    </row>
    <row r="664" spans="1:9" s="213" customFormat="1" ht="16.5" customHeight="1" x14ac:dyDescent="0.25">
      <c r="A664" s="73" t="s">
        <v>314</v>
      </c>
      <c r="B664" s="40" t="s">
        <v>964</v>
      </c>
      <c r="C664" s="40" t="s">
        <v>315</v>
      </c>
      <c r="D664" s="40"/>
      <c r="E664" s="40"/>
      <c r="F664" s="74"/>
      <c r="G664" s="10">
        <f t="shared" ref="G664:H667" si="387">G665</f>
        <v>507</v>
      </c>
      <c r="H664" s="328">
        <f t="shared" si="387"/>
        <v>290.89999999999998</v>
      </c>
      <c r="I664" s="358">
        <f t="shared" si="384"/>
        <v>57.376725838264299</v>
      </c>
    </row>
    <row r="665" spans="1:9" s="213" customFormat="1" ht="18.75" customHeight="1" x14ac:dyDescent="0.25">
      <c r="A665" s="73" t="s">
        <v>316</v>
      </c>
      <c r="B665" s="40" t="s">
        <v>964</v>
      </c>
      <c r="C665" s="40" t="s">
        <v>315</v>
      </c>
      <c r="D665" s="40" t="s">
        <v>134</v>
      </c>
      <c r="E665" s="40"/>
      <c r="F665" s="74"/>
      <c r="G665" s="10">
        <f>G666</f>
        <v>507</v>
      </c>
      <c r="H665" s="328">
        <f t="shared" si="387"/>
        <v>290.89999999999998</v>
      </c>
      <c r="I665" s="358">
        <f t="shared" si="384"/>
        <v>57.376725838264299</v>
      </c>
    </row>
    <row r="666" spans="1:9" s="213" customFormat="1" ht="44.45" customHeight="1" x14ac:dyDescent="0.25">
      <c r="A666" s="25" t="s">
        <v>885</v>
      </c>
      <c r="B666" s="20" t="s">
        <v>1252</v>
      </c>
      <c r="C666" s="40" t="s">
        <v>315</v>
      </c>
      <c r="D666" s="40" t="s">
        <v>134</v>
      </c>
      <c r="E666" s="40"/>
      <c r="F666" s="2"/>
      <c r="G666" s="10">
        <f>G667</f>
        <v>507</v>
      </c>
      <c r="H666" s="328">
        <f t="shared" si="387"/>
        <v>290.89999999999998</v>
      </c>
      <c r="I666" s="358">
        <f t="shared" si="384"/>
        <v>57.376725838264299</v>
      </c>
    </row>
    <row r="667" spans="1:9" s="213" customFormat="1" ht="78" customHeight="1" x14ac:dyDescent="0.25">
      <c r="A667" s="25" t="s">
        <v>143</v>
      </c>
      <c r="B667" s="20" t="s">
        <v>1252</v>
      </c>
      <c r="C667" s="40" t="s">
        <v>315</v>
      </c>
      <c r="D667" s="40" t="s">
        <v>134</v>
      </c>
      <c r="E667" s="40" t="s">
        <v>144</v>
      </c>
      <c r="F667" s="2"/>
      <c r="G667" s="10">
        <f>G668</f>
        <v>507</v>
      </c>
      <c r="H667" s="328">
        <f t="shared" si="387"/>
        <v>290.89999999999998</v>
      </c>
      <c r="I667" s="358">
        <f t="shared" si="384"/>
        <v>57.376725838264299</v>
      </c>
    </row>
    <row r="668" spans="1:9" s="213" customFormat="1" ht="33" customHeight="1" x14ac:dyDescent="0.25">
      <c r="A668" s="25" t="s">
        <v>145</v>
      </c>
      <c r="B668" s="20" t="s">
        <v>1252</v>
      </c>
      <c r="C668" s="40" t="s">
        <v>315</v>
      </c>
      <c r="D668" s="40" t="s">
        <v>134</v>
      </c>
      <c r="E668" s="40" t="s">
        <v>225</v>
      </c>
      <c r="F668" s="2"/>
      <c r="G668" s="10">
        <f>'Пр.4 ведом.20'!G390</f>
        <v>507</v>
      </c>
      <c r="H668" s="328">
        <f>'Пр.4 ведом.20'!H390</f>
        <v>290.89999999999998</v>
      </c>
      <c r="I668" s="358">
        <f t="shared" si="384"/>
        <v>57.376725838264299</v>
      </c>
    </row>
    <row r="669" spans="1:9" s="213" customFormat="1" ht="44.45" customHeight="1" x14ac:dyDescent="0.25">
      <c r="A669" s="25" t="s">
        <v>1269</v>
      </c>
      <c r="B669" s="20" t="s">
        <v>1252</v>
      </c>
      <c r="C669" s="40" t="s">
        <v>315</v>
      </c>
      <c r="D669" s="40" t="s">
        <v>134</v>
      </c>
      <c r="E669" s="40" t="s">
        <v>225</v>
      </c>
      <c r="F669" s="2">
        <v>903</v>
      </c>
      <c r="G669" s="10">
        <f>G668</f>
        <v>507</v>
      </c>
      <c r="H669" s="328">
        <f t="shared" ref="H669" si="388">H668</f>
        <v>290.89999999999998</v>
      </c>
      <c r="I669" s="358">
        <f t="shared" si="384"/>
        <v>57.376725838264299</v>
      </c>
    </row>
    <row r="670" spans="1:9" s="213" customFormat="1" ht="32.25" customHeight="1" x14ac:dyDescent="0.25">
      <c r="A670" s="23" t="s">
        <v>1163</v>
      </c>
      <c r="B670" s="24" t="s">
        <v>965</v>
      </c>
      <c r="C670" s="7"/>
      <c r="D670" s="7"/>
      <c r="E670" s="7"/>
      <c r="F670" s="3"/>
      <c r="G670" s="59">
        <f>G673+G677</f>
        <v>68.7</v>
      </c>
      <c r="H670" s="340">
        <f t="shared" ref="H670" si="389">H673+H677</f>
        <v>3.5</v>
      </c>
      <c r="I670" s="4">
        <f t="shared" si="384"/>
        <v>5.094614264919942</v>
      </c>
    </row>
    <row r="671" spans="1:9" s="213" customFormat="1" ht="17.45" customHeight="1" x14ac:dyDescent="0.25">
      <c r="A671" s="68" t="s">
        <v>314</v>
      </c>
      <c r="B671" s="40" t="s">
        <v>965</v>
      </c>
      <c r="C671" s="40" t="s">
        <v>315</v>
      </c>
      <c r="D671" s="40"/>
      <c r="E671" s="40"/>
      <c r="F671" s="74"/>
      <c r="G671" s="10">
        <f t="shared" ref="G671:H671" si="390">G672</f>
        <v>68.7</v>
      </c>
      <c r="H671" s="328">
        <f t="shared" si="390"/>
        <v>3.5</v>
      </c>
      <c r="I671" s="358">
        <f t="shared" si="384"/>
        <v>5.094614264919942</v>
      </c>
    </row>
    <row r="672" spans="1:9" s="213" customFormat="1" ht="21.2" customHeight="1" x14ac:dyDescent="0.25">
      <c r="A672" s="68" t="s">
        <v>316</v>
      </c>
      <c r="B672" s="40" t="s">
        <v>965</v>
      </c>
      <c r="C672" s="40" t="s">
        <v>315</v>
      </c>
      <c r="D672" s="40" t="s">
        <v>134</v>
      </c>
      <c r="E672" s="40"/>
      <c r="F672" s="74"/>
      <c r="G672" s="10">
        <f>G673+G677</f>
        <v>68.7</v>
      </c>
      <c r="H672" s="328">
        <f t="shared" ref="H672" si="391">H673+H677</f>
        <v>3.5</v>
      </c>
      <c r="I672" s="358">
        <f t="shared" si="384"/>
        <v>5.094614264919942</v>
      </c>
    </row>
    <row r="673" spans="1:9" s="213" customFormat="1" ht="15.75" customHeight="1" x14ac:dyDescent="0.25">
      <c r="A673" s="25" t="s">
        <v>345</v>
      </c>
      <c r="B673" s="20" t="s">
        <v>1253</v>
      </c>
      <c r="C673" s="40" t="s">
        <v>315</v>
      </c>
      <c r="D673" s="40" t="s">
        <v>134</v>
      </c>
      <c r="E673" s="40"/>
      <c r="F673" s="2"/>
      <c r="G673" s="10">
        <f>G674</f>
        <v>3.5</v>
      </c>
      <c r="H673" s="328">
        <f t="shared" ref="H673:H674" si="392">H674</f>
        <v>3.5</v>
      </c>
      <c r="I673" s="358">
        <f t="shared" si="384"/>
        <v>100</v>
      </c>
    </row>
    <row r="674" spans="1:9" s="213" customFormat="1" ht="34.5" customHeight="1" x14ac:dyDescent="0.25">
      <c r="A674" s="25" t="s">
        <v>147</v>
      </c>
      <c r="B674" s="20" t="s">
        <v>1253</v>
      </c>
      <c r="C674" s="40" t="s">
        <v>315</v>
      </c>
      <c r="D674" s="40" t="s">
        <v>134</v>
      </c>
      <c r="E674" s="40" t="s">
        <v>148</v>
      </c>
      <c r="F674" s="2"/>
      <c r="G674" s="10">
        <f>G675</f>
        <v>3.5</v>
      </c>
      <c r="H674" s="328">
        <f t="shared" si="392"/>
        <v>3.5</v>
      </c>
      <c r="I674" s="358">
        <f t="shared" si="384"/>
        <v>100</v>
      </c>
    </row>
    <row r="675" spans="1:9" s="213" customFormat="1" ht="32.25" customHeight="1" x14ac:dyDescent="0.25">
      <c r="A675" s="25" t="s">
        <v>149</v>
      </c>
      <c r="B675" s="20" t="s">
        <v>1253</v>
      </c>
      <c r="C675" s="40" t="s">
        <v>315</v>
      </c>
      <c r="D675" s="40" t="s">
        <v>134</v>
      </c>
      <c r="E675" s="40" t="s">
        <v>150</v>
      </c>
      <c r="F675" s="2"/>
      <c r="G675" s="10">
        <f>'Пр.4 ведом.20'!G394</f>
        <v>3.5</v>
      </c>
      <c r="H675" s="328">
        <f>'Пр.4 ведом.20'!H394</f>
        <v>3.5</v>
      </c>
      <c r="I675" s="358">
        <f t="shared" si="384"/>
        <v>100</v>
      </c>
    </row>
    <row r="676" spans="1:9" s="213" customFormat="1" ht="50.25" customHeight="1" x14ac:dyDescent="0.25">
      <c r="A676" s="25" t="s">
        <v>1269</v>
      </c>
      <c r="B676" s="20" t="s">
        <v>1253</v>
      </c>
      <c r="C676" s="40" t="s">
        <v>315</v>
      </c>
      <c r="D676" s="40" t="s">
        <v>134</v>
      </c>
      <c r="E676" s="40" t="s">
        <v>150</v>
      </c>
      <c r="F676" s="2">
        <v>903</v>
      </c>
      <c r="G676" s="10">
        <f>G675</f>
        <v>3.5</v>
      </c>
      <c r="H676" s="328">
        <f t="shared" ref="H676" si="393">H675</f>
        <v>3.5</v>
      </c>
      <c r="I676" s="358">
        <f t="shared" si="384"/>
        <v>100</v>
      </c>
    </row>
    <row r="677" spans="1:9" s="213" customFormat="1" ht="15.75" customHeight="1" x14ac:dyDescent="0.25">
      <c r="A677" s="25" t="s">
        <v>345</v>
      </c>
      <c r="B677" s="20" t="s">
        <v>1254</v>
      </c>
      <c r="C677" s="40" t="s">
        <v>315</v>
      </c>
      <c r="D677" s="40" t="s">
        <v>134</v>
      </c>
      <c r="E677" s="40"/>
      <c r="F677" s="2"/>
      <c r="G677" s="10">
        <f>G678</f>
        <v>65.2</v>
      </c>
      <c r="H677" s="328">
        <f t="shared" ref="H677:H678" si="394">H678</f>
        <v>0</v>
      </c>
      <c r="I677" s="358">
        <f t="shared" si="384"/>
        <v>0</v>
      </c>
    </row>
    <row r="678" spans="1:9" s="213" customFormat="1" ht="36.75" customHeight="1" x14ac:dyDescent="0.25">
      <c r="A678" s="25" t="s">
        <v>147</v>
      </c>
      <c r="B678" s="20" t="s">
        <v>1254</v>
      </c>
      <c r="C678" s="40" t="s">
        <v>315</v>
      </c>
      <c r="D678" s="40" t="s">
        <v>134</v>
      </c>
      <c r="E678" s="40" t="s">
        <v>148</v>
      </c>
      <c r="F678" s="2"/>
      <c r="G678" s="10">
        <f>G679</f>
        <v>65.2</v>
      </c>
      <c r="H678" s="328">
        <f t="shared" si="394"/>
        <v>0</v>
      </c>
      <c r="I678" s="358">
        <f t="shared" si="384"/>
        <v>0</v>
      </c>
    </row>
    <row r="679" spans="1:9" s="213" customFormat="1" ht="37.5" customHeight="1" x14ac:dyDescent="0.25">
      <c r="A679" s="25" t="s">
        <v>149</v>
      </c>
      <c r="B679" s="20" t="s">
        <v>1254</v>
      </c>
      <c r="C679" s="40" t="s">
        <v>315</v>
      </c>
      <c r="D679" s="40" t="s">
        <v>134</v>
      </c>
      <c r="E679" s="40" t="s">
        <v>150</v>
      </c>
      <c r="F679" s="2"/>
      <c r="G679" s="10">
        <f>'Пр.4 ведом.20'!G397</f>
        <v>65.2</v>
      </c>
      <c r="H679" s="328">
        <f>'Пр.4 ведом.20'!H397</f>
        <v>0</v>
      </c>
      <c r="I679" s="358">
        <f t="shared" si="384"/>
        <v>0</v>
      </c>
    </row>
    <row r="680" spans="1:9" s="213" customFormat="1" ht="51.75" customHeight="1" x14ac:dyDescent="0.25">
      <c r="A680" s="25" t="s">
        <v>1269</v>
      </c>
      <c r="B680" s="20" t="s">
        <v>1254</v>
      </c>
      <c r="C680" s="40" t="s">
        <v>315</v>
      </c>
      <c r="D680" s="40" t="s">
        <v>134</v>
      </c>
      <c r="E680" s="40" t="s">
        <v>150</v>
      </c>
      <c r="F680" s="2">
        <v>903</v>
      </c>
      <c r="G680" s="10">
        <f>G679</f>
        <v>65.2</v>
      </c>
      <c r="H680" s="328">
        <f t="shared" ref="H680" si="395">H679</f>
        <v>0</v>
      </c>
      <c r="I680" s="358">
        <f t="shared" si="384"/>
        <v>0</v>
      </c>
    </row>
    <row r="681" spans="1:9" s="213" customFormat="1" ht="49.7" customHeight="1" x14ac:dyDescent="0.25">
      <c r="A681" s="226" t="s">
        <v>971</v>
      </c>
      <c r="B681" s="24" t="s">
        <v>1255</v>
      </c>
      <c r="C681" s="7"/>
      <c r="D681" s="7"/>
      <c r="E681" s="7"/>
      <c r="F681" s="3"/>
      <c r="G681" s="59">
        <f>G682</f>
        <v>1596</v>
      </c>
      <c r="H681" s="340">
        <f t="shared" ref="H681" si="396">H682</f>
        <v>867.7940000000001</v>
      </c>
      <c r="I681" s="4">
        <f t="shared" si="384"/>
        <v>54.373057644110276</v>
      </c>
    </row>
    <row r="682" spans="1:9" s="213" customFormat="1" ht="18" customHeight="1" x14ac:dyDescent="0.25">
      <c r="A682" s="68" t="s">
        <v>314</v>
      </c>
      <c r="B682" s="40" t="s">
        <v>1255</v>
      </c>
      <c r="C682" s="40" t="s">
        <v>315</v>
      </c>
      <c r="D682" s="40"/>
      <c r="E682" s="40"/>
      <c r="F682" s="74"/>
      <c r="G682" s="10">
        <f t="shared" ref="G682:H682" si="397">G683</f>
        <v>1596</v>
      </c>
      <c r="H682" s="328">
        <f t="shared" si="397"/>
        <v>867.7940000000001</v>
      </c>
      <c r="I682" s="358">
        <f t="shared" si="384"/>
        <v>54.373057644110276</v>
      </c>
    </row>
    <row r="683" spans="1:9" s="213" customFormat="1" ht="18.75" customHeight="1" x14ac:dyDescent="0.25">
      <c r="A683" s="68" t="s">
        <v>316</v>
      </c>
      <c r="B683" s="40" t="s">
        <v>1255</v>
      </c>
      <c r="C683" s="40" t="s">
        <v>315</v>
      </c>
      <c r="D683" s="40" t="s">
        <v>134</v>
      </c>
      <c r="E683" s="40"/>
      <c r="F683" s="74"/>
      <c r="G683" s="10">
        <f>G688+G692+G684</f>
        <v>1596</v>
      </c>
      <c r="H683" s="328">
        <f t="shared" ref="H683" si="398">H688+H692+H684</f>
        <v>867.7940000000001</v>
      </c>
      <c r="I683" s="358">
        <f t="shared" si="384"/>
        <v>54.373057644110276</v>
      </c>
    </row>
    <row r="684" spans="1:9" s="324" customFormat="1" ht="101.25" customHeight="1" x14ac:dyDescent="0.25">
      <c r="A684" s="31" t="s">
        <v>309</v>
      </c>
      <c r="B684" s="331" t="s">
        <v>1522</v>
      </c>
      <c r="C684" s="339" t="s">
        <v>315</v>
      </c>
      <c r="D684" s="339" t="s">
        <v>134</v>
      </c>
      <c r="E684" s="339"/>
      <c r="F684" s="2"/>
      <c r="G684" s="328">
        <f>G685</f>
        <v>1159.3</v>
      </c>
      <c r="H684" s="328">
        <f t="shared" ref="H684:H685" si="399">H685</f>
        <v>534.33500000000004</v>
      </c>
      <c r="I684" s="358">
        <f t="shared" si="384"/>
        <v>46.091175709479863</v>
      </c>
    </row>
    <row r="685" spans="1:9" s="324" customFormat="1" ht="85.7" customHeight="1" x14ac:dyDescent="0.25">
      <c r="A685" s="335" t="s">
        <v>143</v>
      </c>
      <c r="B685" s="331" t="s">
        <v>1522</v>
      </c>
      <c r="C685" s="339" t="s">
        <v>315</v>
      </c>
      <c r="D685" s="339" t="s">
        <v>134</v>
      </c>
      <c r="E685" s="339" t="s">
        <v>144</v>
      </c>
      <c r="F685" s="2"/>
      <c r="G685" s="328">
        <f>G686</f>
        <v>1159.3</v>
      </c>
      <c r="H685" s="328">
        <f t="shared" si="399"/>
        <v>534.33500000000004</v>
      </c>
      <c r="I685" s="358">
        <f t="shared" si="384"/>
        <v>46.091175709479863</v>
      </c>
    </row>
    <row r="686" spans="1:9" s="324" customFormat="1" ht="18.75" customHeight="1" x14ac:dyDescent="0.25">
      <c r="A686" s="335" t="s">
        <v>224</v>
      </c>
      <c r="B686" s="331" t="s">
        <v>1522</v>
      </c>
      <c r="C686" s="339" t="s">
        <v>315</v>
      </c>
      <c r="D686" s="339" t="s">
        <v>134</v>
      </c>
      <c r="E686" s="339" t="s">
        <v>225</v>
      </c>
      <c r="F686" s="2"/>
      <c r="G686" s="328">
        <f>'Пр.4 ведом.20'!G401</f>
        <v>1159.3</v>
      </c>
      <c r="H686" s="328">
        <f>'Пр.4 ведом.20'!H401</f>
        <v>534.33500000000004</v>
      </c>
      <c r="I686" s="358">
        <f t="shared" si="384"/>
        <v>46.091175709479863</v>
      </c>
    </row>
    <row r="687" spans="1:9" s="324" customFormat="1" ht="49.7" customHeight="1" x14ac:dyDescent="0.25">
      <c r="A687" s="335" t="s">
        <v>1269</v>
      </c>
      <c r="B687" s="331" t="s">
        <v>1522</v>
      </c>
      <c r="C687" s="339" t="s">
        <v>315</v>
      </c>
      <c r="D687" s="339" t="s">
        <v>134</v>
      </c>
      <c r="E687" s="339" t="s">
        <v>225</v>
      </c>
      <c r="F687" s="2">
        <v>903</v>
      </c>
      <c r="G687" s="328">
        <f>G684</f>
        <v>1159.3</v>
      </c>
      <c r="H687" s="328">
        <f t="shared" ref="H687" si="400">H684</f>
        <v>534.33500000000004</v>
      </c>
      <c r="I687" s="358">
        <f t="shared" si="384"/>
        <v>46.091175709479863</v>
      </c>
    </row>
    <row r="688" spans="1:9" s="213" customFormat="1" ht="66.2" customHeight="1" x14ac:dyDescent="0.25">
      <c r="A688" s="25" t="s">
        <v>347</v>
      </c>
      <c r="B688" s="20" t="s">
        <v>1256</v>
      </c>
      <c r="C688" s="40" t="s">
        <v>315</v>
      </c>
      <c r="D688" s="40" t="s">
        <v>134</v>
      </c>
      <c r="E688" s="40"/>
      <c r="F688" s="2"/>
      <c r="G688" s="10">
        <f>G689</f>
        <v>319.7</v>
      </c>
      <c r="H688" s="328">
        <f t="shared" ref="H688:H689" si="401">H689</f>
        <v>216.499</v>
      </c>
      <c r="I688" s="358">
        <f t="shared" si="384"/>
        <v>67.719424460431654</v>
      </c>
    </row>
    <row r="689" spans="1:9" s="213" customFormat="1" ht="77.25" customHeight="1" x14ac:dyDescent="0.25">
      <c r="A689" s="25" t="s">
        <v>143</v>
      </c>
      <c r="B689" s="20" t="s">
        <v>1256</v>
      </c>
      <c r="C689" s="40" t="s">
        <v>315</v>
      </c>
      <c r="D689" s="40" t="s">
        <v>134</v>
      </c>
      <c r="E689" s="40" t="s">
        <v>144</v>
      </c>
      <c r="F689" s="2"/>
      <c r="G689" s="10">
        <f>G690</f>
        <v>319.7</v>
      </c>
      <c r="H689" s="328">
        <f t="shared" si="401"/>
        <v>216.499</v>
      </c>
      <c r="I689" s="358">
        <f t="shared" si="384"/>
        <v>67.719424460431654</v>
      </c>
    </row>
    <row r="690" spans="1:9" s="213" customFormat="1" ht="20.25" customHeight="1" x14ac:dyDescent="0.25">
      <c r="A690" s="25" t="s">
        <v>224</v>
      </c>
      <c r="B690" s="20" t="s">
        <v>1256</v>
      </c>
      <c r="C690" s="40" t="s">
        <v>315</v>
      </c>
      <c r="D690" s="40" t="s">
        <v>134</v>
      </c>
      <c r="E690" s="40" t="s">
        <v>225</v>
      </c>
      <c r="F690" s="2"/>
      <c r="G690" s="10">
        <f>'Пр.4 ведом.20'!G404</f>
        <v>319.7</v>
      </c>
      <c r="H690" s="328">
        <f>'Пр.4 ведом.20'!H404</f>
        <v>216.499</v>
      </c>
      <c r="I690" s="358">
        <f t="shared" si="384"/>
        <v>67.719424460431654</v>
      </c>
    </row>
    <row r="691" spans="1:9" s="213" customFormat="1" ht="51.75" customHeight="1" x14ac:dyDescent="0.25">
      <c r="A691" s="25" t="s">
        <v>1269</v>
      </c>
      <c r="B691" s="20" t="s">
        <v>1256</v>
      </c>
      <c r="C691" s="40" t="s">
        <v>315</v>
      </c>
      <c r="D691" s="40" t="s">
        <v>134</v>
      </c>
      <c r="E691" s="40" t="s">
        <v>225</v>
      </c>
      <c r="F691" s="2">
        <v>903</v>
      </c>
      <c r="G691" s="10">
        <f>G690</f>
        <v>319.7</v>
      </c>
      <c r="H691" s="328">
        <f t="shared" ref="H691" si="402">H690</f>
        <v>216.499</v>
      </c>
      <c r="I691" s="358">
        <f t="shared" si="384"/>
        <v>67.719424460431654</v>
      </c>
    </row>
    <row r="692" spans="1:9" s="213" customFormat="1" ht="95.25" customHeight="1" x14ac:dyDescent="0.25">
      <c r="A692" s="31" t="s">
        <v>309</v>
      </c>
      <c r="B692" s="20" t="s">
        <v>1257</v>
      </c>
      <c r="C692" s="40" t="s">
        <v>315</v>
      </c>
      <c r="D692" s="40" t="s">
        <v>134</v>
      </c>
      <c r="E692" s="40"/>
      <c r="F692" s="2"/>
      <c r="G692" s="10">
        <f>G693</f>
        <v>117</v>
      </c>
      <c r="H692" s="328">
        <f t="shared" ref="H692:H693" si="403">H693</f>
        <v>116.96</v>
      </c>
      <c r="I692" s="358">
        <f t="shared" si="384"/>
        <v>99.965811965811952</v>
      </c>
    </row>
    <row r="693" spans="1:9" s="213" customFormat="1" ht="30.75" customHeight="1" x14ac:dyDescent="0.25">
      <c r="A693" s="25" t="s">
        <v>143</v>
      </c>
      <c r="B693" s="20" t="s">
        <v>1257</v>
      </c>
      <c r="C693" s="40" t="s">
        <v>315</v>
      </c>
      <c r="D693" s="40" t="s">
        <v>134</v>
      </c>
      <c r="E693" s="40" t="s">
        <v>144</v>
      </c>
      <c r="F693" s="2"/>
      <c r="G693" s="10">
        <f>G694</f>
        <v>117</v>
      </c>
      <c r="H693" s="328">
        <f t="shared" si="403"/>
        <v>116.96</v>
      </c>
      <c r="I693" s="358">
        <f t="shared" si="384"/>
        <v>99.965811965811952</v>
      </c>
    </row>
    <row r="694" spans="1:9" s="213" customFormat="1" ht="22.7" customHeight="1" x14ac:dyDescent="0.25">
      <c r="A694" s="25" t="s">
        <v>224</v>
      </c>
      <c r="B694" s="20" t="s">
        <v>1257</v>
      </c>
      <c r="C694" s="40" t="s">
        <v>315</v>
      </c>
      <c r="D694" s="40" t="s">
        <v>134</v>
      </c>
      <c r="E694" s="40" t="s">
        <v>225</v>
      </c>
      <c r="F694" s="2"/>
      <c r="G694" s="10">
        <f>'Пр.4 ведом.20'!G407</f>
        <v>117</v>
      </c>
      <c r="H694" s="328">
        <f>'Пр.4 ведом.20'!H407</f>
        <v>116.96</v>
      </c>
      <c r="I694" s="358">
        <f t="shared" si="384"/>
        <v>99.965811965811952</v>
      </c>
    </row>
    <row r="695" spans="1:9" s="213" customFormat="1" ht="48.75" customHeight="1" x14ac:dyDescent="0.25">
      <c r="A695" s="25" t="s">
        <v>1269</v>
      </c>
      <c r="B695" s="20" t="s">
        <v>1257</v>
      </c>
      <c r="C695" s="40" t="s">
        <v>315</v>
      </c>
      <c r="D695" s="40" t="s">
        <v>134</v>
      </c>
      <c r="E695" s="40" t="s">
        <v>225</v>
      </c>
      <c r="F695" s="2">
        <v>903</v>
      </c>
      <c r="G695" s="10">
        <f>G694</f>
        <v>117</v>
      </c>
      <c r="H695" s="328">
        <f t="shared" ref="H695" si="404">H694</f>
        <v>116.96</v>
      </c>
      <c r="I695" s="358">
        <f t="shared" si="384"/>
        <v>99.965811965811952</v>
      </c>
    </row>
    <row r="696" spans="1:9" s="213" customFormat="1" ht="69" customHeight="1" x14ac:dyDescent="0.25">
      <c r="A696" s="23" t="s">
        <v>284</v>
      </c>
      <c r="B696" s="24" t="s">
        <v>285</v>
      </c>
      <c r="C696" s="7"/>
      <c r="D696" s="7"/>
      <c r="E696" s="7"/>
      <c r="F696" s="3"/>
      <c r="G696" s="59">
        <f>G697+G710+G717+G727+G734</f>
        <v>17311.7</v>
      </c>
      <c r="H696" s="340">
        <f t="shared" ref="H696" si="405">H697+H710+H717+H727+H734</f>
        <v>10595.047</v>
      </c>
      <c r="I696" s="4">
        <f t="shared" si="384"/>
        <v>61.201655527764466</v>
      </c>
    </row>
    <row r="697" spans="1:9" s="213" customFormat="1" ht="37.5" customHeight="1" x14ac:dyDescent="0.25">
      <c r="A697" s="23" t="s">
        <v>941</v>
      </c>
      <c r="B697" s="24" t="s">
        <v>942</v>
      </c>
      <c r="C697" s="7"/>
      <c r="D697" s="7"/>
      <c r="E697" s="7"/>
      <c r="F697" s="3"/>
      <c r="G697" s="59">
        <f>G698</f>
        <v>15679</v>
      </c>
      <c r="H697" s="340">
        <f t="shared" ref="H697:H699" si="406">H698</f>
        <v>9698.2270000000008</v>
      </c>
      <c r="I697" s="4">
        <f t="shared" si="384"/>
        <v>61.854882326679004</v>
      </c>
    </row>
    <row r="698" spans="1:9" s="213" customFormat="1" ht="15.75" customHeight="1" x14ac:dyDescent="0.25">
      <c r="A698" s="25" t="s">
        <v>279</v>
      </c>
      <c r="B698" s="20" t="s">
        <v>942</v>
      </c>
      <c r="C698" s="40" t="s">
        <v>280</v>
      </c>
      <c r="D698" s="40"/>
      <c r="E698" s="40"/>
      <c r="F698" s="2"/>
      <c r="G698" s="10">
        <f>G699</f>
        <v>15679</v>
      </c>
      <c r="H698" s="328">
        <f t="shared" si="406"/>
        <v>9698.2270000000008</v>
      </c>
      <c r="I698" s="358">
        <f t="shared" si="384"/>
        <v>61.854882326679004</v>
      </c>
    </row>
    <row r="699" spans="1:9" s="213" customFormat="1" ht="20.25" customHeight="1" x14ac:dyDescent="0.25">
      <c r="A699" s="25" t="s">
        <v>281</v>
      </c>
      <c r="B699" s="20" t="s">
        <v>942</v>
      </c>
      <c r="C699" s="40" t="s">
        <v>280</v>
      </c>
      <c r="D699" s="40" t="s">
        <v>231</v>
      </c>
      <c r="E699" s="40"/>
      <c r="F699" s="2"/>
      <c r="G699" s="10">
        <f>G700</f>
        <v>15679</v>
      </c>
      <c r="H699" s="328">
        <f t="shared" si="406"/>
        <v>9698.2270000000008</v>
      </c>
      <c r="I699" s="358">
        <f t="shared" si="384"/>
        <v>61.854882326679004</v>
      </c>
    </row>
    <row r="700" spans="1:9" s="213" customFormat="1" ht="18.75" customHeight="1" x14ac:dyDescent="0.25">
      <c r="A700" s="25" t="s">
        <v>832</v>
      </c>
      <c r="B700" s="20" t="s">
        <v>940</v>
      </c>
      <c r="C700" s="40" t="s">
        <v>280</v>
      </c>
      <c r="D700" s="40" t="s">
        <v>231</v>
      </c>
      <c r="E700" s="40"/>
      <c r="F700" s="2"/>
      <c r="G700" s="10">
        <f>G701+G704+G707</f>
        <v>15679</v>
      </c>
      <c r="H700" s="328">
        <f t="shared" ref="H700" si="407">H701+H704+H707</f>
        <v>9698.2270000000008</v>
      </c>
      <c r="I700" s="358">
        <f t="shared" si="384"/>
        <v>61.854882326679004</v>
      </c>
    </row>
    <row r="701" spans="1:9" s="213" customFormat="1" ht="86.25" customHeight="1" x14ac:dyDescent="0.25">
      <c r="A701" s="25" t="s">
        <v>143</v>
      </c>
      <c r="B701" s="20" t="s">
        <v>940</v>
      </c>
      <c r="C701" s="40" t="s">
        <v>280</v>
      </c>
      <c r="D701" s="40" t="s">
        <v>231</v>
      </c>
      <c r="E701" s="20" t="s">
        <v>144</v>
      </c>
      <c r="F701" s="2"/>
      <c r="G701" s="10">
        <f>G702</f>
        <v>13412.5</v>
      </c>
      <c r="H701" s="328">
        <f t="shared" ref="H701" si="408">H702</f>
        <v>8369.7970000000005</v>
      </c>
      <c r="I701" s="358">
        <f t="shared" si="384"/>
        <v>62.402959925442694</v>
      </c>
    </row>
    <row r="702" spans="1:9" s="213" customFormat="1" ht="15.75" customHeight="1" x14ac:dyDescent="0.25">
      <c r="A702" s="46" t="s">
        <v>358</v>
      </c>
      <c r="B702" s="20" t="s">
        <v>940</v>
      </c>
      <c r="C702" s="40" t="s">
        <v>280</v>
      </c>
      <c r="D702" s="40" t="s">
        <v>231</v>
      </c>
      <c r="E702" s="20" t="s">
        <v>225</v>
      </c>
      <c r="F702" s="2"/>
      <c r="G702" s="10">
        <f>'Пр.4 ведом.20'!G284</f>
        <v>13412.5</v>
      </c>
      <c r="H702" s="328">
        <f>'Пр.4 ведом.20'!H284</f>
        <v>8369.7970000000005</v>
      </c>
      <c r="I702" s="358">
        <f t="shared" si="384"/>
        <v>62.402959925442694</v>
      </c>
    </row>
    <row r="703" spans="1:9" s="213" customFormat="1" ht="48.2" customHeight="1" x14ac:dyDescent="0.25">
      <c r="A703" s="25" t="s">
        <v>1269</v>
      </c>
      <c r="B703" s="20" t="s">
        <v>940</v>
      </c>
      <c r="C703" s="40" t="s">
        <v>280</v>
      </c>
      <c r="D703" s="40" t="s">
        <v>231</v>
      </c>
      <c r="E703" s="20" t="s">
        <v>225</v>
      </c>
      <c r="F703" s="2">
        <v>903</v>
      </c>
      <c r="G703" s="10">
        <f>G702</f>
        <v>13412.5</v>
      </c>
      <c r="H703" s="328">
        <f t="shared" ref="H703" si="409">H702</f>
        <v>8369.7970000000005</v>
      </c>
      <c r="I703" s="358">
        <f t="shared" si="384"/>
        <v>62.402959925442694</v>
      </c>
    </row>
    <row r="704" spans="1:9" s="213" customFormat="1" ht="36" customHeight="1" x14ac:dyDescent="0.25">
      <c r="A704" s="25" t="s">
        <v>147</v>
      </c>
      <c r="B704" s="20" t="s">
        <v>940</v>
      </c>
      <c r="C704" s="40" t="s">
        <v>280</v>
      </c>
      <c r="D704" s="40" t="s">
        <v>231</v>
      </c>
      <c r="E704" s="20" t="s">
        <v>148</v>
      </c>
      <c r="F704" s="2"/>
      <c r="G704" s="10">
        <f>G705</f>
        <v>2188.5</v>
      </c>
      <c r="H704" s="328">
        <f t="shared" ref="H704" si="410">H705</f>
        <v>1278.9000000000001</v>
      </c>
      <c r="I704" s="358">
        <f t="shared" si="384"/>
        <v>58.437285812200145</v>
      </c>
    </row>
    <row r="705" spans="1:9" s="213" customFormat="1" ht="29.25" customHeight="1" x14ac:dyDescent="0.25">
      <c r="A705" s="25" t="s">
        <v>149</v>
      </c>
      <c r="B705" s="20" t="s">
        <v>940</v>
      </c>
      <c r="C705" s="40" t="s">
        <v>280</v>
      </c>
      <c r="D705" s="40" t="s">
        <v>231</v>
      </c>
      <c r="E705" s="20" t="s">
        <v>150</v>
      </c>
      <c r="F705" s="2"/>
      <c r="G705" s="10">
        <f>'Пр.4 ведом.20'!G286</f>
        <v>2188.5</v>
      </c>
      <c r="H705" s="328">
        <f>'Пр.4 ведом.20'!H286</f>
        <v>1278.9000000000001</v>
      </c>
      <c r="I705" s="358">
        <f t="shared" si="384"/>
        <v>58.437285812200145</v>
      </c>
    </row>
    <row r="706" spans="1:9" s="213" customFormat="1" ht="48.2" customHeight="1" x14ac:dyDescent="0.25">
      <c r="A706" s="25" t="s">
        <v>1269</v>
      </c>
      <c r="B706" s="20" t="s">
        <v>940</v>
      </c>
      <c r="C706" s="40" t="s">
        <v>280</v>
      </c>
      <c r="D706" s="40" t="s">
        <v>231</v>
      </c>
      <c r="E706" s="20" t="s">
        <v>150</v>
      </c>
      <c r="F706" s="2">
        <v>903</v>
      </c>
      <c r="G706" s="10">
        <f>G705</f>
        <v>2188.5</v>
      </c>
      <c r="H706" s="328">
        <f t="shared" ref="H706" si="411">H705</f>
        <v>1278.9000000000001</v>
      </c>
      <c r="I706" s="358">
        <f t="shared" si="384"/>
        <v>58.437285812200145</v>
      </c>
    </row>
    <row r="707" spans="1:9" s="213" customFormat="1" ht="15.75" customHeight="1" x14ac:dyDescent="0.25">
      <c r="A707" s="25" t="s">
        <v>151</v>
      </c>
      <c r="B707" s="20" t="s">
        <v>940</v>
      </c>
      <c r="C707" s="40" t="s">
        <v>280</v>
      </c>
      <c r="D707" s="40" t="s">
        <v>231</v>
      </c>
      <c r="E707" s="20" t="s">
        <v>161</v>
      </c>
      <c r="F707" s="2"/>
      <c r="G707" s="10">
        <f>G708</f>
        <v>78</v>
      </c>
      <c r="H707" s="328">
        <f t="shared" ref="H707" si="412">H708</f>
        <v>49.53</v>
      </c>
      <c r="I707" s="358">
        <f t="shared" si="384"/>
        <v>63.5</v>
      </c>
    </row>
    <row r="708" spans="1:9" s="213" customFormat="1" ht="15.75" customHeight="1" x14ac:dyDescent="0.25">
      <c r="A708" s="25" t="s">
        <v>727</v>
      </c>
      <c r="B708" s="20" t="s">
        <v>940</v>
      </c>
      <c r="C708" s="40" t="s">
        <v>280</v>
      </c>
      <c r="D708" s="40" t="s">
        <v>231</v>
      </c>
      <c r="E708" s="20" t="s">
        <v>154</v>
      </c>
      <c r="F708" s="2"/>
      <c r="G708" s="10">
        <f>'Пр.4 ведом.20'!G288</f>
        <v>78</v>
      </c>
      <c r="H708" s="328">
        <f>'Пр.4 ведом.20'!H288</f>
        <v>49.53</v>
      </c>
      <c r="I708" s="358">
        <f t="shared" si="384"/>
        <v>63.5</v>
      </c>
    </row>
    <row r="709" spans="1:9" s="213" customFormat="1" ht="54.75" customHeight="1" x14ac:dyDescent="0.25">
      <c r="A709" s="25" t="s">
        <v>1269</v>
      </c>
      <c r="B709" s="20" t="s">
        <v>940</v>
      </c>
      <c r="C709" s="40" t="s">
        <v>280</v>
      </c>
      <c r="D709" s="40" t="s">
        <v>231</v>
      </c>
      <c r="E709" s="20" t="s">
        <v>154</v>
      </c>
      <c r="F709" s="2">
        <v>903</v>
      </c>
      <c r="G709" s="10">
        <f>G708</f>
        <v>78</v>
      </c>
      <c r="H709" s="328">
        <f t="shared" ref="H709" si="413">H708</f>
        <v>49.53</v>
      </c>
      <c r="I709" s="358">
        <f t="shared" si="384"/>
        <v>63.5</v>
      </c>
    </row>
    <row r="710" spans="1:9" s="213" customFormat="1" ht="48.2" customHeight="1" x14ac:dyDescent="0.25">
      <c r="A710" s="224" t="s">
        <v>1189</v>
      </c>
      <c r="B710" s="24" t="s">
        <v>944</v>
      </c>
      <c r="C710" s="7"/>
      <c r="D710" s="7"/>
      <c r="E710" s="24"/>
      <c r="F710" s="3"/>
      <c r="G710" s="59">
        <f>G713</f>
        <v>45</v>
      </c>
      <c r="H710" s="340">
        <f t="shared" ref="H710" si="414">H713</f>
        <v>14.4</v>
      </c>
      <c r="I710" s="4">
        <f t="shared" si="384"/>
        <v>32</v>
      </c>
    </row>
    <row r="711" spans="1:9" s="213" customFormat="1" ht="18" customHeight="1" x14ac:dyDescent="0.25">
      <c r="A711" s="25" t="s">
        <v>279</v>
      </c>
      <c r="B711" s="20" t="s">
        <v>944</v>
      </c>
      <c r="C711" s="40" t="s">
        <v>280</v>
      </c>
      <c r="D711" s="40"/>
      <c r="E711" s="40"/>
      <c r="F711" s="2"/>
      <c r="G711" s="10">
        <f>G712</f>
        <v>45</v>
      </c>
      <c r="H711" s="328">
        <f t="shared" ref="H711:H714" si="415">H712</f>
        <v>14.4</v>
      </c>
      <c r="I711" s="358">
        <f t="shared" si="384"/>
        <v>32</v>
      </c>
    </row>
    <row r="712" spans="1:9" s="213" customFormat="1" ht="15.75" customHeight="1" x14ac:dyDescent="0.25">
      <c r="A712" s="25" t="s">
        <v>281</v>
      </c>
      <c r="B712" s="20" t="s">
        <v>944</v>
      </c>
      <c r="C712" s="40" t="s">
        <v>280</v>
      </c>
      <c r="D712" s="40" t="s">
        <v>231</v>
      </c>
      <c r="E712" s="40"/>
      <c r="F712" s="2"/>
      <c r="G712" s="10">
        <f>G713</f>
        <v>45</v>
      </c>
      <c r="H712" s="328">
        <f t="shared" si="415"/>
        <v>14.4</v>
      </c>
      <c r="I712" s="358">
        <f t="shared" si="384"/>
        <v>32</v>
      </c>
    </row>
    <row r="713" spans="1:9" s="213" customFormat="1" ht="15.75" customHeight="1" x14ac:dyDescent="0.25">
      <c r="A713" s="208" t="s">
        <v>831</v>
      </c>
      <c r="B713" s="20" t="s">
        <v>943</v>
      </c>
      <c r="C713" s="40" t="s">
        <v>280</v>
      </c>
      <c r="D713" s="40" t="s">
        <v>231</v>
      </c>
      <c r="E713" s="20"/>
      <c r="F713" s="2"/>
      <c r="G713" s="10">
        <f>G714</f>
        <v>45</v>
      </c>
      <c r="H713" s="328">
        <f t="shared" si="415"/>
        <v>14.4</v>
      </c>
      <c r="I713" s="358">
        <f t="shared" si="384"/>
        <v>32</v>
      </c>
    </row>
    <row r="714" spans="1:9" s="213" customFormat="1" ht="15.75" customHeight="1" x14ac:dyDescent="0.25">
      <c r="A714" s="25" t="s">
        <v>264</v>
      </c>
      <c r="B714" s="20" t="s">
        <v>943</v>
      </c>
      <c r="C714" s="40" t="s">
        <v>280</v>
      </c>
      <c r="D714" s="40" t="s">
        <v>231</v>
      </c>
      <c r="E714" s="20" t="s">
        <v>265</v>
      </c>
      <c r="F714" s="2"/>
      <c r="G714" s="10">
        <f>G715</f>
        <v>45</v>
      </c>
      <c r="H714" s="328">
        <f t="shared" si="415"/>
        <v>14.4</v>
      </c>
      <c r="I714" s="358">
        <f t="shared" si="384"/>
        <v>32</v>
      </c>
    </row>
    <row r="715" spans="1:9" s="213" customFormat="1" ht="15.75" customHeight="1" x14ac:dyDescent="0.25">
      <c r="A715" s="25" t="s">
        <v>865</v>
      </c>
      <c r="B715" s="20" t="s">
        <v>943</v>
      </c>
      <c r="C715" s="40" t="s">
        <v>280</v>
      </c>
      <c r="D715" s="40" t="s">
        <v>231</v>
      </c>
      <c r="E715" s="20" t="s">
        <v>864</v>
      </c>
      <c r="F715" s="2"/>
      <c r="G715" s="10">
        <f>'Пр.4 ведом.20'!G292</f>
        <v>45</v>
      </c>
      <c r="H715" s="328">
        <f>'Пр.4 ведом.20'!H292</f>
        <v>14.4</v>
      </c>
      <c r="I715" s="358">
        <f t="shared" si="384"/>
        <v>32</v>
      </c>
    </row>
    <row r="716" spans="1:9" s="213" customFormat="1" ht="49.7" customHeight="1" x14ac:dyDescent="0.25">
      <c r="A716" s="25" t="s">
        <v>1269</v>
      </c>
      <c r="B716" s="20" t="s">
        <v>943</v>
      </c>
      <c r="C716" s="40" t="s">
        <v>280</v>
      </c>
      <c r="D716" s="40" t="s">
        <v>231</v>
      </c>
      <c r="E716" s="20" t="s">
        <v>864</v>
      </c>
      <c r="F716" s="2">
        <v>903</v>
      </c>
      <c r="G716" s="10">
        <f>G715</f>
        <v>45</v>
      </c>
      <c r="H716" s="328">
        <f t="shared" ref="H716" si="416">H715</f>
        <v>14.4</v>
      </c>
      <c r="I716" s="358">
        <f t="shared" si="384"/>
        <v>32</v>
      </c>
    </row>
    <row r="717" spans="1:9" s="213" customFormat="1" ht="53.45" customHeight="1" x14ac:dyDescent="0.25">
      <c r="A717" s="229" t="s">
        <v>1168</v>
      </c>
      <c r="B717" s="24" t="s">
        <v>945</v>
      </c>
      <c r="C717" s="7"/>
      <c r="D717" s="7"/>
      <c r="E717" s="24"/>
      <c r="F717" s="3"/>
      <c r="G717" s="59">
        <f>G720</f>
        <v>250.00000000000003</v>
      </c>
      <c r="H717" s="340">
        <f t="shared" ref="H717" si="417">H720</f>
        <v>66.849999999999994</v>
      </c>
      <c r="I717" s="4">
        <f t="shared" si="384"/>
        <v>26.74</v>
      </c>
    </row>
    <row r="718" spans="1:9" s="213" customFormat="1" ht="16.5" customHeight="1" x14ac:dyDescent="0.25">
      <c r="A718" s="25" t="s">
        <v>279</v>
      </c>
      <c r="B718" s="20" t="s">
        <v>945</v>
      </c>
      <c r="C718" s="40" t="s">
        <v>280</v>
      </c>
      <c r="D718" s="40"/>
      <c r="E718" s="40"/>
      <c r="F718" s="2"/>
      <c r="G718" s="10">
        <f>G719</f>
        <v>250.00000000000003</v>
      </c>
      <c r="H718" s="328">
        <f t="shared" ref="H718:H719" si="418">H719</f>
        <v>66.849999999999994</v>
      </c>
      <c r="I718" s="358">
        <f t="shared" si="384"/>
        <v>26.74</v>
      </c>
    </row>
    <row r="719" spans="1:9" s="213" customFormat="1" ht="16.5" customHeight="1" x14ac:dyDescent="0.25">
      <c r="A719" s="25" t="s">
        <v>281</v>
      </c>
      <c r="B719" s="20" t="s">
        <v>945</v>
      </c>
      <c r="C719" s="40" t="s">
        <v>280</v>
      </c>
      <c r="D719" s="40" t="s">
        <v>231</v>
      </c>
      <c r="E719" s="40"/>
      <c r="F719" s="2"/>
      <c r="G719" s="10">
        <f>G720</f>
        <v>250.00000000000003</v>
      </c>
      <c r="H719" s="328">
        <f t="shared" si="418"/>
        <v>66.849999999999994</v>
      </c>
      <c r="I719" s="358">
        <f t="shared" si="384"/>
        <v>26.74</v>
      </c>
    </row>
    <row r="720" spans="1:9" s="213" customFormat="1" ht="34.5" customHeight="1" x14ac:dyDescent="0.25">
      <c r="A720" s="31" t="s">
        <v>860</v>
      </c>
      <c r="B720" s="20" t="s">
        <v>946</v>
      </c>
      <c r="C720" s="40" t="s">
        <v>280</v>
      </c>
      <c r="D720" s="40" t="s">
        <v>231</v>
      </c>
      <c r="E720" s="20"/>
      <c r="F720" s="2"/>
      <c r="G720" s="10">
        <f>G721+G724</f>
        <v>250.00000000000003</v>
      </c>
      <c r="H720" s="328">
        <f t="shared" ref="H720" si="419">H721+H724</f>
        <v>66.849999999999994</v>
      </c>
      <c r="I720" s="358">
        <f t="shared" si="384"/>
        <v>26.74</v>
      </c>
    </row>
    <row r="721" spans="1:9" s="213" customFormat="1" ht="84.2" customHeight="1" x14ac:dyDescent="0.25">
      <c r="A721" s="25" t="s">
        <v>143</v>
      </c>
      <c r="B721" s="20" t="s">
        <v>946</v>
      </c>
      <c r="C721" s="40" t="s">
        <v>280</v>
      </c>
      <c r="D721" s="40" t="s">
        <v>231</v>
      </c>
      <c r="E721" s="20" t="s">
        <v>144</v>
      </c>
      <c r="F721" s="2"/>
      <c r="G721" s="10">
        <f>G722</f>
        <v>250.00000000000003</v>
      </c>
      <c r="H721" s="328">
        <f t="shared" ref="H721" si="420">H722</f>
        <v>66.849999999999994</v>
      </c>
      <c r="I721" s="358">
        <f t="shared" si="384"/>
        <v>26.74</v>
      </c>
    </row>
    <row r="722" spans="1:9" s="213" customFormat="1" ht="15.75" customHeight="1" x14ac:dyDescent="0.25">
      <c r="A722" s="46" t="s">
        <v>358</v>
      </c>
      <c r="B722" s="20" t="s">
        <v>946</v>
      </c>
      <c r="C722" s="40" t="s">
        <v>280</v>
      </c>
      <c r="D722" s="40" t="s">
        <v>231</v>
      </c>
      <c r="E722" s="20" t="s">
        <v>225</v>
      </c>
      <c r="F722" s="2"/>
      <c r="G722" s="10">
        <f>'Пр.4 ведом.20'!G296</f>
        <v>250.00000000000003</v>
      </c>
      <c r="H722" s="328">
        <f>'Пр.4 ведом.20'!H296</f>
        <v>66.849999999999994</v>
      </c>
      <c r="I722" s="358">
        <f t="shared" ref="I722:I785" si="421">H722/G722*100</f>
        <v>26.74</v>
      </c>
    </row>
    <row r="723" spans="1:9" s="213" customFormat="1" ht="49.7" customHeight="1" x14ac:dyDescent="0.25">
      <c r="A723" s="25" t="s">
        <v>1269</v>
      </c>
      <c r="B723" s="20" t="s">
        <v>946</v>
      </c>
      <c r="C723" s="40" t="s">
        <v>280</v>
      </c>
      <c r="D723" s="40" t="s">
        <v>231</v>
      </c>
      <c r="E723" s="20" t="s">
        <v>225</v>
      </c>
      <c r="F723" s="2">
        <v>903</v>
      </c>
      <c r="G723" s="10">
        <f>G722</f>
        <v>250.00000000000003</v>
      </c>
      <c r="H723" s="328">
        <f t="shared" ref="H723" si="422">H722</f>
        <v>66.849999999999994</v>
      </c>
      <c r="I723" s="358">
        <f t="shared" si="421"/>
        <v>26.74</v>
      </c>
    </row>
    <row r="724" spans="1:9" s="213" customFormat="1" ht="36.75" hidden="1" customHeight="1" x14ac:dyDescent="0.25">
      <c r="A724" s="25" t="s">
        <v>147</v>
      </c>
      <c r="B724" s="20" t="s">
        <v>946</v>
      </c>
      <c r="C724" s="40" t="s">
        <v>280</v>
      </c>
      <c r="D724" s="40" t="s">
        <v>231</v>
      </c>
      <c r="E724" s="20" t="s">
        <v>148</v>
      </c>
      <c r="F724" s="2"/>
      <c r="G724" s="10">
        <f>G725</f>
        <v>0</v>
      </c>
      <c r="H724" s="328">
        <f t="shared" ref="H724" si="423">H725</f>
        <v>0</v>
      </c>
      <c r="I724" s="358" t="e">
        <f t="shared" si="421"/>
        <v>#DIV/0!</v>
      </c>
    </row>
    <row r="725" spans="1:9" s="213" customFormat="1" ht="15.75" hidden="1" customHeight="1" x14ac:dyDescent="0.25">
      <c r="A725" s="25" t="s">
        <v>149</v>
      </c>
      <c r="B725" s="20" t="s">
        <v>946</v>
      </c>
      <c r="C725" s="40" t="s">
        <v>280</v>
      </c>
      <c r="D725" s="40" t="s">
        <v>231</v>
      </c>
      <c r="E725" s="20" t="s">
        <v>150</v>
      </c>
      <c r="F725" s="2"/>
      <c r="G725" s="10">
        <f>'Пр.4 ведом.20'!G298</f>
        <v>0</v>
      </c>
      <c r="H725" s="328">
        <f>'Пр.4 ведом.20'!H298</f>
        <v>0</v>
      </c>
      <c r="I725" s="358" t="e">
        <f t="shared" si="421"/>
        <v>#DIV/0!</v>
      </c>
    </row>
    <row r="726" spans="1:9" s="213" customFormat="1" ht="48.2" hidden="1" customHeight="1" x14ac:dyDescent="0.25">
      <c r="A726" s="25" t="s">
        <v>1269</v>
      </c>
      <c r="B726" s="20" t="s">
        <v>946</v>
      </c>
      <c r="C726" s="40" t="s">
        <v>280</v>
      </c>
      <c r="D726" s="40" t="s">
        <v>231</v>
      </c>
      <c r="E726" s="20" t="s">
        <v>150</v>
      </c>
      <c r="F726" s="2">
        <v>903</v>
      </c>
      <c r="G726" s="10">
        <f>G725</f>
        <v>0</v>
      </c>
      <c r="H726" s="328">
        <f t="shared" ref="H726" si="424">H725</f>
        <v>0</v>
      </c>
      <c r="I726" s="358" t="e">
        <f t="shared" si="421"/>
        <v>#DIV/0!</v>
      </c>
    </row>
    <row r="727" spans="1:9" s="213" customFormat="1" ht="36.75" customHeight="1" x14ac:dyDescent="0.25">
      <c r="A727" s="23" t="s">
        <v>1076</v>
      </c>
      <c r="B727" s="24" t="s">
        <v>951</v>
      </c>
      <c r="C727" s="7"/>
      <c r="D727" s="7"/>
      <c r="E727" s="24"/>
      <c r="F727" s="3"/>
      <c r="G727" s="59">
        <f>G730</f>
        <v>336</v>
      </c>
      <c r="H727" s="340">
        <f t="shared" ref="H727" si="425">H730</f>
        <v>301.82</v>
      </c>
      <c r="I727" s="4">
        <f t="shared" si="421"/>
        <v>89.827380952380949</v>
      </c>
    </row>
    <row r="728" spans="1:9" s="213" customFormat="1" ht="17.45" customHeight="1" x14ac:dyDescent="0.25">
      <c r="A728" s="25" t="s">
        <v>279</v>
      </c>
      <c r="B728" s="20" t="s">
        <v>951</v>
      </c>
      <c r="C728" s="40" t="s">
        <v>280</v>
      </c>
      <c r="D728" s="40"/>
      <c r="E728" s="40"/>
      <c r="F728" s="2"/>
      <c r="G728" s="10">
        <f>G729</f>
        <v>336</v>
      </c>
      <c r="H728" s="328">
        <f t="shared" ref="H728:H731" si="426">H729</f>
        <v>301.82</v>
      </c>
      <c r="I728" s="358">
        <f t="shared" si="421"/>
        <v>89.827380952380949</v>
      </c>
    </row>
    <row r="729" spans="1:9" s="213" customFormat="1" ht="18.75" customHeight="1" x14ac:dyDescent="0.25">
      <c r="A729" s="25" t="s">
        <v>281</v>
      </c>
      <c r="B729" s="20" t="s">
        <v>951</v>
      </c>
      <c r="C729" s="40" t="s">
        <v>280</v>
      </c>
      <c r="D729" s="40" t="s">
        <v>231</v>
      </c>
      <c r="E729" s="40"/>
      <c r="F729" s="2"/>
      <c r="G729" s="10">
        <f>G730</f>
        <v>336</v>
      </c>
      <c r="H729" s="328">
        <f t="shared" si="426"/>
        <v>301.82</v>
      </c>
      <c r="I729" s="358">
        <f t="shared" si="421"/>
        <v>89.827380952380949</v>
      </c>
    </row>
    <row r="730" spans="1:9" s="213" customFormat="1" ht="49.7" customHeight="1" x14ac:dyDescent="0.25">
      <c r="A730" s="25" t="s">
        <v>885</v>
      </c>
      <c r="B730" s="20" t="s">
        <v>1263</v>
      </c>
      <c r="C730" s="40" t="s">
        <v>280</v>
      </c>
      <c r="D730" s="40" t="s">
        <v>231</v>
      </c>
      <c r="E730" s="20"/>
      <c r="F730" s="2"/>
      <c r="G730" s="10">
        <f>G731</f>
        <v>336</v>
      </c>
      <c r="H730" s="328">
        <f t="shared" si="426"/>
        <v>301.82</v>
      </c>
      <c r="I730" s="358">
        <f t="shared" si="421"/>
        <v>89.827380952380949</v>
      </c>
    </row>
    <row r="731" spans="1:9" s="213" customFormat="1" ht="83.25" customHeight="1" x14ac:dyDescent="0.25">
      <c r="A731" s="25" t="s">
        <v>143</v>
      </c>
      <c r="B731" s="20" t="s">
        <v>1263</v>
      </c>
      <c r="C731" s="40" t="s">
        <v>280</v>
      </c>
      <c r="D731" s="40" t="s">
        <v>231</v>
      </c>
      <c r="E731" s="20" t="s">
        <v>144</v>
      </c>
      <c r="F731" s="2"/>
      <c r="G731" s="10">
        <f>G732</f>
        <v>336</v>
      </c>
      <c r="H731" s="328">
        <f t="shared" si="426"/>
        <v>301.82</v>
      </c>
      <c r="I731" s="358">
        <f t="shared" si="421"/>
        <v>89.827380952380949</v>
      </c>
    </row>
    <row r="732" spans="1:9" s="213" customFormat="1" ht="36" customHeight="1" x14ac:dyDescent="0.25">
      <c r="A732" s="25" t="s">
        <v>145</v>
      </c>
      <c r="B732" s="20" t="s">
        <v>1263</v>
      </c>
      <c r="C732" s="40" t="s">
        <v>280</v>
      </c>
      <c r="D732" s="40" t="s">
        <v>231</v>
      </c>
      <c r="E732" s="20" t="s">
        <v>225</v>
      </c>
      <c r="F732" s="2"/>
      <c r="G732" s="10">
        <f>'Пр.4 ведом.20'!G302</f>
        <v>336</v>
      </c>
      <c r="H732" s="328">
        <f>'Пр.4 ведом.20'!H302</f>
        <v>301.82</v>
      </c>
      <c r="I732" s="358">
        <f t="shared" si="421"/>
        <v>89.827380952380949</v>
      </c>
    </row>
    <row r="733" spans="1:9" s="213" customFormat="1" ht="53.45" customHeight="1" x14ac:dyDescent="0.25">
      <c r="A733" s="25" t="s">
        <v>1269</v>
      </c>
      <c r="B733" s="20" t="s">
        <v>1263</v>
      </c>
      <c r="C733" s="40" t="s">
        <v>280</v>
      </c>
      <c r="D733" s="40" t="s">
        <v>231</v>
      </c>
      <c r="E733" s="20" t="s">
        <v>225</v>
      </c>
      <c r="F733" s="2">
        <v>903</v>
      </c>
      <c r="G733" s="10">
        <f>G732</f>
        <v>336</v>
      </c>
      <c r="H733" s="328">
        <f t="shared" ref="H733" si="427">H732</f>
        <v>301.82</v>
      </c>
      <c r="I733" s="358">
        <f t="shared" si="421"/>
        <v>89.827380952380949</v>
      </c>
    </row>
    <row r="734" spans="1:9" s="213" customFormat="1" ht="48.2" customHeight="1" x14ac:dyDescent="0.25">
      <c r="A734" s="23" t="s">
        <v>971</v>
      </c>
      <c r="B734" s="24" t="s">
        <v>1264</v>
      </c>
      <c r="C734" s="7"/>
      <c r="D734" s="7"/>
      <c r="E734" s="24"/>
      <c r="F734" s="3"/>
      <c r="G734" s="59">
        <f>G741+G745+G749+G737</f>
        <v>1001.7</v>
      </c>
      <c r="H734" s="340">
        <f t="shared" ref="H734" si="428">H741+H745+H749+H737</f>
        <v>513.75</v>
      </c>
      <c r="I734" s="4">
        <f t="shared" si="421"/>
        <v>51.287810721772985</v>
      </c>
    </row>
    <row r="735" spans="1:9" s="213" customFormat="1" ht="18.75" customHeight="1" x14ac:dyDescent="0.25">
      <c r="A735" s="25" t="s">
        <v>279</v>
      </c>
      <c r="B735" s="20" t="s">
        <v>1264</v>
      </c>
      <c r="C735" s="40" t="s">
        <v>280</v>
      </c>
      <c r="D735" s="40"/>
      <c r="E735" s="40"/>
      <c r="F735" s="2"/>
      <c r="G735" s="10">
        <f>G736</f>
        <v>1001.7</v>
      </c>
      <c r="H735" s="328">
        <f t="shared" ref="H735" si="429">H736</f>
        <v>513.75</v>
      </c>
      <c r="I735" s="358">
        <f t="shared" si="421"/>
        <v>51.287810721772985</v>
      </c>
    </row>
    <row r="736" spans="1:9" s="213" customFormat="1" ht="19.5" customHeight="1" x14ac:dyDescent="0.25">
      <c r="A736" s="25" t="s">
        <v>281</v>
      </c>
      <c r="B736" s="20" t="s">
        <v>1264</v>
      </c>
      <c r="C736" s="40" t="s">
        <v>280</v>
      </c>
      <c r="D736" s="40" t="s">
        <v>231</v>
      </c>
      <c r="E736" s="40"/>
      <c r="F736" s="2"/>
      <c r="G736" s="10">
        <f>G741+G745+G749+G737</f>
        <v>1001.7</v>
      </c>
      <c r="H736" s="328">
        <f t="shared" ref="H736" si="430">H741+H745+H749+H737</f>
        <v>513.75</v>
      </c>
      <c r="I736" s="358">
        <f t="shared" si="421"/>
        <v>51.287810721772985</v>
      </c>
    </row>
    <row r="737" spans="1:9" s="324" customFormat="1" ht="94.5" x14ac:dyDescent="0.25">
      <c r="A737" s="31" t="s">
        <v>309</v>
      </c>
      <c r="B737" s="331" t="s">
        <v>1518</v>
      </c>
      <c r="C737" s="339" t="s">
        <v>280</v>
      </c>
      <c r="D737" s="339" t="s">
        <v>231</v>
      </c>
      <c r="E737" s="339"/>
      <c r="F737" s="2"/>
      <c r="G737" s="328">
        <f>G738</f>
        <v>422.5</v>
      </c>
      <c r="H737" s="328">
        <f t="shared" ref="H737:H738" si="431">H738</f>
        <v>120</v>
      </c>
      <c r="I737" s="358">
        <f t="shared" si="421"/>
        <v>28.402366863905325</v>
      </c>
    </row>
    <row r="738" spans="1:9" s="324" customFormat="1" ht="78.75" x14ac:dyDescent="0.25">
      <c r="A738" s="335" t="s">
        <v>143</v>
      </c>
      <c r="B738" s="331" t="s">
        <v>1518</v>
      </c>
      <c r="C738" s="339" t="s">
        <v>280</v>
      </c>
      <c r="D738" s="339" t="s">
        <v>231</v>
      </c>
      <c r="E738" s="339" t="s">
        <v>144</v>
      </c>
      <c r="F738" s="2"/>
      <c r="G738" s="328">
        <f>G739</f>
        <v>422.5</v>
      </c>
      <c r="H738" s="328">
        <f t="shared" si="431"/>
        <v>120</v>
      </c>
      <c r="I738" s="358">
        <f t="shared" si="421"/>
        <v>28.402366863905325</v>
      </c>
    </row>
    <row r="739" spans="1:9" s="324" customFormat="1" ht="15.75" x14ac:dyDescent="0.25">
      <c r="A739" s="46" t="s">
        <v>358</v>
      </c>
      <c r="B739" s="331" t="s">
        <v>1518</v>
      </c>
      <c r="C739" s="339" t="s">
        <v>280</v>
      </c>
      <c r="D739" s="339" t="s">
        <v>231</v>
      </c>
      <c r="E739" s="339" t="s">
        <v>225</v>
      </c>
      <c r="F739" s="2"/>
      <c r="G739" s="328">
        <f>'Пр.4 ведом.20'!G306</f>
        <v>422.5</v>
      </c>
      <c r="H739" s="328">
        <f>'Пр.4 ведом.20'!H306</f>
        <v>120</v>
      </c>
      <c r="I739" s="358">
        <f t="shared" si="421"/>
        <v>28.402366863905325</v>
      </c>
    </row>
    <row r="740" spans="1:9" s="324" customFormat="1" ht="47.25" x14ac:dyDescent="0.25">
      <c r="A740" s="335" t="s">
        <v>1269</v>
      </c>
      <c r="B740" s="331" t="s">
        <v>1518</v>
      </c>
      <c r="C740" s="339" t="s">
        <v>280</v>
      </c>
      <c r="D740" s="339" t="s">
        <v>231</v>
      </c>
      <c r="E740" s="339" t="s">
        <v>225</v>
      </c>
      <c r="F740" s="2">
        <v>903</v>
      </c>
      <c r="G740" s="328">
        <f>G737</f>
        <v>422.5</v>
      </c>
      <c r="H740" s="328">
        <f t="shared" ref="H740" si="432">H737</f>
        <v>120</v>
      </c>
      <c r="I740" s="358">
        <f t="shared" si="421"/>
        <v>28.402366863905325</v>
      </c>
    </row>
    <row r="741" spans="1:9" s="213" customFormat="1" ht="66.75" customHeight="1" x14ac:dyDescent="0.25">
      <c r="A741" s="31" t="s">
        <v>305</v>
      </c>
      <c r="B741" s="20" t="s">
        <v>1265</v>
      </c>
      <c r="C741" s="40" t="s">
        <v>280</v>
      </c>
      <c r="D741" s="40" t="s">
        <v>231</v>
      </c>
      <c r="E741" s="20"/>
      <c r="F741" s="2"/>
      <c r="G741" s="10">
        <f>G742</f>
        <v>100.8</v>
      </c>
      <c r="H741" s="328">
        <f t="shared" ref="H741:H742" si="433">H742</f>
        <v>54.64</v>
      </c>
      <c r="I741" s="358">
        <f t="shared" si="421"/>
        <v>54.206349206349216</v>
      </c>
    </row>
    <row r="742" spans="1:9" s="213" customFormat="1" ht="87.75" customHeight="1" x14ac:dyDescent="0.25">
      <c r="A742" s="25" t="s">
        <v>143</v>
      </c>
      <c r="B742" s="20" t="s">
        <v>1265</v>
      </c>
      <c r="C742" s="40" t="s">
        <v>280</v>
      </c>
      <c r="D742" s="40" t="s">
        <v>231</v>
      </c>
      <c r="E742" s="20" t="s">
        <v>144</v>
      </c>
      <c r="F742" s="2"/>
      <c r="G742" s="10">
        <f>G743</f>
        <v>100.8</v>
      </c>
      <c r="H742" s="328">
        <f t="shared" si="433"/>
        <v>54.64</v>
      </c>
      <c r="I742" s="358">
        <f t="shared" si="421"/>
        <v>54.206349206349216</v>
      </c>
    </row>
    <row r="743" spans="1:9" s="213" customFormat="1" ht="18.75" customHeight="1" x14ac:dyDescent="0.25">
      <c r="A743" s="46" t="s">
        <v>358</v>
      </c>
      <c r="B743" s="20" t="s">
        <v>1265</v>
      </c>
      <c r="C743" s="40" t="s">
        <v>280</v>
      </c>
      <c r="D743" s="40" t="s">
        <v>231</v>
      </c>
      <c r="E743" s="20" t="s">
        <v>225</v>
      </c>
      <c r="F743" s="2"/>
      <c r="G743" s="10">
        <f>'Пр.4 ведом.20'!G309</f>
        <v>100.8</v>
      </c>
      <c r="H743" s="328">
        <f>'Пр.4 ведом.20'!H309</f>
        <v>54.64</v>
      </c>
      <c r="I743" s="358">
        <f t="shared" si="421"/>
        <v>54.206349206349216</v>
      </c>
    </row>
    <row r="744" spans="1:9" s="213" customFormat="1" ht="55.5" customHeight="1" x14ac:dyDescent="0.25">
      <c r="A744" s="25" t="s">
        <v>1269</v>
      </c>
      <c r="B744" s="20" t="s">
        <v>1265</v>
      </c>
      <c r="C744" s="40" t="s">
        <v>280</v>
      </c>
      <c r="D744" s="40" t="s">
        <v>231</v>
      </c>
      <c r="E744" s="20" t="s">
        <v>225</v>
      </c>
      <c r="F744" s="2">
        <v>903</v>
      </c>
      <c r="G744" s="10">
        <f>G743</f>
        <v>100.8</v>
      </c>
      <c r="H744" s="328">
        <f t="shared" ref="H744" si="434">H743</f>
        <v>54.64</v>
      </c>
      <c r="I744" s="358">
        <f t="shared" si="421"/>
        <v>54.206349206349216</v>
      </c>
    </row>
    <row r="745" spans="1:9" s="213" customFormat="1" ht="70.5" customHeight="1" x14ac:dyDescent="0.25">
      <c r="A745" s="31" t="s">
        <v>307</v>
      </c>
      <c r="B745" s="20" t="s">
        <v>1266</v>
      </c>
      <c r="C745" s="40" t="s">
        <v>280</v>
      </c>
      <c r="D745" s="40" t="s">
        <v>231</v>
      </c>
      <c r="E745" s="20"/>
      <c r="F745" s="2"/>
      <c r="G745" s="10">
        <f>G746</f>
        <v>298.40000000000003</v>
      </c>
      <c r="H745" s="328">
        <f t="shared" ref="H745:H746" si="435">H746</f>
        <v>159.34</v>
      </c>
      <c r="I745" s="358">
        <f t="shared" si="421"/>
        <v>53.398123324396771</v>
      </c>
    </row>
    <row r="746" spans="1:9" s="213" customFormat="1" ht="88.5" customHeight="1" x14ac:dyDescent="0.25">
      <c r="A746" s="25" t="s">
        <v>143</v>
      </c>
      <c r="B746" s="20" t="s">
        <v>1266</v>
      </c>
      <c r="C746" s="40" t="s">
        <v>280</v>
      </c>
      <c r="D746" s="40" t="s">
        <v>231</v>
      </c>
      <c r="E746" s="20" t="s">
        <v>144</v>
      </c>
      <c r="F746" s="2"/>
      <c r="G746" s="10">
        <f>G747</f>
        <v>298.40000000000003</v>
      </c>
      <c r="H746" s="328">
        <f t="shared" si="435"/>
        <v>159.34</v>
      </c>
      <c r="I746" s="358">
        <f t="shared" si="421"/>
        <v>53.398123324396771</v>
      </c>
    </row>
    <row r="747" spans="1:9" s="213" customFormat="1" ht="20.25" customHeight="1" x14ac:dyDescent="0.25">
      <c r="A747" s="46" t="s">
        <v>358</v>
      </c>
      <c r="B747" s="20" t="s">
        <v>1266</v>
      </c>
      <c r="C747" s="40" t="s">
        <v>280</v>
      </c>
      <c r="D747" s="40" t="s">
        <v>231</v>
      </c>
      <c r="E747" s="20" t="s">
        <v>225</v>
      </c>
      <c r="F747" s="2"/>
      <c r="G747" s="10">
        <f>'Пр.4 ведом.20'!G312</f>
        <v>298.40000000000003</v>
      </c>
      <c r="H747" s="328">
        <f>'Пр.4 ведом.20'!H312</f>
        <v>159.34</v>
      </c>
      <c r="I747" s="358">
        <f t="shared" si="421"/>
        <v>53.398123324396771</v>
      </c>
    </row>
    <row r="748" spans="1:9" s="213" customFormat="1" ht="51.75" customHeight="1" x14ac:dyDescent="0.25">
      <c r="A748" s="25" t="s">
        <v>1269</v>
      </c>
      <c r="B748" s="20" t="s">
        <v>1266</v>
      </c>
      <c r="C748" s="40" t="s">
        <v>280</v>
      </c>
      <c r="D748" s="40" t="s">
        <v>231</v>
      </c>
      <c r="E748" s="20" t="s">
        <v>225</v>
      </c>
      <c r="F748" s="2">
        <v>903</v>
      </c>
      <c r="G748" s="10">
        <f>G747</f>
        <v>298.40000000000003</v>
      </c>
      <c r="H748" s="328">
        <f t="shared" ref="H748" si="436">H747</f>
        <v>159.34</v>
      </c>
      <c r="I748" s="358">
        <f t="shared" si="421"/>
        <v>53.398123324396771</v>
      </c>
    </row>
    <row r="749" spans="1:9" s="213" customFormat="1" ht="96" customHeight="1" x14ac:dyDescent="0.25">
      <c r="A749" s="31" t="s">
        <v>309</v>
      </c>
      <c r="B749" s="20" t="s">
        <v>1267</v>
      </c>
      <c r="C749" s="40" t="s">
        <v>280</v>
      </c>
      <c r="D749" s="40" t="s">
        <v>231</v>
      </c>
      <c r="E749" s="20"/>
      <c r="F749" s="2"/>
      <c r="G749" s="10">
        <f>G750</f>
        <v>180</v>
      </c>
      <c r="H749" s="328">
        <f t="shared" ref="H749:H750" si="437">H750</f>
        <v>179.77</v>
      </c>
      <c r="I749" s="358">
        <f t="shared" si="421"/>
        <v>99.872222222222234</v>
      </c>
    </row>
    <row r="750" spans="1:9" s="213" customFormat="1" ht="79.5" customHeight="1" x14ac:dyDescent="0.25">
      <c r="A750" s="25" t="s">
        <v>143</v>
      </c>
      <c r="B750" s="20" t="s">
        <v>1267</v>
      </c>
      <c r="C750" s="40" t="s">
        <v>280</v>
      </c>
      <c r="D750" s="40" t="s">
        <v>231</v>
      </c>
      <c r="E750" s="20" t="s">
        <v>144</v>
      </c>
      <c r="F750" s="2"/>
      <c r="G750" s="10">
        <f>G751</f>
        <v>180</v>
      </c>
      <c r="H750" s="328">
        <f t="shared" si="437"/>
        <v>179.77</v>
      </c>
      <c r="I750" s="358">
        <f t="shared" si="421"/>
        <v>99.872222222222234</v>
      </c>
    </row>
    <row r="751" spans="1:9" s="213" customFormat="1" ht="15.75" customHeight="1" x14ac:dyDescent="0.25">
      <c r="A751" s="46" t="s">
        <v>358</v>
      </c>
      <c r="B751" s="20" t="s">
        <v>1267</v>
      </c>
      <c r="C751" s="40" t="s">
        <v>280</v>
      </c>
      <c r="D751" s="40" t="s">
        <v>231</v>
      </c>
      <c r="E751" s="20" t="s">
        <v>225</v>
      </c>
      <c r="F751" s="2"/>
      <c r="G751" s="10">
        <f>'Пр.4 ведом.20'!G315</f>
        <v>180</v>
      </c>
      <c r="H751" s="328">
        <f>'Пр.4 ведом.20'!H315</f>
        <v>179.77</v>
      </c>
      <c r="I751" s="358">
        <f t="shared" si="421"/>
        <v>99.872222222222234</v>
      </c>
    </row>
    <row r="752" spans="1:9" s="213" customFormat="1" ht="49.7" customHeight="1" x14ac:dyDescent="0.25">
      <c r="A752" s="25" t="s">
        <v>1269</v>
      </c>
      <c r="B752" s="20" t="s">
        <v>1267</v>
      </c>
      <c r="C752" s="40" t="s">
        <v>280</v>
      </c>
      <c r="D752" s="40" t="s">
        <v>231</v>
      </c>
      <c r="E752" s="20" t="s">
        <v>225</v>
      </c>
      <c r="F752" s="2">
        <v>903</v>
      </c>
      <c r="G752" s="10">
        <f>G751</f>
        <v>180</v>
      </c>
      <c r="H752" s="328">
        <f t="shared" ref="H752" si="438">H751</f>
        <v>179.77</v>
      </c>
      <c r="I752" s="358">
        <f t="shared" si="421"/>
        <v>99.872222222222234</v>
      </c>
    </row>
    <row r="753" spans="1:9" s="1" customFormat="1" ht="66.2" customHeight="1" x14ac:dyDescent="0.25">
      <c r="A753" s="41" t="s">
        <v>821</v>
      </c>
      <c r="B753" s="7" t="s">
        <v>340</v>
      </c>
      <c r="C753" s="72"/>
      <c r="D753" s="72"/>
      <c r="E753" s="72"/>
      <c r="F753" s="72"/>
      <c r="G753" s="59">
        <f>G754</f>
        <v>384.4</v>
      </c>
      <c r="H753" s="340">
        <f t="shared" ref="H753" si="439">H754</f>
        <v>150</v>
      </c>
      <c r="I753" s="4">
        <f t="shared" si="421"/>
        <v>39.021852237252865</v>
      </c>
    </row>
    <row r="754" spans="1:9" s="214" customFormat="1" ht="64.5" customHeight="1" x14ac:dyDescent="0.25">
      <c r="A754" s="34" t="s">
        <v>1191</v>
      </c>
      <c r="B754" s="7" t="s">
        <v>1025</v>
      </c>
      <c r="C754" s="7"/>
      <c r="D754" s="7"/>
      <c r="E754" s="72"/>
      <c r="F754" s="72"/>
      <c r="G754" s="59">
        <f>G755+G761+G772+G778</f>
        <v>384.4</v>
      </c>
      <c r="H754" s="340">
        <f t="shared" ref="H754" si="440">H755+H761+H772+H778</f>
        <v>150</v>
      </c>
      <c r="I754" s="4">
        <f t="shared" si="421"/>
        <v>39.021852237252865</v>
      </c>
    </row>
    <row r="755" spans="1:9" s="214" customFormat="1" ht="18.75" customHeight="1" x14ac:dyDescent="0.25">
      <c r="A755" s="31" t="s">
        <v>406</v>
      </c>
      <c r="B755" s="40" t="s">
        <v>1025</v>
      </c>
      <c r="C755" s="40" t="s">
        <v>250</v>
      </c>
      <c r="D755" s="40"/>
      <c r="E755" s="72"/>
      <c r="F755" s="72"/>
      <c r="G755" s="10">
        <f>G756</f>
        <v>57</v>
      </c>
      <c r="H755" s="328">
        <f t="shared" ref="H755:H759" si="441">H756</f>
        <v>0</v>
      </c>
      <c r="I755" s="358">
        <f t="shared" si="421"/>
        <v>0</v>
      </c>
    </row>
    <row r="756" spans="1:9" s="214" customFormat="1" ht="37.5" customHeight="1" x14ac:dyDescent="0.25">
      <c r="A756" s="31" t="s">
        <v>585</v>
      </c>
      <c r="B756" s="40" t="s">
        <v>1025</v>
      </c>
      <c r="C756" s="40" t="s">
        <v>250</v>
      </c>
      <c r="D756" s="40" t="s">
        <v>250</v>
      </c>
      <c r="E756" s="72"/>
      <c r="F756" s="72"/>
      <c r="G756" s="10">
        <f>G757</f>
        <v>57</v>
      </c>
      <c r="H756" s="328">
        <f t="shared" si="441"/>
        <v>0</v>
      </c>
      <c r="I756" s="358">
        <f t="shared" si="421"/>
        <v>0</v>
      </c>
    </row>
    <row r="757" spans="1:9" s="214" customFormat="1" ht="51.75" customHeight="1" x14ac:dyDescent="0.25">
      <c r="A757" s="31" t="s">
        <v>1273</v>
      </c>
      <c r="B757" s="20" t="s">
        <v>1192</v>
      </c>
      <c r="C757" s="40" t="s">
        <v>250</v>
      </c>
      <c r="D757" s="40" t="s">
        <v>250</v>
      </c>
      <c r="E757" s="72"/>
      <c r="F757" s="72"/>
      <c r="G757" s="10">
        <f>G758</f>
        <v>57</v>
      </c>
      <c r="H757" s="328">
        <f t="shared" si="441"/>
        <v>0</v>
      </c>
      <c r="I757" s="358">
        <f t="shared" si="421"/>
        <v>0</v>
      </c>
    </row>
    <row r="758" spans="1:9" s="214" customFormat="1" ht="35.450000000000003" customHeight="1" x14ac:dyDescent="0.25">
      <c r="A758" s="25" t="s">
        <v>147</v>
      </c>
      <c r="B758" s="20" t="s">
        <v>1192</v>
      </c>
      <c r="C758" s="40" t="s">
        <v>250</v>
      </c>
      <c r="D758" s="40" t="s">
        <v>250</v>
      </c>
      <c r="E758" s="2">
        <v>200</v>
      </c>
      <c r="F758" s="72"/>
      <c r="G758" s="10">
        <f>G759</f>
        <v>57</v>
      </c>
      <c r="H758" s="328">
        <f t="shared" si="441"/>
        <v>0</v>
      </c>
      <c r="I758" s="358">
        <f t="shared" si="421"/>
        <v>0</v>
      </c>
    </row>
    <row r="759" spans="1:9" s="214" customFormat="1" ht="34.5" customHeight="1" x14ac:dyDescent="0.25">
      <c r="A759" s="25" t="s">
        <v>149</v>
      </c>
      <c r="B759" s="20" t="s">
        <v>1192</v>
      </c>
      <c r="C759" s="40" t="s">
        <v>250</v>
      </c>
      <c r="D759" s="40" t="s">
        <v>250</v>
      </c>
      <c r="E759" s="2">
        <v>240</v>
      </c>
      <c r="F759" s="72"/>
      <c r="G759" s="10">
        <f>G760</f>
        <v>57</v>
      </c>
      <c r="H759" s="328">
        <f t="shared" si="441"/>
        <v>0</v>
      </c>
      <c r="I759" s="358">
        <f t="shared" si="421"/>
        <v>0</v>
      </c>
    </row>
    <row r="760" spans="1:9" s="214" customFormat="1" ht="52.5" customHeight="1" x14ac:dyDescent="0.25">
      <c r="A760" s="31" t="s">
        <v>1307</v>
      </c>
      <c r="B760" s="20" t="s">
        <v>1192</v>
      </c>
      <c r="C760" s="40" t="s">
        <v>250</v>
      </c>
      <c r="D760" s="40" t="s">
        <v>250</v>
      </c>
      <c r="E760" s="2">
        <v>240</v>
      </c>
      <c r="F760" s="2">
        <v>908</v>
      </c>
      <c r="G760" s="10">
        <f>'Пр.4 ведом.20'!G1144</f>
        <v>57</v>
      </c>
      <c r="H760" s="328">
        <f>'Пр.4 ведом.20'!H1144</f>
        <v>0</v>
      </c>
      <c r="I760" s="358">
        <f t="shared" si="421"/>
        <v>0</v>
      </c>
    </row>
    <row r="761" spans="1:9" s="1" customFormat="1" ht="15.75" x14ac:dyDescent="0.25">
      <c r="A761" s="25" t="s">
        <v>279</v>
      </c>
      <c r="B761" s="40" t="s">
        <v>1025</v>
      </c>
      <c r="C761" s="40" t="s">
        <v>280</v>
      </c>
      <c r="D761" s="73"/>
      <c r="E761" s="73"/>
      <c r="F761" s="73"/>
      <c r="G761" s="10">
        <f>G762+G767</f>
        <v>150</v>
      </c>
      <c r="H761" s="328">
        <f t="shared" ref="H761" si="442">H762+H767</f>
        <v>150</v>
      </c>
      <c r="I761" s="358">
        <f t="shared" si="421"/>
        <v>100</v>
      </c>
    </row>
    <row r="762" spans="1:9" s="1" customFormat="1" ht="15.75" hidden="1" x14ac:dyDescent="0.25">
      <c r="A762" s="25" t="s">
        <v>420</v>
      </c>
      <c r="B762" s="40" t="s">
        <v>1025</v>
      </c>
      <c r="C762" s="40" t="s">
        <v>280</v>
      </c>
      <c r="D762" s="40" t="s">
        <v>134</v>
      </c>
      <c r="E762" s="73"/>
      <c r="F762" s="73"/>
      <c r="G762" s="10">
        <f>G763</f>
        <v>0</v>
      </c>
      <c r="H762" s="328">
        <f t="shared" ref="H762:H764" si="443">H763</f>
        <v>0</v>
      </c>
      <c r="I762" s="358" t="e">
        <f t="shared" si="421"/>
        <v>#DIV/0!</v>
      </c>
    </row>
    <row r="763" spans="1:9" s="1" customFormat="1" ht="47.25" hidden="1" x14ac:dyDescent="0.25">
      <c r="A763" s="31" t="s">
        <v>1274</v>
      </c>
      <c r="B763" s="20" t="s">
        <v>1026</v>
      </c>
      <c r="C763" s="40" t="s">
        <v>280</v>
      </c>
      <c r="D763" s="40" t="s">
        <v>134</v>
      </c>
      <c r="E763" s="72"/>
      <c r="F763" s="72"/>
      <c r="G763" s="10">
        <f>G764</f>
        <v>0</v>
      </c>
      <c r="H763" s="328">
        <f t="shared" si="443"/>
        <v>0</v>
      </c>
      <c r="I763" s="358" t="e">
        <f t="shared" si="421"/>
        <v>#DIV/0!</v>
      </c>
    </row>
    <row r="764" spans="1:9" s="1" customFormat="1" ht="31.5" hidden="1" x14ac:dyDescent="0.25">
      <c r="A764" s="31" t="s">
        <v>288</v>
      </c>
      <c r="B764" s="20" t="s">
        <v>1026</v>
      </c>
      <c r="C764" s="40" t="s">
        <v>280</v>
      </c>
      <c r="D764" s="40" t="s">
        <v>134</v>
      </c>
      <c r="E764" s="40" t="s">
        <v>289</v>
      </c>
      <c r="F764" s="72"/>
      <c r="G764" s="10">
        <f>G765</f>
        <v>0</v>
      </c>
      <c r="H764" s="328">
        <f t="shared" si="443"/>
        <v>0</v>
      </c>
      <c r="I764" s="358" t="e">
        <f t="shared" si="421"/>
        <v>#DIV/0!</v>
      </c>
    </row>
    <row r="765" spans="1:9" s="1" customFormat="1" ht="15.75" hidden="1" x14ac:dyDescent="0.25">
      <c r="A765" s="31" t="s">
        <v>290</v>
      </c>
      <c r="B765" s="20" t="s">
        <v>1026</v>
      </c>
      <c r="C765" s="40" t="s">
        <v>280</v>
      </c>
      <c r="D765" s="40" t="s">
        <v>134</v>
      </c>
      <c r="E765" s="40" t="s">
        <v>291</v>
      </c>
      <c r="F765" s="72"/>
      <c r="G765" s="10">
        <f>'Пр.4 ведом.20'!G623</f>
        <v>0</v>
      </c>
      <c r="H765" s="328">
        <f>'Пр.4 ведом.20'!H623</f>
        <v>0</v>
      </c>
      <c r="I765" s="358" t="e">
        <f t="shared" si="421"/>
        <v>#DIV/0!</v>
      </c>
    </row>
    <row r="766" spans="1:9" s="214" customFormat="1" ht="31.5" hidden="1" x14ac:dyDescent="0.25">
      <c r="A766" s="31" t="s">
        <v>419</v>
      </c>
      <c r="B766" s="20" t="s">
        <v>1026</v>
      </c>
      <c r="C766" s="40" t="s">
        <v>280</v>
      </c>
      <c r="D766" s="40" t="s">
        <v>134</v>
      </c>
      <c r="E766" s="40" t="s">
        <v>291</v>
      </c>
      <c r="F766" s="2">
        <v>906</v>
      </c>
      <c r="G766" s="10">
        <f>G765</f>
        <v>0</v>
      </c>
      <c r="H766" s="328">
        <f t="shared" ref="H766" si="444">H765</f>
        <v>0</v>
      </c>
      <c r="I766" s="358" t="e">
        <f t="shared" si="421"/>
        <v>#DIV/0!</v>
      </c>
    </row>
    <row r="767" spans="1:9" s="1" customFormat="1" ht="15.75" x14ac:dyDescent="0.25">
      <c r="A767" s="29" t="s">
        <v>441</v>
      </c>
      <c r="B767" s="40" t="s">
        <v>1025</v>
      </c>
      <c r="C767" s="40" t="s">
        <v>280</v>
      </c>
      <c r="D767" s="40" t="s">
        <v>229</v>
      </c>
      <c r="E767" s="40"/>
      <c r="F767" s="73"/>
      <c r="G767" s="10">
        <f>G768</f>
        <v>150</v>
      </c>
      <c r="H767" s="328">
        <f t="shared" ref="H767:H769" si="445">H768</f>
        <v>150</v>
      </c>
      <c r="I767" s="358">
        <f t="shared" si="421"/>
        <v>100</v>
      </c>
    </row>
    <row r="768" spans="1:9" s="1" customFormat="1" ht="47.25" x14ac:dyDescent="0.25">
      <c r="A768" s="31" t="s">
        <v>1274</v>
      </c>
      <c r="B768" s="20" t="s">
        <v>1026</v>
      </c>
      <c r="C768" s="40" t="s">
        <v>280</v>
      </c>
      <c r="D768" s="40" t="s">
        <v>229</v>
      </c>
      <c r="E768" s="40"/>
      <c r="F768" s="72"/>
      <c r="G768" s="10">
        <f>G769</f>
        <v>150</v>
      </c>
      <c r="H768" s="328">
        <f t="shared" si="445"/>
        <v>150</v>
      </c>
      <c r="I768" s="358">
        <f t="shared" si="421"/>
        <v>100</v>
      </c>
    </row>
    <row r="769" spans="1:9" s="1" customFormat="1" ht="31.5" x14ac:dyDescent="0.25">
      <c r="A769" s="31" t="s">
        <v>288</v>
      </c>
      <c r="B769" s="20" t="s">
        <v>1026</v>
      </c>
      <c r="C769" s="40" t="s">
        <v>280</v>
      </c>
      <c r="D769" s="40" t="s">
        <v>229</v>
      </c>
      <c r="E769" s="40" t="s">
        <v>289</v>
      </c>
      <c r="F769" s="72"/>
      <c r="G769" s="10">
        <f>G770</f>
        <v>150</v>
      </c>
      <c r="H769" s="328">
        <f t="shared" si="445"/>
        <v>150</v>
      </c>
      <c r="I769" s="358">
        <f t="shared" si="421"/>
        <v>100</v>
      </c>
    </row>
    <row r="770" spans="1:9" s="1" customFormat="1" ht="15.75" x14ac:dyDescent="0.25">
      <c r="A770" s="31" t="s">
        <v>290</v>
      </c>
      <c r="B770" s="20" t="s">
        <v>1026</v>
      </c>
      <c r="C770" s="40" t="s">
        <v>280</v>
      </c>
      <c r="D770" s="40" t="s">
        <v>229</v>
      </c>
      <c r="E770" s="40" t="s">
        <v>291</v>
      </c>
      <c r="F770" s="72"/>
      <c r="G770" s="10">
        <f>'Пр.4 ведом.20'!G738</f>
        <v>150</v>
      </c>
      <c r="H770" s="328">
        <f>'Пр.4 ведом.20'!H738</f>
        <v>150</v>
      </c>
      <c r="I770" s="358">
        <f t="shared" si="421"/>
        <v>100</v>
      </c>
    </row>
    <row r="771" spans="1:9" s="1" customFormat="1" ht="31.5" x14ac:dyDescent="0.25">
      <c r="A771" s="31" t="s">
        <v>419</v>
      </c>
      <c r="B771" s="20" t="s">
        <v>1026</v>
      </c>
      <c r="C771" s="40" t="s">
        <v>280</v>
      </c>
      <c r="D771" s="40" t="s">
        <v>229</v>
      </c>
      <c r="E771" s="40" t="s">
        <v>291</v>
      </c>
      <c r="F771" s="2">
        <v>906</v>
      </c>
      <c r="G771" s="10">
        <f>G770</f>
        <v>150</v>
      </c>
      <c r="H771" s="328">
        <f t="shared" ref="H771" si="446">H770</f>
        <v>150</v>
      </c>
      <c r="I771" s="358">
        <f t="shared" si="421"/>
        <v>100</v>
      </c>
    </row>
    <row r="772" spans="1:9" s="214" customFormat="1" ht="15.75" x14ac:dyDescent="0.25">
      <c r="A772" s="31" t="s">
        <v>314</v>
      </c>
      <c r="B772" s="20" t="s">
        <v>1025</v>
      </c>
      <c r="C772" s="40" t="s">
        <v>315</v>
      </c>
      <c r="D772" s="40"/>
      <c r="E772" s="40"/>
      <c r="F772" s="2"/>
      <c r="G772" s="10">
        <f>G773</f>
        <v>100</v>
      </c>
      <c r="H772" s="328">
        <f t="shared" ref="H772:H775" si="447">H773</f>
        <v>0</v>
      </c>
      <c r="I772" s="358">
        <f t="shared" si="421"/>
        <v>0</v>
      </c>
    </row>
    <row r="773" spans="1:9" s="214" customFormat="1" ht="15.75" x14ac:dyDescent="0.25">
      <c r="A773" s="31" t="s">
        <v>316</v>
      </c>
      <c r="B773" s="20" t="s">
        <v>1025</v>
      </c>
      <c r="C773" s="40" t="s">
        <v>315</v>
      </c>
      <c r="D773" s="40" t="s">
        <v>134</v>
      </c>
      <c r="E773" s="40"/>
      <c r="F773" s="2"/>
      <c r="G773" s="10">
        <f>G774</f>
        <v>100</v>
      </c>
      <c r="H773" s="328">
        <f t="shared" si="447"/>
        <v>0</v>
      </c>
      <c r="I773" s="358">
        <f t="shared" si="421"/>
        <v>0</v>
      </c>
    </row>
    <row r="774" spans="1:9" s="214" customFormat="1" ht="47.25" x14ac:dyDescent="0.25">
      <c r="A774" s="31" t="s">
        <v>1273</v>
      </c>
      <c r="B774" s="20" t="s">
        <v>1192</v>
      </c>
      <c r="C774" s="40" t="s">
        <v>315</v>
      </c>
      <c r="D774" s="40" t="s">
        <v>134</v>
      </c>
      <c r="E774" s="40"/>
      <c r="F774" s="2"/>
      <c r="G774" s="10">
        <f>G775</f>
        <v>100</v>
      </c>
      <c r="H774" s="328">
        <f t="shared" si="447"/>
        <v>0</v>
      </c>
      <c r="I774" s="358">
        <f t="shared" si="421"/>
        <v>0</v>
      </c>
    </row>
    <row r="775" spans="1:9" s="214" customFormat="1" ht="31.5" x14ac:dyDescent="0.25">
      <c r="A775" s="25" t="s">
        <v>147</v>
      </c>
      <c r="B775" s="20" t="s">
        <v>1192</v>
      </c>
      <c r="C775" s="40" t="s">
        <v>315</v>
      </c>
      <c r="D775" s="40" t="s">
        <v>134</v>
      </c>
      <c r="E775" s="40" t="s">
        <v>148</v>
      </c>
      <c r="F775" s="2"/>
      <c r="G775" s="10">
        <f>G776</f>
        <v>100</v>
      </c>
      <c r="H775" s="328">
        <f t="shared" si="447"/>
        <v>0</v>
      </c>
      <c r="I775" s="358">
        <f t="shared" si="421"/>
        <v>0</v>
      </c>
    </row>
    <row r="776" spans="1:9" s="214" customFormat="1" ht="31.5" x14ac:dyDescent="0.25">
      <c r="A776" s="25" t="s">
        <v>149</v>
      </c>
      <c r="B776" s="20" t="s">
        <v>1192</v>
      </c>
      <c r="C776" s="40" t="s">
        <v>315</v>
      </c>
      <c r="D776" s="40" t="s">
        <v>134</v>
      </c>
      <c r="E776" s="40" t="s">
        <v>150</v>
      </c>
      <c r="F776" s="2"/>
      <c r="G776" s="10">
        <f>'Пр.4 ведом.20'!G412</f>
        <v>100</v>
      </c>
      <c r="H776" s="328">
        <f>'Пр.4 ведом.20'!H412</f>
        <v>0</v>
      </c>
      <c r="I776" s="358">
        <f t="shared" si="421"/>
        <v>0</v>
      </c>
    </row>
    <row r="777" spans="1:9" s="214" customFormat="1" ht="47.25" x14ac:dyDescent="0.25">
      <c r="A777" s="25" t="s">
        <v>277</v>
      </c>
      <c r="B777" s="20" t="s">
        <v>1192</v>
      </c>
      <c r="C777" s="40" t="s">
        <v>315</v>
      </c>
      <c r="D777" s="40" t="s">
        <v>134</v>
      </c>
      <c r="E777" s="40" t="s">
        <v>150</v>
      </c>
      <c r="F777" s="2">
        <v>903</v>
      </c>
      <c r="G777" s="10">
        <f>G776</f>
        <v>100</v>
      </c>
      <c r="H777" s="328">
        <f t="shared" ref="H777" si="448">H776</f>
        <v>0</v>
      </c>
      <c r="I777" s="358">
        <f t="shared" si="421"/>
        <v>0</v>
      </c>
    </row>
    <row r="778" spans="1:9" s="1" customFormat="1" ht="15.75" customHeight="1" x14ac:dyDescent="0.25">
      <c r="A778" s="73" t="s">
        <v>506</v>
      </c>
      <c r="B778" s="40" t="s">
        <v>1025</v>
      </c>
      <c r="C778" s="40" t="s">
        <v>507</v>
      </c>
      <c r="D778" s="73"/>
      <c r="E778" s="73"/>
      <c r="F778" s="73"/>
      <c r="G778" s="10">
        <f t="shared" ref="G778:H778" si="449">G779</f>
        <v>77.400000000000006</v>
      </c>
      <c r="H778" s="328">
        <f t="shared" si="449"/>
        <v>0</v>
      </c>
      <c r="I778" s="358">
        <f t="shared" si="421"/>
        <v>0</v>
      </c>
    </row>
    <row r="779" spans="1:9" s="1" customFormat="1" ht="15.75" customHeight="1" x14ac:dyDescent="0.25">
      <c r="A779" s="73" t="s">
        <v>508</v>
      </c>
      <c r="B779" s="40" t="s">
        <v>1025</v>
      </c>
      <c r="C779" s="40" t="s">
        <v>507</v>
      </c>
      <c r="D779" s="40" t="s">
        <v>134</v>
      </c>
      <c r="E779" s="73"/>
      <c r="F779" s="73"/>
      <c r="G779" s="10">
        <f t="shared" ref="G779:H781" si="450">G780</f>
        <v>77.400000000000006</v>
      </c>
      <c r="H779" s="328">
        <f t="shared" si="450"/>
        <v>0</v>
      </c>
      <c r="I779" s="358">
        <f t="shared" si="421"/>
        <v>0</v>
      </c>
    </row>
    <row r="780" spans="1:9" s="1" customFormat="1" ht="47.25" customHeight="1" x14ac:dyDescent="0.25">
      <c r="A780" s="31" t="s">
        <v>1274</v>
      </c>
      <c r="B780" s="40" t="s">
        <v>1026</v>
      </c>
      <c r="C780" s="40" t="s">
        <v>507</v>
      </c>
      <c r="D780" s="40" t="s">
        <v>134</v>
      </c>
      <c r="E780" s="73"/>
      <c r="F780" s="73"/>
      <c r="G780" s="10">
        <f>G781</f>
        <v>77.400000000000006</v>
      </c>
      <c r="H780" s="328">
        <f t="shared" si="450"/>
        <v>0</v>
      </c>
      <c r="I780" s="358">
        <f t="shared" si="421"/>
        <v>0</v>
      </c>
    </row>
    <row r="781" spans="1:9" s="1" customFormat="1" ht="31.7" customHeight="1" x14ac:dyDescent="0.25">
      <c r="A781" s="25" t="s">
        <v>288</v>
      </c>
      <c r="B781" s="40" t="s">
        <v>1026</v>
      </c>
      <c r="C781" s="40" t="s">
        <v>507</v>
      </c>
      <c r="D781" s="40" t="s">
        <v>134</v>
      </c>
      <c r="E781" s="40" t="s">
        <v>289</v>
      </c>
      <c r="F781" s="73"/>
      <c r="G781" s="10">
        <f>G782</f>
        <v>77.400000000000006</v>
      </c>
      <c r="H781" s="328">
        <f t="shared" si="450"/>
        <v>0</v>
      </c>
      <c r="I781" s="358">
        <f t="shared" si="421"/>
        <v>0</v>
      </c>
    </row>
    <row r="782" spans="1:9" s="1" customFormat="1" ht="15.75" customHeight="1" x14ac:dyDescent="0.25">
      <c r="A782" s="25" t="s">
        <v>290</v>
      </c>
      <c r="B782" s="40" t="s">
        <v>1026</v>
      </c>
      <c r="C782" s="40" t="s">
        <v>507</v>
      </c>
      <c r="D782" s="40" t="s">
        <v>134</v>
      </c>
      <c r="E782" s="40" t="s">
        <v>291</v>
      </c>
      <c r="F782" s="73"/>
      <c r="G782" s="10">
        <f>'Пр.4 ведом.20'!G883</f>
        <v>77.400000000000006</v>
      </c>
      <c r="H782" s="328">
        <f>'Пр.4 ведом.20'!H883</f>
        <v>0</v>
      </c>
      <c r="I782" s="358">
        <f t="shared" si="421"/>
        <v>0</v>
      </c>
    </row>
    <row r="783" spans="1:9" s="1" customFormat="1" ht="31.7" customHeight="1" x14ac:dyDescent="0.25">
      <c r="A783" s="45" t="s">
        <v>496</v>
      </c>
      <c r="B783" s="40" t="s">
        <v>1026</v>
      </c>
      <c r="C783" s="40" t="s">
        <v>507</v>
      </c>
      <c r="D783" s="40" t="s">
        <v>134</v>
      </c>
      <c r="E783" s="40" t="s">
        <v>291</v>
      </c>
      <c r="F783" s="2">
        <v>907</v>
      </c>
      <c r="G783" s="10">
        <f>G782</f>
        <v>77.400000000000006</v>
      </c>
      <c r="H783" s="328">
        <f t="shared" ref="H783" si="451">H782</f>
        <v>0</v>
      </c>
      <c r="I783" s="358">
        <f t="shared" si="421"/>
        <v>0</v>
      </c>
    </row>
    <row r="784" spans="1:9" ht="47.25" x14ac:dyDescent="0.25">
      <c r="A784" s="41" t="s">
        <v>558</v>
      </c>
      <c r="B784" s="7" t="s">
        <v>559</v>
      </c>
      <c r="C784" s="2"/>
      <c r="D784" s="2"/>
      <c r="E784" s="2"/>
      <c r="F784" s="2"/>
      <c r="G784" s="59">
        <f t="shared" ref="G784:H784" si="452">G785+G807</f>
        <v>4147.8</v>
      </c>
      <c r="H784" s="340">
        <f t="shared" si="452"/>
        <v>1683.8570000000002</v>
      </c>
      <c r="I784" s="4">
        <f t="shared" si="421"/>
        <v>40.596388446887509</v>
      </c>
    </row>
    <row r="785" spans="1:9" ht="47.25" x14ac:dyDescent="0.25">
      <c r="A785" s="41" t="s">
        <v>560</v>
      </c>
      <c r="B785" s="7" t="s">
        <v>561</v>
      </c>
      <c r="C785" s="7"/>
      <c r="D785" s="7"/>
      <c r="E785" s="3"/>
      <c r="F785" s="3"/>
      <c r="G785" s="59">
        <f t="shared" ref="G785:H785" si="453">G787</f>
        <v>1689</v>
      </c>
      <c r="H785" s="340">
        <f t="shared" si="453"/>
        <v>1156.0700000000002</v>
      </c>
      <c r="I785" s="4">
        <f t="shared" si="421"/>
        <v>68.447010065127301</v>
      </c>
    </row>
    <row r="786" spans="1:9" s="213" customFormat="1" ht="31.5" x14ac:dyDescent="0.25">
      <c r="A786" s="23" t="s">
        <v>1122</v>
      </c>
      <c r="B786" s="7" t="s">
        <v>1120</v>
      </c>
      <c r="C786" s="7"/>
      <c r="D786" s="7"/>
      <c r="E786" s="3"/>
      <c r="F786" s="3"/>
      <c r="G786" s="59">
        <f>G787</f>
        <v>1689</v>
      </c>
      <c r="H786" s="340">
        <f t="shared" ref="H786" si="454">H787</f>
        <v>1156.0700000000002</v>
      </c>
      <c r="I786" s="4">
        <f t="shared" ref="I786:I849" si="455">H786/G786*100</f>
        <v>68.447010065127301</v>
      </c>
    </row>
    <row r="787" spans="1:9" ht="15.75" x14ac:dyDescent="0.25">
      <c r="A787" s="73" t="s">
        <v>406</v>
      </c>
      <c r="B787" s="40" t="s">
        <v>1120</v>
      </c>
      <c r="C787" s="40" t="s">
        <v>250</v>
      </c>
      <c r="D787" s="40"/>
      <c r="E787" s="2"/>
      <c r="F787" s="2"/>
      <c r="G787" s="10">
        <f t="shared" ref="G787:H787" si="456">G788</f>
        <v>1689</v>
      </c>
      <c r="H787" s="328">
        <f t="shared" si="456"/>
        <v>1156.0700000000002</v>
      </c>
      <c r="I787" s="358">
        <f t="shared" si="455"/>
        <v>68.447010065127301</v>
      </c>
    </row>
    <row r="788" spans="1:9" ht="15.75" x14ac:dyDescent="0.25">
      <c r="A788" s="73" t="s">
        <v>557</v>
      </c>
      <c r="B788" s="40" t="s">
        <v>1120</v>
      </c>
      <c r="C788" s="40" t="s">
        <v>250</v>
      </c>
      <c r="D788" s="40" t="s">
        <v>231</v>
      </c>
      <c r="E788" s="2"/>
      <c r="F788" s="2"/>
      <c r="G788" s="10">
        <f t="shared" ref="G788:H788" si="457">G789+G793+G803</f>
        <v>1689</v>
      </c>
      <c r="H788" s="328">
        <f t="shared" si="457"/>
        <v>1156.0700000000002</v>
      </c>
      <c r="I788" s="358">
        <f t="shared" si="455"/>
        <v>68.447010065127301</v>
      </c>
    </row>
    <row r="789" spans="1:9" ht="15.75" customHeight="1" x14ac:dyDescent="0.25">
      <c r="A789" s="25" t="s">
        <v>562</v>
      </c>
      <c r="B789" s="20" t="s">
        <v>1121</v>
      </c>
      <c r="C789" s="40" t="s">
        <v>250</v>
      </c>
      <c r="D789" s="40" t="s">
        <v>231</v>
      </c>
      <c r="E789" s="2"/>
      <c r="F789" s="2"/>
      <c r="G789" s="10">
        <f t="shared" ref="G789:H790" si="458">G790</f>
        <v>635.59999999999991</v>
      </c>
      <c r="H789" s="328">
        <f t="shared" si="458"/>
        <v>635.42700000000002</v>
      </c>
      <c r="I789" s="358">
        <f t="shared" si="455"/>
        <v>99.972781623662698</v>
      </c>
    </row>
    <row r="790" spans="1:9" ht="41.25" customHeight="1" x14ac:dyDescent="0.25">
      <c r="A790" s="25" t="s">
        <v>147</v>
      </c>
      <c r="B790" s="20" t="s">
        <v>1121</v>
      </c>
      <c r="C790" s="40" t="s">
        <v>250</v>
      </c>
      <c r="D790" s="40" t="s">
        <v>231</v>
      </c>
      <c r="E790" s="2">
        <v>200</v>
      </c>
      <c r="F790" s="2"/>
      <c r="G790" s="10">
        <f t="shared" si="458"/>
        <v>635.59999999999991</v>
      </c>
      <c r="H790" s="328">
        <f t="shared" si="458"/>
        <v>635.42700000000002</v>
      </c>
      <c r="I790" s="358">
        <f t="shared" si="455"/>
        <v>99.972781623662698</v>
      </c>
    </row>
    <row r="791" spans="1:9" ht="31.7" customHeight="1" x14ac:dyDescent="0.25">
      <c r="A791" s="25" t="s">
        <v>149</v>
      </c>
      <c r="B791" s="20" t="s">
        <v>1121</v>
      </c>
      <c r="C791" s="40" t="s">
        <v>250</v>
      </c>
      <c r="D791" s="40" t="s">
        <v>231</v>
      </c>
      <c r="E791" s="2">
        <v>240</v>
      </c>
      <c r="F791" s="2"/>
      <c r="G791" s="10">
        <f>'Пр.4 ведом.20'!G1070</f>
        <v>635.59999999999991</v>
      </c>
      <c r="H791" s="328">
        <f>'Пр.4 ведом.20'!H1070</f>
        <v>635.42700000000002</v>
      </c>
      <c r="I791" s="358">
        <f t="shared" si="455"/>
        <v>99.972781623662698</v>
      </c>
    </row>
    <row r="792" spans="1:9" s="213" customFormat="1" ht="31.7" customHeight="1" x14ac:dyDescent="0.25">
      <c r="A792" s="45" t="s">
        <v>640</v>
      </c>
      <c r="B792" s="20" t="s">
        <v>1121</v>
      </c>
      <c r="C792" s="40" t="s">
        <v>250</v>
      </c>
      <c r="D792" s="40" t="s">
        <v>231</v>
      </c>
      <c r="E792" s="2">
        <v>240</v>
      </c>
      <c r="F792" s="2">
        <v>908</v>
      </c>
      <c r="G792" s="10">
        <f>G791</f>
        <v>635.59999999999991</v>
      </c>
      <c r="H792" s="328">
        <f t="shared" ref="H792" si="459">H791</f>
        <v>635.42700000000002</v>
      </c>
      <c r="I792" s="358">
        <f t="shared" si="455"/>
        <v>99.972781623662698</v>
      </c>
    </row>
    <row r="793" spans="1:9" ht="17.45" customHeight="1" x14ac:dyDescent="0.25">
      <c r="A793" s="25" t="s">
        <v>564</v>
      </c>
      <c r="B793" s="20" t="s">
        <v>1123</v>
      </c>
      <c r="C793" s="40" t="s">
        <v>250</v>
      </c>
      <c r="D793" s="40" t="s">
        <v>231</v>
      </c>
      <c r="E793" s="2"/>
      <c r="F793" s="2"/>
      <c r="G793" s="10">
        <f>G794+G797+G800</f>
        <v>1037.4000000000001</v>
      </c>
      <c r="H793" s="328">
        <f t="shared" ref="H793" si="460">H794+H797+H800</f>
        <v>520.64300000000003</v>
      </c>
      <c r="I793" s="358">
        <f t="shared" si="455"/>
        <v>50.187295160979374</v>
      </c>
    </row>
    <row r="794" spans="1:9" ht="31.5" x14ac:dyDescent="0.25">
      <c r="A794" s="25" t="s">
        <v>147</v>
      </c>
      <c r="B794" s="20" t="s">
        <v>1123</v>
      </c>
      <c r="C794" s="40" t="s">
        <v>250</v>
      </c>
      <c r="D794" s="40" t="s">
        <v>231</v>
      </c>
      <c r="E794" s="2">
        <v>200</v>
      </c>
      <c r="F794" s="2"/>
      <c r="G794" s="10">
        <f t="shared" ref="G794:H794" si="461">G795</f>
        <v>1037.4000000000001</v>
      </c>
      <c r="H794" s="328">
        <f t="shared" si="461"/>
        <v>520.64300000000003</v>
      </c>
      <c r="I794" s="358">
        <f t="shared" si="455"/>
        <v>50.187295160979374</v>
      </c>
    </row>
    <row r="795" spans="1:9" ht="31.5" x14ac:dyDescent="0.25">
      <c r="A795" s="25" t="s">
        <v>149</v>
      </c>
      <c r="B795" s="20" t="s">
        <v>1123</v>
      </c>
      <c r="C795" s="40" t="s">
        <v>250</v>
      </c>
      <c r="D795" s="40" t="s">
        <v>231</v>
      </c>
      <c r="E795" s="2">
        <v>240</v>
      </c>
      <c r="F795" s="2"/>
      <c r="G795" s="10">
        <f>'Пр.4 ведом.20'!G1073</f>
        <v>1037.4000000000001</v>
      </c>
      <c r="H795" s="328">
        <f>'Пр.4 ведом.20'!H1073</f>
        <v>520.64300000000003</v>
      </c>
      <c r="I795" s="358">
        <f t="shared" si="455"/>
        <v>50.187295160979374</v>
      </c>
    </row>
    <row r="796" spans="1:9" s="213" customFormat="1" ht="31.5" x14ac:dyDescent="0.25">
      <c r="A796" s="45" t="s">
        <v>640</v>
      </c>
      <c r="B796" s="20" t="s">
        <v>1123</v>
      </c>
      <c r="C796" s="40" t="s">
        <v>250</v>
      </c>
      <c r="D796" s="40" t="s">
        <v>231</v>
      </c>
      <c r="E796" s="2">
        <v>240</v>
      </c>
      <c r="F796" s="2">
        <v>908</v>
      </c>
      <c r="G796" s="10">
        <f>G795</f>
        <v>1037.4000000000001</v>
      </c>
      <c r="H796" s="328">
        <f t="shared" ref="H796" si="462">H795</f>
        <v>520.64300000000003</v>
      </c>
      <c r="I796" s="358">
        <f t="shared" si="455"/>
        <v>50.187295160979374</v>
      </c>
    </row>
    <row r="797" spans="1:9" ht="15.75" hidden="1" x14ac:dyDescent="0.25">
      <c r="A797" s="25" t="s">
        <v>151</v>
      </c>
      <c r="B797" s="20" t="s">
        <v>1123</v>
      </c>
      <c r="C797" s="40" t="s">
        <v>250</v>
      </c>
      <c r="D797" s="40" t="s">
        <v>231</v>
      </c>
      <c r="E797" s="2">
        <v>800</v>
      </c>
      <c r="F797" s="2"/>
      <c r="G797" s="10">
        <f>G798</f>
        <v>0</v>
      </c>
      <c r="H797" s="328">
        <f t="shared" ref="H797" si="463">H798</f>
        <v>0</v>
      </c>
      <c r="I797" s="358" t="e">
        <f t="shared" si="455"/>
        <v>#DIV/0!</v>
      </c>
    </row>
    <row r="798" spans="1:9" s="213" customFormat="1" ht="47.25" hidden="1" x14ac:dyDescent="0.25">
      <c r="A798" s="25" t="s">
        <v>882</v>
      </c>
      <c r="B798" s="20" t="s">
        <v>1123</v>
      </c>
      <c r="C798" s="40" t="s">
        <v>250</v>
      </c>
      <c r="D798" s="40" t="s">
        <v>231</v>
      </c>
      <c r="E798" s="2">
        <v>830</v>
      </c>
      <c r="F798" s="2"/>
      <c r="G798" s="10">
        <f>'Пр.3 Рд,пр, ЦС,ВР 20'!F436</f>
        <v>0</v>
      </c>
      <c r="H798" s="328">
        <f>'Пр.3 Рд,пр, ЦС,ВР 20'!G436</f>
        <v>0</v>
      </c>
      <c r="I798" s="358" t="e">
        <f t="shared" si="455"/>
        <v>#DIV/0!</v>
      </c>
    </row>
    <row r="799" spans="1:9" s="213" customFormat="1" ht="31.5" hidden="1" x14ac:dyDescent="0.25">
      <c r="A799" s="45" t="s">
        <v>640</v>
      </c>
      <c r="B799" s="20" t="s">
        <v>1123</v>
      </c>
      <c r="C799" s="40" t="s">
        <v>250</v>
      </c>
      <c r="D799" s="40" t="s">
        <v>231</v>
      </c>
      <c r="E799" s="2">
        <v>830</v>
      </c>
      <c r="F799" s="2">
        <v>908</v>
      </c>
      <c r="G799" s="10">
        <f>G798</f>
        <v>0</v>
      </c>
      <c r="H799" s="328">
        <f t="shared" ref="H799" si="464">H798</f>
        <v>0</v>
      </c>
      <c r="I799" s="358" t="e">
        <f t="shared" si="455"/>
        <v>#DIV/0!</v>
      </c>
    </row>
    <row r="800" spans="1:9" s="213" customFormat="1" ht="15.75" hidden="1" x14ac:dyDescent="0.25">
      <c r="A800" s="25" t="s">
        <v>151</v>
      </c>
      <c r="B800" s="20" t="s">
        <v>1123</v>
      </c>
      <c r="C800" s="40" t="s">
        <v>250</v>
      </c>
      <c r="D800" s="40" t="s">
        <v>231</v>
      </c>
      <c r="E800" s="2">
        <v>800</v>
      </c>
      <c r="F800" s="2"/>
      <c r="G800" s="10">
        <f>G801</f>
        <v>0</v>
      </c>
      <c r="H800" s="328">
        <f t="shared" ref="H800" si="465">H801</f>
        <v>0</v>
      </c>
      <c r="I800" s="358" t="e">
        <f t="shared" si="455"/>
        <v>#DIV/0!</v>
      </c>
    </row>
    <row r="801" spans="1:9" ht="15.75" hidden="1" x14ac:dyDescent="0.25">
      <c r="A801" s="25" t="s">
        <v>1270</v>
      </c>
      <c r="B801" s="20" t="s">
        <v>1123</v>
      </c>
      <c r="C801" s="40" t="s">
        <v>250</v>
      </c>
      <c r="D801" s="40" t="s">
        <v>231</v>
      </c>
      <c r="E801" s="2">
        <v>850</v>
      </c>
      <c r="F801" s="2"/>
      <c r="G801" s="10">
        <f>'Пр.3 Рд,пр, ЦС,ВР 20'!F437</f>
        <v>0</v>
      </c>
      <c r="H801" s="328">
        <f>'Пр.3 Рд,пр, ЦС,ВР 20'!G437</f>
        <v>0</v>
      </c>
      <c r="I801" s="358" t="e">
        <f t="shared" si="455"/>
        <v>#DIV/0!</v>
      </c>
    </row>
    <row r="802" spans="1:9" s="213" customFormat="1" ht="31.5" hidden="1" x14ac:dyDescent="0.25">
      <c r="A802" s="45" t="s">
        <v>640</v>
      </c>
      <c r="B802" s="20" t="s">
        <v>1123</v>
      </c>
      <c r="C802" s="40" t="s">
        <v>250</v>
      </c>
      <c r="D802" s="40" t="s">
        <v>231</v>
      </c>
      <c r="E802" s="2">
        <v>850</v>
      </c>
      <c r="F802" s="2">
        <v>908</v>
      </c>
      <c r="G802" s="10">
        <f>G801</f>
        <v>0</v>
      </c>
      <c r="H802" s="328">
        <f t="shared" ref="H802" si="466">H801</f>
        <v>0</v>
      </c>
      <c r="I802" s="358" t="e">
        <f t="shared" si="455"/>
        <v>#DIV/0!</v>
      </c>
    </row>
    <row r="803" spans="1:9" ht="15.75" x14ac:dyDescent="0.25">
      <c r="A803" s="25" t="s">
        <v>566</v>
      </c>
      <c r="B803" s="20" t="s">
        <v>1124</v>
      </c>
      <c r="C803" s="40" t="s">
        <v>250</v>
      </c>
      <c r="D803" s="40" t="s">
        <v>231</v>
      </c>
      <c r="E803" s="2"/>
      <c r="F803" s="2"/>
      <c r="G803" s="10">
        <f t="shared" ref="G803:H804" si="467">G804</f>
        <v>16</v>
      </c>
      <c r="H803" s="328">
        <f t="shared" si="467"/>
        <v>0</v>
      </c>
      <c r="I803" s="358">
        <f t="shared" si="455"/>
        <v>0</v>
      </c>
    </row>
    <row r="804" spans="1:9" ht="31.5" x14ac:dyDescent="0.25">
      <c r="A804" s="25" t="s">
        <v>147</v>
      </c>
      <c r="B804" s="20" t="s">
        <v>1124</v>
      </c>
      <c r="C804" s="40" t="s">
        <v>250</v>
      </c>
      <c r="D804" s="40" t="s">
        <v>231</v>
      </c>
      <c r="E804" s="2">
        <v>200</v>
      </c>
      <c r="F804" s="2"/>
      <c r="G804" s="10">
        <f>G805</f>
        <v>16</v>
      </c>
      <c r="H804" s="328">
        <f t="shared" si="467"/>
        <v>0</v>
      </c>
      <c r="I804" s="358">
        <f t="shared" si="455"/>
        <v>0</v>
      </c>
    </row>
    <row r="805" spans="1:9" ht="31.5" x14ac:dyDescent="0.25">
      <c r="A805" s="25" t="s">
        <v>149</v>
      </c>
      <c r="B805" s="20" t="s">
        <v>1124</v>
      </c>
      <c r="C805" s="40" t="s">
        <v>250</v>
      </c>
      <c r="D805" s="40" t="s">
        <v>231</v>
      </c>
      <c r="E805" s="2">
        <v>240</v>
      </c>
      <c r="F805" s="2"/>
      <c r="G805" s="10">
        <f>'Пр.4 ведом.20'!G1079</f>
        <v>16</v>
      </c>
      <c r="H805" s="328">
        <f>'Пр.4 ведом.20'!H1079</f>
        <v>0</v>
      </c>
      <c r="I805" s="358">
        <f t="shared" si="455"/>
        <v>0</v>
      </c>
    </row>
    <row r="806" spans="1:9" ht="31.5" x14ac:dyDescent="0.25">
      <c r="A806" s="45" t="s">
        <v>640</v>
      </c>
      <c r="B806" s="20" t="s">
        <v>1124</v>
      </c>
      <c r="C806" s="40" t="s">
        <v>250</v>
      </c>
      <c r="D806" s="40" t="s">
        <v>231</v>
      </c>
      <c r="E806" s="2">
        <v>240</v>
      </c>
      <c r="F806" s="2">
        <v>908</v>
      </c>
      <c r="G806" s="10">
        <f>G805</f>
        <v>16</v>
      </c>
      <c r="H806" s="328">
        <f t="shared" ref="H806" si="468">H805</f>
        <v>0</v>
      </c>
      <c r="I806" s="358">
        <f t="shared" si="455"/>
        <v>0</v>
      </c>
    </row>
    <row r="807" spans="1:9" ht="47.25" x14ac:dyDescent="0.25">
      <c r="A807" s="23" t="s">
        <v>568</v>
      </c>
      <c r="B807" s="7" t="s">
        <v>569</v>
      </c>
      <c r="C807" s="7"/>
      <c r="D807" s="7"/>
      <c r="E807" s="3"/>
      <c r="F807" s="3"/>
      <c r="G807" s="59">
        <f>G809+G830</f>
        <v>2458.8000000000002</v>
      </c>
      <c r="H807" s="340">
        <f t="shared" ref="H807" si="469">H809+H830</f>
        <v>527.78700000000003</v>
      </c>
      <c r="I807" s="4">
        <f t="shared" si="455"/>
        <v>21.465226939970716</v>
      </c>
    </row>
    <row r="808" spans="1:9" s="213" customFormat="1" ht="31.5" x14ac:dyDescent="0.25">
      <c r="A808" s="23" t="s">
        <v>1140</v>
      </c>
      <c r="B808" s="7" t="s">
        <v>1125</v>
      </c>
      <c r="C808" s="7"/>
      <c r="D808" s="7"/>
      <c r="E808" s="3"/>
      <c r="F808" s="3"/>
      <c r="G808" s="59">
        <f>G809</f>
        <v>544.29999999999995</v>
      </c>
      <c r="H808" s="340">
        <f t="shared" ref="H808" si="470">H809</f>
        <v>527.78700000000003</v>
      </c>
      <c r="I808" s="4">
        <f t="shared" si="455"/>
        <v>96.966195112989169</v>
      </c>
    </row>
    <row r="809" spans="1:9" ht="15.75" x14ac:dyDescent="0.25">
      <c r="A809" s="73" t="s">
        <v>406</v>
      </c>
      <c r="B809" s="40" t="s">
        <v>1125</v>
      </c>
      <c r="C809" s="40" t="s">
        <v>250</v>
      </c>
      <c r="D809" s="40"/>
      <c r="E809" s="2"/>
      <c r="F809" s="2"/>
      <c r="G809" s="10">
        <f t="shared" ref="G809:H809" si="471">G810</f>
        <v>544.29999999999995</v>
      </c>
      <c r="H809" s="328">
        <f t="shared" si="471"/>
        <v>527.78700000000003</v>
      </c>
      <c r="I809" s="358">
        <f t="shared" si="455"/>
        <v>96.966195112989169</v>
      </c>
    </row>
    <row r="810" spans="1:9" ht="15.75" x14ac:dyDescent="0.25">
      <c r="A810" s="73" t="s">
        <v>557</v>
      </c>
      <c r="B810" s="40" t="s">
        <v>1125</v>
      </c>
      <c r="C810" s="40" t="s">
        <v>250</v>
      </c>
      <c r="D810" s="40" t="s">
        <v>231</v>
      </c>
      <c r="E810" s="2"/>
      <c r="F810" s="2"/>
      <c r="G810" s="10">
        <f>G826+G811+G815+G822</f>
        <v>544.29999999999995</v>
      </c>
      <c r="H810" s="328">
        <f t="shared" ref="H810" si="472">H826+H811+H815+H822</f>
        <v>527.78700000000003</v>
      </c>
      <c r="I810" s="358">
        <f t="shared" si="455"/>
        <v>96.966195112989169</v>
      </c>
    </row>
    <row r="811" spans="1:9" ht="15.75" x14ac:dyDescent="0.25">
      <c r="A811" s="25" t="s">
        <v>571</v>
      </c>
      <c r="B811" s="20" t="s">
        <v>1127</v>
      </c>
      <c r="C811" s="40" t="s">
        <v>250</v>
      </c>
      <c r="D811" s="40" t="s">
        <v>231</v>
      </c>
      <c r="E811" s="2"/>
      <c r="F811" s="2"/>
      <c r="G811" s="10">
        <f t="shared" ref="G811:H812" si="473">G812</f>
        <v>43</v>
      </c>
      <c r="H811" s="328">
        <f t="shared" si="473"/>
        <v>38.130000000000003</v>
      </c>
      <c r="I811" s="358">
        <f t="shared" si="455"/>
        <v>88.67441860465118</v>
      </c>
    </row>
    <row r="812" spans="1:9" ht="31.5" x14ac:dyDescent="0.25">
      <c r="A812" s="25" t="s">
        <v>147</v>
      </c>
      <c r="B812" s="20" t="s">
        <v>1127</v>
      </c>
      <c r="C812" s="40" t="s">
        <v>250</v>
      </c>
      <c r="D812" s="40" t="s">
        <v>231</v>
      </c>
      <c r="E812" s="2">
        <v>200</v>
      </c>
      <c r="F812" s="2"/>
      <c r="G812" s="10">
        <f t="shared" si="473"/>
        <v>43</v>
      </c>
      <c r="H812" s="328">
        <f t="shared" si="473"/>
        <v>38.130000000000003</v>
      </c>
      <c r="I812" s="358">
        <f t="shared" si="455"/>
        <v>88.67441860465118</v>
      </c>
    </row>
    <row r="813" spans="1:9" ht="31.5" x14ac:dyDescent="0.25">
      <c r="A813" s="25" t="s">
        <v>149</v>
      </c>
      <c r="B813" s="20" t="s">
        <v>1127</v>
      </c>
      <c r="C813" s="40" t="s">
        <v>250</v>
      </c>
      <c r="D813" s="40" t="s">
        <v>231</v>
      </c>
      <c r="E813" s="2">
        <v>240</v>
      </c>
      <c r="F813" s="2"/>
      <c r="G813" s="10">
        <f>'Пр.4 ведом.20'!G1084</f>
        <v>43</v>
      </c>
      <c r="H813" s="328">
        <f>'Пр.4 ведом.20'!H1084</f>
        <v>38.130000000000003</v>
      </c>
      <c r="I813" s="358">
        <f t="shared" si="455"/>
        <v>88.67441860465118</v>
      </c>
    </row>
    <row r="814" spans="1:9" s="213" customFormat="1" ht="31.5" x14ac:dyDescent="0.25">
      <c r="A814" s="45" t="s">
        <v>640</v>
      </c>
      <c r="B814" s="20" t="s">
        <v>1127</v>
      </c>
      <c r="C814" s="40" t="s">
        <v>250</v>
      </c>
      <c r="D814" s="40" t="s">
        <v>231</v>
      </c>
      <c r="E814" s="2">
        <v>240</v>
      </c>
      <c r="F814" s="2">
        <v>908</v>
      </c>
      <c r="G814" s="10">
        <f>G813</f>
        <v>43</v>
      </c>
      <c r="H814" s="328">
        <f t="shared" ref="H814" si="474">H813</f>
        <v>38.130000000000003</v>
      </c>
      <c r="I814" s="358">
        <f t="shared" si="455"/>
        <v>88.67441860465118</v>
      </c>
    </row>
    <row r="815" spans="1:9" ht="47.25" x14ac:dyDescent="0.25">
      <c r="A815" s="45" t="s">
        <v>573</v>
      </c>
      <c r="B815" s="20" t="s">
        <v>1128</v>
      </c>
      <c r="C815" s="40" t="s">
        <v>250</v>
      </c>
      <c r="D815" s="40" t="s">
        <v>231</v>
      </c>
      <c r="E815" s="2"/>
      <c r="F815" s="2"/>
      <c r="G815" s="10">
        <f>G816+G819</f>
        <v>490.3</v>
      </c>
      <c r="H815" s="328">
        <f t="shared" ref="H815" si="475">H816+H819</f>
        <v>489.65699999999998</v>
      </c>
      <c r="I815" s="358">
        <f t="shared" si="455"/>
        <v>99.86885580256984</v>
      </c>
    </row>
    <row r="816" spans="1:9" ht="31.5" x14ac:dyDescent="0.25">
      <c r="A816" s="25" t="s">
        <v>147</v>
      </c>
      <c r="B816" s="20" t="s">
        <v>1128</v>
      </c>
      <c r="C816" s="40" t="s">
        <v>250</v>
      </c>
      <c r="D816" s="40" t="s">
        <v>231</v>
      </c>
      <c r="E816" s="2">
        <v>200</v>
      </c>
      <c r="F816" s="2"/>
      <c r="G816" s="10">
        <f t="shared" ref="G816:H816" si="476">G817</f>
        <v>490.3</v>
      </c>
      <c r="H816" s="328">
        <f t="shared" si="476"/>
        <v>489.65699999999998</v>
      </c>
      <c r="I816" s="358">
        <f t="shared" si="455"/>
        <v>99.86885580256984</v>
      </c>
    </row>
    <row r="817" spans="1:9" ht="31.5" x14ac:dyDescent="0.25">
      <c r="A817" s="25" t="s">
        <v>149</v>
      </c>
      <c r="B817" s="20" t="s">
        <v>1128</v>
      </c>
      <c r="C817" s="40" t="s">
        <v>250</v>
      </c>
      <c r="D817" s="40" t="s">
        <v>231</v>
      </c>
      <c r="E817" s="2">
        <v>240</v>
      </c>
      <c r="F817" s="2"/>
      <c r="G817" s="10">
        <f>'Пр.4 ведом.20'!G1087</f>
        <v>490.3</v>
      </c>
      <c r="H817" s="328">
        <f>'Пр.4 ведом.20'!H1087</f>
        <v>489.65699999999998</v>
      </c>
      <c r="I817" s="358">
        <f t="shared" si="455"/>
        <v>99.86885580256984</v>
      </c>
    </row>
    <row r="818" spans="1:9" s="213" customFormat="1" ht="31.5" x14ac:dyDescent="0.25">
      <c r="A818" s="45" t="s">
        <v>640</v>
      </c>
      <c r="B818" s="20" t="s">
        <v>1128</v>
      </c>
      <c r="C818" s="40" t="s">
        <v>250</v>
      </c>
      <c r="D818" s="40" t="s">
        <v>231</v>
      </c>
      <c r="E818" s="2">
        <v>240</v>
      </c>
      <c r="F818" s="2">
        <v>908</v>
      </c>
      <c r="G818" s="10">
        <f>G817</f>
        <v>490.3</v>
      </c>
      <c r="H818" s="328">
        <f t="shared" ref="H818" si="477">H817</f>
        <v>489.65699999999998</v>
      </c>
      <c r="I818" s="358">
        <f t="shared" si="455"/>
        <v>99.86885580256984</v>
      </c>
    </row>
    <row r="819" spans="1:9" s="213" customFormat="1" ht="15.75" hidden="1" x14ac:dyDescent="0.25">
      <c r="A819" s="29" t="s">
        <v>151</v>
      </c>
      <c r="B819" s="20" t="s">
        <v>1128</v>
      </c>
      <c r="C819" s="40" t="s">
        <v>250</v>
      </c>
      <c r="D819" s="40" t="s">
        <v>231</v>
      </c>
      <c r="E819" s="2">
        <v>800</v>
      </c>
      <c r="F819" s="2"/>
      <c r="G819" s="10">
        <f>G820</f>
        <v>0</v>
      </c>
      <c r="H819" s="328">
        <f t="shared" ref="H819" si="478">H820</f>
        <v>0</v>
      </c>
      <c r="I819" s="358" t="e">
        <f t="shared" si="455"/>
        <v>#DIV/0!</v>
      </c>
    </row>
    <row r="820" spans="1:9" s="213" customFormat="1" ht="15.75" hidden="1" x14ac:dyDescent="0.25">
      <c r="A820" s="25" t="s">
        <v>727</v>
      </c>
      <c r="B820" s="20" t="s">
        <v>1128</v>
      </c>
      <c r="C820" s="40" t="s">
        <v>250</v>
      </c>
      <c r="D820" s="40" t="s">
        <v>231</v>
      </c>
      <c r="E820" s="2">
        <v>850</v>
      </c>
      <c r="F820" s="2"/>
      <c r="G820" s="10">
        <f>'Пр.4 ведом.20'!G1089</f>
        <v>0</v>
      </c>
      <c r="H820" s="328">
        <f>'Пр.4 ведом.20'!H1089</f>
        <v>0</v>
      </c>
      <c r="I820" s="358" t="e">
        <f t="shared" si="455"/>
        <v>#DIV/0!</v>
      </c>
    </row>
    <row r="821" spans="1:9" s="213" customFormat="1" ht="31.5" hidden="1" x14ac:dyDescent="0.25">
      <c r="A821" s="45" t="s">
        <v>640</v>
      </c>
      <c r="B821" s="20" t="s">
        <v>1128</v>
      </c>
      <c r="C821" s="40" t="s">
        <v>250</v>
      </c>
      <c r="D821" s="40" t="s">
        <v>231</v>
      </c>
      <c r="E821" s="2">
        <v>850</v>
      </c>
      <c r="F821" s="2">
        <v>908</v>
      </c>
      <c r="G821" s="10">
        <f>G820</f>
        <v>0</v>
      </c>
      <c r="H821" s="328">
        <f t="shared" ref="H821" si="479">H820</f>
        <v>0</v>
      </c>
      <c r="I821" s="358" t="e">
        <f t="shared" si="455"/>
        <v>#DIV/0!</v>
      </c>
    </row>
    <row r="822" spans="1:9" ht="15.75" hidden="1" customHeight="1" x14ac:dyDescent="0.25">
      <c r="A822" s="45" t="s">
        <v>575</v>
      </c>
      <c r="B822" s="20" t="s">
        <v>1129</v>
      </c>
      <c r="C822" s="40" t="s">
        <v>250</v>
      </c>
      <c r="D822" s="40" t="s">
        <v>231</v>
      </c>
      <c r="E822" s="2"/>
      <c r="F822" s="2"/>
      <c r="G822" s="10">
        <f t="shared" ref="G822:H823" si="480">G823</f>
        <v>0</v>
      </c>
      <c r="H822" s="328">
        <f t="shared" si="480"/>
        <v>0</v>
      </c>
      <c r="I822" s="358" t="e">
        <f t="shared" si="455"/>
        <v>#DIV/0!</v>
      </c>
    </row>
    <row r="823" spans="1:9" ht="31.7" hidden="1" customHeight="1" x14ac:dyDescent="0.25">
      <c r="A823" s="25" t="s">
        <v>147</v>
      </c>
      <c r="B823" s="20" t="s">
        <v>1129</v>
      </c>
      <c r="C823" s="40" t="s">
        <v>250</v>
      </c>
      <c r="D823" s="40" t="s">
        <v>231</v>
      </c>
      <c r="E823" s="2">
        <v>200</v>
      </c>
      <c r="F823" s="2"/>
      <c r="G823" s="10">
        <f t="shared" si="480"/>
        <v>0</v>
      </c>
      <c r="H823" s="328">
        <f t="shared" si="480"/>
        <v>0</v>
      </c>
      <c r="I823" s="358" t="e">
        <f t="shared" si="455"/>
        <v>#DIV/0!</v>
      </c>
    </row>
    <row r="824" spans="1:9" ht="31.7" hidden="1" customHeight="1" x14ac:dyDescent="0.25">
      <c r="A824" s="25" t="s">
        <v>149</v>
      </c>
      <c r="B824" s="20" t="s">
        <v>1129</v>
      </c>
      <c r="C824" s="40" t="s">
        <v>250</v>
      </c>
      <c r="D824" s="40" t="s">
        <v>231</v>
      </c>
      <c r="E824" s="2">
        <v>240</v>
      </c>
      <c r="F824" s="2"/>
      <c r="G824" s="10">
        <f>'Пр.3 Рд,пр, ЦС,ВР 20'!F456</f>
        <v>0</v>
      </c>
      <c r="H824" s="328">
        <f>'Пр.3 Рд,пр, ЦС,ВР 20'!G456</f>
        <v>0</v>
      </c>
      <c r="I824" s="358" t="e">
        <f t="shared" si="455"/>
        <v>#DIV/0!</v>
      </c>
    </row>
    <row r="825" spans="1:9" ht="31.5" hidden="1" x14ac:dyDescent="0.25">
      <c r="A825" s="45" t="s">
        <v>640</v>
      </c>
      <c r="B825" s="20" t="s">
        <v>1129</v>
      </c>
      <c r="C825" s="40" t="s">
        <v>250</v>
      </c>
      <c r="D825" s="40" t="s">
        <v>231</v>
      </c>
      <c r="E825" s="2">
        <v>850</v>
      </c>
      <c r="F825" s="2">
        <v>908</v>
      </c>
      <c r="G825" s="10">
        <f>G824</f>
        <v>0</v>
      </c>
      <c r="H825" s="328">
        <f t="shared" ref="H825" si="481">H824</f>
        <v>0</v>
      </c>
      <c r="I825" s="358" t="e">
        <f t="shared" si="455"/>
        <v>#DIV/0!</v>
      </c>
    </row>
    <row r="826" spans="1:9" s="213" customFormat="1" ht="31.5" x14ac:dyDescent="0.25">
      <c r="A826" s="240" t="s">
        <v>1289</v>
      </c>
      <c r="B826" s="20" t="s">
        <v>1290</v>
      </c>
      <c r="C826" s="40" t="s">
        <v>250</v>
      </c>
      <c r="D826" s="40" t="s">
        <v>231</v>
      </c>
      <c r="E826" s="2"/>
      <c r="F826" s="2"/>
      <c r="G826" s="10">
        <f>G827</f>
        <v>11</v>
      </c>
      <c r="H826" s="328">
        <f t="shared" ref="H826:H827" si="482">H827</f>
        <v>0</v>
      </c>
      <c r="I826" s="358">
        <f t="shared" si="455"/>
        <v>0</v>
      </c>
    </row>
    <row r="827" spans="1:9" s="213" customFormat="1" ht="31.5" x14ac:dyDescent="0.25">
      <c r="A827" s="25" t="s">
        <v>147</v>
      </c>
      <c r="B827" s="20" t="s">
        <v>1290</v>
      </c>
      <c r="C827" s="40" t="s">
        <v>250</v>
      </c>
      <c r="D827" s="40" t="s">
        <v>231</v>
      </c>
      <c r="E827" s="2">
        <v>200</v>
      </c>
      <c r="F827" s="2"/>
      <c r="G827" s="10">
        <f>G828</f>
        <v>11</v>
      </c>
      <c r="H827" s="328">
        <f t="shared" si="482"/>
        <v>0</v>
      </c>
      <c r="I827" s="358">
        <f t="shared" si="455"/>
        <v>0</v>
      </c>
    </row>
    <row r="828" spans="1:9" s="213" customFormat="1" ht="31.5" x14ac:dyDescent="0.25">
      <c r="A828" s="25" t="s">
        <v>149</v>
      </c>
      <c r="B828" s="20" t="s">
        <v>1290</v>
      </c>
      <c r="C828" s="40" t="s">
        <v>250</v>
      </c>
      <c r="D828" s="40" t="s">
        <v>231</v>
      </c>
      <c r="E828" s="2">
        <v>240</v>
      </c>
      <c r="F828" s="2"/>
      <c r="G828" s="10">
        <f>'Пр.4 ведом.20'!G1095</f>
        <v>11</v>
      </c>
      <c r="H828" s="328">
        <f>'Пр.4 ведом.20'!H1095</f>
        <v>0</v>
      </c>
      <c r="I828" s="358">
        <f t="shared" si="455"/>
        <v>0</v>
      </c>
    </row>
    <row r="829" spans="1:9" s="213" customFormat="1" ht="31.5" x14ac:dyDescent="0.25">
      <c r="A829" s="45" t="s">
        <v>640</v>
      </c>
      <c r="B829" s="20" t="s">
        <v>1290</v>
      </c>
      <c r="C829" s="40" t="s">
        <v>250</v>
      </c>
      <c r="D829" s="40" t="s">
        <v>231</v>
      </c>
      <c r="E829" s="2">
        <v>240</v>
      </c>
      <c r="F829" s="2">
        <v>908</v>
      </c>
      <c r="G829" s="10">
        <f>G828</f>
        <v>11</v>
      </c>
      <c r="H829" s="328">
        <f t="shared" ref="H829" si="483">H828</f>
        <v>0</v>
      </c>
      <c r="I829" s="358">
        <f t="shared" si="455"/>
        <v>0</v>
      </c>
    </row>
    <row r="830" spans="1:9" s="213" customFormat="1" ht="31.5" x14ac:dyDescent="0.25">
      <c r="A830" s="23" t="s">
        <v>950</v>
      </c>
      <c r="B830" s="24" t="s">
        <v>1130</v>
      </c>
      <c r="C830" s="7"/>
      <c r="D830" s="7"/>
      <c r="E830" s="3"/>
      <c r="F830" s="3"/>
      <c r="G830" s="59">
        <f>G831</f>
        <v>1914.5</v>
      </c>
      <c r="H830" s="340">
        <f t="shared" ref="H830" si="484">H831</f>
        <v>0</v>
      </c>
      <c r="I830" s="4">
        <f t="shared" si="455"/>
        <v>0</v>
      </c>
    </row>
    <row r="831" spans="1:9" s="213" customFormat="1" ht="15.75" x14ac:dyDescent="0.25">
      <c r="A831" s="73" t="s">
        <v>406</v>
      </c>
      <c r="B831" s="40" t="s">
        <v>1130</v>
      </c>
      <c r="C831" s="40" t="s">
        <v>250</v>
      </c>
      <c r="D831" s="40"/>
      <c r="E831" s="2"/>
      <c r="F831" s="2"/>
      <c r="G831" s="10">
        <f t="shared" ref="G831:H831" si="485">G832</f>
        <v>1914.5</v>
      </c>
      <c r="H831" s="328">
        <f t="shared" si="485"/>
        <v>0</v>
      </c>
      <c r="I831" s="358">
        <f t="shared" si="455"/>
        <v>0</v>
      </c>
    </row>
    <row r="832" spans="1:9" s="213" customFormat="1" ht="15.75" x14ac:dyDescent="0.25">
      <c r="A832" s="73" t="s">
        <v>557</v>
      </c>
      <c r="B832" s="40" t="s">
        <v>1130</v>
      </c>
      <c r="C832" s="40" t="s">
        <v>250</v>
      </c>
      <c r="D832" s="40" t="s">
        <v>231</v>
      </c>
      <c r="E832" s="2"/>
      <c r="F832" s="2"/>
      <c r="G832" s="10">
        <f>G833+G837</f>
        <v>1914.5</v>
      </c>
      <c r="H832" s="328">
        <f t="shared" ref="H832" si="486">H833+H837</f>
        <v>0</v>
      </c>
      <c r="I832" s="358">
        <f t="shared" si="455"/>
        <v>0</v>
      </c>
    </row>
    <row r="833" spans="1:9" s="213" customFormat="1" ht="31.5" hidden="1" x14ac:dyDescent="0.25">
      <c r="A833" s="25" t="s">
        <v>707</v>
      </c>
      <c r="B833" s="20" t="s">
        <v>1131</v>
      </c>
      <c r="C833" s="40" t="s">
        <v>250</v>
      </c>
      <c r="D833" s="40" t="s">
        <v>231</v>
      </c>
      <c r="E833" s="2"/>
      <c r="F833" s="2"/>
      <c r="G833" s="10">
        <f>G834</f>
        <v>0</v>
      </c>
      <c r="H833" s="328">
        <f t="shared" ref="H833:H834" si="487">H834</f>
        <v>0</v>
      </c>
      <c r="I833" s="358" t="e">
        <f t="shared" si="455"/>
        <v>#DIV/0!</v>
      </c>
    </row>
    <row r="834" spans="1:9" s="213" customFormat="1" ht="31.5" hidden="1" x14ac:dyDescent="0.25">
      <c r="A834" s="25" t="s">
        <v>147</v>
      </c>
      <c r="B834" s="20" t="s">
        <v>1131</v>
      </c>
      <c r="C834" s="40" t="s">
        <v>250</v>
      </c>
      <c r="D834" s="40" t="s">
        <v>231</v>
      </c>
      <c r="E834" s="20" t="s">
        <v>148</v>
      </c>
      <c r="F834" s="2"/>
      <c r="G834" s="10">
        <f>G835</f>
        <v>0</v>
      </c>
      <c r="H834" s="328">
        <f t="shared" si="487"/>
        <v>0</v>
      </c>
      <c r="I834" s="358" t="e">
        <f t="shared" si="455"/>
        <v>#DIV/0!</v>
      </c>
    </row>
    <row r="835" spans="1:9" s="213" customFormat="1" ht="31.5" hidden="1" x14ac:dyDescent="0.25">
      <c r="A835" s="25" t="s">
        <v>149</v>
      </c>
      <c r="B835" s="20" t="s">
        <v>1131</v>
      </c>
      <c r="C835" s="40" t="s">
        <v>250</v>
      </c>
      <c r="D835" s="40" t="s">
        <v>231</v>
      </c>
      <c r="E835" s="20" t="s">
        <v>150</v>
      </c>
      <c r="F835" s="2"/>
      <c r="G835" s="10">
        <f>'Пр.3 Рд,пр, ЦС,ВР 20'!F460</f>
        <v>0</v>
      </c>
      <c r="H835" s="328">
        <f>'Пр.3 Рд,пр, ЦС,ВР 20'!G460</f>
        <v>0</v>
      </c>
      <c r="I835" s="358" t="e">
        <f t="shared" si="455"/>
        <v>#DIV/0!</v>
      </c>
    </row>
    <row r="836" spans="1:9" s="213" customFormat="1" ht="31.5" hidden="1" x14ac:dyDescent="0.25">
      <c r="A836" s="45" t="s">
        <v>640</v>
      </c>
      <c r="B836" s="20" t="s">
        <v>1131</v>
      </c>
      <c r="C836" s="40" t="s">
        <v>250</v>
      </c>
      <c r="D836" s="40" t="s">
        <v>231</v>
      </c>
      <c r="E836" s="20" t="s">
        <v>150</v>
      </c>
      <c r="F836" s="2">
        <v>908</v>
      </c>
      <c r="G836" s="10">
        <f>G835</f>
        <v>0</v>
      </c>
      <c r="H836" s="328">
        <f t="shared" ref="H836" si="488">H835</f>
        <v>0</v>
      </c>
      <c r="I836" s="358" t="e">
        <f t="shared" si="455"/>
        <v>#DIV/0!</v>
      </c>
    </row>
    <row r="837" spans="1:9" s="213" customFormat="1" ht="63" x14ac:dyDescent="0.25">
      <c r="A837" s="25" t="s">
        <v>1249</v>
      </c>
      <c r="B837" s="20" t="s">
        <v>1250</v>
      </c>
      <c r="C837" s="40" t="s">
        <v>250</v>
      </c>
      <c r="D837" s="40" t="s">
        <v>231</v>
      </c>
      <c r="E837" s="20"/>
      <c r="F837" s="2"/>
      <c r="G837" s="10">
        <f>G838</f>
        <v>1914.5</v>
      </c>
      <c r="H837" s="328">
        <f t="shared" ref="H837:H838" si="489">H838</f>
        <v>0</v>
      </c>
      <c r="I837" s="358">
        <f t="shared" si="455"/>
        <v>0</v>
      </c>
    </row>
    <row r="838" spans="1:9" s="213" customFormat="1" ht="31.5" x14ac:dyDescent="0.25">
      <c r="A838" s="25" t="s">
        <v>147</v>
      </c>
      <c r="B838" s="20" t="s">
        <v>1250</v>
      </c>
      <c r="C838" s="40" t="s">
        <v>250</v>
      </c>
      <c r="D838" s="40" t="s">
        <v>231</v>
      </c>
      <c r="E838" s="20" t="s">
        <v>148</v>
      </c>
      <c r="F838" s="2"/>
      <c r="G838" s="10">
        <f>G839</f>
        <v>1914.5</v>
      </c>
      <c r="H838" s="328">
        <f t="shared" si="489"/>
        <v>0</v>
      </c>
      <c r="I838" s="358">
        <f t="shared" si="455"/>
        <v>0</v>
      </c>
    </row>
    <row r="839" spans="1:9" s="213" customFormat="1" ht="31.5" x14ac:dyDescent="0.25">
      <c r="A839" s="25" t="s">
        <v>149</v>
      </c>
      <c r="B839" s="20" t="s">
        <v>1250</v>
      </c>
      <c r="C839" s="40" t="s">
        <v>250</v>
      </c>
      <c r="D839" s="40" t="s">
        <v>231</v>
      </c>
      <c r="E839" s="20" t="s">
        <v>150</v>
      </c>
      <c r="F839" s="2"/>
      <c r="G839" s="10">
        <f>'Пр.3 Рд,пр, ЦС,ВР 20'!F463</f>
        <v>1914.5</v>
      </c>
      <c r="H839" s="328">
        <f>'Пр.3 Рд,пр, ЦС,ВР 20'!G463</f>
        <v>0</v>
      </c>
      <c r="I839" s="358">
        <f t="shared" si="455"/>
        <v>0</v>
      </c>
    </row>
    <row r="840" spans="1:9" s="213" customFormat="1" ht="31.5" x14ac:dyDescent="0.25">
      <c r="A840" s="45" t="s">
        <v>640</v>
      </c>
      <c r="B840" s="20" t="s">
        <v>1250</v>
      </c>
      <c r="C840" s="40" t="s">
        <v>250</v>
      </c>
      <c r="D840" s="40" t="s">
        <v>231</v>
      </c>
      <c r="E840" s="20" t="s">
        <v>150</v>
      </c>
      <c r="F840" s="2">
        <v>908</v>
      </c>
      <c r="G840" s="10">
        <f>G839</f>
        <v>1914.5</v>
      </c>
      <c r="H840" s="328">
        <f t="shared" ref="H840" si="490">H839</f>
        <v>0</v>
      </c>
      <c r="I840" s="358">
        <f t="shared" si="455"/>
        <v>0</v>
      </c>
    </row>
    <row r="841" spans="1:9" ht="47.25" x14ac:dyDescent="0.25">
      <c r="A841" s="34" t="s">
        <v>197</v>
      </c>
      <c r="B841" s="206" t="s">
        <v>198</v>
      </c>
      <c r="C841" s="7"/>
      <c r="D841" s="7"/>
      <c r="E841" s="7"/>
      <c r="F841" s="3"/>
      <c r="G841" s="59">
        <f>G842+G853</f>
        <v>306</v>
      </c>
      <c r="H841" s="340">
        <f t="shared" ref="H841" si="491">H842+H853</f>
        <v>91.009999999999991</v>
      </c>
      <c r="I841" s="4">
        <f t="shared" si="455"/>
        <v>29.741830065359476</v>
      </c>
    </row>
    <row r="842" spans="1:9" s="213" customFormat="1" ht="31.5" x14ac:dyDescent="0.25">
      <c r="A842" s="34" t="s">
        <v>1159</v>
      </c>
      <c r="B842" s="206" t="s">
        <v>923</v>
      </c>
      <c r="C842" s="7"/>
      <c r="D842" s="7"/>
      <c r="E842" s="7"/>
      <c r="F842" s="3"/>
      <c r="G842" s="59">
        <f>G843</f>
        <v>285</v>
      </c>
      <c r="H842" s="340">
        <f t="shared" ref="H842" si="492">H843</f>
        <v>91.009999999999991</v>
      </c>
      <c r="I842" s="4">
        <f t="shared" si="455"/>
        <v>31.93333333333333</v>
      </c>
    </row>
    <row r="843" spans="1:9" ht="15.75" x14ac:dyDescent="0.25">
      <c r="A843" s="29" t="s">
        <v>248</v>
      </c>
      <c r="B843" s="5" t="s">
        <v>923</v>
      </c>
      <c r="C843" s="40" t="s">
        <v>166</v>
      </c>
      <c r="D843" s="40"/>
      <c r="E843" s="40"/>
      <c r="F843" s="2"/>
      <c r="G843" s="10">
        <f t="shared" ref="G843:H846" si="493">G844</f>
        <v>285</v>
      </c>
      <c r="H843" s="328">
        <f t="shared" si="493"/>
        <v>91.009999999999991</v>
      </c>
      <c r="I843" s="358">
        <f t="shared" si="455"/>
        <v>31.93333333333333</v>
      </c>
    </row>
    <row r="844" spans="1:9" ht="15.75" x14ac:dyDescent="0.25">
      <c r="A844" s="29" t="s">
        <v>249</v>
      </c>
      <c r="B844" s="30" t="s">
        <v>923</v>
      </c>
      <c r="C844" s="40" t="s">
        <v>166</v>
      </c>
      <c r="D844" s="40" t="s">
        <v>250</v>
      </c>
      <c r="E844" s="40"/>
      <c r="F844" s="2"/>
      <c r="G844" s="10">
        <f>G845+G849</f>
        <v>285</v>
      </c>
      <c r="H844" s="328">
        <f t="shared" ref="H844" si="494">H845+H849</f>
        <v>91.009999999999991</v>
      </c>
      <c r="I844" s="358">
        <f t="shared" si="455"/>
        <v>31.93333333333333</v>
      </c>
    </row>
    <row r="845" spans="1:9" ht="15.75" x14ac:dyDescent="0.25">
      <c r="A845" s="25" t="s">
        <v>924</v>
      </c>
      <c r="B845" s="20" t="s">
        <v>968</v>
      </c>
      <c r="C845" s="40" t="s">
        <v>166</v>
      </c>
      <c r="D845" s="40" t="s">
        <v>250</v>
      </c>
      <c r="E845" s="40"/>
      <c r="F845" s="2"/>
      <c r="G845" s="10">
        <f t="shared" si="493"/>
        <v>30</v>
      </c>
      <c r="H845" s="328">
        <f t="shared" si="493"/>
        <v>9.49</v>
      </c>
      <c r="I845" s="358">
        <f t="shared" si="455"/>
        <v>31.633333333333336</v>
      </c>
    </row>
    <row r="846" spans="1:9" ht="15.75" x14ac:dyDescent="0.25">
      <c r="A846" s="29" t="s">
        <v>151</v>
      </c>
      <c r="B846" s="20" t="s">
        <v>968</v>
      </c>
      <c r="C846" s="40" t="s">
        <v>166</v>
      </c>
      <c r="D846" s="40" t="s">
        <v>250</v>
      </c>
      <c r="E846" s="40" t="s">
        <v>161</v>
      </c>
      <c r="F846" s="2"/>
      <c r="G846" s="10">
        <f t="shared" si="493"/>
        <v>30</v>
      </c>
      <c r="H846" s="328">
        <f t="shared" si="493"/>
        <v>9.49</v>
      </c>
      <c r="I846" s="358">
        <f t="shared" si="455"/>
        <v>31.633333333333336</v>
      </c>
    </row>
    <row r="847" spans="1:9" ht="47.25" x14ac:dyDescent="0.25">
      <c r="A847" s="29" t="s">
        <v>200</v>
      </c>
      <c r="B847" s="20" t="s">
        <v>968</v>
      </c>
      <c r="C847" s="40" t="s">
        <v>166</v>
      </c>
      <c r="D847" s="40" t="s">
        <v>250</v>
      </c>
      <c r="E847" s="40" t="s">
        <v>176</v>
      </c>
      <c r="F847" s="2"/>
      <c r="G847" s="10">
        <f>'Пр.4 ведом.20'!G169</f>
        <v>30</v>
      </c>
      <c r="H847" s="328">
        <f>'Пр.4 ведом.20'!H169</f>
        <v>9.49</v>
      </c>
      <c r="I847" s="358">
        <f t="shared" si="455"/>
        <v>31.633333333333336</v>
      </c>
    </row>
    <row r="848" spans="1:9" ht="15.75" x14ac:dyDescent="0.25">
      <c r="A848" s="29" t="s">
        <v>164</v>
      </c>
      <c r="B848" s="20" t="s">
        <v>968</v>
      </c>
      <c r="C848" s="40" t="s">
        <v>166</v>
      </c>
      <c r="D848" s="40" t="s">
        <v>250</v>
      </c>
      <c r="E848" s="40" t="s">
        <v>176</v>
      </c>
      <c r="F848" s="2">
        <v>902</v>
      </c>
      <c r="G848" s="10">
        <f>G847</f>
        <v>30</v>
      </c>
      <c r="H848" s="328">
        <f t="shared" ref="H848" si="495">H847</f>
        <v>9.49</v>
      </c>
      <c r="I848" s="358">
        <f t="shared" si="455"/>
        <v>31.633333333333336</v>
      </c>
    </row>
    <row r="849" spans="1:9" s="213" customFormat="1" ht="31.5" x14ac:dyDescent="0.25">
      <c r="A849" s="25" t="s">
        <v>251</v>
      </c>
      <c r="B849" s="20" t="s">
        <v>927</v>
      </c>
      <c r="C849" s="40" t="s">
        <v>166</v>
      </c>
      <c r="D849" s="40" t="s">
        <v>250</v>
      </c>
      <c r="E849" s="40"/>
      <c r="F849" s="2"/>
      <c r="G849" s="10">
        <f>G850</f>
        <v>255</v>
      </c>
      <c r="H849" s="328">
        <f t="shared" ref="H849:H850" si="496">H850</f>
        <v>81.52</v>
      </c>
      <c r="I849" s="358">
        <f t="shared" si="455"/>
        <v>31.968627450980392</v>
      </c>
    </row>
    <row r="850" spans="1:9" s="213" customFormat="1" ht="15.75" x14ac:dyDescent="0.25">
      <c r="A850" s="25" t="s">
        <v>151</v>
      </c>
      <c r="B850" s="20" t="s">
        <v>927</v>
      </c>
      <c r="C850" s="40" t="s">
        <v>166</v>
      </c>
      <c r="D850" s="40" t="s">
        <v>250</v>
      </c>
      <c r="E850" s="40" t="s">
        <v>161</v>
      </c>
      <c r="F850" s="2"/>
      <c r="G850" s="10">
        <f>G851</f>
        <v>255</v>
      </c>
      <c r="H850" s="328">
        <f t="shared" si="496"/>
        <v>81.52</v>
      </c>
      <c r="I850" s="358">
        <f t="shared" ref="I850:I913" si="497">H850/G850*100</f>
        <v>31.968627450980392</v>
      </c>
    </row>
    <row r="851" spans="1:9" s="213" customFormat="1" ht="47.25" x14ac:dyDescent="0.25">
      <c r="A851" s="25" t="s">
        <v>200</v>
      </c>
      <c r="B851" s="20" t="s">
        <v>927</v>
      </c>
      <c r="C851" s="40" t="s">
        <v>166</v>
      </c>
      <c r="D851" s="40" t="s">
        <v>250</v>
      </c>
      <c r="E851" s="40" t="s">
        <v>176</v>
      </c>
      <c r="F851" s="2"/>
      <c r="G851" s="10">
        <f>'Пр.3 Рд,пр, ЦС,ВР 20'!F260</f>
        <v>255</v>
      </c>
      <c r="H851" s="328">
        <f>'Пр.3 Рд,пр, ЦС,ВР 20'!G260</f>
        <v>81.52</v>
      </c>
      <c r="I851" s="358">
        <f t="shared" si="497"/>
        <v>31.968627450980392</v>
      </c>
    </row>
    <row r="852" spans="1:9" s="213" customFormat="1" ht="15.75" x14ac:dyDescent="0.25">
      <c r="A852" s="29" t="s">
        <v>164</v>
      </c>
      <c r="B852" s="20" t="s">
        <v>927</v>
      </c>
      <c r="C852" s="40" t="s">
        <v>166</v>
      </c>
      <c r="D852" s="40" t="s">
        <v>250</v>
      </c>
      <c r="E852" s="40" t="s">
        <v>176</v>
      </c>
      <c r="F852" s="2">
        <v>902</v>
      </c>
      <c r="G852" s="10">
        <f>G851</f>
        <v>255</v>
      </c>
      <c r="H852" s="328">
        <f t="shared" ref="H852" si="498">H851</f>
        <v>81.52</v>
      </c>
      <c r="I852" s="358">
        <f t="shared" si="497"/>
        <v>31.968627450980392</v>
      </c>
    </row>
    <row r="853" spans="1:9" s="213" customFormat="1" ht="47.25" x14ac:dyDescent="0.25">
      <c r="A853" s="222" t="s">
        <v>1160</v>
      </c>
      <c r="B853" s="24" t="s">
        <v>926</v>
      </c>
      <c r="C853" s="40"/>
      <c r="D853" s="40"/>
      <c r="E853" s="40"/>
      <c r="F853" s="2"/>
      <c r="G853" s="10">
        <f>G854</f>
        <v>21</v>
      </c>
      <c r="H853" s="328">
        <f t="shared" ref="H853:H857" si="499">H854</f>
        <v>0</v>
      </c>
      <c r="I853" s="358">
        <f t="shared" si="497"/>
        <v>0</v>
      </c>
    </row>
    <row r="854" spans="1:9" s="213" customFormat="1" ht="15.75" x14ac:dyDescent="0.25">
      <c r="A854" s="29" t="s">
        <v>248</v>
      </c>
      <c r="B854" s="5" t="s">
        <v>923</v>
      </c>
      <c r="C854" s="40" t="s">
        <v>166</v>
      </c>
      <c r="D854" s="40"/>
      <c r="E854" s="40"/>
      <c r="F854" s="2"/>
      <c r="G854" s="10">
        <f>G855</f>
        <v>21</v>
      </c>
      <c r="H854" s="328">
        <f t="shared" si="499"/>
        <v>0</v>
      </c>
      <c r="I854" s="358">
        <f t="shared" si="497"/>
        <v>0</v>
      </c>
    </row>
    <row r="855" spans="1:9" s="213" customFormat="1" ht="15.75" x14ac:dyDescent="0.25">
      <c r="A855" s="29" t="s">
        <v>249</v>
      </c>
      <c r="B855" s="30" t="s">
        <v>923</v>
      </c>
      <c r="C855" s="40" t="s">
        <v>166</v>
      </c>
      <c r="D855" s="40" t="s">
        <v>250</v>
      </c>
      <c r="E855" s="40"/>
      <c r="F855" s="2"/>
      <c r="G855" s="10">
        <f>G856</f>
        <v>21</v>
      </c>
      <c r="H855" s="328">
        <f t="shared" si="499"/>
        <v>0</v>
      </c>
      <c r="I855" s="358">
        <f t="shared" si="497"/>
        <v>0</v>
      </c>
    </row>
    <row r="856" spans="1:9" s="213" customFormat="1" ht="15.75" x14ac:dyDescent="0.25">
      <c r="A856" s="25" t="s">
        <v>925</v>
      </c>
      <c r="B856" s="5" t="s">
        <v>969</v>
      </c>
      <c r="C856" s="40" t="s">
        <v>166</v>
      </c>
      <c r="D856" s="40" t="s">
        <v>250</v>
      </c>
      <c r="E856" s="40"/>
      <c r="F856" s="2"/>
      <c r="G856" s="10">
        <f>G857</f>
        <v>21</v>
      </c>
      <c r="H856" s="328">
        <f t="shared" si="499"/>
        <v>0</v>
      </c>
      <c r="I856" s="358">
        <f t="shared" si="497"/>
        <v>0</v>
      </c>
    </row>
    <row r="857" spans="1:9" s="213" customFormat="1" ht="15.75" x14ac:dyDescent="0.25">
      <c r="A857" s="29" t="s">
        <v>151</v>
      </c>
      <c r="B857" s="5" t="s">
        <v>969</v>
      </c>
      <c r="C857" s="40" t="s">
        <v>166</v>
      </c>
      <c r="D857" s="40" t="s">
        <v>250</v>
      </c>
      <c r="E857" s="40" t="s">
        <v>161</v>
      </c>
      <c r="F857" s="2"/>
      <c r="G857" s="10">
        <f>G858</f>
        <v>21</v>
      </c>
      <c r="H857" s="328">
        <f t="shared" si="499"/>
        <v>0</v>
      </c>
      <c r="I857" s="358">
        <f t="shared" si="497"/>
        <v>0</v>
      </c>
    </row>
    <row r="858" spans="1:9" s="213" customFormat="1" ht="47.25" x14ac:dyDescent="0.25">
      <c r="A858" s="29" t="s">
        <v>200</v>
      </c>
      <c r="B858" s="5" t="s">
        <v>969</v>
      </c>
      <c r="C858" s="40" t="s">
        <v>166</v>
      </c>
      <c r="D858" s="40" t="s">
        <v>250</v>
      </c>
      <c r="E858" s="40" t="s">
        <v>176</v>
      </c>
      <c r="F858" s="2"/>
      <c r="G858" s="10">
        <f>'Пр.3 Рд,пр, ЦС,ВР 20'!F264</f>
        <v>21</v>
      </c>
      <c r="H858" s="328">
        <f>'Пр.3 Рд,пр, ЦС,ВР 20'!G264</f>
        <v>0</v>
      </c>
      <c r="I858" s="358">
        <f t="shared" si="497"/>
        <v>0</v>
      </c>
    </row>
    <row r="859" spans="1:9" s="213" customFormat="1" ht="15.75" x14ac:dyDescent="0.25">
      <c r="A859" s="29" t="s">
        <v>164</v>
      </c>
      <c r="B859" s="20" t="s">
        <v>927</v>
      </c>
      <c r="C859" s="40" t="s">
        <v>166</v>
      </c>
      <c r="D859" s="40" t="s">
        <v>250</v>
      </c>
      <c r="E859" s="40" t="s">
        <v>176</v>
      </c>
      <c r="F859" s="2">
        <v>902</v>
      </c>
      <c r="G859" s="10">
        <f>G858</f>
        <v>21</v>
      </c>
      <c r="H859" s="328">
        <f t="shared" ref="H859" si="500">H858</f>
        <v>0</v>
      </c>
      <c r="I859" s="358">
        <f t="shared" si="497"/>
        <v>0</v>
      </c>
    </row>
    <row r="860" spans="1:9" ht="52.5" customHeight="1" x14ac:dyDescent="0.25">
      <c r="A860" s="41" t="s">
        <v>1355</v>
      </c>
      <c r="B860" s="7" t="s">
        <v>534</v>
      </c>
      <c r="C860" s="7"/>
      <c r="D860" s="7"/>
      <c r="E860" s="72"/>
      <c r="F860" s="3"/>
      <c r="G860" s="59">
        <f>G861+G868+G875+G882+G889+G896+G903</f>
        <v>269</v>
      </c>
      <c r="H860" s="340">
        <f t="shared" ref="H860" si="501">H861+H868+H875+H882+H889+H896+H903</f>
        <v>199</v>
      </c>
      <c r="I860" s="4">
        <f t="shared" si="497"/>
        <v>73.977695167286257</v>
      </c>
    </row>
    <row r="861" spans="1:9" s="213" customFormat="1" ht="31.7" hidden="1" customHeight="1" x14ac:dyDescent="0.25">
      <c r="A861" s="23" t="s">
        <v>1099</v>
      </c>
      <c r="B861" s="24" t="s">
        <v>1101</v>
      </c>
      <c r="C861" s="40"/>
      <c r="D861" s="40"/>
      <c r="E861" s="40"/>
      <c r="F861" s="2"/>
      <c r="G861" s="59">
        <f>G862</f>
        <v>0</v>
      </c>
      <c r="H861" s="340">
        <f t="shared" ref="H861" si="502">H862</f>
        <v>0</v>
      </c>
      <c r="I861" s="4" t="e">
        <f t="shared" si="497"/>
        <v>#DIV/0!</v>
      </c>
    </row>
    <row r="862" spans="1:9" s="213" customFormat="1" ht="18" hidden="1" customHeight="1" x14ac:dyDescent="0.25">
      <c r="A862" s="29" t="s">
        <v>406</v>
      </c>
      <c r="B862" s="40" t="s">
        <v>1101</v>
      </c>
      <c r="C862" s="40" t="s">
        <v>250</v>
      </c>
      <c r="D862" s="40"/>
      <c r="E862" s="73"/>
      <c r="F862" s="2"/>
      <c r="G862" s="10">
        <f t="shared" ref="G862:H863" si="503">G863</f>
        <v>0</v>
      </c>
      <c r="H862" s="328">
        <f t="shared" si="503"/>
        <v>0</v>
      </c>
      <c r="I862" s="4" t="e">
        <f t="shared" si="497"/>
        <v>#DIV/0!</v>
      </c>
    </row>
    <row r="863" spans="1:9" s="213" customFormat="1" ht="19.5" hidden="1" customHeight="1" x14ac:dyDescent="0.25">
      <c r="A863" s="29" t="s">
        <v>533</v>
      </c>
      <c r="B863" s="40" t="s">
        <v>1101</v>
      </c>
      <c r="C863" s="40" t="s">
        <v>250</v>
      </c>
      <c r="D863" s="40" t="s">
        <v>229</v>
      </c>
      <c r="E863" s="73"/>
      <c r="F863" s="2"/>
      <c r="G863" s="10">
        <f>G864</f>
        <v>0</v>
      </c>
      <c r="H863" s="328">
        <f t="shared" si="503"/>
        <v>0</v>
      </c>
      <c r="I863" s="4" t="e">
        <f t="shared" si="497"/>
        <v>#DIV/0!</v>
      </c>
    </row>
    <row r="864" spans="1:9" ht="15.75" hidden="1" x14ac:dyDescent="0.25">
      <c r="A864" s="45" t="s">
        <v>537</v>
      </c>
      <c r="B864" s="20" t="s">
        <v>1102</v>
      </c>
      <c r="C864" s="40" t="s">
        <v>250</v>
      </c>
      <c r="D864" s="40" t="s">
        <v>229</v>
      </c>
      <c r="E864" s="40"/>
      <c r="F864" s="2"/>
      <c r="G864" s="10">
        <f t="shared" ref="G864:H865" si="504">G865</f>
        <v>0</v>
      </c>
      <c r="H864" s="328">
        <f t="shared" si="504"/>
        <v>0</v>
      </c>
      <c r="I864" s="4" t="e">
        <f t="shared" si="497"/>
        <v>#DIV/0!</v>
      </c>
    </row>
    <row r="865" spans="1:9" ht="31.5" hidden="1" x14ac:dyDescent="0.25">
      <c r="A865" s="31" t="s">
        <v>147</v>
      </c>
      <c r="B865" s="20" t="s">
        <v>1102</v>
      </c>
      <c r="C865" s="40" t="s">
        <v>250</v>
      </c>
      <c r="D865" s="40" t="s">
        <v>229</v>
      </c>
      <c r="E865" s="40" t="s">
        <v>148</v>
      </c>
      <c r="F865" s="2"/>
      <c r="G865" s="10">
        <f t="shared" si="504"/>
        <v>0</v>
      </c>
      <c r="H865" s="328">
        <f t="shared" si="504"/>
        <v>0</v>
      </c>
      <c r="I865" s="4" t="e">
        <f t="shared" si="497"/>
        <v>#DIV/0!</v>
      </c>
    </row>
    <row r="866" spans="1:9" ht="31.5" hidden="1" x14ac:dyDescent="0.25">
      <c r="A866" s="31" t="s">
        <v>149</v>
      </c>
      <c r="B866" s="20" t="s">
        <v>1102</v>
      </c>
      <c r="C866" s="40" t="s">
        <v>250</v>
      </c>
      <c r="D866" s="40" t="s">
        <v>229</v>
      </c>
      <c r="E866" s="40" t="s">
        <v>150</v>
      </c>
      <c r="F866" s="2"/>
      <c r="G866" s="10">
        <f>'Пр.3 Рд,пр, ЦС,ВР 20'!F388</f>
        <v>0</v>
      </c>
      <c r="H866" s="328">
        <f>'Пр.3 Рд,пр, ЦС,ВР 20'!G388</f>
        <v>0</v>
      </c>
      <c r="I866" s="4" t="e">
        <f t="shared" si="497"/>
        <v>#DIV/0!</v>
      </c>
    </row>
    <row r="867" spans="1:9" s="213" customFormat="1" ht="31.5" hidden="1" x14ac:dyDescent="0.25">
      <c r="A867" s="45" t="s">
        <v>640</v>
      </c>
      <c r="B867" s="20" t="s">
        <v>1102</v>
      </c>
      <c r="C867" s="40" t="s">
        <v>250</v>
      </c>
      <c r="D867" s="40" t="s">
        <v>229</v>
      </c>
      <c r="E867" s="40" t="s">
        <v>150</v>
      </c>
      <c r="F867" s="2">
        <v>908</v>
      </c>
      <c r="G867" s="6">
        <f>G866</f>
        <v>0</v>
      </c>
      <c r="H867" s="358">
        <f t="shared" ref="H867" si="505">H866</f>
        <v>0</v>
      </c>
      <c r="I867" s="4" t="e">
        <f t="shared" si="497"/>
        <v>#DIV/0!</v>
      </c>
    </row>
    <row r="868" spans="1:9" s="213" customFormat="1" ht="31.5" x14ac:dyDescent="0.25">
      <c r="A868" s="34" t="s">
        <v>1103</v>
      </c>
      <c r="B868" s="24" t="s">
        <v>1104</v>
      </c>
      <c r="C868" s="40"/>
      <c r="D868" s="40"/>
      <c r="E868" s="40"/>
      <c r="F868" s="2"/>
      <c r="G868" s="59">
        <f>G869</f>
        <v>225</v>
      </c>
      <c r="H868" s="340">
        <f t="shared" ref="H868" si="506">H869</f>
        <v>155</v>
      </c>
      <c r="I868" s="4">
        <f t="shared" si="497"/>
        <v>68.888888888888886</v>
      </c>
    </row>
    <row r="869" spans="1:9" s="213" customFormat="1" ht="15.75" x14ac:dyDescent="0.25">
      <c r="A869" s="29" t="s">
        <v>406</v>
      </c>
      <c r="B869" s="40" t="s">
        <v>1104</v>
      </c>
      <c r="C869" s="40" t="s">
        <v>250</v>
      </c>
      <c r="D869" s="40"/>
      <c r="E869" s="73"/>
      <c r="F869" s="2"/>
      <c r="G869" s="10">
        <f t="shared" ref="G869:H871" si="507">G870</f>
        <v>225</v>
      </c>
      <c r="H869" s="328">
        <f t="shared" si="507"/>
        <v>155</v>
      </c>
      <c r="I869" s="358">
        <f t="shared" si="497"/>
        <v>68.888888888888886</v>
      </c>
    </row>
    <row r="870" spans="1:9" s="213" customFormat="1" ht="15.75" x14ac:dyDescent="0.25">
      <c r="A870" s="29" t="s">
        <v>533</v>
      </c>
      <c r="B870" s="40" t="s">
        <v>1104</v>
      </c>
      <c r="C870" s="40" t="s">
        <v>250</v>
      </c>
      <c r="D870" s="40" t="s">
        <v>229</v>
      </c>
      <c r="E870" s="73"/>
      <c r="F870" s="2"/>
      <c r="G870" s="10">
        <f>G871</f>
        <v>225</v>
      </c>
      <c r="H870" s="328">
        <f t="shared" si="507"/>
        <v>155</v>
      </c>
      <c r="I870" s="358">
        <f t="shared" si="497"/>
        <v>68.888888888888886</v>
      </c>
    </row>
    <row r="871" spans="1:9" ht="15.75" customHeight="1" x14ac:dyDescent="0.25">
      <c r="A871" s="45" t="s">
        <v>539</v>
      </c>
      <c r="B871" s="20" t="s">
        <v>1107</v>
      </c>
      <c r="C871" s="40" t="s">
        <v>250</v>
      </c>
      <c r="D871" s="40" t="s">
        <v>229</v>
      </c>
      <c r="E871" s="40"/>
      <c r="F871" s="2"/>
      <c r="G871" s="10">
        <f>G872</f>
        <v>225</v>
      </c>
      <c r="H871" s="328">
        <f t="shared" si="507"/>
        <v>155</v>
      </c>
      <c r="I871" s="358">
        <f t="shared" si="497"/>
        <v>68.888888888888886</v>
      </c>
    </row>
    <row r="872" spans="1:9" ht="31.7" customHeight="1" x14ac:dyDescent="0.25">
      <c r="A872" s="31" t="s">
        <v>147</v>
      </c>
      <c r="B872" s="20" t="s">
        <v>1107</v>
      </c>
      <c r="C872" s="40" t="s">
        <v>250</v>
      </c>
      <c r="D872" s="40" t="s">
        <v>229</v>
      </c>
      <c r="E872" s="40" t="s">
        <v>148</v>
      </c>
      <c r="F872" s="2"/>
      <c r="G872" s="10">
        <f t="shared" ref="G872:H872" si="508">G873</f>
        <v>225</v>
      </c>
      <c r="H872" s="328">
        <f t="shared" si="508"/>
        <v>155</v>
      </c>
      <c r="I872" s="358">
        <f t="shared" si="497"/>
        <v>68.888888888888886</v>
      </c>
    </row>
    <row r="873" spans="1:9" ht="31.7" customHeight="1" x14ac:dyDescent="0.25">
      <c r="A873" s="31" t="s">
        <v>149</v>
      </c>
      <c r="B873" s="20" t="s">
        <v>1107</v>
      </c>
      <c r="C873" s="40" t="s">
        <v>250</v>
      </c>
      <c r="D873" s="40" t="s">
        <v>229</v>
      </c>
      <c r="E873" s="40" t="s">
        <v>150</v>
      </c>
      <c r="F873" s="2"/>
      <c r="G873" s="10">
        <f>'Пр.3 Рд,пр, ЦС,ВР 20'!F392</f>
        <v>225</v>
      </c>
      <c r="H873" s="328">
        <f>'Пр.3 Рд,пр, ЦС,ВР 20'!G392</f>
        <v>155</v>
      </c>
      <c r="I873" s="358">
        <f t="shared" si="497"/>
        <v>68.888888888888886</v>
      </c>
    </row>
    <row r="874" spans="1:9" s="213" customFormat="1" ht="31.7" customHeight="1" x14ac:dyDescent="0.25">
      <c r="A874" s="45" t="s">
        <v>640</v>
      </c>
      <c r="B874" s="20" t="s">
        <v>1107</v>
      </c>
      <c r="C874" s="40" t="s">
        <v>250</v>
      </c>
      <c r="D874" s="40" t="s">
        <v>229</v>
      </c>
      <c r="E874" s="40" t="s">
        <v>150</v>
      </c>
      <c r="F874" s="2">
        <v>908</v>
      </c>
      <c r="G874" s="6">
        <f>G873</f>
        <v>225</v>
      </c>
      <c r="H874" s="358">
        <f t="shared" ref="H874" si="509">H873</f>
        <v>155</v>
      </c>
      <c r="I874" s="358">
        <f t="shared" si="497"/>
        <v>68.888888888888886</v>
      </c>
    </row>
    <row r="875" spans="1:9" s="213" customFormat="1" ht="15.75" hidden="1" customHeight="1" x14ac:dyDescent="0.25">
      <c r="A875" s="58" t="s">
        <v>1105</v>
      </c>
      <c r="B875" s="24" t="s">
        <v>1106</v>
      </c>
      <c r="C875" s="40"/>
      <c r="D875" s="40"/>
      <c r="E875" s="40"/>
      <c r="F875" s="2"/>
      <c r="G875" s="59">
        <f>G876</f>
        <v>0</v>
      </c>
      <c r="H875" s="340">
        <f t="shared" ref="H875" si="510">H876</f>
        <v>0</v>
      </c>
      <c r="I875" s="358" t="e">
        <f t="shared" si="497"/>
        <v>#DIV/0!</v>
      </c>
    </row>
    <row r="876" spans="1:9" s="213" customFormat="1" ht="15.75" hidden="1" customHeight="1" x14ac:dyDescent="0.25">
      <c r="A876" s="29" t="s">
        <v>406</v>
      </c>
      <c r="B876" s="40" t="s">
        <v>1106</v>
      </c>
      <c r="C876" s="40" t="s">
        <v>250</v>
      </c>
      <c r="D876" s="40"/>
      <c r="E876" s="73"/>
      <c r="F876" s="2"/>
      <c r="G876" s="10">
        <f t="shared" ref="G876:H878" si="511">G877</f>
        <v>0</v>
      </c>
      <c r="H876" s="328">
        <f t="shared" si="511"/>
        <v>0</v>
      </c>
      <c r="I876" s="358" t="e">
        <f t="shared" si="497"/>
        <v>#DIV/0!</v>
      </c>
    </row>
    <row r="877" spans="1:9" s="213" customFormat="1" ht="15.75" hidden="1" customHeight="1" x14ac:dyDescent="0.25">
      <c r="A877" s="29" t="s">
        <v>533</v>
      </c>
      <c r="B877" s="40" t="s">
        <v>1106</v>
      </c>
      <c r="C877" s="40" t="s">
        <v>250</v>
      </c>
      <c r="D877" s="40" t="s">
        <v>229</v>
      </c>
      <c r="E877" s="73"/>
      <c r="F877" s="2"/>
      <c r="G877" s="10">
        <f>G878</f>
        <v>0</v>
      </c>
      <c r="H877" s="328">
        <f t="shared" si="511"/>
        <v>0</v>
      </c>
      <c r="I877" s="358" t="e">
        <f t="shared" si="497"/>
        <v>#DIV/0!</v>
      </c>
    </row>
    <row r="878" spans="1:9" ht="15.75" hidden="1" customHeight="1" x14ac:dyDescent="0.25">
      <c r="A878" s="45" t="s">
        <v>541</v>
      </c>
      <c r="B878" s="20" t="s">
        <v>1108</v>
      </c>
      <c r="C878" s="40" t="s">
        <v>250</v>
      </c>
      <c r="D878" s="40" t="s">
        <v>229</v>
      </c>
      <c r="E878" s="40"/>
      <c r="F878" s="2"/>
      <c r="G878" s="10">
        <f>G879</f>
        <v>0</v>
      </c>
      <c r="H878" s="328">
        <f t="shared" si="511"/>
        <v>0</v>
      </c>
      <c r="I878" s="358" t="e">
        <f t="shared" si="497"/>
        <v>#DIV/0!</v>
      </c>
    </row>
    <row r="879" spans="1:9" ht="31.7" hidden="1" customHeight="1" x14ac:dyDescent="0.25">
      <c r="A879" s="31" t="s">
        <v>147</v>
      </c>
      <c r="B879" s="20" t="s">
        <v>1108</v>
      </c>
      <c r="C879" s="40" t="s">
        <v>250</v>
      </c>
      <c r="D879" s="40" t="s">
        <v>229</v>
      </c>
      <c r="E879" s="40" t="s">
        <v>148</v>
      </c>
      <c r="F879" s="2"/>
      <c r="G879" s="10">
        <f t="shared" ref="G879:H879" si="512">G880</f>
        <v>0</v>
      </c>
      <c r="H879" s="328">
        <f t="shared" si="512"/>
        <v>0</v>
      </c>
      <c r="I879" s="358" t="e">
        <f t="shared" si="497"/>
        <v>#DIV/0!</v>
      </c>
    </row>
    <row r="880" spans="1:9" ht="31.7" hidden="1" customHeight="1" x14ac:dyDescent="0.25">
      <c r="A880" s="31" t="s">
        <v>149</v>
      </c>
      <c r="B880" s="20" t="s">
        <v>1108</v>
      </c>
      <c r="C880" s="40" t="s">
        <v>250</v>
      </c>
      <c r="D880" s="40" t="s">
        <v>229</v>
      </c>
      <c r="E880" s="40" t="s">
        <v>150</v>
      </c>
      <c r="F880" s="2"/>
      <c r="G880" s="10">
        <f>'Пр.3 Рд,пр, ЦС,ВР 20'!F396</f>
        <v>0</v>
      </c>
      <c r="H880" s="328">
        <f>'Пр.3 Рд,пр, ЦС,ВР 20'!G396</f>
        <v>0</v>
      </c>
      <c r="I880" s="358" t="e">
        <f t="shared" si="497"/>
        <v>#DIV/0!</v>
      </c>
    </row>
    <row r="881" spans="1:9" s="213" customFormat="1" ht="31.7" hidden="1" customHeight="1" x14ac:dyDescent="0.25">
      <c r="A881" s="45" t="s">
        <v>640</v>
      </c>
      <c r="B881" s="20" t="s">
        <v>1108</v>
      </c>
      <c r="C881" s="40" t="s">
        <v>250</v>
      </c>
      <c r="D881" s="40" t="s">
        <v>229</v>
      </c>
      <c r="E881" s="40" t="s">
        <v>150</v>
      </c>
      <c r="F881" s="2">
        <v>908</v>
      </c>
      <c r="G881" s="6">
        <f>G880</f>
        <v>0</v>
      </c>
      <c r="H881" s="358">
        <f t="shared" ref="H881" si="513">H880</f>
        <v>0</v>
      </c>
      <c r="I881" s="358" t="e">
        <f t="shared" si="497"/>
        <v>#DIV/0!</v>
      </c>
    </row>
    <row r="882" spans="1:9" s="213" customFormat="1" ht="15.75" customHeight="1" x14ac:dyDescent="0.25">
      <c r="A882" s="58" t="s">
        <v>1109</v>
      </c>
      <c r="B882" s="24" t="s">
        <v>1110</v>
      </c>
      <c r="C882" s="40"/>
      <c r="D882" s="40"/>
      <c r="E882" s="40"/>
      <c r="F882" s="2"/>
      <c r="G882" s="59">
        <f>G883</f>
        <v>44</v>
      </c>
      <c r="H882" s="340">
        <f t="shared" ref="H882:H884" si="514">H883</f>
        <v>44</v>
      </c>
      <c r="I882" s="358">
        <f t="shared" si="497"/>
        <v>100</v>
      </c>
    </row>
    <row r="883" spans="1:9" s="213" customFormat="1" ht="15.75" customHeight="1" x14ac:dyDescent="0.25">
      <c r="A883" s="29" t="s">
        <v>406</v>
      </c>
      <c r="B883" s="40" t="s">
        <v>1110</v>
      </c>
      <c r="C883" s="40" t="s">
        <v>250</v>
      </c>
      <c r="D883" s="40"/>
      <c r="E883" s="73"/>
      <c r="F883" s="2"/>
      <c r="G883" s="10">
        <f>G884</f>
        <v>44</v>
      </c>
      <c r="H883" s="328">
        <f t="shared" si="514"/>
        <v>44</v>
      </c>
      <c r="I883" s="358">
        <f t="shared" si="497"/>
        <v>100</v>
      </c>
    </row>
    <row r="884" spans="1:9" s="213" customFormat="1" ht="15.75" customHeight="1" x14ac:dyDescent="0.25">
      <c r="A884" s="29" t="s">
        <v>533</v>
      </c>
      <c r="B884" s="40" t="s">
        <v>1110</v>
      </c>
      <c r="C884" s="40" t="s">
        <v>250</v>
      </c>
      <c r="D884" s="40" t="s">
        <v>229</v>
      </c>
      <c r="E884" s="73"/>
      <c r="F884" s="2"/>
      <c r="G884" s="10">
        <f>G885</f>
        <v>44</v>
      </c>
      <c r="H884" s="328">
        <f t="shared" si="514"/>
        <v>44</v>
      </c>
      <c r="I884" s="358">
        <f t="shared" si="497"/>
        <v>100</v>
      </c>
    </row>
    <row r="885" spans="1:9" ht="15.75" x14ac:dyDescent="0.25">
      <c r="A885" s="45" t="s">
        <v>543</v>
      </c>
      <c r="B885" s="20" t="s">
        <v>1111</v>
      </c>
      <c r="C885" s="40" t="s">
        <v>250</v>
      </c>
      <c r="D885" s="40" t="s">
        <v>229</v>
      </c>
      <c r="E885" s="40"/>
      <c r="F885" s="2"/>
      <c r="G885" s="10">
        <f t="shared" ref="G885:H886" si="515">G886</f>
        <v>44</v>
      </c>
      <c r="H885" s="328">
        <f t="shared" si="515"/>
        <v>44</v>
      </c>
      <c r="I885" s="358">
        <f t="shared" si="497"/>
        <v>100</v>
      </c>
    </row>
    <row r="886" spans="1:9" ht="31.5" x14ac:dyDescent="0.25">
      <c r="A886" s="31" t="s">
        <v>147</v>
      </c>
      <c r="B886" s="20" t="s">
        <v>1111</v>
      </c>
      <c r="C886" s="40" t="s">
        <v>250</v>
      </c>
      <c r="D886" s="40" t="s">
        <v>229</v>
      </c>
      <c r="E886" s="40" t="s">
        <v>148</v>
      </c>
      <c r="F886" s="2"/>
      <c r="G886" s="10">
        <f t="shared" si="515"/>
        <v>44</v>
      </c>
      <c r="H886" s="328">
        <f t="shared" si="515"/>
        <v>44</v>
      </c>
      <c r="I886" s="358">
        <f t="shared" si="497"/>
        <v>100</v>
      </c>
    </row>
    <row r="887" spans="1:9" ht="31.5" x14ac:dyDescent="0.25">
      <c r="A887" s="31" t="s">
        <v>149</v>
      </c>
      <c r="B887" s="20" t="s">
        <v>1111</v>
      </c>
      <c r="C887" s="40" t="s">
        <v>250</v>
      </c>
      <c r="D887" s="40" t="s">
        <v>229</v>
      </c>
      <c r="E887" s="40" t="s">
        <v>150</v>
      </c>
      <c r="F887" s="2"/>
      <c r="G887" s="10">
        <f>'Пр.3 Рд,пр, ЦС,ВР 20'!F400</f>
        <v>44</v>
      </c>
      <c r="H887" s="328">
        <f>'Пр.3 Рд,пр, ЦС,ВР 20'!G400</f>
        <v>44</v>
      </c>
      <c r="I887" s="358">
        <f t="shared" si="497"/>
        <v>100</v>
      </c>
    </row>
    <row r="888" spans="1:9" s="213" customFormat="1" ht="31.5" x14ac:dyDescent="0.25">
      <c r="A888" s="45" t="s">
        <v>640</v>
      </c>
      <c r="B888" s="20" t="s">
        <v>1111</v>
      </c>
      <c r="C888" s="40" t="s">
        <v>250</v>
      </c>
      <c r="D888" s="40" t="s">
        <v>229</v>
      </c>
      <c r="E888" s="40" t="s">
        <v>150</v>
      </c>
      <c r="F888" s="2">
        <v>908</v>
      </c>
      <c r="G888" s="6">
        <f>G887</f>
        <v>44</v>
      </c>
      <c r="H888" s="358">
        <f t="shared" ref="H888" si="516">H887</f>
        <v>44</v>
      </c>
      <c r="I888" s="358">
        <f t="shared" si="497"/>
        <v>100</v>
      </c>
    </row>
    <row r="889" spans="1:9" s="213" customFormat="1" ht="31.5" hidden="1" x14ac:dyDescent="0.25">
      <c r="A889" s="34" t="s">
        <v>1172</v>
      </c>
      <c r="B889" s="24" t="s">
        <v>1173</v>
      </c>
      <c r="C889" s="40"/>
      <c r="D889" s="40"/>
      <c r="E889" s="40"/>
      <c r="F889" s="2"/>
      <c r="G889" s="59">
        <f>G890</f>
        <v>0</v>
      </c>
      <c r="H889" s="340">
        <f t="shared" ref="H889" si="517">H890</f>
        <v>0</v>
      </c>
      <c r="I889" s="358" t="e">
        <f t="shared" si="497"/>
        <v>#DIV/0!</v>
      </c>
    </row>
    <row r="890" spans="1:9" s="213" customFormat="1" ht="15.75" hidden="1" x14ac:dyDescent="0.25">
      <c r="A890" s="29" t="s">
        <v>406</v>
      </c>
      <c r="B890" s="40" t="s">
        <v>534</v>
      </c>
      <c r="C890" s="40" t="s">
        <v>250</v>
      </c>
      <c r="D890" s="40"/>
      <c r="E890" s="73"/>
      <c r="F890" s="2"/>
      <c r="G890" s="10">
        <f t="shared" ref="G890:H891" si="518">G891</f>
        <v>0</v>
      </c>
      <c r="H890" s="328">
        <f t="shared" si="518"/>
        <v>0</v>
      </c>
      <c r="I890" s="358" t="e">
        <f t="shared" si="497"/>
        <v>#DIV/0!</v>
      </c>
    </row>
    <row r="891" spans="1:9" s="213" customFormat="1" ht="15.75" hidden="1" x14ac:dyDescent="0.25">
      <c r="A891" s="29" t="s">
        <v>533</v>
      </c>
      <c r="B891" s="40" t="s">
        <v>534</v>
      </c>
      <c r="C891" s="40" t="s">
        <v>250</v>
      </c>
      <c r="D891" s="40" t="s">
        <v>229</v>
      </c>
      <c r="E891" s="73"/>
      <c r="F891" s="2"/>
      <c r="G891" s="10">
        <f>G892</f>
        <v>0</v>
      </c>
      <c r="H891" s="328">
        <f t="shared" si="518"/>
        <v>0</v>
      </c>
      <c r="I891" s="358" t="e">
        <f t="shared" si="497"/>
        <v>#DIV/0!</v>
      </c>
    </row>
    <row r="892" spans="1:9" ht="15.75" hidden="1" customHeight="1" x14ac:dyDescent="0.25">
      <c r="A892" s="45" t="s">
        <v>545</v>
      </c>
      <c r="B892" s="20" t="s">
        <v>1176</v>
      </c>
      <c r="C892" s="40" t="s">
        <v>250</v>
      </c>
      <c r="D892" s="40" t="s">
        <v>229</v>
      </c>
      <c r="E892" s="40"/>
      <c r="F892" s="2"/>
      <c r="G892" s="10">
        <f t="shared" ref="G892:H893" si="519">G893</f>
        <v>0</v>
      </c>
      <c r="H892" s="328">
        <f t="shared" si="519"/>
        <v>0</v>
      </c>
      <c r="I892" s="358" t="e">
        <f t="shared" si="497"/>
        <v>#DIV/0!</v>
      </c>
    </row>
    <row r="893" spans="1:9" ht="31.7" hidden="1" customHeight="1" x14ac:dyDescent="0.25">
      <c r="A893" s="31" t="s">
        <v>147</v>
      </c>
      <c r="B893" s="20" t="s">
        <v>1176</v>
      </c>
      <c r="C893" s="40" t="s">
        <v>250</v>
      </c>
      <c r="D893" s="40" t="s">
        <v>229</v>
      </c>
      <c r="E893" s="40" t="s">
        <v>148</v>
      </c>
      <c r="F893" s="2"/>
      <c r="G893" s="10">
        <f t="shared" si="519"/>
        <v>0</v>
      </c>
      <c r="H893" s="328">
        <f t="shared" si="519"/>
        <v>0</v>
      </c>
      <c r="I893" s="358" t="e">
        <f t="shared" si="497"/>
        <v>#DIV/0!</v>
      </c>
    </row>
    <row r="894" spans="1:9" ht="31.7" hidden="1" customHeight="1" x14ac:dyDescent="0.25">
      <c r="A894" s="31" t="s">
        <v>149</v>
      </c>
      <c r="B894" s="20" t="s">
        <v>1176</v>
      </c>
      <c r="C894" s="40" t="s">
        <v>250</v>
      </c>
      <c r="D894" s="40" t="s">
        <v>229</v>
      </c>
      <c r="E894" s="40" t="s">
        <v>150</v>
      </c>
      <c r="F894" s="2"/>
      <c r="G894" s="10">
        <f>'Пр.3 Рд,пр, ЦС,ВР 20'!F404</f>
        <v>0</v>
      </c>
      <c r="H894" s="328">
        <f>'Пр.3 Рд,пр, ЦС,ВР 20'!G404</f>
        <v>0</v>
      </c>
      <c r="I894" s="358" t="e">
        <f t="shared" si="497"/>
        <v>#DIV/0!</v>
      </c>
    </row>
    <row r="895" spans="1:9" s="213" customFormat="1" ht="31.7" hidden="1" customHeight="1" x14ac:dyDescent="0.25">
      <c r="A895" s="45" t="s">
        <v>640</v>
      </c>
      <c r="B895" s="20" t="s">
        <v>1176</v>
      </c>
      <c r="C895" s="40" t="s">
        <v>250</v>
      </c>
      <c r="D895" s="40" t="s">
        <v>229</v>
      </c>
      <c r="E895" s="40" t="s">
        <v>150</v>
      </c>
      <c r="F895" s="2">
        <v>908</v>
      </c>
      <c r="G895" s="6">
        <f>G894</f>
        <v>0</v>
      </c>
      <c r="H895" s="358">
        <f t="shared" ref="H895" si="520">H894</f>
        <v>0</v>
      </c>
      <c r="I895" s="358" t="e">
        <f t="shared" si="497"/>
        <v>#DIV/0!</v>
      </c>
    </row>
    <row r="896" spans="1:9" s="213" customFormat="1" ht="31.7" hidden="1" customHeight="1" x14ac:dyDescent="0.25">
      <c r="A896" s="228" t="s">
        <v>1174</v>
      </c>
      <c r="B896" s="24" t="s">
        <v>1175</v>
      </c>
      <c r="C896" s="40"/>
      <c r="D896" s="40"/>
      <c r="E896" s="40"/>
      <c r="F896" s="2"/>
      <c r="G896" s="59">
        <f>G897</f>
        <v>0</v>
      </c>
      <c r="H896" s="340">
        <f t="shared" ref="H896" si="521">H897</f>
        <v>0</v>
      </c>
      <c r="I896" s="358" t="e">
        <f t="shared" si="497"/>
        <v>#DIV/0!</v>
      </c>
    </row>
    <row r="897" spans="1:9" s="213" customFormat="1" ht="16.5" hidden="1" customHeight="1" x14ac:dyDescent="0.25">
      <c r="A897" s="29" t="s">
        <v>406</v>
      </c>
      <c r="B897" s="40" t="s">
        <v>534</v>
      </c>
      <c r="C897" s="40" t="s">
        <v>250</v>
      </c>
      <c r="D897" s="40"/>
      <c r="E897" s="73"/>
      <c r="F897" s="2"/>
      <c r="G897" s="10">
        <f t="shared" ref="G897:H898" si="522">G898</f>
        <v>0</v>
      </c>
      <c r="H897" s="328">
        <f t="shared" si="522"/>
        <v>0</v>
      </c>
      <c r="I897" s="358" t="e">
        <f t="shared" si="497"/>
        <v>#DIV/0!</v>
      </c>
    </row>
    <row r="898" spans="1:9" s="213" customFormat="1" ht="19.5" hidden="1" customHeight="1" x14ac:dyDescent="0.25">
      <c r="A898" s="29" t="s">
        <v>533</v>
      </c>
      <c r="B898" s="40" t="s">
        <v>534</v>
      </c>
      <c r="C898" s="40" t="s">
        <v>250</v>
      </c>
      <c r="D898" s="40" t="s">
        <v>229</v>
      </c>
      <c r="E898" s="73"/>
      <c r="F898" s="2"/>
      <c r="G898" s="10">
        <f>G899</f>
        <v>0</v>
      </c>
      <c r="H898" s="328">
        <f t="shared" si="522"/>
        <v>0</v>
      </c>
      <c r="I898" s="358" t="e">
        <f t="shared" si="497"/>
        <v>#DIV/0!</v>
      </c>
    </row>
    <row r="899" spans="1:9" ht="31.7" hidden="1" customHeight="1" x14ac:dyDescent="0.25">
      <c r="A899" s="178" t="s">
        <v>547</v>
      </c>
      <c r="B899" s="20" t="s">
        <v>1177</v>
      </c>
      <c r="C899" s="40" t="s">
        <v>250</v>
      </c>
      <c r="D899" s="40" t="s">
        <v>229</v>
      </c>
      <c r="E899" s="40"/>
      <c r="F899" s="2"/>
      <c r="G899" s="10">
        <f t="shared" ref="G899:H900" si="523">G900</f>
        <v>0</v>
      </c>
      <c r="H899" s="328">
        <f t="shared" si="523"/>
        <v>0</v>
      </c>
      <c r="I899" s="358" t="e">
        <f t="shared" si="497"/>
        <v>#DIV/0!</v>
      </c>
    </row>
    <row r="900" spans="1:9" ht="31.7" hidden="1" customHeight="1" x14ac:dyDescent="0.25">
      <c r="A900" s="31" t="s">
        <v>147</v>
      </c>
      <c r="B900" s="20" t="s">
        <v>1177</v>
      </c>
      <c r="C900" s="40" t="s">
        <v>250</v>
      </c>
      <c r="D900" s="40" t="s">
        <v>229</v>
      </c>
      <c r="E900" s="40" t="s">
        <v>148</v>
      </c>
      <c r="F900" s="2"/>
      <c r="G900" s="10">
        <f t="shared" si="523"/>
        <v>0</v>
      </c>
      <c r="H900" s="328">
        <f t="shared" si="523"/>
        <v>0</v>
      </c>
      <c r="I900" s="358" t="e">
        <f t="shared" si="497"/>
        <v>#DIV/0!</v>
      </c>
    </row>
    <row r="901" spans="1:9" ht="31.7" hidden="1" customHeight="1" x14ac:dyDescent="0.25">
      <c r="A901" s="31" t="s">
        <v>149</v>
      </c>
      <c r="B901" s="20" t="s">
        <v>1177</v>
      </c>
      <c r="C901" s="40" t="s">
        <v>250</v>
      </c>
      <c r="D901" s="40" t="s">
        <v>229</v>
      </c>
      <c r="E901" s="40" t="s">
        <v>150</v>
      </c>
      <c r="F901" s="2"/>
      <c r="G901" s="10">
        <f>'Пр.3 Рд,пр, ЦС,ВР 20'!F408</f>
        <v>0</v>
      </c>
      <c r="H901" s="328">
        <f>'Пр.3 Рд,пр, ЦС,ВР 20'!G408</f>
        <v>0</v>
      </c>
      <c r="I901" s="358" t="e">
        <f t="shared" si="497"/>
        <v>#DIV/0!</v>
      </c>
    </row>
    <row r="902" spans="1:9" s="213" customFormat="1" ht="31.7" hidden="1" customHeight="1" x14ac:dyDescent="0.25">
      <c r="A902" s="45" t="s">
        <v>640</v>
      </c>
      <c r="B902" s="20" t="s">
        <v>1177</v>
      </c>
      <c r="C902" s="40" t="s">
        <v>250</v>
      </c>
      <c r="D902" s="40" t="s">
        <v>229</v>
      </c>
      <c r="E902" s="40" t="s">
        <v>150</v>
      </c>
      <c r="F902" s="2">
        <v>908</v>
      </c>
      <c r="G902" s="6">
        <f>G901</f>
        <v>0</v>
      </c>
      <c r="H902" s="358">
        <f t="shared" ref="H902" si="524">H901</f>
        <v>0</v>
      </c>
      <c r="I902" s="358" t="e">
        <f t="shared" si="497"/>
        <v>#DIV/0!</v>
      </c>
    </row>
    <row r="903" spans="1:9" s="213" customFormat="1" ht="31.7" hidden="1" customHeight="1" x14ac:dyDescent="0.25">
      <c r="A903" s="228" t="s">
        <v>1113</v>
      </c>
      <c r="B903" s="24" t="s">
        <v>1114</v>
      </c>
      <c r="C903" s="40"/>
      <c r="D903" s="40"/>
      <c r="E903" s="40"/>
      <c r="F903" s="2"/>
      <c r="G903" s="59">
        <f>G904</f>
        <v>0</v>
      </c>
      <c r="H903" s="340">
        <f t="shared" ref="H903:H905" si="525">H904</f>
        <v>0</v>
      </c>
      <c r="I903" s="358" t="e">
        <f t="shared" si="497"/>
        <v>#DIV/0!</v>
      </c>
    </row>
    <row r="904" spans="1:9" s="213" customFormat="1" ht="17.45" hidden="1" customHeight="1" x14ac:dyDescent="0.25">
      <c r="A904" s="29" t="s">
        <v>406</v>
      </c>
      <c r="B904" s="40" t="s">
        <v>534</v>
      </c>
      <c r="C904" s="40" t="s">
        <v>250</v>
      </c>
      <c r="D904" s="40"/>
      <c r="E904" s="73"/>
      <c r="F904" s="2"/>
      <c r="G904" s="10">
        <f>G905</f>
        <v>0</v>
      </c>
      <c r="H904" s="328">
        <f t="shared" si="525"/>
        <v>0</v>
      </c>
      <c r="I904" s="358" t="e">
        <f t="shared" si="497"/>
        <v>#DIV/0!</v>
      </c>
    </row>
    <row r="905" spans="1:9" s="213" customFormat="1" ht="20.25" hidden="1" customHeight="1" x14ac:dyDescent="0.25">
      <c r="A905" s="29" t="s">
        <v>533</v>
      </c>
      <c r="B905" s="40" t="s">
        <v>534</v>
      </c>
      <c r="C905" s="40" t="s">
        <v>250</v>
      </c>
      <c r="D905" s="40" t="s">
        <v>229</v>
      </c>
      <c r="E905" s="73"/>
      <c r="F905" s="2"/>
      <c r="G905" s="10">
        <f>G906</f>
        <v>0</v>
      </c>
      <c r="H905" s="328">
        <f t="shared" si="525"/>
        <v>0</v>
      </c>
      <c r="I905" s="358" t="e">
        <f t="shared" si="497"/>
        <v>#DIV/0!</v>
      </c>
    </row>
    <row r="906" spans="1:9" ht="15.75" hidden="1" x14ac:dyDescent="0.25">
      <c r="A906" s="178" t="s">
        <v>549</v>
      </c>
      <c r="B906" s="20" t="s">
        <v>1112</v>
      </c>
      <c r="C906" s="40" t="s">
        <v>250</v>
      </c>
      <c r="D906" s="40" t="s">
        <v>229</v>
      </c>
      <c r="E906" s="40"/>
      <c r="F906" s="2"/>
      <c r="G906" s="10">
        <f t="shared" ref="G906:H907" si="526">G907</f>
        <v>0</v>
      </c>
      <c r="H906" s="328">
        <f t="shared" si="526"/>
        <v>0</v>
      </c>
      <c r="I906" s="358" t="e">
        <f t="shared" si="497"/>
        <v>#DIV/0!</v>
      </c>
    </row>
    <row r="907" spans="1:9" ht="31.5" hidden="1" x14ac:dyDescent="0.3">
      <c r="A907" s="25" t="s">
        <v>147</v>
      </c>
      <c r="B907" s="20" t="s">
        <v>1112</v>
      </c>
      <c r="C907" s="40" t="s">
        <v>250</v>
      </c>
      <c r="D907" s="40" t="s">
        <v>229</v>
      </c>
      <c r="E907" s="2">
        <v>200</v>
      </c>
      <c r="F907" s="77"/>
      <c r="G907" s="6">
        <f t="shared" si="526"/>
        <v>0</v>
      </c>
      <c r="H907" s="358">
        <f t="shared" si="526"/>
        <v>0</v>
      </c>
      <c r="I907" s="358" t="e">
        <f t="shared" si="497"/>
        <v>#DIV/0!</v>
      </c>
    </row>
    <row r="908" spans="1:9" ht="31.5" hidden="1" x14ac:dyDescent="0.3">
      <c r="A908" s="25" t="s">
        <v>149</v>
      </c>
      <c r="B908" s="20" t="s">
        <v>1112</v>
      </c>
      <c r="C908" s="40" t="s">
        <v>250</v>
      </c>
      <c r="D908" s="40" t="s">
        <v>229</v>
      </c>
      <c r="E908" s="2">
        <v>240</v>
      </c>
      <c r="F908" s="77"/>
      <c r="G908" s="6">
        <f>'Пр.3 Рд,пр, ЦС,ВР 20'!F412</f>
        <v>0</v>
      </c>
      <c r="H908" s="358">
        <f>'Пр.3 Рд,пр, ЦС,ВР 20'!G412</f>
        <v>0</v>
      </c>
      <c r="I908" s="358" t="e">
        <f t="shared" si="497"/>
        <v>#DIV/0!</v>
      </c>
    </row>
    <row r="909" spans="1:9" ht="31.5" hidden="1" x14ac:dyDescent="0.25">
      <c r="A909" s="45" t="s">
        <v>640</v>
      </c>
      <c r="B909" s="20" t="s">
        <v>1112</v>
      </c>
      <c r="C909" s="40" t="s">
        <v>250</v>
      </c>
      <c r="D909" s="40" t="s">
        <v>229</v>
      </c>
      <c r="E909" s="2">
        <v>240</v>
      </c>
      <c r="F909" s="2">
        <v>908</v>
      </c>
      <c r="G909" s="6">
        <f>G908</f>
        <v>0</v>
      </c>
      <c r="H909" s="358">
        <f t="shared" ref="H909" si="527">H908</f>
        <v>0</v>
      </c>
      <c r="I909" s="358" t="e">
        <f t="shared" si="497"/>
        <v>#DIV/0!</v>
      </c>
    </row>
    <row r="910" spans="1:9" ht="47.25" x14ac:dyDescent="0.25">
      <c r="A910" s="23" t="s">
        <v>350</v>
      </c>
      <c r="B910" s="24" t="s">
        <v>351</v>
      </c>
      <c r="C910" s="7"/>
      <c r="D910" s="7"/>
      <c r="E910" s="3"/>
      <c r="F910" s="3"/>
      <c r="G910" s="4">
        <f>G911</f>
        <v>175</v>
      </c>
      <c r="H910" s="4">
        <f t="shared" ref="H910:H912" si="528">H911</f>
        <v>70</v>
      </c>
      <c r="I910" s="4">
        <f t="shared" si="497"/>
        <v>40</v>
      </c>
    </row>
    <row r="911" spans="1:9" s="213" customFormat="1" ht="31.5" x14ac:dyDescent="0.25">
      <c r="A911" s="23" t="s">
        <v>1225</v>
      </c>
      <c r="B911" s="24" t="s">
        <v>1226</v>
      </c>
      <c r="C911" s="7"/>
      <c r="D911" s="7"/>
      <c r="E911" s="3"/>
      <c r="F911" s="3"/>
      <c r="G911" s="4">
        <f>G912</f>
        <v>175</v>
      </c>
      <c r="H911" s="4">
        <f t="shared" si="528"/>
        <v>70</v>
      </c>
      <c r="I911" s="4">
        <f t="shared" si="497"/>
        <v>40</v>
      </c>
    </row>
    <row r="912" spans="1:9" ht="15.75" x14ac:dyDescent="0.25">
      <c r="A912" s="29" t="s">
        <v>133</v>
      </c>
      <c r="B912" s="20" t="s">
        <v>1226</v>
      </c>
      <c r="C912" s="40" t="s">
        <v>134</v>
      </c>
      <c r="D912" s="40"/>
      <c r="E912" s="2"/>
      <c r="F912" s="2"/>
      <c r="G912" s="6">
        <f>G913</f>
        <v>175</v>
      </c>
      <c r="H912" s="358">
        <f t="shared" si="528"/>
        <v>70</v>
      </c>
      <c r="I912" s="358">
        <f t="shared" si="497"/>
        <v>40</v>
      </c>
    </row>
    <row r="913" spans="1:9" ht="15.75" x14ac:dyDescent="0.25">
      <c r="A913" s="29" t="s">
        <v>155</v>
      </c>
      <c r="B913" s="20" t="s">
        <v>1226</v>
      </c>
      <c r="C913" s="40" t="s">
        <v>134</v>
      </c>
      <c r="D913" s="40" t="s">
        <v>156</v>
      </c>
      <c r="E913" s="2"/>
      <c r="F913" s="2"/>
      <c r="G913" s="6">
        <f>G914+G921+G925+G929+G933+G937+G941</f>
        <v>175</v>
      </c>
      <c r="H913" s="358">
        <f t="shared" ref="H913" si="529">H914+H921+H925+H929+H933+H937+H941</f>
        <v>70</v>
      </c>
      <c r="I913" s="358">
        <f t="shared" si="497"/>
        <v>40</v>
      </c>
    </row>
    <row r="914" spans="1:9" ht="31.5" x14ac:dyDescent="0.25">
      <c r="A914" s="25" t="s">
        <v>352</v>
      </c>
      <c r="B914" s="20" t="s">
        <v>1227</v>
      </c>
      <c r="C914" s="40" t="s">
        <v>134</v>
      </c>
      <c r="D914" s="40" t="s">
        <v>156</v>
      </c>
      <c r="E914" s="2"/>
      <c r="F914" s="2"/>
      <c r="G914" s="6">
        <f>G915+G918</f>
        <v>120</v>
      </c>
      <c r="H914" s="358">
        <f t="shared" ref="H914" si="530">H915+H918</f>
        <v>70</v>
      </c>
      <c r="I914" s="358">
        <f t="shared" ref="I914:I977" si="531">H914/G914*100</f>
        <v>58.333333333333336</v>
      </c>
    </row>
    <row r="915" spans="1:9" ht="31.5" x14ac:dyDescent="0.25">
      <c r="A915" s="25" t="s">
        <v>147</v>
      </c>
      <c r="B915" s="20" t="s">
        <v>1227</v>
      </c>
      <c r="C915" s="40" t="s">
        <v>134</v>
      </c>
      <c r="D915" s="40" t="s">
        <v>156</v>
      </c>
      <c r="E915" s="2">
        <v>200</v>
      </c>
      <c r="F915" s="2"/>
      <c r="G915" s="6">
        <f t="shared" ref="G915:H915" si="532">G916</f>
        <v>50</v>
      </c>
      <c r="H915" s="358">
        <f t="shared" si="532"/>
        <v>0</v>
      </c>
      <c r="I915" s="358">
        <f t="shared" si="531"/>
        <v>0</v>
      </c>
    </row>
    <row r="916" spans="1:9" ht="31.5" x14ac:dyDescent="0.25">
      <c r="A916" s="25" t="s">
        <v>149</v>
      </c>
      <c r="B916" s="20" t="s">
        <v>1227</v>
      </c>
      <c r="C916" s="40" t="s">
        <v>134</v>
      </c>
      <c r="D916" s="40" t="s">
        <v>156</v>
      </c>
      <c r="E916" s="2">
        <v>240</v>
      </c>
      <c r="F916" s="2"/>
      <c r="G916" s="6">
        <f>'Пр.4 ведом.20'!G553</f>
        <v>50</v>
      </c>
      <c r="H916" s="358">
        <f>'Пр.4 ведом.20'!H553</f>
        <v>0</v>
      </c>
      <c r="I916" s="358">
        <f t="shared" si="531"/>
        <v>0</v>
      </c>
    </row>
    <row r="917" spans="1:9" s="213" customFormat="1" ht="31.5" x14ac:dyDescent="0.25">
      <c r="A917" s="45" t="s">
        <v>419</v>
      </c>
      <c r="B917" s="20" t="s">
        <v>1227</v>
      </c>
      <c r="C917" s="40" t="s">
        <v>134</v>
      </c>
      <c r="D917" s="40" t="s">
        <v>156</v>
      </c>
      <c r="E917" s="2">
        <v>240</v>
      </c>
      <c r="F917" s="2">
        <v>906</v>
      </c>
      <c r="G917" s="6">
        <f>G916</f>
        <v>50</v>
      </c>
      <c r="H917" s="358">
        <f t="shared" ref="H917" si="533">H916</f>
        <v>0</v>
      </c>
      <c r="I917" s="358">
        <f t="shared" si="531"/>
        <v>0</v>
      </c>
    </row>
    <row r="918" spans="1:9" s="213" customFormat="1" ht="31.5" x14ac:dyDescent="0.25">
      <c r="A918" s="25" t="s">
        <v>147</v>
      </c>
      <c r="B918" s="20" t="s">
        <v>1227</v>
      </c>
      <c r="C918" s="40" t="s">
        <v>134</v>
      </c>
      <c r="D918" s="40" t="s">
        <v>156</v>
      </c>
      <c r="E918" s="2">
        <v>200</v>
      </c>
      <c r="F918" s="2"/>
      <c r="G918" s="6">
        <f t="shared" ref="G918:H918" si="534">G919</f>
        <v>70</v>
      </c>
      <c r="H918" s="358">
        <f t="shared" si="534"/>
        <v>70</v>
      </c>
      <c r="I918" s="358">
        <f t="shared" si="531"/>
        <v>100</v>
      </c>
    </row>
    <row r="919" spans="1:9" s="213" customFormat="1" ht="31.5" x14ac:dyDescent="0.25">
      <c r="A919" s="25" t="s">
        <v>149</v>
      </c>
      <c r="B919" s="20" t="s">
        <v>1227</v>
      </c>
      <c r="C919" s="40" t="s">
        <v>134</v>
      </c>
      <c r="D919" s="40" t="s">
        <v>156</v>
      </c>
      <c r="E919" s="2">
        <v>240</v>
      </c>
      <c r="F919" s="2"/>
      <c r="G919" s="6">
        <f>'Пр.4 ведом.20'!G825</f>
        <v>70</v>
      </c>
      <c r="H919" s="358">
        <f>'Пр.4 ведом.20'!H825</f>
        <v>70</v>
      </c>
      <c r="I919" s="358">
        <f t="shared" si="531"/>
        <v>100</v>
      </c>
    </row>
    <row r="920" spans="1:9" s="213" customFormat="1" ht="31.5" x14ac:dyDescent="0.25">
      <c r="A920" s="45" t="s">
        <v>496</v>
      </c>
      <c r="B920" s="20" t="s">
        <v>1227</v>
      </c>
      <c r="C920" s="40" t="s">
        <v>134</v>
      </c>
      <c r="D920" s="40" t="s">
        <v>156</v>
      </c>
      <c r="E920" s="2">
        <v>240</v>
      </c>
      <c r="F920" s="2">
        <v>907</v>
      </c>
      <c r="G920" s="6">
        <f>G919</f>
        <v>70</v>
      </c>
      <c r="H920" s="358">
        <f t="shared" ref="H920" si="535">H919</f>
        <v>70</v>
      </c>
      <c r="I920" s="358">
        <f t="shared" si="531"/>
        <v>100</v>
      </c>
    </row>
    <row r="921" spans="1:9" s="213" customFormat="1" ht="31.5" hidden="1" x14ac:dyDescent="0.25">
      <c r="A921" s="25" t="s">
        <v>352</v>
      </c>
      <c r="B921" s="20" t="s">
        <v>1232</v>
      </c>
      <c r="C921" s="40" t="s">
        <v>134</v>
      </c>
      <c r="D921" s="40" t="s">
        <v>156</v>
      </c>
      <c r="E921" s="2"/>
      <c r="F921" s="2"/>
      <c r="G921" s="6">
        <f>G922</f>
        <v>0</v>
      </c>
      <c r="H921" s="358">
        <f t="shared" ref="H921" si="536">H922</f>
        <v>0</v>
      </c>
      <c r="I921" s="358" t="e">
        <f t="shared" si="531"/>
        <v>#DIV/0!</v>
      </c>
    </row>
    <row r="922" spans="1:9" s="213" customFormat="1" ht="31.5" hidden="1" x14ac:dyDescent="0.25">
      <c r="A922" s="25" t="s">
        <v>147</v>
      </c>
      <c r="B922" s="20" t="s">
        <v>1232</v>
      </c>
      <c r="C922" s="40" t="s">
        <v>134</v>
      </c>
      <c r="D922" s="40" t="s">
        <v>156</v>
      </c>
      <c r="E922" s="2">
        <v>200</v>
      </c>
      <c r="F922" s="2"/>
      <c r="G922" s="6">
        <f t="shared" ref="G922:H922" si="537">G923</f>
        <v>0</v>
      </c>
      <c r="H922" s="358">
        <f t="shared" si="537"/>
        <v>0</v>
      </c>
      <c r="I922" s="358" t="e">
        <f t="shared" si="531"/>
        <v>#DIV/0!</v>
      </c>
    </row>
    <row r="923" spans="1:9" s="213" customFormat="1" ht="31.5" hidden="1" x14ac:dyDescent="0.25">
      <c r="A923" s="25" t="s">
        <v>149</v>
      </c>
      <c r="B923" s="20" t="s">
        <v>1232</v>
      </c>
      <c r="C923" s="40" t="s">
        <v>134</v>
      </c>
      <c r="D923" s="40" t="s">
        <v>156</v>
      </c>
      <c r="E923" s="2">
        <v>240</v>
      </c>
      <c r="F923" s="2"/>
      <c r="G923" s="6">
        <f>'Пр.3 Рд,пр, ЦС,ВР 20'!F185</f>
        <v>0</v>
      </c>
      <c r="H923" s="358">
        <f>'Пр.3 Рд,пр, ЦС,ВР 20'!G185</f>
        <v>0</v>
      </c>
      <c r="I923" s="358" t="e">
        <f t="shared" si="531"/>
        <v>#DIV/0!</v>
      </c>
    </row>
    <row r="924" spans="1:9" s="213" customFormat="1" ht="31.5" hidden="1" x14ac:dyDescent="0.25">
      <c r="A924" s="45" t="s">
        <v>419</v>
      </c>
      <c r="B924" s="20" t="s">
        <v>1232</v>
      </c>
      <c r="C924" s="40" t="s">
        <v>134</v>
      </c>
      <c r="D924" s="40" t="s">
        <v>156</v>
      </c>
      <c r="E924" s="2">
        <v>240</v>
      </c>
      <c r="F924" s="2">
        <v>906</v>
      </c>
      <c r="G924" s="6">
        <f>G923</f>
        <v>0</v>
      </c>
      <c r="H924" s="358">
        <f t="shared" ref="H924" si="538">H923</f>
        <v>0</v>
      </c>
      <c r="I924" s="358" t="e">
        <f t="shared" si="531"/>
        <v>#DIV/0!</v>
      </c>
    </row>
    <row r="925" spans="1:9" ht="23.25" customHeight="1" x14ac:dyDescent="0.25">
      <c r="A925" s="25" t="s">
        <v>354</v>
      </c>
      <c r="B925" s="20" t="s">
        <v>1228</v>
      </c>
      <c r="C925" s="40" t="s">
        <v>134</v>
      </c>
      <c r="D925" s="40" t="s">
        <v>156</v>
      </c>
      <c r="E925" s="2"/>
      <c r="F925" s="2"/>
      <c r="G925" s="6">
        <f t="shared" ref="G925:H926" si="539">G926</f>
        <v>25</v>
      </c>
      <c r="H925" s="358">
        <f t="shared" si="539"/>
        <v>0</v>
      </c>
      <c r="I925" s="358">
        <f t="shared" si="531"/>
        <v>0</v>
      </c>
    </row>
    <row r="926" spans="1:9" ht="31.5" x14ac:dyDescent="0.25">
      <c r="A926" s="25" t="s">
        <v>147</v>
      </c>
      <c r="B926" s="20" t="s">
        <v>1228</v>
      </c>
      <c r="C926" s="40" t="s">
        <v>134</v>
      </c>
      <c r="D926" s="40" t="s">
        <v>156</v>
      </c>
      <c r="E926" s="2">
        <v>200</v>
      </c>
      <c r="F926" s="2"/>
      <c r="G926" s="6">
        <f t="shared" si="539"/>
        <v>25</v>
      </c>
      <c r="H926" s="358">
        <f t="shared" si="539"/>
        <v>0</v>
      </c>
      <c r="I926" s="358">
        <f t="shared" si="531"/>
        <v>0</v>
      </c>
    </row>
    <row r="927" spans="1:9" ht="31.5" x14ac:dyDescent="0.25">
      <c r="A927" s="25" t="s">
        <v>149</v>
      </c>
      <c r="B927" s="20" t="s">
        <v>1228</v>
      </c>
      <c r="C927" s="40" t="s">
        <v>134</v>
      </c>
      <c r="D927" s="40" t="s">
        <v>156</v>
      </c>
      <c r="E927" s="2">
        <v>240</v>
      </c>
      <c r="F927" s="2"/>
      <c r="G927" s="6">
        <f>'Пр.4 ведом.20'!G233</f>
        <v>25</v>
      </c>
      <c r="H927" s="358">
        <f>'Пр.4 ведом.20'!H233</f>
        <v>0</v>
      </c>
      <c r="I927" s="358">
        <f t="shared" si="531"/>
        <v>0</v>
      </c>
    </row>
    <row r="928" spans="1:9" s="213" customFormat="1" ht="47.25" x14ac:dyDescent="0.25">
      <c r="A928" s="45" t="s">
        <v>277</v>
      </c>
      <c r="B928" s="20" t="s">
        <v>1228</v>
      </c>
      <c r="C928" s="40" t="s">
        <v>134</v>
      </c>
      <c r="D928" s="40" t="s">
        <v>156</v>
      </c>
      <c r="E928" s="2">
        <v>240</v>
      </c>
      <c r="F928" s="2">
        <v>903</v>
      </c>
      <c r="G928" s="6">
        <f>G927</f>
        <v>25</v>
      </c>
      <c r="H928" s="358">
        <f t="shared" ref="H928" si="540">H927</f>
        <v>0</v>
      </c>
      <c r="I928" s="358">
        <f t="shared" si="531"/>
        <v>0</v>
      </c>
    </row>
    <row r="929" spans="1:9" ht="47.25" x14ac:dyDescent="0.25">
      <c r="A929" s="31" t="s">
        <v>794</v>
      </c>
      <c r="B929" s="20" t="s">
        <v>1229</v>
      </c>
      <c r="C929" s="40" t="s">
        <v>134</v>
      </c>
      <c r="D929" s="40" t="s">
        <v>156</v>
      </c>
      <c r="E929" s="2"/>
      <c r="F929" s="2"/>
      <c r="G929" s="6">
        <f t="shared" ref="G929:H930" si="541">G930</f>
        <v>10</v>
      </c>
      <c r="H929" s="358">
        <f t="shared" si="541"/>
        <v>0</v>
      </c>
      <c r="I929" s="358">
        <f t="shared" si="531"/>
        <v>0</v>
      </c>
    </row>
    <row r="930" spans="1:9" ht="31.5" x14ac:dyDescent="0.25">
      <c r="A930" s="25" t="s">
        <v>147</v>
      </c>
      <c r="B930" s="20" t="s">
        <v>1229</v>
      </c>
      <c r="C930" s="20" t="s">
        <v>134</v>
      </c>
      <c r="D930" s="20" t="s">
        <v>156</v>
      </c>
      <c r="E930" s="20" t="s">
        <v>148</v>
      </c>
      <c r="F930" s="182"/>
      <c r="G930" s="6">
        <f t="shared" si="541"/>
        <v>10</v>
      </c>
      <c r="H930" s="358">
        <f t="shared" si="541"/>
        <v>0</v>
      </c>
      <c r="I930" s="358">
        <f t="shared" si="531"/>
        <v>0</v>
      </c>
    </row>
    <row r="931" spans="1:9" ht="31.5" x14ac:dyDescent="0.25">
      <c r="A931" s="25" t="s">
        <v>149</v>
      </c>
      <c r="B931" s="20" t="s">
        <v>1229</v>
      </c>
      <c r="C931" s="20" t="s">
        <v>134</v>
      </c>
      <c r="D931" s="20" t="s">
        <v>156</v>
      </c>
      <c r="E931" s="20" t="s">
        <v>150</v>
      </c>
      <c r="F931" s="182"/>
      <c r="G931" s="6">
        <f>'Пр.4 ведом.20'!G236</f>
        <v>10</v>
      </c>
      <c r="H931" s="358">
        <f>'Пр.4 ведом.20'!H236</f>
        <v>0</v>
      </c>
      <c r="I931" s="358">
        <f t="shared" si="531"/>
        <v>0</v>
      </c>
    </row>
    <row r="932" spans="1:9" s="213" customFormat="1" ht="47.25" x14ac:dyDescent="0.25">
      <c r="A932" s="45" t="s">
        <v>277</v>
      </c>
      <c r="B932" s="20" t="s">
        <v>1229</v>
      </c>
      <c r="C932" s="40" t="s">
        <v>134</v>
      </c>
      <c r="D932" s="40" t="s">
        <v>156</v>
      </c>
      <c r="E932" s="2">
        <v>240</v>
      </c>
      <c r="F932" s="2">
        <v>903</v>
      </c>
      <c r="G932" s="6">
        <f>G931</f>
        <v>10</v>
      </c>
      <c r="H932" s="358">
        <f t="shared" ref="H932" si="542">H931</f>
        <v>0</v>
      </c>
      <c r="I932" s="358">
        <f t="shared" si="531"/>
        <v>0</v>
      </c>
    </row>
    <row r="933" spans="1:9" ht="31.5" hidden="1" x14ac:dyDescent="0.25">
      <c r="A933" s="25" t="s">
        <v>696</v>
      </c>
      <c r="B933" s="20" t="s">
        <v>1230</v>
      </c>
      <c r="C933" s="40" t="s">
        <v>134</v>
      </c>
      <c r="D933" s="40" t="s">
        <v>156</v>
      </c>
      <c r="E933" s="2"/>
      <c r="F933" s="182"/>
      <c r="G933" s="6">
        <f t="shared" ref="G933:H934" si="543">G934</f>
        <v>0</v>
      </c>
      <c r="H933" s="358">
        <f t="shared" si="543"/>
        <v>0</v>
      </c>
      <c r="I933" s="358" t="e">
        <f t="shared" si="531"/>
        <v>#DIV/0!</v>
      </c>
    </row>
    <row r="934" spans="1:9" ht="31.5" hidden="1" x14ac:dyDescent="0.25">
      <c r="A934" s="25" t="s">
        <v>147</v>
      </c>
      <c r="B934" s="20" t="s">
        <v>1230</v>
      </c>
      <c r="C934" s="40" t="s">
        <v>134</v>
      </c>
      <c r="D934" s="40" t="s">
        <v>156</v>
      </c>
      <c r="E934" s="2">
        <v>200</v>
      </c>
      <c r="F934" s="182"/>
      <c r="G934" s="6">
        <f t="shared" si="543"/>
        <v>0</v>
      </c>
      <c r="H934" s="358">
        <f t="shared" si="543"/>
        <v>0</v>
      </c>
      <c r="I934" s="358" t="e">
        <f t="shared" si="531"/>
        <v>#DIV/0!</v>
      </c>
    </row>
    <row r="935" spans="1:9" ht="31.5" hidden="1" x14ac:dyDescent="0.25">
      <c r="A935" s="25" t="s">
        <v>149</v>
      </c>
      <c r="B935" s="20" t="s">
        <v>1230</v>
      </c>
      <c r="C935" s="40" t="s">
        <v>134</v>
      </c>
      <c r="D935" s="40" t="s">
        <v>156</v>
      </c>
      <c r="E935" s="2">
        <v>240</v>
      </c>
      <c r="F935" s="182"/>
      <c r="G935" s="6">
        <f>'Пр.4 ведом.20'!G239</f>
        <v>0</v>
      </c>
      <c r="H935" s="358">
        <f>'Пр.4 ведом.20'!H239</f>
        <v>0</v>
      </c>
      <c r="I935" s="358" t="e">
        <f t="shared" si="531"/>
        <v>#DIV/0!</v>
      </c>
    </row>
    <row r="936" spans="1:9" s="213" customFormat="1" ht="47.25" hidden="1" x14ac:dyDescent="0.25">
      <c r="A936" s="45" t="s">
        <v>277</v>
      </c>
      <c r="B936" s="20" t="s">
        <v>1230</v>
      </c>
      <c r="C936" s="40" t="s">
        <v>134</v>
      </c>
      <c r="D936" s="40" t="s">
        <v>156</v>
      </c>
      <c r="E936" s="2">
        <v>240</v>
      </c>
      <c r="F936" s="2">
        <v>903</v>
      </c>
      <c r="G936" s="6">
        <f>G935</f>
        <v>0</v>
      </c>
      <c r="H936" s="358">
        <f t="shared" ref="H936" si="544">H935</f>
        <v>0</v>
      </c>
      <c r="I936" s="358" t="e">
        <f t="shared" si="531"/>
        <v>#DIV/0!</v>
      </c>
    </row>
    <row r="937" spans="1:9" s="213" customFormat="1" ht="15.75" hidden="1" x14ac:dyDescent="0.25">
      <c r="A937" s="31" t="s">
        <v>796</v>
      </c>
      <c r="B937" s="20" t="s">
        <v>1260</v>
      </c>
      <c r="C937" s="40" t="s">
        <v>134</v>
      </c>
      <c r="D937" s="40" t="s">
        <v>156</v>
      </c>
      <c r="E937" s="2"/>
      <c r="F937" s="2"/>
      <c r="G937" s="6">
        <f t="shared" ref="G937:H938" si="545">G938</f>
        <v>0</v>
      </c>
      <c r="H937" s="358">
        <f t="shared" si="545"/>
        <v>0</v>
      </c>
      <c r="I937" s="358" t="e">
        <f t="shared" si="531"/>
        <v>#DIV/0!</v>
      </c>
    </row>
    <row r="938" spans="1:9" s="213" customFormat="1" ht="31.5" hidden="1" x14ac:dyDescent="0.25">
      <c r="A938" s="25" t="s">
        <v>147</v>
      </c>
      <c r="B938" s="20" t="s">
        <v>1260</v>
      </c>
      <c r="C938" s="40" t="s">
        <v>134</v>
      </c>
      <c r="D938" s="40" t="s">
        <v>156</v>
      </c>
      <c r="E938" s="2">
        <v>200</v>
      </c>
      <c r="F938" s="2"/>
      <c r="G938" s="6">
        <f t="shared" si="545"/>
        <v>0</v>
      </c>
      <c r="H938" s="358">
        <f t="shared" si="545"/>
        <v>0</v>
      </c>
      <c r="I938" s="358" t="e">
        <f t="shared" si="531"/>
        <v>#DIV/0!</v>
      </c>
    </row>
    <row r="939" spans="1:9" s="213" customFormat="1" ht="31.5" hidden="1" x14ac:dyDescent="0.25">
      <c r="A939" s="25" t="s">
        <v>149</v>
      </c>
      <c r="B939" s="20" t="s">
        <v>1260</v>
      </c>
      <c r="C939" s="40" t="s">
        <v>134</v>
      </c>
      <c r="D939" s="40" t="s">
        <v>156</v>
      </c>
      <c r="E939" s="2">
        <v>240</v>
      </c>
      <c r="F939" s="2"/>
      <c r="G939" s="6">
        <f>'Пр.3 Рд,пр, ЦС,ВР 20'!F197</f>
        <v>0</v>
      </c>
      <c r="H939" s="358">
        <f>'Пр.3 Рд,пр, ЦС,ВР 20'!G197</f>
        <v>0</v>
      </c>
      <c r="I939" s="358" t="e">
        <f t="shared" si="531"/>
        <v>#DIV/0!</v>
      </c>
    </row>
    <row r="940" spans="1:9" s="213" customFormat="1" ht="31.5" hidden="1" x14ac:dyDescent="0.25">
      <c r="A940" s="45" t="s">
        <v>419</v>
      </c>
      <c r="B940" s="20" t="s">
        <v>1260</v>
      </c>
      <c r="C940" s="40" t="s">
        <v>134</v>
      </c>
      <c r="D940" s="40" t="s">
        <v>156</v>
      </c>
      <c r="E940" s="2">
        <v>240</v>
      </c>
      <c r="F940" s="2">
        <v>906</v>
      </c>
      <c r="G940" s="6">
        <f>G939</f>
        <v>0</v>
      </c>
      <c r="H940" s="358">
        <f t="shared" ref="H940" si="546">H939</f>
        <v>0</v>
      </c>
      <c r="I940" s="358" t="e">
        <f t="shared" si="531"/>
        <v>#DIV/0!</v>
      </c>
    </row>
    <row r="941" spans="1:9" ht="31.7" customHeight="1" x14ac:dyDescent="0.25">
      <c r="A941" s="31" t="s">
        <v>795</v>
      </c>
      <c r="B941" s="20" t="s">
        <v>1231</v>
      </c>
      <c r="C941" s="20" t="s">
        <v>134</v>
      </c>
      <c r="D941" s="20" t="s">
        <v>156</v>
      </c>
      <c r="E941" s="20"/>
      <c r="F941" s="182"/>
      <c r="G941" s="6">
        <f t="shared" ref="G941:H942" si="547">G942</f>
        <v>20</v>
      </c>
      <c r="H941" s="358">
        <f t="shared" si="547"/>
        <v>0</v>
      </c>
      <c r="I941" s="358">
        <f t="shared" si="531"/>
        <v>0</v>
      </c>
    </row>
    <row r="942" spans="1:9" ht="31.7" customHeight="1" x14ac:dyDescent="0.25">
      <c r="A942" s="25" t="s">
        <v>147</v>
      </c>
      <c r="B942" s="20" t="s">
        <v>1231</v>
      </c>
      <c r="C942" s="20" t="s">
        <v>134</v>
      </c>
      <c r="D942" s="20" t="s">
        <v>156</v>
      </c>
      <c r="E942" s="20" t="s">
        <v>148</v>
      </c>
      <c r="F942" s="182"/>
      <c r="G942" s="6">
        <f t="shared" si="547"/>
        <v>20</v>
      </c>
      <c r="H942" s="358">
        <f t="shared" si="547"/>
        <v>0</v>
      </c>
      <c r="I942" s="358">
        <f t="shared" si="531"/>
        <v>0</v>
      </c>
    </row>
    <row r="943" spans="1:9" ht="31.7" customHeight="1" x14ac:dyDescent="0.25">
      <c r="A943" s="25" t="s">
        <v>149</v>
      </c>
      <c r="B943" s="20" t="s">
        <v>1231</v>
      </c>
      <c r="C943" s="20" t="s">
        <v>134</v>
      </c>
      <c r="D943" s="20" t="s">
        <v>156</v>
      </c>
      <c r="E943" s="20" t="s">
        <v>150</v>
      </c>
      <c r="F943" s="182"/>
      <c r="G943" s="6">
        <f>'Пр.4 ведом.20'!G242</f>
        <v>20</v>
      </c>
      <c r="H943" s="358">
        <f>'Пр.4 ведом.20'!H242</f>
        <v>0</v>
      </c>
      <c r="I943" s="358">
        <f t="shared" si="531"/>
        <v>0</v>
      </c>
    </row>
    <row r="944" spans="1:9" ht="47.25" x14ac:dyDescent="0.25">
      <c r="A944" s="45" t="s">
        <v>277</v>
      </c>
      <c r="B944" s="20" t="s">
        <v>1231</v>
      </c>
      <c r="C944" s="20" t="s">
        <v>134</v>
      </c>
      <c r="D944" s="20" t="s">
        <v>156</v>
      </c>
      <c r="E944" s="20" t="s">
        <v>150</v>
      </c>
      <c r="F944" s="2">
        <v>903</v>
      </c>
      <c r="G944" s="6">
        <f>G943</f>
        <v>20</v>
      </c>
      <c r="H944" s="358">
        <f t="shared" ref="H944" si="548">H943</f>
        <v>0</v>
      </c>
      <c r="I944" s="358">
        <f t="shared" si="531"/>
        <v>0</v>
      </c>
    </row>
    <row r="945" spans="1:9" ht="48.75" customHeight="1" x14ac:dyDescent="0.25">
      <c r="A945" s="41" t="s">
        <v>1179</v>
      </c>
      <c r="B945" s="24" t="s">
        <v>728</v>
      </c>
      <c r="C945" s="7"/>
      <c r="D945" s="7"/>
      <c r="E945" s="3"/>
      <c r="F945" s="3"/>
      <c r="G945" s="4">
        <f>G946+G957+G996</f>
        <v>3404.3999999999996</v>
      </c>
      <c r="H945" s="4">
        <f t="shared" ref="H945" si="549">H946+H957+H996</f>
        <v>2443.3209999999999</v>
      </c>
      <c r="I945" s="4">
        <f t="shared" si="531"/>
        <v>71.769504171072739</v>
      </c>
    </row>
    <row r="946" spans="1:9" s="213" customFormat="1" ht="48.75" customHeight="1" x14ac:dyDescent="0.25">
      <c r="A946" s="219" t="s">
        <v>892</v>
      </c>
      <c r="B946" s="24" t="s">
        <v>898</v>
      </c>
      <c r="C946" s="7"/>
      <c r="D946" s="7"/>
      <c r="E946" s="3"/>
      <c r="F946" s="3"/>
      <c r="G946" s="4">
        <f>G947</f>
        <v>33</v>
      </c>
      <c r="H946" s="4">
        <f t="shared" ref="H946" si="550">H947</f>
        <v>25</v>
      </c>
      <c r="I946" s="4">
        <f t="shared" si="531"/>
        <v>75.757575757575751</v>
      </c>
    </row>
    <row r="947" spans="1:9" s="122" customFormat="1" ht="15.75" x14ac:dyDescent="0.25">
      <c r="A947" s="29" t="s">
        <v>133</v>
      </c>
      <c r="B947" s="20" t="s">
        <v>898</v>
      </c>
      <c r="C947" s="40" t="s">
        <v>134</v>
      </c>
      <c r="D947" s="40"/>
      <c r="E947" s="2"/>
      <c r="F947" s="2"/>
      <c r="G947" s="6">
        <f t="shared" ref="G947:H947" si="551">G948</f>
        <v>33</v>
      </c>
      <c r="H947" s="358">
        <f t="shared" si="551"/>
        <v>25</v>
      </c>
      <c r="I947" s="358">
        <f t="shared" si="531"/>
        <v>75.757575757575751</v>
      </c>
    </row>
    <row r="948" spans="1:9" s="122" customFormat="1" ht="15.75" x14ac:dyDescent="0.25">
      <c r="A948" s="29" t="s">
        <v>155</v>
      </c>
      <c r="B948" s="20" t="s">
        <v>898</v>
      </c>
      <c r="C948" s="40" t="s">
        <v>134</v>
      </c>
      <c r="D948" s="40" t="s">
        <v>156</v>
      </c>
      <c r="E948" s="2"/>
      <c r="F948" s="2"/>
      <c r="G948" s="6">
        <f>G949+G953</f>
        <v>33</v>
      </c>
      <c r="H948" s="358">
        <f t="shared" ref="H948" si="552">H949+H953</f>
        <v>25</v>
      </c>
      <c r="I948" s="358">
        <f t="shared" si="531"/>
        <v>75.757575757575751</v>
      </c>
    </row>
    <row r="949" spans="1:9" ht="31.5" x14ac:dyDescent="0.25">
      <c r="A949" s="99" t="s">
        <v>799</v>
      </c>
      <c r="B949" s="20" t="s">
        <v>893</v>
      </c>
      <c r="C949" s="40" t="s">
        <v>134</v>
      </c>
      <c r="D949" s="40" t="s">
        <v>156</v>
      </c>
      <c r="E949" s="2"/>
      <c r="F949" s="2"/>
      <c r="G949" s="6">
        <f t="shared" ref="G949:H950" si="553">G950</f>
        <v>28</v>
      </c>
      <c r="H949" s="358">
        <f t="shared" si="553"/>
        <v>25</v>
      </c>
      <c r="I949" s="358">
        <f t="shared" si="531"/>
        <v>89.285714285714292</v>
      </c>
    </row>
    <row r="950" spans="1:9" ht="31.5" x14ac:dyDescent="0.25">
      <c r="A950" s="25" t="s">
        <v>147</v>
      </c>
      <c r="B950" s="20" t="s">
        <v>893</v>
      </c>
      <c r="C950" s="40" t="s">
        <v>134</v>
      </c>
      <c r="D950" s="40" t="s">
        <v>156</v>
      </c>
      <c r="E950" s="2">
        <v>200</v>
      </c>
      <c r="F950" s="2"/>
      <c r="G950" s="6">
        <f t="shared" si="553"/>
        <v>28</v>
      </c>
      <c r="H950" s="358">
        <f t="shared" si="553"/>
        <v>25</v>
      </c>
      <c r="I950" s="358">
        <f t="shared" si="531"/>
        <v>89.285714285714292</v>
      </c>
    </row>
    <row r="951" spans="1:9" ht="31.5" x14ac:dyDescent="0.25">
      <c r="A951" s="25" t="s">
        <v>149</v>
      </c>
      <c r="B951" s="20" t="s">
        <v>893</v>
      </c>
      <c r="C951" s="40" t="s">
        <v>134</v>
      </c>
      <c r="D951" s="40" t="s">
        <v>156</v>
      </c>
      <c r="E951" s="2">
        <v>240</v>
      </c>
      <c r="F951" s="2"/>
      <c r="G951" s="6">
        <f>'Пр.4 ведом.20'!G122</f>
        <v>28</v>
      </c>
      <c r="H951" s="358">
        <f>'Пр.4 ведом.20'!H122</f>
        <v>25</v>
      </c>
      <c r="I951" s="358">
        <f t="shared" si="531"/>
        <v>89.285714285714292</v>
      </c>
    </row>
    <row r="952" spans="1:9" s="213" customFormat="1" ht="15.75" x14ac:dyDescent="0.25">
      <c r="A952" s="29" t="s">
        <v>164</v>
      </c>
      <c r="B952" s="20" t="s">
        <v>893</v>
      </c>
      <c r="C952" s="40" t="s">
        <v>134</v>
      </c>
      <c r="D952" s="40" t="s">
        <v>156</v>
      </c>
      <c r="E952" s="2">
        <v>240</v>
      </c>
      <c r="F952" s="2">
        <v>902</v>
      </c>
      <c r="G952" s="6">
        <f>G951</f>
        <v>28</v>
      </c>
      <c r="H952" s="358">
        <f t="shared" ref="H952" si="554">H951</f>
        <v>25</v>
      </c>
      <c r="I952" s="358">
        <f t="shared" si="531"/>
        <v>89.285714285714292</v>
      </c>
    </row>
    <row r="953" spans="1:9" s="213" customFormat="1" ht="31.5" x14ac:dyDescent="0.25">
      <c r="A953" s="99" t="s">
        <v>799</v>
      </c>
      <c r="B953" s="20" t="s">
        <v>893</v>
      </c>
      <c r="C953" s="40" t="s">
        <v>134</v>
      </c>
      <c r="D953" s="40" t="s">
        <v>156</v>
      </c>
      <c r="E953" s="2"/>
      <c r="F953" s="2"/>
      <c r="G953" s="6">
        <f>G954</f>
        <v>5</v>
      </c>
      <c r="H953" s="358">
        <f t="shared" ref="H953:H954" si="555">H954</f>
        <v>0</v>
      </c>
      <c r="I953" s="358">
        <f t="shared" si="531"/>
        <v>0</v>
      </c>
    </row>
    <row r="954" spans="1:9" s="213" customFormat="1" ht="31.5" x14ac:dyDescent="0.25">
      <c r="A954" s="25" t="s">
        <v>147</v>
      </c>
      <c r="B954" s="20" t="s">
        <v>893</v>
      </c>
      <c r="C954" s="40" t="s">
        <v>134</v>
      </c>
      <c r="D954" s="40" t="s">
        <v>156</v>
      </c>
      <c r="E954" s="2">
        <v>200</v>
      </c>
      <c r="F954" s="2"/>
      <c r="G954" s="6">
        <f>G955</f>
        <v>5</v>
      </c>
      <c r="H954" s="358">
        <f t="shared" si="555"/>
        <v>0</v>
      </c>
      <c r="I954" s="358">
        <f t="shared" si="531"/>
        <v>0</v>
      </c>
    </row>
    <row r="955" spans="1:9" s="213" customFormat="1" ht="31.5" x14ac:dyDescent="0.25">
      <c r="A955" s="25" t="s">
        <v>149</v>
      </c>
      <c r="B955" s="20" t="s">
        <v>893</v>
      </c>
      <c r="C955" s="40" t="s">
        <v>134</v>
      </c>
      <c r="D955" s="40" t="s">
        <v>156</v>
      </c>
      <c r="E955" s="2">
        <v>240</v>
      </c>
      <c r="F955" s="2"/>
      <c r="G955" s="6">
        <f>'Пр.4 ведом.20'!G247</f>
        <v>5</v>
      </c>
      <c r="H955" s="358">
        <f>'Пр.4 ведом.20'!H247</f>
        <v>0</v>
      </c>
      <c r="I955" s="358">
        <f t="shared" si="531"/>
        <v>0</v>
      </c>
    </row>
    <row r="956" spans="1:9" s="213" customFormat="1" ht="47.25" x14ac:dyDescent="0.25">
      <c r="A956" s="25" t="s">
        <v>277</v>
      </c>
      <c r="B956" s="20" t="s">
        <v>893</v>
      </c>
      <c r="C956" s="40" t="s">
        <v>134</v>
      </c>
      <c r="D956" s="40" t="s">
        <v>156</v>
      </c>
      <c r="E956" s="2">
        <v>240</v>
      </c>
      <c r="F956" s="2">
        <v>903</v>
      </c>
      <c r="G956" s="6">
        <f>G955</f>
        <v>5</v>
      </c>
      <c r="H956" s="358">
        <f t="shared" ref="H956" si="556">H955</f>
        <v>0</v>
      </c>
      <c r="I956" s="358">
        <f t="shared" si="531"/>
        <v>0</v>
      </c>
    </row>
    <row r="957" spans="1:9" s="213" customFormat="1" ht="47.25" x14ac:dyDescent="0.25">
      <c r="A957" s="41" t="s">
        <v>949</v>
      </c>
      <c r="B957" s="24" t="s">
        <v>947</v>
      </c>
      <c r="C957" s="40"/>
      <c r="D957" s="40"/>
      <c r="E957" s="2"/>
      <c r="F957" s="2"/>
      <c r="G957" s="4">
        <f>G958+G978+G984+G990</f>
        <v>3356.3999999999996</v>
      </c>
      <c r="H957" s="4">
        <f t="shared" ref="H957" si="557">H958+H978+H984+H990</f>
        <v>2403.3209999999999</v>
      </c>
      <c r="I957" s="4">
        <f t="shared" si="531"/>
        <v>71.604129424383274</v>
      </c>
    </row>
    <row r="958" spans="1:9" s="213" customFormat="1" ht="15.75" x14ac:dyDescent="0.25">
      <c r="A958" s="29" t="s">
        <v>279</v>
      </c>
      <c r="B958" s="20" t="s">
        <v>947</v>
      </c>
      <c r="C958" s="40" t="s">
        <v>280</v>
      </c>
      <c r="D958" s="40"/>
      <c r="E958" s="2"/>
      <c r="F958" s="2"/>
      <c r="G958" s="6">
        <f>G959+G965+G969</f>
        <v>1909.6999999999998</v>
      </c>
      <c r="H958" s="358">
        <f t="shared" ref="H958" si="558">H959+H965+H969</f>
        <v>1381.3310000000001</v>
      </c>
      <c r="I958" s="358">
        <f t="shared" si="531"/>
        <v>72.332355867413739</v>
      </c>
    </row>
    <row r="959" spans="1:9" s="213" customFormat="1" ht="15.75" x14ac:dyDescent="0.25">
      <c r="A959" s="29" t="s">
        <v>420</v>
      </c>
      <c r="B959" s="20" t="s">
        <v>947</v>
      </c>
      <c r="C959" s="40" t="s">
        <v>280</v>
      </c>
      <c r="D959" s="40" t="s">
        <v>134</v>
      </c>
      <c r="E959" s="2"/>
      <c r="F959" s="2"/>
      <c r="G959" s="6">
        <f>G960</f>
        <v>558.29999999999995</v>
      </c>
      <c r="H959" s="358">
        <f t="shared" ref="H959:H961" si="559">H960</f>
        <v>389.17</v>
      </c>
      <c r="I959" s="358">
        <f t="shared" si="531"/>
        <v>69.706251119469826</v>
      </c>
    </row>
    <row r="960" spans="1:9" s="213" customFormat="1" ht="47.25" x14ac:dyDescent="0.25">
      <c r="A960" s="45" t="s">
        <v>803</v>
      </c>
      <c r="B960" s="20" t="s">
        <v>1027</v>
      </c>
      <c r="C960" s="40" t="s">
        <v>280</v>
      </c>
      <c r="D960" s="40" t="s">
        <v>134</v>
      </c>
      <c r="E960" s="2"/>
      <c r="F960" s="2"/>
      <c r="G960" s="6">
        <f>G961</f>
        <v>558.29999999999995</v>
      </c>
      <c r="H960" s="358">
        <f t="shared" si="559"/>
        <v>389.17</v>
      </c>
      <c r="I960" s="358">
        <f t="shared" si="531"/>
        <v>69.706251119469826</v>
      </c>
    </row>
    <row r="961" spans="1:9" s="213" customFormat="1" ht="31.5" x14ac:dyDescent="0.25">
      <c r="A961" s="29" t="s">
        <v>288</v>
      </c>
      <c r="B961" s="20" t="s">
        <v>1027</v>
      </c>
      <c r="C961" s="40" t="s">
        <v>280</v>
      </c>
      <c r="D961" s="40" t="s">
        <v>134</v>
      </c>
      <c r="E961" s="2">
        <v>600</v>
      </c>
      <c r="F961" s="2"/>
      <c r="G961" s="6">
        <f>G962</f>
        <v>558.29999999999995</v>
      </c>
      <c r="H961" s="358">
        <f t="shared" si="559"/>
        <v>389.17</v>
      </c>
      <c r="I961" s="358">
        <f t="shared" si="531"/>
        <v>69.706251119469826</v>
      </c>
    </row>
    <row r="962" spans="1:9" s="213" customFormat="1" ht="15.75" x14ac:dyDescent="0.25">
      <c r="A962" s="192" t="s">
        <v>290</v>
      </c>
      <c r="B962" s="20" t="s">
        <v>1027</v>
      </c>
      <c r="C962" s="40" t="s">
        <v>280</v>
      </c>
      <c r="D962" s="40" t="s">
        <v>134</v>
      </c>
      <c r="E962" s="2">
        <v>610</v>
      </c>
      <c r="F962" s="2"/>
      <c r="G962" s="6">
        <f>'Пр.4 ведом.20'!G628</f>
        <v>558.29999999999995</v>
      </c>
      <c r="H962" s="358">
        <f>'Пр.4 ведом.20'!H628</f>
        <v>389.17</v>
      </c>
      <c r="I962" s="358">
        <f t="shared" si="531"/>
        <v>69.706251119469826</v>
      </c>
    </row>
    <row r="963" spans="1:9" s="213" customFormat="1" ht="31.5" x14ac:dyDescent="0.25">
      <c r="A963" s="45" t="s">
        <v>419</v>
      </c>
      <c r="B963" s="20" t="s">
        <v>1027</v>
      </c>
      <c r="C963" s="40" t="s">
        <v>280</v>
      </c>
      <c r="D963" s="40" t="s">
        <v>134</v>
      </c>
      <c r="E963" s="2">
        <v>610</v>
      </c>
      <c r="F963" s="2">
        <v>906</v>
      </c>
      <c r="G963" s="6">
        <f>G962</f>
        <v>558.29999999999995</v>
      </c>
      <c r="H963" s="358">
        <f t="shared" ref="H963" si="560">H962</f>
        <v>389.17</v>
      </c>
      <c r="I963" s="358">
        <f t="shared" si="531"/>
        <v>69.706251119469826</v>
      </c>
    </row>
    <row r="964" spans="1:9" s="213" customFormat="1" ht="15.75" x14ac:dyDescent="0.25">
      <c r="A964" s="45" t="s">
        <v>441</v>
      </c>
      <c r="B964" s="20" t="s">
        <v>947</v>
      </c>
      <c r="C964" s="40" t="s">
        <v>280</v>
      </c>
      <c r="D964" s="40" t="s">
        <v>229</v>
      </c>
      <c r="E964" s="2"/>
      <c r="F964" s="2"/>
      <c r="G964" s="6">
        <f>G965</f>
        <v>723.3</v>
      </c>
      <c r="H964" s="358">
        <f t="shared" ref="H964:H966" si="561">H965</f>
        <v>538.25800000000004</v>
      </c>
      <c r="I964" s="358">
        <f t="shared" si="531"/>
        <v>74.416977740909729</v>
      </c>
    </row>
    <row r="965" spans="1:9" s="213" customFormat="1" ht="47.25" x14ac:dyDescent="0.25">
      <c r="A965" s="45" t="s">
        <v>803</v>
      </c>
      <c r="B965" s="20" t="s">
        <v>1027</v>
      </c>
      <c r="C965" s="40" t="s">
        <v>280</v>
      </c>
      <c r="D965" s="40" t="s">
        <v>229</v>
      </c>
      <c r="E965" s="2"/>
      <c r="F965" s="2"/>
      <c r="G965" s="6">
        <f>G966</f>
        <v>723.3</v>
      </c>
      <c r="H965" s="358">
        <f t="shared" si="561"/>
        <v>538.25800000000004</v>
      </c>
      <c r="I965" s="358">
        <f t="shared" si="531"/>
        <v>74.416977740909729</v>
      </c>
    </row>
    <row r="966" spans="1:9" s="213" customFormat="1" ht="31.5" x14ac:dyDescent="0.25">
      <c r="A966" s="29" t="s">
        <v>288</v>
      </c>
      <c r="B966" s="20" t="s">
        <v>1027</v>
      </c>
      <c r="C966" s="40" t="s">
        <v>280</v>
      </c>
      <c r="D966" s="40" t="s">
        <v>229</v>
      </c>
      <c r="E966" s="2">
        <v>600</v>
      </c>
      <c r="F966" s="2"/>
      <c r="G966" s="6">
        <f>G967</f>
        <v>723.3</v>
      </c>
      <c r="H966" s="358">
        <f t="shared" si="561"/>
        <v>538.25800000000004</v>
      </c>
      <c r="I966" s="358">
        <f t="shared" si="531"/>
        <v>74.416977740909729</v>
      </c>
    </row>
    <row r="967" spans="1:9" s="213" customFormat="1" ht="15.75" x14ac:dyDescent="0.25">
      <c r="A967" s="192" t="s">
        <v>290</v>
      </c>
      <c r="B967" s="20" t="s">
        <v>1027</v>
      </c>
      <c r="C967" s="40" t="s">
        <v>280</v>
      </c>
      <c r="D967" s="40" t="s">
        <v>229</v>
      </c>
      <c r="E967" s="2">
        <v>610</v>
      </c>
      <c r="F967" s="2"/>
      <c r="G967" s="6">
        <f>'Пр.4 ведом.20'!G743</f>
        <v>723.3</v>
      </c>
      <c r="H967" s="358">
        <f>'Пр.4 ведом.20'!H743</f>
        <v>538.25800000000004</v>
      </c>
      <c r="I967" s="358">
        <f t="shared" si="531"/>
        <v>74.416977740909729</v>
      </c>
    </row>
    <row r="968" spans="1:9" s="213" customFormat="1" ht="31.5" x14ac:dyDescent="0.25">
      <c r="A968" s="45" t="s">
        <v>419</v>
      </c>
      <c r="B968" s="20" t="s">
        <v>1027</v>
      </c>
      <c r="C968" s="40" t="s">
        <v>280</v>
      </c>
      <c r="D968" s="40" t="s">
        <v>229</v>
      </c>
      <c r="E968" s="2">
        <v>610</v>
      </c>
      <c r="F968" s="2">
        <v>906</v>
      </c>
      <c r="G968" s="6">
        <f>G967</f>
        <v>723.3</v>
      </c>
      <c r="H968" s="358">
        <f t="shared" ref="H968" si="562">H967</f>
        <v>538.25800000000004</v>
      </c>
      <c r="I968" s="358">
        <f t="shared" si="531"/>
        <v>74.416977740909729</v>
      </c>
    </row>
    <row r="969" spans="1:9" s="213" customFormat="1" ht="15.75" x14ac:dyDescent="0.25">
      <c r="A969" s="45" t="s">
        <v>281</v>
      </c>
      <c r="B969" s="20" t="s">
        <v>947</v>
      </c>
      <c r="C969" s="40" t="s">
        <v>280</v>
      </c>
      <c r="D969" s="40" t="s">
        <v>231</v>
      </c>
      <c r="E969" s="2"/>
      <c r="F969" s="2"/>
      <c r="G969" s="6">
        <f>G970+G974</f>
        <v>628.09999999999991</v>
      </c>
      <c r="H969" s="358">
        <f t="shared" ref="H969" si="563">H970+H974</f>
        <v>453.90300000000002</v>
      </c>
      <c r="I969" s="358">
        <f t="shared" si="531"/>
        <v>72.266040439420493</v>
      </c>
    </row>
    <row r="970" spans="1:9" s="213" customFormat="1" ht="47.25" x14ac:dyDescent="0.25">
      <c r="A970" s="45" t="s">
        <v>803</v>
      </c>
      <c r="B970" s="20" t="s">
        <v>1027</v>
      </c>
      <c r="C970" s="40" t="s">
        <v>280</v>
      </c>
      <c r="D970" s="40" t="s">
        <v>231</v>
      </c>
      <c r="E970" s="2"/>
      <c r="F970" s="2"/>
      <c r="G970" s="6">
        <f>G971</f>
        <v>300.7</v>
      </c>
      <c r="H970" s="358">
        <f t="shared" ref="H970:H971" si="564">H971</f>
        <v>216.29300000000001</v>
      </c>
      <c r="I970" s="358">
        <f t="shared" si="531"/>
        <v>71.929830395743267</v>
      </c>
    </row>
    <row r="971" spans="1:9" s="213" customFormat="1" ht="31.5" x14ac:dyDescent="0.25">
      <c r="A971" s="29" t="s">
        <v>288</v>
      </c>
      <c r="B971" s="20" t="s">
        <v>1027</v>
      </c>
      <c r="C971" s="40" t="s">
        <v>280</v>
      </c>
      <c r="D971" s="40" t="s">
        <v>231</v>
      </c>
      <c r="E971" s="2">
        <v>600</v>
      </c>
      <c r="F971" s="2"/>
      <c r="G971" s="6">
        <f>G972</f>
        <v>300.7</v>
      </c>
      <c r="H971" s="358">
        <f t="shared" si="564"/>
        <v>216.29300000000001</v>
      </c>
      <c r="I971" s="358">
        <f t="shared" si="531"/>
        <v>71.929830395743267</v>
      </c>
    </row>
    <row r="972" spans="1:9" s="213" customFormat="1" ht="15.75" x14ac:dyDescent="0.25">
      <c r="A972" s="192" t="s">
        <v>290</v>
      </c>
      <c r="B972" s="20" t="s">
        <v>1027</v>
      </c>
      <c r="C972" s="40" t="s">
        <v>280</v>
      </c>
      <c r="D972" s="40" t="s">
        <v>231</v>
      </c>
      <c r="E972" s="2">
        <v>610</v>
      </c>
      <c r="F972" s="2"/>
      <c r="G972" s="6">
        <f>'Пр.4 ведом.20'!G780</f>
        <v>300.7</v>
      </c>
      <c r="H972" s="358">
        <f>'Пр.4 ведом.20'!H780</f>
        <v>216.29300000000001</v>
      </c>
      <c r="I972" s="358">
        <f t="shared" si="531"/>
        <v>71.929830395743267</v>
      </c>
    </row>
    <row r="973" spans="1:9" s="213" customFormat="1" ht="31.5" x14ac:dyDescent="0.25">
      <c r="A973" s="45" t="s">
        <v>419</v>
      </c>
      <c r="B973" s="20" t="s">
        <v>1027</v>
      </c>
      <c r="C973" s="40" t="s">
        <v>280</v>
      </c>
      <c r="D973" s="40" t="s">
        <v>231</v>
      </c>
      <c r="E973" s="2">
        <v>610</v>
      </c>
      <c r="F973" s="2">
        <v>906</v>
      </c>
      <c r="G973" s="6">
        <f>G972</f>
        <v>300.7</v>
      </c>
      <c r="H973" s="358">
        <f t="shared" ref="H973" si="565">H972</f>
        <v>216.29300000000001</v>
      </c>
      <c r="I973" s="358">
        <f t="shared" si="531"/>
        <v>71.929830395743267</v>
      </c>
    </row>
    <row r="974" spans="1:9" s="213" customFormat="1" ht="31.5" x14ac:dyDescent="0.25">
      <c r="A974" s="99" t="s">
        <v>1157</v>
      </c>
      <c r="B974" s="20" t="s">
        <v>948</v>
      </c>
      <c r="C974" s="40" t="s">
        <v>280</v>
      </c>
      <c r="D974" s="40" t="s">
        <v>231</v>
      </c>
      <c r="E974" s="2"/>
      <c r="F974" s="2"/>
      <c r="G974" s="6">
        <f>G975</f>
        <v>327.39999999999998</v>
      </c>
      <c r="H974" s="358">
        <f t="shared" ref="H974:H975" si="566">H975</f>
        <v>237.61</v>
      </c>
      <c r="I974" s="358">
        <f t="shared" si="531"/>
        <v>72.574832009773985</v>
      </c>
    </row>
    <row r="975" spans="1:9" s="213" customFormat="1" ht="31.5" x14ac:dyDescent="0.25">
      <c r="A975" s="25" t="s">
        <v>147</v>
      </c>
      <c r="B975" s="20" t="s">
        <v>948</v>
      </c>
      <c r="C975" s="40" t="s">
        <v>280</v>
      </c>
      <c r="D975" s="40" t="s">
        <v>231</v>
      </c>
      <c r="E975" s="2">
        <v>200</v>
      </c>
      <c r="F975" s="2"/>
      <c r="G975" s="6">
        <f>G976</f>
        <v>327.39999999999998</v>
      </c>
      <c r="H975" s="358">
        <f t="shared" si="566"/>
        <v>237.61</v>
      </c>
      <c r="I975" s="358">
        <f t="shared" si="531"/>
        <v>72.574832009773985</v>
      </c>
    </row>
    <row r="976" spans="1:9" s="213" customFormat="1" ht="31.5" x14ac:dyDescent="0.25">
      <c r="A976" s="25" t="s">
        <v>149</v>
      </c>
      <c r="B976" s="20" t="s">
        <v>948</v>
      </c>
      <c r="C976" s="40" t="s">
        <v>280</v>
      </c>
      <c r="D976" s="40" t="s">
        <v>231</v>
      </c>
      <c r="E976" s="2">
        <v>240</v>
      </c>
      <c r="F976" s="2"/>
      <c r="G976" s="6">
        <f>'Пр.4 ведом.20'!G320</f>
        <v>327.39999999999998</v>
      </c>
      <c r="H976" s="358">
        <f>'Пр.4 ведом.20'!H320</f>
        <v>237.61</v>
      </c>
      <c r="I976" s="358">
        <f t="shared" si="531"/>
        <v>72.574832009773985</v>
      </c>
    </row>
    <row r="977" spans="1:9" s="213" customFormat="1" ht="47.25" x14ac:dyDescent="0.25">
      <c r="A977" s="25" t="s">
        <v>277</v>
      </c>
      <c r="B977" s="20" t="s">
        <v>948</v>
      </c>
      <c r="C977" s="40" t="s">
        <v>280</v>
      </c>
      <c r="D977" s="40" t="s">
        <v>231</v>
      </c>
      <c r="E977" s="2">
        <v>240</v>
      </c>
      <c r="F977" s="2">
        <v>903</v>
      </c>
      <c r="G977" s="6">
        <f>G976</f>
        <v>327.39999999999998</v>
      </c>
      <c r="H977" s="358">
        <f t="shared" ref="H977" si="567">H976</f>
        <v>237.61</v>
      </c>
      <c r="I977" s="358">
        <f t="shared" si="531"/>
        <v>72.574832009773985</v>
      </c>
    </row>
    <row r="978" spans="1:9" s="213" customFormat="1" ht="15.75" x14ac:dyDescent="0.25">
      <c r="A978" s="25" t="s">
        <v>314</v>
      </c>
      <c r="B978" s="20" t="s">
        <v>947</v>
      </c>
      <c r="C978" s="40" t="s">
        <v>315</v>
      </c>
      <c r="D978" s="40"/>
      <c r="E978" s="2"/>
      <c r="F978" s="2"/>
      <c r="G978" s="6">
        <f>G979</f>
        <v>834.6</v>
      </c>
      <c r="H978" s="358">
        <f t="shared" ref="H978:H981" si="568">H979</f>
        <v>624.54899999999998</v>
      </c>
      <c r="I978" s="358">
        <f t="shared" ref="I978:I1041" si="569">H978/G978*100</f>
        <v>74.832135154565066</v>
      </c>
    </row>
    <row r="979" spans="1:9" s="213" customFormat="1" ht="15.75" x14ac:dyDescent="0.25">
      <c r="A979" s="25" t="s">
        <v>316</v>
      </c>
      <c r="B979" s="20" t="s">
        <v>947</v>
      </c>
      <c r="C979" s="40" t="s">
        <v>315</v>
      </c>
      <c r="D979" s="40" t="s">
        <v>134</v>
      </c>
      <c r="E979" s="2"/>
      <c r="F979" s="2"/>
      <c r="G979" s="6">
        <f>G980</f>
        <v>834.6</v>
      </c>
      <c r="H979" s="358">
        <f t="shared" si="568"/>
        <v>624.54899999999998</v>
      </c>
      <c r="I979" s="358">
        <f t="shared" si="569"/>
        <v>74.832135154565066</v>
      </c>
    </row>
    <row r="980" spans="1:9" s="213" customFormat="1" ht="31.5" x14ac:dyDescent="0.25">
      <c r="A980" s="45" t="s">
        <v>801</v>
      </c>
      <c r="B980" s="20" t="s">
        <v>948</v>
      </c>
      <c r="C980" s="40" t="s">
        <v>315</v>
      </c>
      <c r="D980" s="40" t="s">
        <v>134</v>
      </c>
      <c r="E980" s="2"/>
      <c r="F980" s="2"/>
      <c r="G980" s="6">
        <f>G981</f>
        <v>834.6</v>
      </c>
      <c r="H980" s="358">
        <f t="shared" si="568"/>
        <v>624.54899999999998</v>
      </c>
      <c r="I980" s="358">
        <f t="shared" si="569"/>
        <v>74.832135154565066</v>
      </c>
    </row>
    <row r="981" spans="1:9" s="213" customFormat="1" ht="31.5" x14ac:dyDescent="0.25">
      <c r="A981" s="25" t="s">
        <v>147</v>
      </c>
      <c r="B981" s="20" t="s">
        <v>948</v>
      </c>
      <c r="C981" s="40" t="s">
        <v>315</v>
      </c>
      <c r="D981" s="40" t="s">
        <v>134</v>
      </c>
      <c r="E981" s="2">
        <v>200</v>
      </c>
      <c r="F981" s="2"/>
      <c r="G981" s="6">
        <f>G982</f>
        <v>834.6</v>
      </c>
      <c r="H981" s="358">
        <f t="shared" si="568"/>
        <v>624.54899999999998</v>
      </c>
      <c r="I981" s="358">
        <f t="shared" si="569"/>
        <v>74.832135154565066</v>
      </c>
    </row>
    <row r="982" spans="1:9" s="213" customFormat="1" ht="31.5" x14ac:dyDescent="0.25">
      <c r="A982" s="25" t="s">
        <v>149</v>
      </c>
      <c r="B982" s="20" t="s">
        <v>948</v>
      </c>
      <c r="C982" s="40" t="s">
        <v>315</v>
      </c>
      <c r="D982" s="40" t="s">
        <v>134</v>
      </c>
      <c r="E982" s="2">
        <v>240</v>
      </c>
      <c r="F982" s="2"/>
      <c r="G982" s="6">
        <f>'Пр.4 ведом.20'!G417</f>
        <v>834.6</v>
      </c>
      <c r="H982" s="358">
        <f>'Пр.4 ведом.20'!H417</f>
        <v>624.54899999999998</v>
      </c>
      <c r="I982" s="358">
        <f t="shared" si="569"/>
        <v>74.832135154565066</v>
      </c>
    </row>
    <row r="983" spans="1:9" s="213" customFormat="1" ht="47.25" x14ac:dyDescent="0.25">
      <c r="A983" s="25" t="s">
        <v>277</v>
      </c>
      <c r="B983" s="20" t="s">
        <v>948</v>
      </c>
      <c r="C983" s="40" t="s">
        <v>315</v>
      </c>
      <c r="D983" s="40" t="s">
        <v>134</v>
      </c>
      <c r="E983" s="2">
        <v>240</v>
      </c>
      <c r="F983" s="2">
        <v>903</v>
      </c>
      <c r="G983" s="6">
        <f>G982</f>
        <v>834.6</v>
      </c>
      <c r="H983" s="358">
        <f t="shared" ref="H983" si="570">H982</f>
        <v>624.54899999999998</v>
      </c>
      <c r="I983" s="358">
        <f t="shared" si="569"/>
        <v>74.832135154565066</v>
      </c>
    </row>
    <row r="984" spans="1:9" s="213" customFormat="1" ht="15.75" x14ac:dyDescent="0.25">
      <c r="A984" s="25" t="s">
        <v>506</v>
      </c>
      <c r="B984" s="20" t="s">
        <v>947</v>
      </c>
      <c r="C984" s="40" t="s">
        <v>507</v>
      </c>
      <c r="D984" s="40"/>
      <c r="E984" s="2"/>
      <c r="F984" s="2"/>
      <c r="G984" s="6">
        <f>G985</f>
        <v>540.1</v>
      </c>
      <c r="H984" s="358">
        <f t="shared" ref="H984:H987" si="571">H985</f>
        <v>343.44099999999997</v>
      </c>
      <c r="I984" s="358">
        <f t="shared" si="569"/>
        <v>63.588409553786327</v>
      </c>
    </row>
    <row r="985" spans="1:9" s="213" customFormat="1" ht="15.75" x14ac:dyDescent="0.25">
      <c r="A985" s="25" t="s">
        <v>1271</v>
      </c>
      <c r="B985" s="20" t="s">
        <v>947</v>
      </c>
      <c r="C985" s="40" t="s">
        <v>507</v>
      </c>
      <c r="D985" s="40" t="s">
        <v>134</v>
      </c>
      <c r="E985" s="2"/>
      <c r="F985" s="2"/>
      <c r="G985" s="6">
        <f>G986</f>
        <v>540.1</v>
      </c>
      <c r="H985" s="358">
        <f t="shared" si="571"/>
        <v>343.44099999999997</v>
      </c>
      <c r="I985" s="358">
        <f t="shared" si="569"/>
        <v>63.588409553786327</v>
      </c>
    </row>
    <row r="986" spans="1:9" s="213" customFormat="1" ht="47.25" x14ac:dyDescent="0.25">
      <c r="A986" s="45" t="s">
        <v>803</v>
      </c>
      <c r="B986" s="20" t="s">
        <v>1027</v>
      </c>
      <c r="C986" s="40" t="s">
        <v>507</v>
      </c>
      <c r="D986" s="40" t="s">
        <v>134</v>
      </c>
      <c r="E986" s="2"/>
      <c r="F986" s="2"/>
      <c r="G986" s="6">
        <f>G987</f>
        <v>540.1</v>
      </c>
      <c r="H986" s="358">
        <f t="shared" si="571"/>
        <v>343.44099999999997</v>
      </c>
      <c r="I986" s="358">
        <f t="shared" si="569"/>
        <v>63.588409553786327</v>
      </c>
    </row>
    <row r="987" spans="1:9" s="213" customFormat="1" ht="31.5" x14ac:dyDescent="0.25">
      <c r="A987" s="29" t="s">
        <v>288</v>
      </c>
      <c r="B987" s="20" t="s">
        <v>1027</v>
      </c>
      <c r="C987" s="40" t="s">
        <v>507</v>
      </c>
      <c r="D987" s="40" t="s">
        <v>134</v>
      </c>
      <c r="E987" s="2">
        <v>600</v>
      </c>
      <c r="F987" s="2"/>
      <c r="G987" s="6">
        <f>G988</f>
        <v>540.1</v>
      </c>
      <c r="H987" s="358">
        <f t="shared" si="571"/>
        <v>343.44099999999997</v>
      </c>
      <c r="I987" s="358">
        <f t="shared" si="569"/>
        <v>63.588409553786327</v>
      </c>
    </row>
    <row r="988" spans="1:9" s="213" customFormat="1" ht="15.75" x14ac:dyDescent="0.25">
      <c r="A988" s="192" t="s">
        <v>290</v>
      </c>
      <c r="B988" s="20" t="s">
        <v>1027</v>
      </c>
      <c r="C988" s="40" t="s">
        <v>507</v>
      </c>
      <c r="D988" s="40" t="s">
        <v>134</v>
      </c>
      <c r="E988" s="2">
        <v>610</v>
      </c>
      <c r="F988" s="2"/>
      <c r="G988" s="6">
        <f>'Пр.4 ведом.20'!G888</f>
        <v>540.1</v>
      </c>
      <c r="H988" s="358">
        <f>'Пр.4 ведом.20'!H888</f>
        <v>343.44099999999997</v>
      </c>
      <c r="I988" s="358">
        <f t="shared" si="569"/>
        <v>63.588409553786327</v>
      </c>
    </row>
    <row r="989" spans="1:9" s="213" customFormat="1" ht="31.5" x14ac:dyDescent="0.25">
      <c r="A989" s="45" t="s">
        <v>496</v>
      </c>
      <c r="B989" s="20" t="s">
        <v>1027</v>
      </c>
      <c r="C989" s="40" t="s">
        <v>507</v>
      </c>
      <c r="D989" s="40" t="s">
        <v>134</v>
      </c>
      <c r="E989" s="2">
        <v>610</v>
      </c>
      <c r="F989" s="2">
        <v>907</v>
      </c>
      <c r="G989" s="6">
        <f>G988</f>
        <v>540.1</v>
      </c>
      <c r="H989" s="358">
        <f t="shared" ref="H989" si="572">H988</f>
        <v>343.44099999999997</v>
      </c>
      <c r="I989" s="358">
        <f t="shared" si="569"/>
        <v>63.588409553786327</v>
      </c>
    </row>
    <row r="990" spans="1:9" s="213" customFormat="1" ht="15.75" x14ac:dyDescent="0.25">
      <c r="A990" s="29" t="s">
        <v>598</v>
      </c>
      <c r="B990" s="20" t="s">
        <v>947</v>
      </c>
      <c r="C990" s="40" t="s">
        <v>254</v>
      </c>
      <c r="D990" s="40"/>
      <c r="E990" s="2"/>
      <c r="F990" s="2"/>
      <c r="G990" s="6">
        <f>G991</f>
        <v>72</v>
      </c>
      <c r="H990" s="358">
        <f t="shared" ref="H990:H993" si="573">H991</f>
        <v>54</v>
      </c>
      <c r="I990" s="358">
        <f t="shared" si="569"/>
        <v>75</v>
      </c>
    </row>
    <row r="991" spans="1:9" s="213" customFormat="1" ht="15.75" x14ac:dyDescent="0.25">
      <c r="A991" s="29" t="s">
        <v>599</v>
      </c>
      <c r="B991" s="20" t="s">
        <v>947</v>
      </c>
      <c r="C991" s="40" t="s">
        <v>254</v>
      </c>
      <c r="D991" s="40" t="s">
        <v>229</v>
      </c>
      <c r="E991" s="2"/>
      <c r="F991" s="2"/>
      <c r="G991" s="6">
        <f>G992</f>
        <v>72</v>
      </c>
      <c r="H991" s="358">
        <f t="shared" si="573"/>
        <v>54</v>
      </c>
      <c r="I991" s="358">
        <f t="shared" si="569"/>
        <v>75</v>
      </c>
    </row>
    <row r="992" spans="1:9" s="213" customFormat="1" ht="31.5" x14ac:dyDescent="0.25">
      <c r="A992" s="45" t="s">
        <v>801</v>
      </c>
      <c r="B992" s="20" t="s">
        <v>948</v>
      </c>
      <c r="C992" s="40" t="s">
        <v>254</v>
      </c>
      <c r="D992" s="40" t="s">
        <v>229</v>
      </c>
      <c r="E992" s="2"/>
      <c r="F992" s="2"/>
      <c r="G992" s="6">
        <f>G993</f>
        <v>72</v>
      </c>
      <c r="H992" s="358">
        <f t="shared" si="573"/>
        <v>54</v>
      </c>
      <c r="I992" s="358">
        <f t="shared" si="569"/>
        <v>75</v>
      </c>
    </row>
    <row r="993" spans="1:9" s="213" customFormat="1" ht="31.5" x14ac:dyDescent="0.25">
      <c r="A993" s="25" t="s">
        <v>147</v>
      </c>
      <c r="B993" s="20" t="s">
        <v>948</v>
      </c>
      <c r="C993" s="40" t="s">
        <v>254</v>
      </c>
      <c r="D993" s="40" t="s">
        <v>229</v>
      </c>
      <c r="E993" s="2">
        <v>200</v>
      </c>
      <c r="F993" s="2"/>
      <c r="G993" s="6">
        <f>G994</f>
        <v>72</v>
      </c>
      <c r="H993" s="358">
        <f t="shared" si="573"/>
        <v>54</v>
      </c>
      <c r="I993" s="358">
        <f t="shared" si="569"/>
        <v>75</v>
      </c>
    </row>
    <row r="994" spans="1:9" s="213" customFormat="1" ht="31.5" x14ac:dyDescent="0.25">
      <c r="A994" s="25" t="s">
        <v>149</v>
      </c>
      <c r="B994" s="20" t="s">
        <v>948</v>
      </c>
      <c r="C994" s="40" t="s">
        <v>254</v>
      </c>
      <c r="D994" s="40" t="s">
        <v>229</v>
      </c>
      <c r="E994" s="2">
        <v>240</v>
      </c>
      <c r="F994" s="2"/>
      <c r="G994" s="6">
        <f>'Пр.4 ведом.20'!G496</f>
        <v>72</v>
      </c>
      <c r="H994" s="358">
        <f>'Пр.4 ведом.20'!H496</f>
        <v>54</v>
      </c>
      <c r="I994" s="358">
        <f t="shared" si="569"/>
        <v>75</v>
      </c>
    </row>
    <row r="995" spans="1:9" s="213" customFormat="1" ht="47.25" x14ac:dyDescent="0.25">
      <c r="A995" s="25" t="s">
        <v>277</v>
      </c>
      <c r="B995" s="20" t="s">
        <v>948</v>
      </c>
      <c r="C995" s="40" t="s">
        <v>254</v>
      </c>
      <c r="D995" s="40" t="s">
        <v>229</v>
      </c>
      <c r="E995" s="2">
        <v>240</v>
      </c>
      <c r="F995" s="2">
        <v>903</v>
      </c>
      <c r="G995" s="6">
        <f>G992</f>
        <v>72</v>
      </c>
      <c r="H995" s="358">
        <f t="shared" ref="H995" si="574">H992</f>
        <v>54</v>
      </c>
      <c r="I995" s="358">
        <f t="shared" si="569"/>
        <v>75</v>
      </c>
    </row>
    <row r="996" spans="1:9" s="213" customFormat="1" ht="31.5" x14ac:dyDescent="0.25">
      <c r="A996" s="220" t="s">
        <v>1188</v>
      </c>
      <c r="B996" s="24" t="s">
        <v>899</v>
      </c>
      <c r="C996" s="7"/>
      <c r="D996" s="7"/>
      <c r="E996" s="3"/>
      <c r="F996" s="3"/>
      <c r="G996" s="4">
        <f>G997</f>
        <v>15</v>
      </c>
      <c r="H996" s="4">
        <f t="shared" ref="H996:H998" si="575">H997</f>
        <v>15</v>
      </c>
      <c r="I996" s="4">
        <f t="shared" si="569"/>
        <v>100</v>
      </c>
    </row>
    <row r="997" spans="1:9" s="213" customFormat="1" ht="15.75" x14ac:dyDescent="0.25">
      <c r="A997" s="233" t="s">
        <v>133</v>
      </c>
      <c r="B997" s="20" t="s">
        <v>899</v>
      </c>
      <c r="C997" s="40" t="s">
        <v>134</v>
      </c>
      <c r="D997" s="40"/>
      <c r="E997" s="2"/>
      <c r="F997" s="2"/>
      <c r="G997" s="6">
        <f>G998</f>
        <v>15</v>
      </c>
      <c r="H997" s="358">
        <f t="shared" si="575"/>
        <v>15</v>
      </c>
      <c r="I997" s="358">
        <f t="shared" si="569"/>
        <v>100</v>
      </c>
    </row>
    <row r="998" spans="1:9" s="213" customFormat="1" ht="15.75" x14ac:dyDescent="0.25">
      <c r="A998" s="233" t="s">
        <v>155</v>
      </c>
      <c r="B998" s="20" t="s">
        <v>899</v>
      </c>
      <c r="C998" s="40" t="s">
        <v>134</v>
      </c>
      <c r="D998" s="40" t="s">
        <v>156</v>
      </c>
      <c r="E998" s="2"/>
      <c r="F998" s="2"/>
      <c r="G998" s="6">
        <f>G999</f>
        <v>15</v>
      </c>
      <c r="H998" s="358">
        <f t="shared" si="575"/>
        <v>15</v>
      </c>
      <c r="I998" s="358">
        <f t="shared" si="569"/>
        <v>100</v>
      </c>
    </row>
    <row r="999" spans="1:9" ht="47.25" x14ac:dyDescent="0.25">
      <c r="A999" s="273" t="s">
        <v>1158</v>
      </c>
      <c r="B999" s="20" t="s">
        <v>894</v>
      </c>
      <c r="C999" s="40" t="s">
        <v>134</v>
      </c>
      <c r="D999" s="40" t="s">
        <v>156</v>
      </c>
      <c r="E999" s="2"/>
      <c r="F999" s="2"/>
      <c r="G999" s="6">
        <f t="shared" ref="G999:H1000" si="576">G1000</f>
        <v>15</v>
      </c>
      <c r="H999" s="358">
        <f t="shared" si="576"/>
        <v>15</v>
      </c>
      <c r="I999" s="358">
        <f t="shared" si="569"/>
        <v>100</v>
      </c>
    </row>
    <row r="1000" spans="1:9" ht="31.5" x14ac:dyDescent="0.25">
      <c r="A1000" s="25" t="s">
        <v>147</v>
      </c>
      <c r="B1000" s="20" t="s">
        <v>894</v>
      </c>
      <c r="C1000" s="40" t="s">
        <v>134</v>
      </c>
      <c r="D1000" s="40" t="s">
        <v>156</v>
      </c>
      <c r="E1000" s="2">
        <v>200</v>
      </c>
      <c r="F1000" s="2"/>
      <c r="G1000" s="6">
        <f t="shared" si="576"/>
        <v>15</v>
      </c>
      <c r="H1000" s="358">
        <f t="shared" si="576"/>
        <v>15</v>
      </c>
      <c r="I1000" s="358">
        <f t="shared" si="569"/>
        <v>100</v>
      </c>
    </row>
    <row r="1001" spans="1:9" ht="31.5" x14ac:dyDescent="0.25">
      <c r="A1001" s="25" t="s">
        <v>149</v>
      </c>
      <c r="B1001" s="20" t="s">
        <v>894</v>
      </c>
      <c r="C1001" s="40" t="s">
        <v>134</v>
      </c>
      <c r="D1001" s="40" t="s">
        <v>156</v>
      </c>
      <c r="E1001" s="2">
        <v>240</v>
      </c>
      <c r="F1001" s="2"/>
      <c r="G1001" s="6">
        <f>'Пр.4 ведом.20'!G126</f>
        <v>15</v>
      </c>
      <c r="H1001" s="358">
        <f>'Пр.4 ведом.20'!H126</f>
        <v>15</v>
      </c>
      <c r="I1001" s="358">
        <f t="shared" si="569"/>
        <v>100</v>
      </c>
    </row>
    <row r="1002" spans="1:9" ht="15.75" x14ac:dyDescent="0.25">
      <c r="A1002" s="29" t="s">
        <v>164</v>
      </c>
      <c r="B1002" s="20" t="s">
        <v>894</v>
      </c>
      <c r="C1002" s="40" t="s">
        <v>134</v>
      </c>
      <c r="D1002" s="40" t="s">
        <v>156</v>
      </c>
      <c r="E1002" s="2">
        <v>240</v>
      </c>
      <c r="F1002" s="2">
        <v>902</v>
      </c>
      <c r="G1002" s="6">
        <f>G1001</f>
        <v>15</v>
      </c>
      <c r="H1002" s="358">
        <f t="shared" ref="H1002" si="577">H1001</f>
        <v>15</v>
      </c>
      <c r="I1002" s="358">
        <f t="shared" si="569"/>
        <v>100</v>
      </c>
    </row>
    <row r="1003" spans="1:9" ht="63" hidden="1" x14ac:dyDescent="0.25">
      <c r="A1003" s="23" t="s">
        <v>822</v>
      </c>
      <c r="B1003" s="24" t="s">
        <v>734</v>
      </c>
      <c r="C1003" s="7"/>
      <c r="D1003" s="7"/>
      <c r="E1003" s="3"/>
      <c r="F1003" s="3"/>
      <c r="G1003" s="4">
        <f>G1004</f>
        <v>0</v>
      </c>
      <c r="H1003" s="4">
        <f t="shared" ref="H1003:H1004" si="578">H1004</f>
        <v>0</v>
      </c>
      <c r="I1003" s="358" t="e">
        <f t="shared" si="569"/>
        <v>#DIV/0!</v>
      </c>
    </row>
    <row r="1004" spans="1:9" s="213" customFormat="1" ht="31.5" hidden="1" x14ac:dyDescent="0.25">
      <c r="A1004" s="23" t="s">
        <v>1245</v>
      </c>
      <c r="B1004" s="24" t="s">
        <v>1288</v>
      </c>
      <c r="C1004" s="7"/>
      <c r="D1004" s="7"/>
      <c r="E1004" s="3"/>
      <c r="F1004" s="3"/>
      <c r="G1004" s="4">
        <f>G1005</f>
        <v>0</v>
      </c>
      <c r="H1004" s="4">
        <f t="shared" si="578"/>
        <v>0</v>
      </c>
      <c r="I1004" s="358" t="e">
        <f t="shared" si="569"/>
        <v>#DIV/0!</v>
      </c>
    </row>
    <row r="1005" spans="1:9" ht="15.75" hidden="1" x14ac:dyDescent="0.25">
      <c r="A1005" s="25" t="s">
        <v>406</v>
      </c>
      <c r="B1005" s="20" t="s">
        <v>881</v>
      </c>
      <c r="C1005" s="40" t="s">
        <v>250</v>
      </c>
      <c r="D1005" s="40"/>
      <c r="E1005" s="2"/>
      <c r="F1005" s="2"/>
      <c r="G1005" s="6">
        <f t="shared" ref="G1005:H1008" si="579">G1006</f>
        <v>0</v>
      </c>
      <c r="H1005" s="358">
        <f t="shared" si="579"/>
        <v>0</v>
      </c>
      <c r="I1005" s="358" t="e">
        <f t="shared" si="569"/>
        <v>#DIV/0!</v>
      </c>
    </row>
    <row r="1006" spans="1:9" ht="15.75" hidden="1" x14ac:dyDescent="0.25">
      <c r="A1006" s="25" t="s">
        <v>557</v>
      </c>
      <c r="B1006" s="20" t="s">
        <v>881</v>
      </c>
      <c r="C1006" s="40" t="s">
        <v>250</v>
      </c>
      <c r="D1006" s="40" t="s">
        <v>231</v>
      </c>
      <c r="E1006" s="2"/>
      <c r="F1006" s="2"/>
      <c r="G1006" s="6">
        <f t="shared" si="579"/>
        <v>0</v>
      </c>
      <c r="H1006" s="358">
        <f t="shared" si="579"/>
        <v>0</v>
      </c>
      <c r="I1006" s="358" t="e">
        <f t="shared" si="569"/>
        <v>#DIV/0!</v>
      </c>
    </row>
    <row r="1007" spans="1:9" ht="47.25" hidden="1" x14ac:dyDescent="0.25">
      <c r="A1007" s="80" t="s">
        <v>710</v>
      </c>
      <c r="B1007" s="20" t="s">
        <v>881</v>
      </c>
      <c r="C1007" s="40" t="s">
        <v>250</v>
      </c>
      <c r="D1007" s="40" t="s">
        <v>231</v>
      </c>
      <c r="E1007" s="2"/>
      <c r="F1007" s="2"/>
      <c r="G1007" s="6">
        <f t="shared" si="579"/>
        <v>0</v>
      </c>
      <c r="H1007" s="358">
        <f t="shared" si="579"/>
        <v>0</v>
      </c>
      <c r="I1007" s="358" t="e">
        <f t="shared" si="569"/>
        <v>#DIV/0!</v>
      </c>
    </row>
    <row r="1008" spans="1:9" ht="31.5" hidden="1" x14ac:dyDescent="0.25">
      <c r="A1008" s="25" t="s">
        <v>147</v>
      </c>
      <c r="B1008" s="20" t="s">
        <v>881</v>
      </c>
      <c r="C1008" s="40" t="s">
        <v>250</v>
      </c>
      <c r="D1008" s="40" t="s">
        <v>231</v>
      </c>
      <c r="E1008" s="2">
        <v>200</v>
      </c>
      <c r="F1008" s="2"/>
      <c r="G1008" s="6">
        <f t="shared" si="579"/>
        <v>0</v>
      </c>
      <c r="H1008" s="358">
        <f t="shared" si="579"/>
        <v>0</v>
      </c>
      <c r="I1008" s="358" t="e">
        <f t="shared" si="569"/>
        <v>#DIV/0!</v>
      </c>
    </row>
    <row r="1009" spans="1:9" ht="31.5" hidden="1" x14ac:dyDescent="0.25">
      <c r="A1009" s="25" t="s">
        <v>149</v>
      </c>
      <c r="B1009" s="20" t="s">
        <v>881</v>
      </c>
      <c r="C1009" s="40" t="s">
        <v>250</v>
      </c>
      <c r="D1009" s="40" t="s">
        <v>231</v>
      </c>
      <c r="E1009" s="2">
        <v>240</v>
      </c>
      <c r="F1009" s="2"/>
      <c r="G1009" s="6">
        <f>'Пр.4 ведом.20'!G1107</f>
        <v>0</v>
      </c>
      <c r="H1009" s="358">
        <f>'Пр.4 ведом.20'!H1107</f>
        <v>0</v>
      </c>
      <c r="I1009" s="358" t="e">
        <f t="shared" si="569"/>
        <v>#DIV/0!</v>
      </c>
    </row>
    <row r="1010" spans="1:9" ht="31.5" hidden="1" x14ac:dyDescent="0.25">
      <c r="A1010" s="45" t="s">
        <v>640</v>
      </c>
      <c r="B1010" s="20" t="s">
        <v>881</v>
      </c>
      <c r="C1010" s="40" t="s">
        <v>250</v>
      </c>
      <c r="D1010" s="40" t="s">
        <v>231</v>
      </c>
      <c r="E1010" s="2">
        <v>240</v>
      </c>
      <c r="F1010" s="2">
        <v>908</v>
      </c>
      <c r="G1010" s="6">
        <f t="shared" ref="G1010:H1010" si="580">G1003</f>
        <v>0</v>
      </c>
      <c r="H1010" s="358">
        <f t="shared" si="580"/>
        <v>0</v>
      </c>
      <c r="I1010" s="358" t="e">
        <f t="shared" si="569"/>
        <v>#DIV/0!</v>
      </c>
    </row>
    <row r="1011" spans="1:9" s="196" customFormat="1" ht="63" hidden="1" x14ac:dyDescent="0.25">
      <c r="A1011" s="58" t="s">
        <v>1181</v>
      </c>
      <c r="B1011" s="24" t="s">
        <v>806</v>
      </c>
      <c r="C1011" s="7"/>
      <c r="D1011" s="7"/>
      <c r="E1011" s="3"/>
      <c r="F1011" s="3"/>
      <c r="G1011" s="4">
        <f>G1013</f>
        <v>0</v>
      </c>
      <c r="H1011" s="4">
        <f t="shared" ref="H1011" si="581">H1013</f>
        <v>0</v>
      </c>
      <c r="I1011" s="358" t="e">
        <f t="shared" si="569"/>
        <v>#DIV/0!</v>
      </c>
    </row>
    <row r="1012" spans="1:9" s="196" customFormat="1" ht="31.5" hidden="1" x14ac:dyDescent="0.25">
      <c r="A1012" s="23" t="s">
        <v>1003</v>
      </c>
      <c r="B1012" s="24" t="s">
        <v>1182</v>
      </c>
      <c r="C1012" s="7"/>
      <c r="D1012" s="7"/>
      <c r="E1012" s="3"/>
      <c r="F1012" s="3"/>
      <c r="G1012" s="4">
        <f>G1013</f>
        <v>0</v>
      </c>
      <c r="H1012" s="4">
        <f t="shared" ref="H1012:H1016" si="582">H1013</f>
        <v>0</v>
      </c>
      <c r="I1012" s="358" t="e">
        <f t="shared" si="569"/>
        <v>#DIV/0!</v>
      </c>
    </row>
    <row r="1013" spans="1:9" ht="15.75" hidden="1" x14ac:dyDescent="0.25">
      <c r="A1013" s="45" t="s">
        <v>133</v>
      </c>
      <c r="B1013" s="20" t="s">
        <v>1182</v>
      </c>
      <c r="C1013" s="40" t="s">
        <v>134</v>
      </c>
      <c r="D1013" s="40"/>
      <c r="E1013" s="2"/>
      <c r="F1013" s="2"/>
      <c r="G1013" s="6">
        <f>G1014</f>
        <v>0</v>
      </c>
      <c r="H1013" s="358">
        <f t="shared" si="582"/>
        <v>0</v>
      </c>
      <c r="I1013" s="358" t="e">
        <f t="shared" si="569"/>
        <v>#DIV/0!</v>
      </c>
    </row>
    <row r="1014" spans="1:9" ht="15.75" hidden="1" x14ac:dyDescent="0.25">
      <c r="A1014" s="45" t="s">
        <v>155</v>
      </c>
      <c r="B1014" s="20" t="s">
        <v>1182</v>
      </c>
      <c r="C1014" s="40" t="s">
        <v>134</v>
      </c>
      <c r="D1014" s="40" t="s">
        <v>156</v>
      </c>
      <c r="E1014" s="2"/>
      <c r="F1014" s="2"/>
      <c r="G1014" s="6">
        <f>G1015</f>
        <v>0</v>
      </c>
      <c r="H1014" s="358">
        <f t="shared" si="582"/>
        <v>0</v>
      </c>
      <c r="I1014" s="358" t="e">
        <f t="shared" si="569"/>
        <v>#DIV/0!</v>
      </c>
    </row>
    <row r="1015" spans="1:9" ht="31.5" hidden="1" x14ac:dyDescent="0.25">
      <c r="A1015" s="45" t="s">
        <v>816</v>
      </c>
      <c r="B1015" s="20" t="s">
        <v>1183</v>
      </c>
      <c r="C1015" s="40" t="s">
        <v>134</v>
      </c>
      <c r="D1015" s="40" t="s">
        <v>156</v>
      </c>
      <c r="E1015" s="2"/>
      <c r="F1015" s="2"/>
      <c r="G1015" s="6">
        <f>G1016</f>
        <v>0</v>
      </c>
      <c r="H1015" s="358">
        <f t="shared" si="582"/>
        <v>0</v>
      </c>
      <c r="I1015" s="358" t="e">
        <f t="shared" si="569"/>
        <v>#DIV/0!</v>
      </c>
    </row>
    <row r="1016" spans="1:9" ht="31.5" hidden="1" x14ac:dyDescent="0.25">
      <c r="A1016" s="45" t="s">
        <v>147</v>
      </c>
      <c r="B1016" s="20" t="s">
        <v>1183</v>
      </c>
      <c r="C1016" s="40" t="s">
        <v>134</v>
      </c>
      <c r="D1016" s="40" t="s">
        <v>156</v>
      </c>
      <c r="E1016" s="2">
        <v>200</v>
      </c>
      <c r="F1016" s="2"/>
      <c r="G1016" s="6">
        <f>G1017</f>
        <v>0</v>
      </c>
      <c r="H1016" s="358">
        <f t="shared" si="582"/>
        <v>0</v>
      </c>
      <c r="I1016" s="358" t="e">
        <f t="shared" si="569"/>
        <v>#DIV/0!</v>
      </c>
    </row>
    <row r="1017" spans="1:9" ht="31.5" hidden="1" x14ac:dyDescent="0.25">
      <c r="A1017" s="45" t="s">
        <v>149</v>
      </c>
      <c r="B1017" s="20" t="s">
        <v>1183</v>
      </c>
      <c r="C1017" s="40" t="s">
        <v>134</v>
      </c>
      <c r="D1017" s="40" t="s">
        <v>156</v>
      </c>
      <c r="E1017" s="2">
        <v>240</v>
      </c>
      <c r="F1017" s="2"/>
      <c r="G1017" s="6">
        <f>'Пр.4 ведом.20'!G529</f>
        <v>0</v>
      </c>
      <c r="H1017" s="358">
        <f>'Пр.4 ведом.20'!H529</f>
        <v>0</v>
      </c>
      <c r="I1017" s="358" t="e">
        <f t="shared" si="569"/>
        <v>#DIV/0!</v>
      </c>
    </row>
    <row r="1018" spans="1:9" ht="31.5" hidden="1" x14ac:dyDescent="0.25">
      <c r="A1018" s="45" t="s">
        <v>403</v>
      </c>
      <c r="B1018" s="20" t="s">
        <v>1183</v>
      </c>
      <c r="C1018" s="40" t="s">
        <v>134</v>
      </c>
      <c r="D1018" s="40" t="s">
        <v>156</v>
      </c>
      <c r="E1018" s="2">
        <v>240</v>
      </c>
      <c r="F1018" s="2">
        <v>905</v>
      </c>
      <c r="G1018" s="6">
        <f>G1011</f>
        <v>0</v>
      </c>
      <c r="H1018" s="358">
        <f t="shared" ref="H1018" si="583">H1011</f>
        <v>0</v>
      </c>
      <c r="I1018" s="358" t="e">
        <f t="shared" si="569"/>
        <v>#DIV/0!</v>
      </c>
    </row>
    <row r="1019" spans="1:9" ht="78.75" x14ac:dyDescent="0.25">
      <c r="A1019" s="41" t="s">
        <v>1184</v>
      </c>
      <c r="B1019" s="24" t="s">
        <v>861</v>
      </c>
      <c r="C1019" s="7"/>
      <c r="D1019" s="7"/>
      <c r="E1019" s="3"/>
      <c r="F1019" s="3"/>
      <c r="G1019" s="4">
        <f>G1021</f>
        <v>30</v>
      </c>
      <c r="H1019" s="4">
        <f t="shared" ref="H1019" si="584">H1021</f>
        <v>0</v>
      </c>
      <c r="I1019" s="4">
        <f t="shared" si="569"/>
        <v>0</v>
      </c>
    </row>
    <row r="1020" spans="1:9" s="213" customFormat="1" ht="47.25" x14ac:dyDescent="0.25">
      <c r="A1020" s="221" t="s">
        <v>900</v>
      </c>
      <c r="B1020" s="24" t="s">
        <v>1262</v>
      </c>
      <c r="C1020" s="7"/>
      <c r="D1020" s="7"/>
      <c r="E1020" s="3"/>
      <c r="F1020" s="3"/>
      <c r="G1020" s="4">
        <f>G1021</f>
        <v>30</v>
      </c>
      <c r="H1020" s="4">
        <f t="shared" ref="H1020:H1024" si="585">H1021</f>
        <v>0</v>
      </c>
      <c r="I1020" s="4">
        <f t="shared" si="569"/>
        <v>0</v>
      </c>
    </row>
    <row r="1021" spans="1:9" ht="15.75" x14ac:dyDescent="0.25">
      <c r="A1021" s="45" t="s">
        <v>133</v>
      </c>
      <c r="B1021" s="20" t="s">
        <v>1262</v>
      </c>
      <c r="C1021" s="40" t="s">
        <v>134</v>
      </c>
      <c r="D1021" s="40"/>
      <c r="E1021" s="2"/>
      <c r="F1021" s="2"/>
      <c r="G1021" s="6">
        <f>G1022</f>
        <v>30</v>
      </c>
      <c r="H1021" s="358">
        <f t="shared" si="585"/>
        <v>0</v>
      </c>
      <c r="I1021" s="358">
        <f t="shared" si="569"/>
        <v>0</v>
      </c>
    </row>
    <row r="1022" spans="1:9" ht="15.75" x14ac:dyDescent="0.25">
      <c r="A1022" s="45" t="s">
        <v>155</v>
      </c>
      <c r="B1022" s="20" t="s">
        <v>1262</v>
      </c>
      <c r="C1022" s="40" t="s">
        <v>134</v>
      </c>
      <c r="D1022" s="40" t="s">
        <v>156</v>
      </c>
      <c r="E1022" s="2"/>
      <c r="F1022" s="2"/>
      <c r="G1022" s="6">
        <f>G1023</f>
        <v>30</v>
      </c>
      <c r="H1022" s="358">
        <f t="shared" si="585"/>
        <v>0</v>
      </c>
      <c r="I1022" s="358">
        <f t="shared" si="569"/>
        <v>0</v>
      </c>
    </row>
    <row r="1023" spans="1:9" ht="31.5" x14ac:dyDescent="0.25">
      <c r="A1023" s="98" t="s">
        <v>187</v>
      </c>
      <c r="B1023" s="20" t="s">
        <v>901</v>
      </c>
      <c r="C1023" s="40" t="s">
        <v>134</v>
      </c>
      <c r="D1023" s="40" t="s">
        <v>156</v>
      </c>
      <c r="E1023" s="2"/>
      <c r="F1023" s="2"/>
      <c r="G1023" s="6">
        <f>G1024</f>
        <v>30</v>
      </c>
      <c r="H1023" s="358">
        <f t="shared" si="585"/>
        <v>0</v>
      </c>
      <c r="I1023" s="358">
        <f t="shared" si="569"/>
        <v>0</v>
      </c>
    </row>
    <row r="1024" spans="1:9" ht="31.5" x14ac:dyDescent="0.25">
      <c r="A1024" s="45" t="s">
        <v>147</v>
      </c>
      <c r="B1024" s="20" t="s">
        <v>901</v>
      </c>
      <c r="C1024" s="40" t="s">
        <v>134</v>
      </c>
      <c r="D1024" s="40" t="s">
        <v>156</v>
      </c>
      <c r="E1024" s="2">
        <v>200</v>
      </c>
      <c r="F1024" s="2"/>
      <c r="G1024" s="6">
        <f>G1025</f>
        <v>30</v>
      </c>
      <c r="H1024" s="358">
        <f t="shared" si="585"/>
        <v>0</v>
      </c>
      <c r="I1024" s="358">
        <f t="shared" si="569"/>
        <v>0</v>
      </c>
    </row>
    <row r="1025" spans="1:9" ht="31.5" x14ac:dyDescent="0.25">
      <c r="A1025" s="45" t="s">
        <v>149</v>
      </c>
      <c r="B1025" s="20" t="s">
        <v>901</v>
      </c>
      <c r="C1025" s="40" t="s">
        <v>134</v>
      </c>
      <c r="D1025" s="40" t="s">
        <v>156</v>
      </c>
      <c r="E1025" s="2">
        <v>240</v>
      </c>
      <c r="F1025" s="2"/>
      <c r="G1025" s="6">
        <f>'Пр.4 ведом.20'!G131</f>
        <v>30</v>
      </c>
      <c r="H1025" s="358">
        <f>'Пр.4 ведом.20'!H131</f>
        <v>0</v>
      </c>
      <c r="I1025" s="358">
        <f t="shared" si="569"/>
        <v>0</v>
      </c>
    </row>
    <row r="1026" spans="1:9" ht="15.75" x14ac:dyDescent="0.25">
      <c r="A1026" s="29" t="s">
        <v>164</v>
      </c>
      <c r="B1026" s="20" t="s">
        <v>901</v>
      </c>
      <c r="C1026" s="40" t="s">
        <v>134</v>
      </c>
      <c r="D1026" s="40" t="s">
        <v>156</v>
      </c>
      <c r="E1026" s="2">
        <v>240</v>
      </c>
      <c r="F1026" s="2">
        <v>902</v>
      </c>
      <c r="G1026" s="6">
        <f>G1019</f>
        <v>30</v>
      </c>
      <c r="H1026" s="358">
        <f t="shared" ref="H1026" si="586">H1019</f>
        <v>0</v>
      </c>
      <c r="I1026" s="358">
        <f t="shared" si="569"/>
        <v>0</v>
      </c>
    </row>
    <row r="1027" spans="1:9" ht="63" x14ac:dyDescent="0.25">
      <c r="A1027" s="41" t="s">
        <v>1186</v>
      </c>
      <c r="B1027" s="24" t="s">
        <v>862</v>
      </c>
      <c r="C1027" s="7"/>
      <c r="D1027" s="7"/>
      <c r="E1027" s="3"/>
      <c r="F1027" s="3"/>
      <c r="G1027" s="4">
        <f>G1029</f>
        <v>80</v>
      </c>
      <c r="H1027" s="4">
        <f t="shared" ref="H1027" si="587">H1029</f>
        <v>0</v>
      </c>
      <c r="I1027" s="4">
        <f t="shared" si="569"/>
        <v>0</v>
      </c>
    </row>
    <row r="1028" spans="1:9" s="213" customFormat="1" ht="31.5" x14ac:dyDescent="0.25">
      <c r="A1028" s="58" t="s">
        <v>902</v>
      </c>
      <c r="B1028" s="24" t="s">
        <v>910</v>
      </c>
      <c r="C1028" s="7"/>
      <c r="D1028" s="7"/>
      <c r="E1028" s="3"/>
      <c r="F1028" s="3"/>
      <c r="G1028" s="4">
        <f>G1029</f>
        <v>80</v>
      </c>
      <c r="H1028" s="4">
        <f t="shared" ref="H1028:H1032" si="588">H1029</f>
        <v>0</v>
      </c>
      <c r="I1028" s="4">
        <f t="shared" si="569"/>
        <v>0</v>
      </c>
    </row>
    <row r="1029" spans="1:9" ht="15.75" x14ac:dyDescent="0.25">
      <c r="A1029" s="45" t="s">
        <v>133</v>
      </c>
      <c r="B1029" s="20" t="s">
        <v>910</v>
      </c>
      <c r="C1029" s="40" t="s">
        <v>134</v>
      </c>
      <c r="D1029" s="40"/>
      <c r="E1029" s="2"/>
      <c r="F1029" s="2"/>
      <c r="G1029" s="6">
        <f>G1030</f>
        <v>80</v>
      </c>
      <c r="H1029" s="358">
        <f t="shared" si="588"/>
        <v>0</v>
      </c>
      <c r="I1029" s="358">
        <f t="shared" si="569"/>
        <v>0</v>
      </c>
    </row>
    <row r="1030" spans="1:9" ht="15.75" x14ac:dyDescent="0.25">
      <c r="A1030" s="45" t="s">
        <v>155</v>
      </c>
      <c r="B1030" s="20" t="s">
        <v>910</v>
      </c>
      <c r="C1030" s="40" t="s">
        <v>134</v>
      </c>
      <c r="D1030" s="40" t="s">
        <v>156</v>
      </c>
      <c r="E1030" s="2"/>
      <c r="F1030" s="2"/>
      <c r="G1030" s="6">
        <f>G1031</f>
        <v>80</v>
      </c>
      <c r="H1030" s="358">
        <f t="shared" si="588"/>
        <v>0</v>
      </c>
      <c r="I1030" s="358">
        <f t="shared" si="569"/>
        <v>0</v>
      </c>
    </row>
    <row r="1031" spans="1:9" ht="15.75" x14ac:dyDescent="0.25">
      <c r="A1031" s="45" t="s">
        <v>191</v>
      </c>
      <c r="B1031" s="20" t="s">
        <v>903</v>
      </c>
      <c r="C1031" s="40" t="s">
        <v>134</v>
      </c>
      <c r="D1031" s="40" t="s">
        <v>156</v>
      </c>
      <c r="E1031" s="2"/>
      <c r="F1031" s="2"/>
      <c r="G1031" s="6">
        <f>G1032</f>
        <v>80</v>
      </c>
      <c r="H1031" s="358">
        <f t="shared" si="588"/>
        <v>0</v>
      </c>
      <c r="I1031" s="358">
        <f t="shared" si="569"/>
        <v>0</v>
      </c>
    </row>
    <row r="1032" spans="1:9" ht="31.5" x14ac:dyDescent="0.25">
      <c r="A1032" s="45" t="s">
        <v>147</v>
      </c>
      <c r="B1032" s="20" t="s">
        <v>903</v>
      </c>
      <c r="C1032" s="40" t="s">
        <v>134</v>
      </c>
      <c r="D1032" s="40" t="s">
        <v>156</v>
      </c>
      <c r="E1032" s="2">
        <v>200</v>
      </c>
      <c r="F1032" s="2"/>
      <c r="G1032" s="6">
        <f>G1033</f>
        <v>80</v>
      </c>
      <c r="H1032" s="358">
        <f t="shared" si="588"/>
        <v>0</v>
      </c>
      <c r="I1032" s="358">
        <f t="shared" si="569"/>
        <v>0</v>
      </c>
    </row>
    <row r="1033" spans="1:9" ht="31.5" x14ac:dyDescent="0.25">
      <c r="A1033" s="45" t="s">
        <v>149</v>
      </c>
      <c r="B1033" s="20" t="s">
        <v>903</v>
      </c>
      <c r="C1033" s="40" t="s">
        <v>134</v>
      </c>
      <c r="D1033" s="40" t="s">
        <v>156</v>
      </c>
      <c r="E1033" s="2">
        <v>240</v>
      </c>
      <c r="F1033" s="2"/>
      <c r="G1033" s="6">
        <f>'Пр.4 ведом.20'!G136</f>
        <v>80</v>
      </c>
      <c r="H1033" s="358">
        <f>'Пр.4 ведом.20'!H136</f>
        <v>0</v>
      </c>
      <c r="I1033" s="358">
        <f t="shared" si="569"/>
        <v>0</v>
      </c>
    </row>
    <row r="1034" spans="1:9" ht="15.75" x14ac:dyDescent="0.25">
      <c r="A1034" s="29" t="s">
        <v>164</v>
      </c>
      <c r="B1034" s="20" t="s">
        <v>903</v>
      </c>
      <c r="C1034" s="40" t="s">
        <v>134</v>
      </c>
      <c r="D1034" s="40" t="s">
        <v>156</v>
      </c>
      <c r="E1034" s="2">
        <v>240</v>
      </c>
      <c r="F1034" s="2">
        <v>902</v>
      </c>
      <c r="G1034" s="6">
        <f>G1027</f>
        <v>80</v>
      </c>
      <c r="H1034" s="358">
        <f t="shared" ref="H1034" si="589">H1027</f>
        <v>0</v>
      </c>
      <c r="I1034" s="358">
        <f t="shared" si="569"/>
        <v>0</v>
      </c>
    </row>
    <row r="1035" spans="1:9" s="213" customFormat="1" ht="47.25" hidden="1" x14ac:dyDescent="0.25">
      <c r="A1035" s="23" t="s">
        <v>1362</v>
      </c>
      <c r="B1035" s="24" t="s">
        <v>1361</v>
      </c>
      <c r="C1035" s="40"/>
      <c r="D1035" s="40"/>
      <c r="E1035" s="2"/>
      <c r="F1035" s="2"/>
      <c r="G1035" s="4">
        <f t="shared" ref="G1035:H1041" si="590">G1036</f>
        <v>0</v>
      </c>
      <c r="H1035" s="4">
        <f t="shared" si="590"/>
        <v>0</v>
      </c>
      <c r="I1035" s="358" t="e">
        <f t="shared" si="569"/>
        <v>#DIV/0!</v>
      </c>
    </row>
    <row r="1036" spans="1:9" s="213" customFormat="1" ht="31.5" hidden="1" x14ac:dyDescent="0.25">
      <c r="A1036" s="23" t="s">
        <v>1363</v>
      </c>
      <c r="B1036" s="24" t="s">
        <v>1364</v>
      </c>
      <c r="C1036" s="40"/>
      <c r="D1036" s="40"/>
      <c r="E1036" s="2"/>
      <c r="F1036" s="2"/>
      <c r="G1036" s="4">
        <f t="shared" si="590"/>
        <v>0</v>
      </c>
      <c r="H1036" s="4">
        <f t="shared" si="590"/>
        <v>0</v>
      </c>
      <c r="I1036" s="358" t="e">
        <f t="shared" si="569"/>
        <v>#DIV/0!</v>
      </c>
    </row>
    <row r="1037" spans="1:9" s="213" customFormat="1" ht="15.75" hidden="1" x14ac:dyDescent="0.25">
      <c r="A1037" s="29" t="s">
        <v>406</v>
      </c>
      <c r="B1037" s="20" t="s">
        <v>1364</v>
      </c>
      <c r="C1037" s="40" t="s">
        <v>250</v>
      </c>
      <c r="D1037" s="40"/>
      <c r="E1037" s="2"/>
      <c r="F1037" s="2"/>
      <c r="G1037" s="6">
        <f t="shared" si="590"/>
        <v>0</v>
      </c>
      <c r="H1037" s="358">
        <f t="shared" si="590"/>
        <v>0</v>
      </c>
      <c r="I1037" s="358" t="e">
        <f t="shared" si="569"/>
        <v>#DIV/0!</v>
      </c>
    </row>
    <row r="1038" spans="1:9" s="213" customFormat="1" ht="15.75" hidden="1" x14ac:dyDescent="0.25">
      <c r="A1038" s="29" t="s">
        <v>533</v>
      </c>
      <c r="B1038" s="20" t="s">
        <v>1364</v>
      </c>
      <c r="C1038" s="40" t="s">
        <v>250</v>
      </c>
      <c r="D1038" s="40" t="s">
        <v>229</v>
      </c>
      <c r="E1038" s="2"/>
      <c r="F1038" s="2"/>
      <c r="G1038" s="6">
        <f t="shared" si="590"/>
        <v>0</v>
      </c>
      <c r="H1038" s="358">
        <f t="shared" si="590"/>
        <v>0</v>
      </c>
      <c r="I1038" s="358" t="e">
        <f t="shared" si="569"/>
        <v>#DIV/0!</v>
      </c>
    </row>
    <row r="1039" spans="1:9" s="213" customFormat="1" ht="15.75" hidden="1" x14ac:dyDescent="0.25">
      <c r="A1039" s="29" t="s">
        <v>1366</v>
      </c>
      <c r="B1039" s="20" t="s">
        <v>1365</v>
      </c>
      <c r="C1039" s="40" t="s">
        <v>250</v>
      </c>
      <c r="D1039" s="40" t="s">
        <v>229</v>
      </c>
      <c r="E1039" s="2"/>
      <c r="F1039" s="2"/>
      <c r="G1039" s="6">
        <f t="shared" si="590"/>
        <v>0</v>
      </c>
      <c r="H1039" s="358">
        <f t="shared" si="590"/>
        <v>0</v>
      </c>
      <c r="I1039" s="358" t="e">
        <f t="shared" si="569"/>
        <v>#DIV/0!</v>
      </c>
    </row>
    <row r="1040" spans="1:9" s="213" customFormat="1" ht="31.5" hidden="1" x14ac:dyDescent="0.25">
      <c r="A1040" s="45" t="s">
        <v>147</v>
      </c>
      <c r="B1040" s="20" t="s">
        <v>1365</v>
      </c>
      <c r="C1040" s="40" t="s">
        <v>250</v>
      </c>
      <c r="D1040" s="40" t="s">
        <v>229</v>
      </c>
      <c r="E1040" s="2">
        <v>200</v>
      </c>
      <c r="F1040" s="2"/>
      <c r="G1040" s="6">
        <f t="shared" si="590"/>
        <v>0</v>
      </c>
      <c r="H1040" s="358">
        <f t="shared" si="590"/>
        <v>0</v>
      </c>
      <c r="I1040" s="358" t="e">
        <f t="shared" si="569"/>
        <v>#DIV/0!</v>
      </c>
    </row>
    <row r="1041" spans="1:9" s="213" customFormat="1" ht="31.5" hidden="1" x14ac:dyDescent="0.25">
      <c r="A1041" s="45" t="s">
        <v>149</v>
      </c>
      <c r="B1041" s="20" t="s">
        <v>1365</v>
      </c>
      <c r="C1041" s="40" t="s">
        <v>250</v>
      </c>
      <c r="D1041" s="40" t="s">
        <v>229</v>
      </c>
      <c r="E1041" s="2">
        <v>240</v>
      </c>
      <c r="F1041" s="2"/>
      <c r="G1041" s="6">
        <f t="shared" si="590"/>
        <v>0</v>
      </c>
      <c r="H1041" s="358">
        <f t="shared" si="590"/>
        <v>0</v>
      </c>
      <c r="I1041" s="358" t="e">
        <f t="shared" si="569"/>
        <v>#DIV/0!</v>
      </c>
    </row>
    <row r="1042" spans="1:9" s="213" customFormat="1" ht="47.25" hidden="1" x14ac:dyDescent="0.25">
      <c r="A1042" s="29" t="s">
        <v>1307</v>
      </c>
      <c r="B1042" s="20" t="s">
        <v>1365</v>
      </c>
      <c r="C1042" s="40" t="s">
        <v>250</v>
      </c>
      <c r="D1042" s="40" t="s">
        <v>229</v>
      </c>
      <c r="E1042" s="2">
        <v>240</v>
      </c>
      <c r="F1042" s="2">
        <v>908</v>
      </c>
      <c r="G1042" s="6">
        <f>'Пр.4 ведом.20'!G1056</f>
        <v>0</v>
      </c>
      <c r="H1042" s="358">
        <f>'Пр.4 ведом.20'!H1056</f>
        <v>0</v>
      </c>
      <c r="I1042" s="358" t="e">
        <f t="shared" ref="I1042:I1043" si="591">H1042/G1042*100</f>
        <v>#DIV/0!</v>
      </c>
    </row>
    <row r="1043" spans="1:9" ht="15.75" x14ac:dyDescent="0.25">
      <c r="A1043" s="72" t="s">
        <v>674</v>
      </c>
      <c r="B1043" s="72"/>
      <c r="C1043" s="72"/>
      <c r="D1043" s="72"/>
      <c r="E1043" s="72"/>
      <c r="F1043" s="72"/>
      <c r="G1043" s="121">
        <f>G1027+G1019+G1011+G1003+G945+G910+G841+G784+G753+G592+G513+G505+G467+G455+G163+G30+G10+G860+G1035</f>
        <v>477615.79096999997</v>
      </c>
      <c r="H1043" s="121">
        <f t="shared" ref="H1043" si="592">H1027+H1019+H1011+H1003+H945+H910+H841+H784+H753+H592+H513+H505+H467+H455+H163+H30+H10+H860+H1035</f>
        <v>311562.22960000002</v>
      </c>
      <c r="I1043" s="4">
        <f t="shared" si="591"/>
        <v>65.232815893134884</v>
      </c>
    </row>
    <row r="1045" spans="1:9" hidden="1" x14ac:dyDescent="0.25">
      <c r="G1045" s="215">
        <f>'Пр.4 ведом.20'!G1251</f>
        <v>477615.79097000003</v>
      </c>
      <c r="H1045" s="215">
        <f>'Пр.4 ведом.20'!H1251</f>
        <v>311562.22960000008</v>
      </c>
      <c r="I1045" s="215" t="e">
        <f>'Пр.4 ведом.20'!I1251</f>
        <v>#DIV/0!</v>
      </c>
    </row>
    <row r="1046" spans="1:9" hidden="1" x14ac:dyDescent="0.25">
      <c r="G1046" s="215">
        <f>G1045-G1043</f>
        <v>0</v>
      </c>
      <c r="H1046" s="215">
        <f t="shared" ref="H1046:I1046" si="593">H1045-H1043</f>
        <v>0</v>
      </c>
      <c r="I1046" s="215" t="e">
        <f t="shared" si="593"/>
        <v>#DIV/0!</v>
      </c>
    </row>
    <row r="1047" spans="1:9" hidden="1" x14ac:dyDescent="0.25"/>
  </sheetData>
  <mergeCells count="1">
    <mergeCell ref="A7:I7"/>
  </mergeCells>
  <pageMargins left="0.23622047244094491" right="0.23622047244094491" top="0.74803149606299213" bottom="0.74803149606299213" header="0.31496062992125984" footer="0.31496062992125984"/>
  <pageSetup paperSize="9"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7"/>
  <sheetViews>
    <sheetView view="pageBreakPreview" zoomScaleNormal="100" zoomScaleSheetLayoutView="100" workbookViewId="0">
      <selection activeCell="H2" sqref="H2"/>
    </sheetView>
  </sheetViews>
  <sheetFormatPr defaultRowHeight="15" x14ac:dyDescent="0.25"/>
  <cols>
    <col min="1" max="1" width="45.140625" customWidth="1"/>
    <col min="2" max="2" width="15.28515625" customWidth="1"/>
    <col min="3" max="3" width="5.7109375" customWidth="1"/>
    <col min="4" max="4" width="6.7109375" customWidth="1"/>
    <col min="6" max="6" width="8.140625" customWidth="1"/>
    <col min="7" max="7" width="11.140625" customWidth="1"/>
    <col min="8" max="8" width="12.28515625" customWidth="1"/>
  </cols>
  <sheetData>
    <row r="1" spans="1:8" ht="15.75" x14ac:dyDescent="0.25">
      <c r="A1" s="214"/>
      <c r="B1" s="214"/>
      <c r="C1" s="214"/>
      <c r="D1" s="214"/>
      <c r="E1" s="214"/>
      <c r="F1" s="214"/>
      <c r="G1" s="214"/>
      <c r="H1" s="209" t="s">
        <v>1541</v>
      </c>
    </row>
    <row r="2" spans="1:8" ht="15.75" x14ac:dyDescent="0.25">
      <c r="A2" s="214"/>
      <c r="B2" s="214"/>
      <c r="C2" s="214"/>
      <c r="D2" s="214"/>
      <c r="E2" s="214"/>
      <c r="F2" s="214"/>
      <c r="G2" s="214"/>
      <c r="H2" s="209" t="s">
        <v>608</v>
      </c>
    </row>
    <row r="3" spans="1:8" ht="15.75" x14ac:dyDescent="0.25">
      <c r="A3" s="214"/>
      <c r="B3" s="214"/>
      <c r="C3" s="214"/>
      <c r="D3" s="214"/>
      <c r="E3" s="214"/>
      <c r="F3" s="62"/>
      <c r="G3" s="214"/>
      <c r="H3" s="130" t="s">
        <v>1538</v>
      </c>
    </row>
    <row r="4" spans="1:8" s="213" customFormat="1" ht="15.75" x14ac:dyDescent="0.25">
      <c r="A4" s="214"/>
      <c r="B4" s="214"/>
      <c r="C4" s="214"/>
      <c r="D4" s="214"/>
      <c r="E4" s="214"/>
      <c r="F4" s="62"/>
      <c r="G4" s="214"/>
      <c r="H4" s="130"/>
    </row>
    <row r="5" spans="1:8" ht="44.45" customHeight="1" x14ac:dyDescent="0.25">
      <c r="A5" s="408" t="s">
        <v>1353</v>
      </c>
      <c r="B5" s="408"/>
      <c r="C5" s="408"/>
      <c r="D5" s="408"/>
      <c r="E5" s="408"/>
      <c r="F5" s="408"/>
      <c r="G5" s="408"/>
      <c r="H5" s="408"/>
    </row>
    <row r="6" spans="1:8" ht="16.5" x14ac:dyDescent="0.25">
      <c r="A6" s="257"/>
      <c r="B6" s="257"/>
      <c r="C6" s="257"/>
      <c r="D6" s="257"/>
      <c r="E6" s="257"/>
      <c r="F6" s="257"/>
      <c r="G6" s="214"/>
      <c r="H6" s="214"/>
    </row>
    <row r="7" spans="1:8" ht="15.75" x14ac:dyDescent="0.25">
      <c r="A7" s="62"/>
      <c r="B7" s="62"/>
      <c r="C7" s="62"/>
      <c r="D7" s="62"/>
      <c r="E7" s="64"/>
      <c r="F7" s="64"/>
      <c r="G7" s="214"/>
      <c r="H7" s="194" t="s">
        <v>2</v>
      </c>
    </row>
    <row r="8" spans="1:8" ht="31.5" x14ac:dyDescent="0.25">
      <c r="A8" s="66" t="s">
        <v>609</v>
      </c>
      <c r="B8" s="66" t="s">
        <v>634</v>
      </c>
      <c r="C8" s="66" t="s">
        <v>635</v>
      </c>
      <c r="D8" s="66" t="s">
        <v>636</v>
      </c>
      <c r="E8" s="66" t="s">
        <v>637</v>
      </c>
      <c r="F8" s="66" t="s">
        <v>638</v>
      </c>
      <c r="G8" s="181" t="s">
        <v>1193</v>
      </c>
      <c r="H8" s="180" t="s">
        <v>1194</v>
      </c>
    </row>
    <row r="9" spans="1:8" ht="63" x14ac:dyDescent="0.25">
      <c r="A9" s="58" t="s">
        <v>1180</v>
      </c>
      <c r="B9" s="7" t="s">
        <v>526</v>
      </c>
      <c r="C9" s="7"/>
      <c r="D9" s="7"/>
      <c r="E9" s="7"/>
      <c r="F9" s="7"/>
      <c r="G9" s="4">
        <f>G10+G17</f>
        <v>3189</v>
      </c>
      <c r="H9" s="4">
        <f>H10+H17</f>
        <v>3278</v>
      </c>
    </row>
    <row r="10" spans="1:8" ht="36" hidden="1" customHeight="1" x14ac:dyDescent="0.25">
      <c r="A10" s="34" t="s">
        <v>1150</v>
      </c>
      <c r="B10" s="7" t="s">
        <v>1094</v>
      </c>
      <c r="C10" s="40"/>
      <c r="D10" s="40"/>
      <c r="E10" s="40"/>
      <c r="F10" s="40"/>
      <c r="G10" s="6">
        <f>G13</f>
        <v>0</v>
      </c>
      <c r="H10" s="6">
        <f>H13</f>
        <v>0</v>
      </c>
    </row>
    <row r="11" spans="1:8" ht="15.75" hidden="1" x14ac:dyDescent="0.25">
      <c r="A11" s="29" t="s">
        <v>248</v>
      </c>
      <c r="B11" s="40" t="s">
        <v>1094</v>
      </c>
      <c r="C11" s="40" t="s">
        <v>166</v>
      </c>
      <c r="D11" s="40"/>
      <c r="E11" s="40"/>
      <c r="F11" s="40"/>
      <c r="G11" s="6">
        <f t="shared" ref="G11:H11" si="0">G12</f>
        <v>0</v>
      </c>
      <c r="H11" s="6">
        <f t="shared" si="0"/>
        <v>0</v>
      </c>
    </row>
    <row r="12" spans="1:8" ht="15.75" hidden="1" x14ac:dyDescent="0.25">
      <c r="A12" s="29" t="s">
        <v>524</v>
      </c>
      <c r="B12" s="40" t="s">
        <v>1094</v>
      </c>
      <c r="C12" s="40" t="s">
        <v>166</v>
      </c>
      <c r="D12" s="40" t="s">
        <v>235</v>
      </c>
      <c r="E12" s="40"/>
      <c r="F12" s="40"/>
      <c r="G12" s="6">
        <f t="shared" ref="G12:H14" si="1">G13</f>
        <v>0</v>
      </c>
      <c r="H12" s="6">
        <f t="shared" si="1"/>
        <v>0</v>
      </c>
    </row>
    <row r="13" spans="1:8" ht="31.5" hidden="1" x14ac:dyDescent="0.25">
      <c r="A13" s="29" t="s">
        <v>1152</v>
      </c>
      <c r="B13" s="40" t="s">
        <v>1151</v>
      </c>
      <c r="C13" s="40" t="s">
        <v>166</v>
      </c>
      <c r="D13" s="40" t="s">
        <v>235</v>
      </c>
      <c r="E13" s="40"/>
      <c r="F13" s="40"/>
      <c r="G13" s="6">
        <f t="shared" si="1"/>
        <v>0</v>
      </c>
      <c r="H13" s="6">
        <f t="shared" si="1"/>
        <v>0</v>
      </c>
    </row>
    <row r="14" spans="1:8" ht="31.5" hidden="1" x14ac:dyDescent="0.25">
      <c r="A14" s="25" t="s">
        <v>147</v>
      </c>
      <c r="B14" s="40" t="s">
        <v>1151</v>
      </c>
      <c r="C14" s="40" t="s">
        <v>166</v>
      </c>
      <c r="D14" s="40" t="s">
        <v>235</v>
      </c>
      <c r="E14" s="40" t="s">
        <v>148</v>
      </c>
      <c r="F14" s="40"/>
      <c r="G14" s="6">
        <f t="shared" si="1"/>
        <v>0</v>
      </c>
      <c r="H14" s="6">
        <f t="shared" si="1"/>
        <v>0</v>
      </c>
    </row>
    <row r="15" spans="1:8" ht="47.25" hidden="1" x14ac:dyDescent="0.25">
      <c r="A15" s="25" t="s">
        <v>149</v>
      </c>
      <c r="B15" s="40" t="s">
        <v>1151</v>
      </c>
      <c r="C15" s="40" t="s">
        <v>166</v>
      </c>
      <c r="D15" s="40" t="s">
        <v>235</v>
      </c>
      <c r="E15" s="40" t="s">
        <v>150</v>
      </c>
      <c r="F15" s="40"/>
      <c r="G15" s="6">
        <f>'пр.5.1.ведом.21-22'!G884</f>
        <v>0</v>
      </c>
      <c r="H15" s="6">
        <f>'пр.5.1.ведом.21-22'!H884</f>
        <v>0</v>
      </c>
    </row>
    <row r="16" spans="1:8" ht="47.25" hidden="1" x14ac:dyDescent="0.25">
      <c r="A16" s="45" t="s">
        <v>640</v>
      </c>
      <c r="B16" s="40" t="s">
        <v>1151</v>
      </c>
      <c r="C16" s="40" t="s">
        <v>166</v>
      </c>
      <c r="D16" s="40" t="s">
        <v>235</v>
      </c>
      <c r="E16" s="40" t="s">
        <v>150</v>
      </c>
      <c r="F16" s="40" t="s">
        <v>641</v>
      </c>
      <c r="G16" s="6">
        <f>G15</f>
        <v>0</v>
      </c>
      <c r="H16" s="6">
        <f>H15</f>
        <v>0</v>
      </c>
    </row>
    <row r="17" spans="1:8" ht="47.25" x14ac:dyDescent="0.25">
      <c r="A17" s="34" t="s">
        <v>1237</v>
      </c>
      <c r="B17" s="24" t="s">
        <v>1095</v>
      </c>
      <c r="C17" s="40"/>
      <c r="D17" s="40"/>
      <c r="E17" s="40"/>
      <c r="F17" s="40"/>
      <c r="G17" s="6">
        <f t="shared" ref="G17:H19" si="2">G18</f>
        <v>3189</v>
      </c>
      <c r="H17" s="6">
        <f t="shared" si="2"/>
        <v>3278</v>
      </c>
    </row>
    <row r="18" spans="1:8" ht="15.75" x14ac:dyDescent="0.25">
      <c r="A18" s="29" t="s">
        <v>248</v>
      </c>
      <c r="B18" s="40" t="s">
        <v>1095</v>
      </c>
      <c r="C18" s="40" t="s">
        <v>166</v>
      </c>
      <c r="D18" s="40"/>
      <c r="E18" s="40"/>
      <c r="F18" s="40"/>
      <c r="G18" s="6">
        <f t="shared" si="2"/>
        <v>3189</v>
      </c>
      <c r="H18" s="6">
        <f t="shared" si="2"/>
        <v>3278</v>
      </c>
    </row>
    <row r="19" spans="1:8" ht="15.75" x14ac:dyDescent="0.25">
      <c r="A19" s="29" t="s">
        <v>524</v>
      </c>
      <c r="B19" s="40" t="s">
        <v>1095</v>
      </c>
      <c r="C19" s="40" t="s">
        <v>166</v>
      </c>
      <c r="D19" s="40" t="s">
        <v>235</v>
      </c>
      <c r="E19" s="40"/>
      <c r="F19" s="40"/>
      <c r="G19" s="6">
        <f t="shared" si="2"/>
        <v>3189</v>
      </c>
      <c r="H19" s="6">
        <f t="shared" si="2"/>
        <v>3278</v>
      </c>
    </row>
    <row r="20" spans="1:8" ht="15.75" x14ac:dyDescent="0.25">
      <c r="A20" s="29" t="s">
        <v>527</v>
      </c>
      <c r="B20" s="40" t="s">
        <v>1153</v>
      </c>
      <c r="C20" s="40" t="s">
        <v>166</v>
      </c>
      <c r="D20" s="40" t="s">
        <v>235</v>
      </c>
      <c r="E20" s="40"/>
      <c r="F20" s="40"/>
      <c r="G20" s="6">
        <f>G21+G24</f>
        <v>3189</v>
      </c>
      <c r="H20" s="6">
        <f>H21+H24</f>
        <v>3278</v>
      </c>
    </row>
    <row r="21" spans="1:8" ht="31.5" x14ac:dyDescent="0.25">
      <c r="A21" s="29" t="s">
        <v>147</v>
      </c>
      <c r="B21" s="40" t="s">
        <v>1153</v>
      </c>
      <c r="C21" s="40" t="s">
        <v>166</v>
      </c>
      <c r="D21" s="40" t="s">
        <v>235</v>
      </c>
      <c r="E21" s="40" t="s">
        <v>148</v>
      </c>
      <c r="F21" s="40"/>
      <c r="G21" s="6">
        <f t="shared" ref="G21:H21" si="3">G22</f>
        <v>3189</v>
      </c>
      <c r="H21" s="6">
        <f t="shared" si="3"/>
        <v>3278</v>
      </c>
    </row>
    <row r="22" spans="1:8" ht="47.25" x14ac:dyDescent="0.25">
      <c r="A22" s="29" t="s">
        <v>149</v>
      </c>
      <c r="B22" s="40" t="s">
        <v>1153</v>
      </c>
      <c r="C22" s="40" t="s">
        <v>166</v>
      </c>
      <c r="D22" s="40" t="s">
        <v>235</v>
      </c>
      <c r="E22" s="40" t="s">
        <v>150</v>
      </c>
      <c r="F22" s="40"/>
      <c r="G22" s="6">
        <f>'пр.5.1.ведом.21-22'!G888</f>
        <v>3189</v>
      </c>
      <c r="H22" s="6">
        <f>'пр.5.1.ведом.21-22'!H888</f>
        <v>3278</v>
      </c>
    </row>
    <row r="23" spans="1:8" ht="47.25" x14ac:dyDescent="0.25">
      <c r="A23" s="45" t="s">
        <v>640</v>
      </c>
      <c r="B23" s="40" t="s">
        <v>1153</v>
      </c>
      <c r="C23" s="40" t="s">
        <v>166</v>
      </c>
      <c r="D23" s="40" t="s">
        <v>235</v>
      </c>
      <c r="E23" s="40" t="s">
        <v>150</v>
      </c>
      <c r="F23" s="40" t="s">
        <v>641</v>
      </c>
      <c r="G23" s="6">
        <f>G22</f>
        <v>3189</v>
      </c>
      <c r="H23" s="6">
        <f>H22</f>
        <v>3278</v>
      </c>
    </row>
    <row r="24" spans="1:8" ht="15.75" hidden="1" x14ac:dyDescent="0.25">
      <c r="A24" s="25" t="s">
        <v>151</v>
      </c>
      <c r="B24" s="40" t="s">
        <v>1153</v>
      </c>
      <c r="C24" s="40" t="s">
        <v>166</v>
      </c>
      <c r="D24" s="40" t="s">
        <v>235</v>
      </c>
      <c r="E24" s="40" t="s">
        <v>161</v>
      </c>
      <c r="F24" s="40"/>
      <c r="G24" s="6">
        <f t="shared" ref="G24:H24" si="4">G25</f>
        <v>0</v>
      </c>
      <c r="H24" s="6">
        <f t="shared" si="4"/>
        <v>0</v>
      </c>
    </row>
    <row r="25" spans="1:8" ht="15.75" hidden="1" x14ac:dyDescent="0.25">
      <c r="A25" s="25" t="s">
        <v>153</v>
      </c>
      <c r="B25" s="40" t="s">
        <v>1153</v>
      </c>
      <c r="C25" s="40" t="s">
        <v>166</v>
      </c>
      <c r="D25" s="40" t="s">
        <v>235</v>
      </c>
      <c r="E25" s="40" t="s">
        <v>154</v>
      </c>
      <c r="F25" s="40"/>
      <c r="G25" s="6">
        <f>'пр.5.1.ведом.21-22'!G890</f>
        <v>0</v>
      </c>
      <c r="H25" s="6">
        <f>'пр.5.1.ведом.21-22'!H890</f>
        <v>0</v>
      </c>
    </row>
    <row r="26" spans="1:8" ht="47.25" hidden="1" x14ac:dyDescent="0.25">
      <c r="A26" s="45" t="s">
        <v>640</v>
      </c>
      <c r="B26" s="40" t="s">
        <v>1153</v>
      </c>
      <c r="C26" s="40" t="s">
        <v>166</v>
      </c>
      <c r="D26" s="40" t="s">
        <v>235</v>
      </c>
      <c r="E26" s="40" t="s">
        <v>154</v>
      </c>
      <c r="F26" s="40" t="s">
        <v>641</v>
      </c>
      <c r="G26" s="6">
        <f>G25</f>
        <v>0</v>
      </c>
      <c r="H26" s="6">
        <f>H25</f>
        <v>0</v>
      </c>
    </row>
    <row r="27" spans="1:8" ht="63" x14ac:dyDescent="0.25">
      <c r="A27" s="58" t="s">
        <v>359</v>
      </c>
      <c r="B27" s="7" t="s">
        <v>360</v>
      </c>
      <c r="C27" s="7"/>
      <c r="D27" s="7"/>
      <c r="E27" s="7"/>
      <c r="F27" s="7"/>
      <c r="G27" s="59">
        <f>G28+G57+G65+G73+G91+G99+G107+G148</f>
        <v>3474</v>
      </c>
      <c r="H27" s="59">
        <f>H28+H57+H65+H73+H91+H99+H107+H148</f>
        <v>3184.6669999999999</v>
      </c>
    </row>
    <row r="28" spans="1:8" ht="31.5" x14ac:dyDescent="0.25">
      <c r="A28" s="58" t="s">
        <v>642</v>
      </c>
      <c r="B28" s="7" t="s">
        <v>362</v>
      </c>
      <c r="C28" s="7"/>
      <c r="D28" s="7"/>
      <c r="E28" s="7"/>
      <c r="F28" s="7"/>
      <c r="G28" s="59">
        <f>G30+G40+G50</f>
        <v>760</v>
      </c>
      <c r="H28" s="59">
        <f>H30+H40+H50</f>
        <v>760</v>
      </c>
    </row>
    <row r="29" spans="1:8" ht="63" x14ac:dyDescent="0.25">
      <c r="A29" s="219" t="s">
        <v>1196</v>
      </c>
      <c r="B29" s="24" t="s">
        <v>952</v>
      </c>
      <c r="C29" s="7"/>
      <c r="D29" s="7"/>
      <c r="E29" s="40"/>
      <c r="F29" s="40"/>
      <c r="G29" s="59">
        <f>G30</f>
        <v>280</v>
      </c>
      <c r="H29" s="59">
        <f>H30</f>
        <v>280</v>
      </c>
    </row>
    <row r="30" spans="1:8" ht="15.75" x14ac:dyDescent="0.25">
      <c r="A30" s="45" t="s">
        <v>279</v>
      </c>
      <c r="B30" s="40" t="s">
        <v>952</v>
      </c>
      <c r="C30" s="40" t="s">
        <v>280</v>
      </c>
      <c r="D30" s="40"/>
      <c r="E30" s="40"/>
      <c r="F30" s="40"/>
      <c r="G30" s="10">
        <f t="shared" ref="G30:H30" si="5">G31</f>
        <v>280</v>
      </c>
      <c r="H30" s="10">
        <f t="shared" si="5"/>
        <v>280</v>
      </c>
    </row>
    <row r="31" spans="1:8" ht="17.45" customHeight="1" x14ac:dyDescent="0.25">
      <c r="A31" s="45" t="s">
        <v>482</v>
      </c>
      <c r="B31" s="40" t="s">
        <v>952</v>
      </c>
      <c r="C31" s="40" t="s">
        <v>280</v>
      </c>
      <c r="D31" s="40" t="s">
        <v>280</v>
      </c>
      <c r="E31" s="40"/>
      <c r="F31" s="40"/>
      <c r="G31" s="10">
        <f>G32+G36</f>
        <v>280</v>
      </c>
      <c r="H31" s="10">
        <f>H32+H36</f>
        <v>280</v>
      </c>
    </row>
    <row r="32" spans="1:8" ht="31.5" x14ac:dyDescent="0.25">
      <c r="A32" s="99" t="s">
        <v>1202</v>
      </c>
      <c r="B32" s="20" t="s">
        <v>953</v>
      </c>
      <c r="C32" s="40" t="s">
        <v>280</v>
      </c>
      <c r="D32" s="40" t="s">
        <v>280</v>
      </c>
      <c r="E32" s="40"/>
      <c r="F32" s="40"/>
      <c r="G32" s="10">
        <f>G33</f>
        <v>280</v>
      </c>
      <c r="H32" s="10">
        <f>H33</f>
        <v>280</v>
      </c>
    </row>
    <row r="33" spans="1:8" ht="94.5" x14ac:dyDescent="0.25">
      <c r="A33" s="25" t="s">
        <v>143</v>
      </c>
      <c r="B33" s="20" t="s">
        <v>953</v>
      </c>
      <c r="C33" s="40" t="s">
        <v>280</v>
      </c>
      <c r="D33" s="40" t="s">
        <v>280</v>
      </c>
      <c r="E33" s="40" t="s">
        <v>144</v>
      </c>
      <c r="F33" s="40"/>
      <c r="G33" s="10">
        <f>G34</f>
        <v>280</v>
      </c>
      <c r="H33" s="10">
        <f>H34</f>
        <v>280</v>
      </c>
    </row>
    <row r="34" spans="1:8" ht="31.5" x14ac:dyDescent="0.25">
      <c r="A34" s="25" t="s">
        <v>358</v>
      </c>
      <c r="B34" s="20" t="s">
        <v>953</v>
      </c>
      <c r="C34" s="40" t="s">
        <v>280</v>
      </c>
      <c r="D34" s="40" t="s">
        <v>280</v>
      </c>
      <c r="E34" s="40" t="s">
        <v>225</v>
      </c>
      <c r="F34" s="40"/>
      <c r="G34" s="10">
        <f>'пр.5.1.ведом.21-22'!G327</f>
        <v>280</v>
      </c>
      <c r="H34" s="10">
        <f>'пр.5.1.ведом.21-22'!H327</f>
        <v>280</v>
      </c>
    </row>
    <row r="35" spans="1:8" ht="47.25" x14ac:dyDescent="0.25">
      <c r="A35" s="45" t="s">
        <v>277</v>
      </c>
      <c r="B35" s="20" t="s">
        <v>953</v>
      </c>
      <c r="C35" s="40" t="s">
        <v>280</v>
      </c>
      <c r="D35" s="40" t="s">
        <v>280</v>
      </c>
      <c r="E35" s="40" t="s">
        <v>225</v>
      </c>
      <c r="F35" s="40" t="s">
        <v>644</v>
      </c>
      <c r="G35" s="6">
        <f>G34</f>
        <v>280</v>
      </c>
      <c r="H35" s="6">
        <f>H34</f>
        <v>280</v>
      </c>
    </row>
    <row r="36" spans="1:8" ht="31.5" hidden="1" x14ac:dyDescent="0.25">
      <c r="A36" s="25" t="s">
        <v>1197</v>
      </c>
      <c r="B36" s="20" t="s">
        <v>1221</v>
      </c>
      <c r="C36" s="40" t="s">
        <v>280</v>
      </c>
      <c r="D36" s="40" t="s">
        <v>280</v>
      </c>
      <c r="E36" s="40"/>
      <c r="F36" s="40"/>
      <c r="G36" s="10">
        <f>G37</f>
        <v>0</v>
      </c>
      <c r="H36" s="10">
        <f>H37</f>
        <v>0</v>
      </c>
    </row>
    <row r="37" spans="1:8" ht="31.5" hidden="1" x14ac:dyDescent="0.25">
      <c r="A37" s="25" t="s">
        <v>147</v>
      </c>
      <c r="B37" s="20" t="s">
        <v>1221</v>
      </c>
      <c r="C37" s="40" t="s">
        <v>280</v>
      </c>
      <c r="D37" s="40" t="s">
        <v>280</v>
      </c>
      <c r="E37" s="40" t="s">
        <v>148</v>
      </c>
      <c r="F37" s="40"/>
      <c r="G37" s="10">
        <f>G38</f>
        <v>0</v>
      </c>
      <c r="H37" s="10">
        <f>H38</f>
        <v>0</v>
      </c>
    </row>
    <row r="38" spans="1:8" ht="47.25" hidden="1" x14ac:dyDescent="0.25">
      <c r="A38" s="25" t="s">
        <v>149</v>
      </c>
      <c r="B38" s="20" t="s">
        <v>1221</v>
      </c>
      <c r="C38" s="40" t="s">
        <v>280</v>
      </c>
      <c r="D38" s="40" t="s">
        <v>280</v>
      </c>
      <c r="E38" s="40" t="s">
        <v>150</v>
      </c>
      <c r="F38" s="40"/>
      <c r="G38" s="10">
        <f>'пр.5.1.ведом.21-22'!G330</f>
        <v>0</v>
      </c>
      <c r="H38" s="10">
        <f>'пр.5.1.ведом.21-22'!H330</f>
        <v>0</v>
      </c>
    </row>
    <row r="39" spans="1:8" ht="47.25" hidden="1" x14ac:dyDescent="0.25">
      <c r="A39" s="45" t="s">
        <v>277</v>
      </c>
      <c r="B39" s="20" t="s">
        <v>1221</v>
      </c>
      <c r="C39" s="40" t="s">
        <v>280</v>
      </c>
      <c r="D39" s="40" t="s">
        <v>280</v>
      </c>
      <c r="E39" s="40" t="s">
        <v>150</v>
      </c>
      <c r="F39" s="40" t="s">
        <v>644</v>
      </c>
      <c r="G39" s="6">
        <f>G38</f>
        <v>0</v>
      </c>
      <c r="H39" s="6">
        <f>H38</f>
        <v>0</v>
      </c>
    </row>
    <row r="40" spans="1:8" ht="78.75" x14ac:dyDescent="0.25">
      <c r="A40" s="23" t="s">
        <v>1198</v>
      </c>
      <c r="B40" s="24" t="s">
        <v>954</v>
      </c>
      <c r="C40" s="40"/>
      <c r="D40" s="40"/>
      <c r="E40" s="40"/>
      <c r="F40" s="40"/>
      <c r="G40" s="59">
        <f>G41</f>
        <v>455</v>
      </c>
      <c r="H40" s="59">
        <f>H41</f>
        <v>455</v>
      </c>
    </row>
    <row r="41" spans="1:8" ht="15.75" x14ac:dyDescent="0.25">
      <c r="A41" s="45" t="s">
        <v>279</v>
      </c>
      <c r="B41" s="40" t="s">
        <v>954</v>
      </c>
      <c r="C41" s="40" t="s">
        <v>280</v>
      </c>
      <c r="D41" s="40"/>
      <c r="E41" s="40"/>
      <c r="F41" s="40"/>
      <c r="G41" s="10">
        <f>G42</f>
        <v>455</v>
      </c>
      <c r="H41" s="10">
        <f>H42</f>
        <v>455</v>
      </c>
    </row>
    <row r="42" spans="1:8" ht="21.75" customHeight="1" x14ac:dyDescent="0.25">
      <c r="A42" s="45" t="s">
        <v>482</v>
      </c>
      <c r="B42" s="40" t="s">
        <v>954</v>
      </c>
      <c r="C42" s="40" t="s">
        <v>280</v>
      </c>
      <c r="D42" s="40" t="s">
        <v>280</v>
      </c>
      <c r="E42" s="40"/>
      <c r="F42" s="40"/>
      <c r="G42" s="10">
        <f>G43+G47</f>
        <v>455</v>
      </c>
      <c r="H42" s="10">
        <f>H43+H47</f>
        <v>455</v>
      </c>
    </row>
    <row r="43" spans="1:8" ht="31.5" x14ac:dyDescent="0.25">
      <c r="A43" s="25" t="s">
        <v>1199</v>
      </c>
      <c r="B43" s="20" t="s">
        <v>972</v>
      </c>
      <c r="C43" s="40" t="s">
        <v>280</v>
      </c>
      <c r="D43" s="40" t="s">
        <v>280</v>
      </c>
      <c r="E43" s="40"/>
      <c r="F43" s="40"/>
      <c r="G43" s="10">
        <f>G44</f>
        <v>40</v>
      </c>
      <c r="H43" s="10">
        <f>H44</f>
        <v>40</v>
      </c>
    </row>
    <row r="44" spans="1:8" ht="94.5" x14ac:dyDescent="0.25">
      <c r="A44" s="25" t="s">
        <v>143</v>
      </c>
      <c r="B44" s="20" t="s">
        <v>972</v>
      </c>
      <c r="C44" s="40" t="s">
        <v>280</v>
      </c>
      <c r="D44" s="40" t="s">
        <v>280</v>
      </c>
      <c r="E44" s="40" t="s">
        <v>144</v>
      </c>
      <c r="F44" s="40"/>
      <c r="G44" s="10">
        <f t="shared" ref="G44:H44" si="6">G45</f>
        <v>40</v>
      </c>
      <c r="H44" s="10">
        <f t="shared" si="6"/>
        <v>40</v>
      </c>
    </row>
    <row r="45" spans="1:8" ht="31.5" x14ac:dyDescent="0.25">
      <c r="A45" s="25" t="s">
        <v>358</v>
      </c>
      <c r="B45" s="20" t="s">
        <v>972</v>
      </c>
      <c r="C45" s="40" t="s">
        <v>280</v>
      </c>
      <c r="D45" s="40" t="s">
        <v>280</v>
      </c>
      <c r="E45" s="40" t="s">
        <v>225</v>
      </c>
      <c r="F45" s="40"/>
      <c r="G45" s="10">
        <f>'пр.5.1.ведом.21-22'!G334</f>
        <v>40</v>
      </c>
      <c r="H45" s="10">
        <f>'пр.5.1.ведом.21-22'!H334</f>
        <v>40</v>
      </c>
    </row>
    <row r="46" spans="1:8" ht="47.25" x14ac:dyDescent="0.25">
      <c r="A46" s="45" t="s">
        <v>277</v>
      </c>
      <c r="B46" s="20" t="s">
        <v>972</v>
      </c>
      <c r="C46" s="40" t="s">
        <v>280</v>
      </c>
      <c r="D46" s="40" t="s">
        <v>280</v>
      </c>
      <c r="E46" s="40" t="s">
        <v>225</v>
      </c>
      <c r="F46" s="40" t="s">
        <v>644</v>
      </c>
      <c r="G46" s="6">
        <f>G45</f>
        <v>40</v>
      </c>
      <c r="H46" s="6">
        <f>H45</f>
        <v>40</v>
      </c>
    </row>
    <row r="47" spans="1:8" ht="31.5" x14ac:dyDescent="0.25">
      <c r="A47" s="25" t="s">
        <v>147</v>
      </c>
      <c r="B47" s="20" t="s">
        <v>972</v>
      </c>
      <c r="C47" s="40" t="s">
        <v>280</v>
      </c>
      <c r="D47" s="40" t="s">
        <v>280</v>
      </c>
      <c r="E47" s="40" t="s">
        <v>148</v>
      </c>
      <c r="F47" s="40"/>
      <c r="G47" s="10">
        <f t="shared" ref="G47:H47" si="7">G48</f>
        <v>415</v>
      </c>
      <c r="H47" s="10">
        <f t="shared" si="7"/>
        <v>415</v>
      </c>
    </row>
    <row r="48" spans="1:8" ht="47.25" x14ac:dyDescent="0.25">
      <c r="A48" s="25" t="s">
        <v>149</v>
      </c>
      <c r="B48" s="20" t="s">
        <v>972</v>
      </c>
      <c r="C48" s="40" t="s">
        <v>280</v>
      </c>
      <c r="D48" s="40" t="s">
        <v>280</v>
      </c>
      <c r="E48" s="40" t="s">
        <v>150</v>
      </c>
      <c r="F48" s="40"/>
      <c r="G48" s="6">
        <f>'пр.5.1.ведом.21-22'!G336</f>
        <v>415</v>
      </c>
      <c r="H48" s="6">
        <f>'пр.5.1.ведом.21-22'!H336</f>
        <v>415</v>
      </c>
    </row>
    <row r="49" spans="1:8" ht="47.25" x14ac:dyDescent="0.25">
      <c r="A49" s="45" t="s">
        <v>277</v>
      </c>
      <c r="B49" s="20" t="s">
        <v>972</v>
      </c>
      <c r="C49" s="40" t="s">
        <v>280</v>
      </c>
      <c r="D49" s="40" t="s">
        <v>280</v>
      </c>
      <c r="E49" s="40" t="s">
        <v>150</v>
      </c>
      <c r="F49" s="40" t="s">
        <v>644</v>
      </c>
      <c r="G49" s="6">
        <f>G48</f>
        <v>415</v>
      </c>
      <c r="H49" s="6">
        <f>H48</f>
        <v>415</v>
      </c>
    </row>
    <row r="50" spans="1:8" ht="47.25" x14ac:dyDescent="0.25">
      <c r="A50" s="23" t="s">
        <v>1204</v>
      </c>
      <c r="B50" s="24" t="s">
        <v>1200</v>
      </c>
      <c r="C50" s="40"/>
      <c r="D50" s="40"/>
      <c r="E50" s="40"/>
      <c r="F50" s="40"/>
      <c r="G50" s="4">
        <f>G53</f>
        <v>25</v>
      </c>
      <c r="H50" s="4">
        <f>H53</f>
        <v>25</v>
      </c>
    </row>
    <row r="51" spans="1:8" ht="15.75" x14ac:dyDescent="0.25">
      <c r="A51" s="45" t="s">
        <v>279</v>
      </c>
      <c r="B51" s="40" t="s">
        <v>1200</v>
      </c>
      <c r="C51" s="40" t="s">
        <v>280</v>
      </c>
      <c r="D51" s="40"/>
      <c r="E51" s="40"/>
      <c r="F51" s="40"/>
      <c r="G51" s="10">
        <f>G52</f>
        <v>25</v>
      </c>
      <c r="H51" s="10">
        <f>H52</f>
        <v>25</v>
      </c>
    </row>
    <row r="52" spans="1:8" ht="20.25" customHeight="1" x14ac:dyDescent="0.25">
      <c r="A52" s="45" t="s">
        <v>482</v>
      </c>
      <c r="B52" s="40" t="s">
        <v>1200</v>
      </c>
      <c r="C52" s="40" t="s">
        <v>280</v>
      </c>
      <c r="D52" s="40" t="s">
        <v>280</v>
      </c>
      <c r="E52" s="40"/>
      <c r="F52" s="40"/>
      <c r="G52" s="10">
        <f>G53</f>
        <v>25</v>
      </c>
      <c r="H52" s="10">
        <f>H53</f>
        <v>25</v>
      </c>
    </row>
    <row r="53" spans="1:8" ht="63" x14ac:dyDescent="0.25">
      <c r="A53" s="245" t="s">
        <v>1201</v>
      </c>
      <c r="B53" s="20" t="s">
        <v>1222</v>
      </c>
      <c r="C53" s="40" t="s">
        <v>280</v>
      </c>
      <c r="D53" s="40" t="s">
        <v>280</v>
      </c>
      <c r="E53" s="20"/>
      <c r="F53" s="40"/>
      <c r="G53" s="6">
        <f t="shared" ref="G53:H53" si="8">G54</f>
        <v>25</v>
      </c>
      <c r="H53" s="6">
        <f t="shared" si="8"/>
        <v>25</v>
      </c>
    </row>
    <row r="54" spans="1:8" ht="31.5" x14ac:dyDescent="0.25">
      <c r="A54" s="25" t="s">
        <v>264</v>
      </c>
      <c r="B54" s="20" t="s">
        <v>1222</v>
      </c>
      <c r="C54" s="40" t="s">
        <v>280</v>
      </c>
      <c r="D54" s="40" t="s">
        <v>280</v>
      </c>
      <c r="E54" s="20" t="s">
        <v>265</v>
      </c>
      <c r="F54" s="40"/>
      <c r="G54" s="6">
        <f>G55</f>
        <v>25</v>
      </c>
      <c r="H54" s="6">
        <f>H55</f>
        <v>25</v>
      </c>
    </row>
    <row r="55" spans="1:8" ht="31.5" x14ac:dyDescent="0.25">
      <c r="A55" s="25" t="s">
        <v>364</v>
      </c>
      <c r="B55" s="20" t="s">
        <v>1222</v>
      </c>
      <c r="C55" s="40" t="s">
        <v>280</v>
      </c>
      <c r="D55" s="40" t="s">
        <v>280</v>
      </c>
      <c r="E55" s="20" t="s">
        <v>365</v>
      </c>
      <c r="F55" s="40"/>
      <c r="G55" s="10">
        <f>'пр.5.1.ведом.21-22'!G340</f>
        <v>25</v>
      </c>
      <c r="H55" s="10">
        <f>'пр.5.1.ведом.21-22'!H340</f>
        <v>25</v>
      </c>
    </row>
    <row r="56" spans="1:8" ht="47.25" x14ac:dyDescent="0.25">
      <c r="A56" s="45" t="s">
        <v>277</v>
      </c>
      <c r="B56" s="20" t="s">
        <v>1222</v>
      </c>
      <c r="C56" s="40" t="s">
        <v>280</v>
      </c>
      <c r="D56" s="40" t="s">
        <v>280</v>
      </c>
      <c r="E56" s="40" t="s">
        <v>365</v>
      </c>
      <c r="F56" s="40" t="s">
        <v>644</v>
      </c>
      <c r="G56" s="6">
        <f>G55</f>
        <v>25</v>
      </c>
      <c r="H56" s="6">
        <f>H55</f>
        <v>25</v>
      </c>
    </row>
    <row r="57" spans="1:8" ht="47.25" x14ac:dyDescent="0.25">
      <c r="A57" s="58" t="s">
        <v>645</v>
      </c>
      <c r="B57" s="7" t="s">
        <v>369</v>
      </c>
      <c r="C57" s="7"/>
      <c r="D57" s="7"/>
      <c r="E57" s="7"/>
      <c r="F57" s="7"/>
      <c r="G57" s="59">
        <f>G58</f>
        <v>44</v>
      </c>
      <c r="H57" s="59">
        <f>H58</f>
        <v>54</v>
      </c>
    </row>
    <row r="58" spans="1:8" ht="31.5" x14ac:dyDescent="0.25">
      <c r="A58" s="23" t="s">
        <v>976</v>
      </c>
      <c r="B58" s="24" t="s">
        <v>975</v>
      </c>
      <c r="C58" s="7"/>
      <c r="D58" s="7"/>
      <c r="E58" s="7"/>
      <c r="F58" s="7"/>
      <c r="G58" s="59">
        <f>G59</f>
        <v>44</v>
      </c>
      <c r="H58" s="59">
        <f>H59</f>
        <v>54</v>
      </c>
    </row>
    <row r="59" spans="1:8" ht="15.75" x14ac:dyDescent="0.25">
      <c r="A59" s="45" t="s">
        <v>259</v>
      </c>
      <c r="B59" s="40" t="s">
        <v>975</v>
      </c>
      <c r="C59" s="40" t="s">
        <v>260</v>
      </c>
      <c r="D59" s="40"/>
      <c r="E59" s="40"/>
      <c r="F59" s="40"/>
      <c r="G59" s="10">
        <f t="shared" ref="G59:H62" si="9">G60</f>
        <v>44</v>
      </c>
      <c r="H59" s="10">
        <f t="shared" si="9"/>
        <v>54</v>
      </c>
    </row>
    <row r="60" spans="1:8" ht="15.75" x14ac:dyDescent="0.25">
      <c r="A60" s="45" t="s">
        <v>268</v>
      </c>
      <c r="B60" s="40" t="s">
        <v>975</v>
      </c>
      <c r="C60" s="40" t="s">
        <v>260</v>
      </c>
      <c r="D60" s="40" t="s">
        <v>231</v>
      </c>
      <c r="E60" s="40"/>
      <c r="F60" s="40"/>
      <c r="G60" s="10">
        <f>G61</f>
        <v>44</v>
      </c>
      <c r="H60" s="10">
        <f>H61</f>
        <v>54</v>
      </c>
    </row>
    <row r="61" spans="1:8" ht="31.5" x14ac:dyDescent="0.25">
      <c r="A61" s="25" t="s">
        <v>869</v>
      </c>
      <c r="B61" s="20" t="s">
        <v>977</v>
      </c>
      <c r="C61" s="40" t="s">
        <v>260</v>
      </c>
      <c r="D61" s="40" t="s">
        <v>231</v>
      </c>
      <c r="E61" s="40"/>
      <c r="F61" s="40"/>
      <c r="G61" s="10">
        <f t="shared" si="9"/>
        <v>44</v>
      </c>
      <c r="H61" s="10">
        <f t="shared" si="9"/>
        <v>54</v>
      </c>
    </row>
    <row r="62" spans="1:8" ht="31.5" x14ac:dyDescent="0.25">
      <c r="A62" s="29" t="s">
        <v>264</v>
      </c>
      <c r="B62" s="20" t="s">
        <v>977</v>
      </c>
      <c r="C62" s="40" t="s">
        <v>260</v>
      </c>
      <c r="D62" s="40" t="s">
        <v>231</v>
      </c>
      <c r="E62" s="40" t="s">
        <v>265</v>
      </c>
      <c r="F62" s="40"/>
      <c r="G62" s="10">
        <f t="shared" si="9"/>
        <v>44</v>
      </c>
      <c r="H62" s="10">
        <f t="shared" si="9"/>
        <v>54</v>
      </c>
    </row>
    <row r="63" spans="1:8" ht="47.25" x14ac:dyDescent="0.25">
      <c r="A63" s="29" t="s">
        <v>266</v>
      </c>
      <c r="B63" s="20" t="s">
        <v>977</v>
      </c>
      <c r="C63" s="40" t="s">
        <v>260</v>
      </c>
      <c r="D63" s="40" t="s">
        <v>231</v>
      </c>
      <c r="E63" s="40" t="s">
        <v>267</v>
      </c>
      <c r="F63" s="40"/>
      <c r="G63" s="10">
        <f>'пр.5.1.ведом.21-22'!G451</f>
        <v>44</v>
      </c>
      <c r="H63" s="10">
        <f>'пр.5.1.ведом.21-22'!H451</f>
        <v>54</v>
      </c>
    </row>
    <row r="64" spans="1:8" ht="47.25" x14ac:dyDescent="0.25">
      <c r="A64" s="45" t="s">
        <v>277</v>
      </c>
      <c r="B64" s="20" t="s">
        <v>977</v>
      </c>
      <c r="C64" s="40" t="s">
        <v>260</v>
      </c>
      <c r="D64" s="40" t="s">
        <v>231</v>
      </c>
      <c r="E64" s="40" t="s">
        <v>267</v>
      </c>
      <c r="F64" s="40" t="s">
        <v>644</v>
      </c>
      <c r="G64" s="10">
        <f>G63</f>
        <v>44</v>
      </c>
      <c r="H64" s="10">
        <f>H63</f>
        <v>54</v>
      </c>
    </row>
    <row r="65" spans="1:8" ht="47.25" x14ac:dyDescent="0.25">
      <c r="A65" s="58" t="s">
        <v>646</v>
      </c>
      <c r="B65" s="7" t="s">
        <v>372</v>
      </c>
      <c r="C65" s="7"/>
      <c r="D65" s="7"/>
      <c r="E65" s="7"/>
      <c r="F65" s="7"/>
      <c r="G65" s="59">
        <f t="shared" ref="G65:H65" si="10">G67</f>
        <v>420</v>
      </c>
      <c r="H65" s="59">
        <f t="shared" si="10"/>
        <v>420</v>
      </c>
    </row>
    <row r="66" spans="1:8" ht="47.25" x14ac:dyDescent="0.25">
      <c r="A66" s="23" t="s">
        <v>1148</v>
      </c>
      <c r="B66" s="24" t="s">
        <v>978</v>
      </c>
      <c r="C66" s="40"/>
      <c r="D66" s="40"/>
      <c r="E66" s="40"/>
      <c r="F66" s="40"/>
      <c r="G66" s="10">
        <f>G67</f>
        <v>420</v>
      </c>
      <c r="H66" s="10">
        <f>H67</f>
        <v>420</v>
      </c>
    </row>
    <row r="67" spans="1:8" ht="15.75" x14ac:dyDescent="0.25">
      <c r="A67" s="45" t="s">
        <v>259</v>
      </c>
      <c r="B67" s="40" t="s">
        <v>978</v>
      </c>
      <c r="C67" s="40" t="s">
        <v>260</v>
      </c>
      <c r="D67" s="40"/>
      <c r="E67" s="40"/>
      <c r="F67" s="40"/>
      <c r="G67" s="10">
        <f t="shared" ref="G67:H70" si="11">G68</f>
        <v>420</v>
      </c>
      <c r="H67" s="10">
        <f t="shared" si="11"/>
        <v>420</v>
      </c>
    </row>
    <row r="68" spans="1:8" ht="15.75" x14ac:dyDescent="0.25">
      <c r="A68" s="45" t="s">
        <v>268</v>
      </c>
      <c r="B68" s="40" t="s">
        <v>978</v>
      </c>
      <c r="C68" s="40" t="s">
        <v>260</v>
      </c>
      <c r="D68" s="40" t="s">
        <v>231</v>
      </c>
      <c r="E68" s="40"/>
      <c r="F68" s="40"/>
      <c r="G68" s="10">
        <f>G69</f>
        <v>420</v>
      </c>
      <c r="H68" s="10">
        <f>H69</f>
        <v>420</v>
      </c>
    </row>
    <row r="69" spans="1:8" ht="31.5" x14ac:dyDescent="0.25">
      <c r="A69" s="29" t="s">
        <v>173</v>
      </c>
      <c r="B69" s="20" t="s">
        <v>979</v>
      </c>
      <c r="C69" s="40" t="s">
        <v>260</v>
      </c>
      <c r="D69" s="40" t="s">
        <v>231</v>
      </c>
      <c r="E69" s="40"/>
      <c r="F69" s="40"/>
      <c r="G69" s="10">
        <f t="shared" si="11"/>
        <v>420</v>
      </c>
      <c r="H69" s="10">
        <f t="shared" si="11"/>
        <v>420</v>
      </c>
    </row>
    <row r="70" spans="1:8" ht="31.5" x14ac:dyDescent="0.25">
      <c r="A70" s="29" t="s">
        <v>264</v>
      </c>
      <c r="B70" s="20" t="s">
        <v>979</v>
      </c>
      <c r="C70" s="40" t="s">
        <v>260</v>
      </c>
      <c r="D70" s="40" t="s">
        <v>231</v>
      </c>
      <c r="E70" s="40" t="s">
        <v>265</v>
      </c>
      <c r="F70" s="40"/>
      <c r="G70" s="10">
        <f t="shared" si="11"/>
        <v>420</v>
      </c>
      <c r="H70" s="10">
        <f t="shared" si="11"/>
        <v>420</v>
      </c>
    </row>
    <row r="71" spans="1:8" ht="31.5" x14ac:dyDescent="0.25">
      <c r="A71" s="29" t="s">
        <v>364</v>
      </c>
      <c r="B71" s="20" t="s">
        <v>979</v>
      </c>
      <c r="C71" s="40" t="s">
        <v>260</v>
      </c>
      <c r="D71" s="40" t="s">
        <v>231</v>
      </c>
      <c r="E71" s="40" t="s">
        <v>365</v>
      </c>
      <c r="F71" s="40"/>
      <c r="G71" s="10">
        <f>'пр.5.1.ведом.21-22'!G456</f>
        <v>420</v>
      </c>
      <c r="H71" s="10">
        <f>'пр.5.1.ведом.21-22'!H456</f>
        <v>420</v>
      </c>
    </row>
    <row r="72" spans="1:8" ht="47.25" x14ac:dyDescent="0.25">
      <c r="A72" s="45" t="s">
        <v>277</v>
      </c>
      <c r="B72" s="20" t="s">
        <v>979</v>
      </c>
      <c r="C72" s="40" t="s">
        <v>260</v>
      </c>
      <c r="D72" s="40" t="s">
        <v>231</v>
      </c>
      <c r="E72" s="40" t="s">
        <v>365</v>
      </c>
      <c r="F72" s="40" t="s">
        <v>644</v>
      </c>
      <c r="G72" s="10">
        <f>G71</f>
        <v>420</v>
      </c>
      <c r="H72" s="10">
        <f>H71</f>
        <v>420</v>
      </c>
    </row>
    <row r="73" spans="1:8" ht="31.5" x14ac:dyDescent="0.25">
      <c r="A73" s="58" t="s">
        <v>648</v>
      </c>
      <c r="B73" s="7" t="s">
        <v>375</v>
      </c>
      <c r="C73" s="7"/>
      <c r="D73" s="7"/>
      <c r="E73" s="7"/>
      <c r="F73" s="7"/>
      <c r="G73" s="59">
        <f>G75+G81</f>
        <v>1110</v>
      </c>
      <c r="H73" s="59">
        <f>H75+H81</f>
        <v>1110</v>
      </c>
    </row>
    <row r="74" spans="1:8" ht="31.5" x14ac:dyDescent="0.25">
      <c r="A74" s="23" t="s">
        <v>1205</v>
      </c>
      <c r="B74" s="24" t="s">
        <v>981</v>
      </c>
      <c r="C74" s="40"/>
      <c r="D74" s="40"/>
      <c r="E74" s="40"/>
      <c r="F74" s="40"/>
      <c r="G74" s="10">
        <f>G75</f>
        <v>630</v>
      </c>
      <c r="H74" s="10">
        <f>H75</f>
        <v>630</v>
      </c>
    </row>
    <row r="75" spans="1:8" ht="15.75" x14ac:dyDescent="0.25">
      <c r="A75" s="45" t="s">
        <v>259</v>
      </c>
      <c r="B75" s="40" t="s">
        <v>981</v>
      </c>
      <c r="C75" s="40" t="s">
        <v>260</v>
      </c>
      <c r="D75" s="40"/>
      <c r="E75" s="40"/>
      <c r="F75" s="40"/>
      <c r="G75" s="10">
        <f t="shared" ref="G75:H75" si="12">G76</f>
        <v>630</v>
      </c>
      <c r="H75" s="10">
        <f t="shared" si="12"/>
        <v>630</v>
      </c>
    </row>
    <row r="76" spans="1:8" ht="15.75" x14ac:dyDescent="0.25">
      <c r="A76" s="45" t="s">
        <v>268</v>
      </c>
      <c r="B76" s="40" t="s">
        <v>981</v>
      </c>
      <c r="C76" s="40" t="s">
        <v>260</v>
      </c>
      <c r="D76" s="40" t="s">
        <v>231</v>
      </c>
      <c r="E76" s="40"/>
      <c r="F76" s="40"/>
      <c r="G76" s="10">
        <f>G77</f>
        <v>630</v>
      </c>
      <c r="H76" s="10">
        <f>H77</f>
        <v>630</v>
      </c>
    </row>
    <row r="77" spans="1:8" ht="63" x14ac:dyDescent="0.25">
      <c r="A77" s="99" t="s">
        <v>1206</v>
      </c>
      <c r="B77" s="20" t="s">
        <v>982</v>
      </c>
      <c r="C77" s="40" t="s">
        <v>260</v>
      </c>
      <c r="D77" s="40" t="s">
        <v>231</v>
      </c>
      <c r="E77" s="40"/>
      <c r="F77" s="40"/>
      <c r="G77" s="10">
        <f>G78</f>
        <v>630</v>
      </c>
      <c r="H77" s="10">
        <f>H78</f>
        <v>630</v>
      </c>
    </row>
    <row r="78" spans="1:8" ht="31.5" x14ac:dyDescent="0.25">
      <c r="A78" s="25" t="s">
        <v>264</v>
      </c>
      <c r="B78" s="20" t="s">
        <v>982</v>
      </c>
      <c r="C78" s="40" t="s">
        <v>260</v>
      </c>
      <c r="D78" s="40" t="s">
        <v>231</v>
      </c>
      <c r="E78" s="40" t="s">
        <v>265</v>
      </c>
      <c r="F78" s="40"/>
      <c r="G78" s="10">
        <f t="shared" ref="G78:H78" si="13">G79</f>
        <v>630</v>
      </c>
      <c r="H78" s="10">
        <f t="shared" si="13"/>
        <v>630</v>
      </c>
    </row>
    <row r="79" spans="1:8" ht="31.5" x14ac:dyDescent="0.25">
      <c r="A79" s="25" t="s">
        <v>364</v>
      </c>
      <c r="B79" s="20" t="s">
        <v>982</v>
      </c>
      <c r="C79" s="40" t="s">
        <v>260</v>
      </c>
      <c r="D79" s="40" t="s">
        <v>231</v>
      </c>
      <c r="E79" s="40" t="s">
        <v>365</v>
      </c>
      <c r="F79" s="40"/>
      <c r="G79" s="10">
        <f>'пр.5.1.ведом.21-22'!G461</f>
        <v>630</v>
      </c>
      <c r="H79" s="10">
        <f>'пр.5.1.ведом.21-22'!H461</f>
        <v>630</v>
      </c>
    </row>
    <row r="80" spans="1:8" ht="47.25" x14ac:dyDescent="0.25">
      <c r="A80" s="45" t="s">
        <v>277</v>
      </c>
      <c r="B80" s="20" t="s">
        <v>982</v>
      </c>
      <c r="C80" s="40" t="s">
        <v>260</v>
      </c>
      <c r="D80" s="40" t="s">
        <v>231</v>
      </c>
      <c r="E80" s="40" t="s">
        <v>365</v>
      </c>
      <c r="F80" s="40" t="s">
        <v>644</v>
      </c>
      <c r="G80" s="10">
        <f>G79</f>
        <v>630</v>
      </c>
      <c r="H80" s="10">
        <f>H79</f>
        <v>630</v>
      </c>
    </row>
    <row r="81" spans="1:8" ht="31.5" x14ac:dyDescent="0.25">
      <c r="A81" s="23" t="s">
        <v>980</v>
      </c>
      <c r="B81" s="24" t="s">
        <v>983</v>
      </c>
      <c r="C81" s="7"/>
      <c r="D81" s="7"/>
      <c r="E81" s="7"/>
      <c r="F81" s="7"/>
      <c r="G81" s="59">
        <f>G84+G88</f>
        <v>480</v>
      </c>
      <c r="H81" s="59">
        <f>H84+H88</f>
        <v>480</v>
      </c>
    </row>
    <row r="82" spans="1:8" ht="15.75" x14ac:dyDescent="0.25">
      <c r="A82" s="45" t="s">
        <v>259</v>
      </c>
      <c r="B82" s="40" t="s">
        <v>983</v>
      </c>
      <c r="C82" s="40" t="s">
        <v>260</v>
      </c>
      <c r="D82" s="40"/>
      <c r="E82" s="40"/>
      <c r="F82" s="40"/>
      <c r="G82" s="10">
        <f t="shared" ref="G82:H82" si="14">G83</f>
        <v>270</v>
      </c>
      <c r="H82" s="10">
        <f t="shared" si="14"/>
        <v>270</v>
      </c>
    </row>
    <row r="83" spans="1:8" ht="15.75" x14ac:dyDescent="0.25">
      <c r="A83" s="45" t="s">
        <v>268</v>
      </c>
      <c r="B83" s="40" t="s">
        <v>983</v>
      </c>
      <c r="C83" s="40" t="s">
        <v>260</v>
      </c>
      <c r="D83" s="40" t="s">
        <v>231</v>
      </c>
      <c r="E83" s="40"/>
      <c r="F83" s="40"/>
      <c r="G83" s="10">
        <f t="shared" ref="G83:H85" si="15">G84</f>
        <v>270</v>
      </c>
      <c r="H83" s="10">
        <f t="shared" si="15"/>
        <v>270</v>
      </c>
    </row>
    <row r="84" spans="1:8" ht="31.5" x14ac:dyDescent="0.25">
      <c r="A84" s="25" t="s">
        <v>1149</v>
      </c>
      <c r="B84" s="20" t="s">
        <v>984</v>
      </c>
      <c r="C84" s="40" t="s">
        <v>260</v>
      </c>
      <c r="D84" s="40" t="s">
        <v>231</v>
      </c>
      <c r="E84" s="40"/>
      <c r="F84" s="40"/>
      <c r="G84" s="10">
        <f t="shared" si="15"/>
        <v>270</v>
      </c>
      <c r="H84" s="10">
        <f t="shared" si="15"/>
        <v>270</v>
      </c>
    </row>
    <row r="85" spans="1:8" ht="31.5" x14ac:dyDescent="0.25">
      <c r="A85" s="25" t="s">
        <v>147</v>
      </c>
      <c r="B85" s="20" t="s">
        <v>984</v>
      </c>
      <c r="C85" s="40" t="s">
        <v>260</v>
      </c>
      <c r="D85" s="40" t="s">
        <v>231</v>
      </c>
      <c r="E85" s="40" t="s">
        <v>148</v>
      </c>
      <c r="F85" s="40"/>
      <c r="G85" s="10">
        <f t="shared" si="15"/>
        <v>270</v>
      </c>
      <c r="H85" s="10">
        <f t="shared" si="15"/>
        <v>270</v>
      </c>
    </row>
    <row r="86" spans="1:8" ht="47.25" x14ac:dyDescent="0.25">
      <c r="A86" s="25" t="s">
        <v>149</v>
      </c>
      <c r="B86" s="20" t="s">
        <v>984</v>
      </c>
      <c r="C86" s="40" t="s">
        <v>260</v>
      </c>
      <c r="D86" s="40" t="s">
        <v>231</v>
      </c>
      <c r="E86" s="40" t="s">
        <v>150</v>
      </c>
      <c r="F86" s="40"/>
      <c r="G86" s="10">
        <f>'пр.5.1.ведом.21-22'!G465</f>
        <v>270</v>
      </c>
      <c r="H86" s="10">
        <f>'пр.5.1.ведом.21-22'!H465</f>
        <v>270</v>
      </c>
    </row>
    <row r="87" spans="1:8" ht="47.25" x14ac:dyDescent="0.25">
      <c r="A87" s="45" t="s">
        <v>277</v>
      </c>
      <c r="B87" s="20" t="s">
        <v>984</v>
      </c>
      <c r="C87" s="40" t="s">
        <v>260</v>
      </c>
      <c r="D87" s="40" t="s">
        <v>231</v>
      </c>
      <c r="E87" s="40" t="s">
        <v>150</v>
      </c>
      <c r="F87" s="40" t="s">
        <v>644</v>
      </c>
      <c r="G87" s="10">
        <f>G86</f>
        <v>270</v>
      </c>
      <c r="H87" s="10">
        <f>H86</f>
        <v>270</v>
      </c>
    </row>
    <row r="88" spans="1:8" s="213" customFormat="1" ht="31.5" x14ac:dyDescent="0.25">
      <c r="A88" s="25" t="s">
        <v>264</v>
      </c>
      <c r="B88" s="20" t="s">
        <v>984</v>
      </c>
      <c r="C88" s="40" t="s">
        <v>260</v>
      </c>
      <c r="D88" s="40" t="s">
        <v>231</v>
      </c>
      <c r="E88" s="40" t="s">
        <v>265</v>
      </c>
      <c r="F88" s="40"/>
      <c r="G88" s="10">
        <f>G89</f>
        <v>210</v>
      </c>
      <c r="H88" s="10">
        <f>H89</f>
        <v>210</v>
      </c>
    </row>
    <row r="89" spans="1:8" s="213" customFormat="1" ht="31.5" x14ac:dyDescent="0.25">
      <c r="A89" s="25" t="s">
        <v>364</v>
      </c>
      <c r="B89" s="20" t="s">
        <v>984</v>
      </c>
      <c r="C89" s="40" t="s">
        <v>260</v>
      </c>
      <c r="D89" s="40" t="s">
        <v>231</v>
      </c>
      <c r="E89" s="40" t="s">
        <v>365</v>
      </c>
      <c r="F89" s="40"/>
      <c r="G89" s="10">
        <f>'пр.5.1.ведом.21-22'!G467</f>
        <v>210</v>
      </c>
      <c r="H89" s="10">
        <f>'пр.5.1.ведом.21-22'!H467</f>
        <v>210</v>
      </c>
    </row>
    <row r="90" spans="1:8" s="213" customFormat="1" ht="47.25" x14ac:dyDescent="0.25">
      <c r="A90" s="45" t="s">
        <v>277</v>
      </c>
      <c r="B90" s="20" t="s">
        <v>984</v>
      </c>
      <c r="C90" s="40" t="s">
        <v>260</v>
      </c>
      <c r="D90" s="40" t="s">
        <v>231</v>
      </c>
      <c r="E90" s="40" t="s">
        <v>365</v>
      </c>
      <c r="F90" s="40" t="s">
        <v>644</v>
      </c>
      <c r="G90" s="10">
        <f>G89</f>
        <v>210</v>
      </c>
      <c r="H90" s="10">
        <f>H89</f>
        <v>210</v>
      </c>
    </row>
    <row r="91" spans="1:8" ht="47.25" x14ac:dyDescent="0.25">
      <c r="A91" s="58" t="s">
        <v>650</v>
      </c>
      <c r="B91" s="7" t="s">
        <v>378</v>
      </c>
      <c r="C91" s="7"/>
      <c r="D91" s="7"/>
      <c r="E91" s="7"/>
      <c r="F91" s="7"/>
      <c r="G91" s="59">
        <f t="shared" ref="G91:H91" si="16">G93</f>
        <v>250</v>
      </c>
      <c r="H91" s="59">
        <f t="shared" si="16"/>
        <v>250</v>
      </c>
    </row>
    <row r="92" spans="1:8" ht="47.25" x14ac:dyDescent="0.25">
      <c r="A92" s="23" t="s">
        <v>1208</v>
      </c>
      <c r="B92" s="24" t="s">
        <v>986</v>
      </c>
      <c r="C92" s="7"/>
      <c r="D92" s="7"/>
      <c r="E92" s="7"/>
      <c r="F92" s="7"/>
      <c r="G92" s="59">
        <f>G93</f>
        <v>250</v>
      </c>
      <c r="H92" s="59">
        <f>H93</f>
        <v>250</v>
      </c>
    </row>
    <row r="93" spans="1:8" ht="15.75" x14ac:dyDescent="0.25">
      <c r="A93" s="45" t="s">
        <v>259</v>
      </c>
      <c r="B93" s="40" t="s">
        <v>986</v>
      </c>
      <c r="C93" s="40" t="s">
        <v>260</v>
      </c>
      <c r="D93" s="40"/>
      <c r="E93" s="40"/>
      <c r="F93" s="40"/>
      <c r="G93" s="10">
        <f t="shared" ref="G93:H96" si="17">G94</f>
        <v>250</v>
      </c>
      <c r="H93" s="10">
        <f t="shared" si="17"/>
        <v>250</v>
      </c>
    </row>
    <row r="94" spans="1:8" ht="15.75" x14ac:dyDescent="0.25">
      <c r="A94" s="45" t="s">
        <v>268</v>
      </c>
      <c r="B94" s="40" t="s">
        <v>986</v>
      </c>
      <c r="C94" s="40" t="s">
        <v>260</v>
      </c>
      <c r="D94" s="40" t="s">
        <v>231</v>
      </c>
      <c r="E94" s="40"/>
      <c r="F94" s="40"/>
      <c r="G94" s="10">
        <f>G95</f>
        <v>250</v>
      </c>
      <c r="H94" s="10">
        <f>H95</f>
        <v>250</v>
      </c>
    </row>
    <row r="95" spans="1:8" ht="63" x14ac:dyDescent="0.25">
      <c r="A95" s="25" t="s">
        <v>1207</v>
      </c>
      <c r="B95" s="20" t="s">
        <v>985</v>
      </c>
      <c r="C95" s="40" t="s">
        <v>260</v>
      </c>
      <c r="D95" s="40" t="s">
        <v>231</v>
      </c>
      <c r="E95" s="40"/>
      <c r="F95" s="40"/>
      <c r="G95" s="10">
        <f t="shared" si="17"/>
        <v>250</v>
      </c>
      <c r="H95" s="10">
        <f t="shared" si="17"/>
        <v>250</v>
      </c>
    </row>
    <row r="96" spans="1:8" ht="31.5" x14ac:dyDescent="0.25">
      <c r="A96" s="25" t="s">
        <v>264</v>
      </c>
      <c r="B96" s="20" t="s">
        <v>985</v>
      </c>
      <c r="C96" s="40" t="s">
        <v>260</v>
      </c>
      <c r="D96" s="40" t="s">
        <v>231</v>
      </c>
      <c r="E96" s="40" t="s">
        <v>265</v>
      </c>
      <c r="F96" s="40"/>
      <c r="G96" s="10">
        <f t="shared" si="17"/>
        <v>250</v>
      </c>
      <c r="H96" s="10">
        <f t="shared" si="17"/>
        <v>250</v>
      </c>
    </row>
    <row r="97" spans="1:8" ht="31.5" x14ac:dyDescent="0.25">
      <c r="A97" s="25" t="s">
        <v>364</v>
      </c>
      <c r="B97" s="20" t="s">
        <v>985</v>
      </c>
      <c r="C97" s="40" t="s">
        <v>260</v>
      </c>
      <c r="D97" s="40" t="s">
        <v>231</v>
      </c>
      <c r="E97" s="40" t="s">
        <v>365</v>
      </c>
      <c r="F97" s="40"/>
      <c r="G97" s="10">
        <f>'пр.5.1.ведом.21-22'!G472</f>
        <v>250</v>
      </c>
      <c r="H97" s="10">
        <f>'пр.5.1.ведом.21-22'!H472</f>
        <v>250</v>
      </c>
    </row>
    <row r="98" spans="1:8" ht="47.25" x14ac:dyDescent="0.25">
      <c r="A98" s="45" t="s">
        <v>277</v>
      </c>
      <c r="B98" s="20" t="s">
        <v>985</v>
      </c>
      <c r="C98" s="40" t="s">
        <v>260</v>
      </c>
      <c r="D98" s="40" t="s">
        <v>231</v>
      </c>
      <c r="E98" s="40" t="s">
        <v>365</v>
      </c>
      <c r="F98" s="40" t="s">
        <v>644</v>
      </c>
      <c r="G98" s="10">
        <f>G97</f>
        <v>250</v>
      </c>
      <c r="H98" s="10">
        <f>H97</f>
        <v>250</v>
      </c>
    </row>
    <row r="99" spans="1:8" ht="63" x14ac:dyDescent="0.25">
      <c r="A99" s="58" t="s">
        <v>380</v>
      </c>
      <c r="B99" s="7" t="s">
        <v>381</v>
      </c>
      <c r="C99" s="7"/>
      <c r="D99" s="7"/>
      <c r="E99" s="7"/>
      <c r="F99" s="7"/>
      <c r="G99" s="59">
        <f t="shared" ref="G99:H99" si="18">G101</f>
        <v>260</v>
      </c>
      <c r="H99" s="59">
        <f t="shared" si="18"/>
        <v>81.966999999999999</v>
      </c>
    </row>
    <row r="100" spans="1:8" ht="31.5" x14ac:dyDescent="0.25">
      <c r="A100" s="23" t="s">
        <v>1147</v>
      </c>
      <c r="B100" s="24" t="s">
        <v>966</v>
      </c>
      <c r="C100" s="7"/>
      <c r="D100" s="7"/>
      <c r="E100" s="7"/>
      <c r="F100" s="7"/>
      <c r="G100" s="59">
        <f t="shared" ref="G100:H102" si="19">G101</f>
        <v>260</v>
      </c>
      <c r="H100" s="59">
        <f t="shared" si="19"/>
        <v>81.966999999999999</v>
      </c>
    </row>
    <row r="101" spans="1:8" ht="15.75" x14ac:dyDescent="0.25">
      <c r="A101" s="45" t="s">
        <v>314</v>
      </c>
      <c r="B101" s="40" t="s">
        <v>966</v>
      </c>
      <c r="C101" s="40" t="s">
        <v>315</v>
      </c>
      <c r="D101" s="40"/>
      <c r="E101" s="40"/>
      <c r="F101" s="40"/>
      <c r="G101" s="10">
        <f t="shared" si="19"/>
        <v>260</v>
      </c>
      <c r="H101" s="10">
        <f t="shared" si="19"/>
        <v>81.966999999999999</v>
      </c>
    </row>
    <row r="102" spans="1:8" ht="31.5" x14ac:dyDescent="0.25">
      <c r="A102" s="45" t="s">
        <v>349</v>
      </c>
      <c r="B102" s="40" t="s">
        <v>966</v>
      </c>
      <c r="C102" s="40" t="s">
        <v>315</v>
      </c>
      <c r="D102" s="40" t="s">
        <v>166</v>
      </c>
      <c r="E102" s="40"/>
      <c r="F102" s="40"/>
      <c r="G102" s="10">
        <f t="shared" si="19"/>
        <v>260</v>
      </c>
      <c r="H102" s="10">
        <f t="shared" si="19"/>
        <v>81.966999999999999</v>
      </c>
    </row>
    <row r="103" spans="1:8" ht="31.5" x14ac:dyDescent="0.25">
      <c r="A103" s="29" t="s">
        <v>173</v>
      </c>
      <c r="B103" s="20" t="s">
        <v>1223</v>
      </c>
      <c r="C103" s="40" t="s">
        <v>315</v>
      </c>
      <c r="D103" s="40" t="s">
        <v>166</v>
      </c>
      <c r="E103" s="40"/>
      <c r="F103" s="40"/>
      <c r="G103" s="10">
        <f t="shared" ref="G103:H104" si="20">G104</f>
        <v>260</v>
      </c>
      <c r="H103" s="10">
        <f t="shared" si="20"/>
        <v>81.966999999999999</v>
      </c>
    </row>
    <row r="104" spans="1:8" ht="31.5" x14ac:dyDescent="0.25">
      <c r="A104" s="29" t="s">
        <v>147</v>
      </c>
      <c r="B104" s="20" t="s">
        <v>1223</v>
      </c>
      <c r="C104" s="40" t="s">
        <v>315</v>
      </c>
      <c r="D104" s="40" t="s">
        <v>166</v>
      </c>
      <c r="E104" s="40" t="s">
        <v>148</v>
      </c>
      <c r="F104" s="40"/>
      <c r="G104" s="10">
        <f t="shared" si="20"/>
        <v>260</v>
      </c>
      <c r="H104" s="10">
        <f t="shared" si="20"/>
        <v>81.966999999999999</v>
      </c>
    </row>
    <row r="105" spans="1:8" ht="47.25" x14ac:dyDescent="0.25">
      <c r="A105" s="29" t="s">
        <v>149</v>
      </c>
      <c r="B105" s="20" t="s">
        <v>1223</v>
      </c>
      <c r="C105" s="40" t="s">
        <v>315</v>
      </c>
      <c r="D105" s="40" t="s">
        <v>166</v>
      </c>
      <c r="E105" s="40" t="s">
        <v>150</v>
      </c>
      <c r="F105" s="40"/>
      <c r="G105" s="10">
        <f>'Пр.4 ведом.20'!G446</f>
        <v>260</v>
      </c>
      <c r="H105" s="10">
        <f>'Пр.4 ведом.20'!H446</f>
        <v>81.966999999999999</v>
      </c>
    </row>
    <row r="106" spans="1:8" ht="47.25" x14ac:dyDescent="0.25">
      <c r="A106" s="45" t="s">
        <v>277</v>
      </c>
      <c r="B106" s="20" t="s">
        <v>1223</v>
      </c>
      <c r="C106" s="40" t="s">
        <v>315</v>
      </c>
      <c r="D106" s="40" t="s">
        <v>166</v>
      </c>
      <c r="E106" s="40" t="s">
        <v>150</v>
      </c>
      <c r="F106" s="40" t="s">
        <v>644</v>
      </c>
      <c r="G106" s="10">
        <f>G105</f>
        <v>260</v>
      </c>
      <c r="H106" s="10">
        <f>H105</f>
        <v>81.966999999999999</v>
      </c>
    </row>
    <row r="107" spans="1:8" ht="63" x14ac:dyDescent="0.25">
      <c r="A107" s="41" t="s">
        <v>383</v>
      </c>
      <c r="B107" s="7" t="s">
        <v>384</v>
      </c>
      <c r="C107" s="7"/>
      <c r="D107" s="7"/>
      <c r="E107" s="7"/>
      <c r="F107" s="7"/>
      <c r="G107" s="59">
        <f>G108+G119+G130+G141</f>
        <v>570</v>
      </c>
      <c r="H107" s="59">
        <f>H108+H119+H130+H141</f>
        <v>448.7</v>
      </c>
    </row>
    <row r="108" spans="1:8" ht="47.25" hidden="1" x14ac:dyDescent="0.25">
      <c r="A108" s="223" t="s">
        <v>1211</v>
      </c>
      <c r="B108" s="24" t="s">
        <v>937</v>
      </c>
      <c r="C108" s="7"/>
      <c r="D108" s="7"/>
      <c r="E108" s="7"/>
      <c r="F108" s="7"/>
      <c r="G108" s="59">
        <f>G109</f>
        <v>0</v>
      </c>
      <c r="H108" s="59">
        <f>H109</f>
        <v>0</v>
      </c>
    </row>
    <row r="109" spans="1:8" ht="15.75" hidden="1" x14ac:dyDescent="0.25">
      <c r="A109" s="45" t="s">
        <v>248</v>
      </c>
      <c r="B109" s="40" t="s">
        <v>937</v>
      </c>
      <c r="C109" s="40" t="s">
        <v>166</v>
      </c>
      <c r="D109" s="40"/>
      <c r="E109" s="40"/>
      <c r="F109" s="40"/>
      <c r="G109" s="10">
        <f t="shared" ref="G109:H109" si="21">G110</f>
        <v>0</v>
      </c>
      <c r="H109" s="10">
        <f t="shared" si="21"/>
        <v>0</v>
      </c>
    </row>
    <row r="110" spans="1:8" ht="31.5" hidden="1" x14ac:dyDescent="0.25">
      <c r="A110" s="45" t="s">
        <v>253</v>
      </c>
      <c r="B110" s="40" t="s">
        <v>937</v>
      </c>
      <c r="C110" s="40" t="s">
        <v>166</v>
      </c>
      <c r="D110" s="40" t="s">
        <v>254</v>
      </c>
      <c r="E110" s="40"/>
      <c r="F110" s="40"/>
      <c r="G110" s="10">
        <f>G111+G115</f>
        <v>0</v>
      </c>
      <c r="H110" s="10">
        <f>H111+H115</f>
        <v>0</v>
      </c>
    </row>
    <row r="111" spans="1:8" ht="63" hidden="1" x14ac:dyDescent="0.25">
      <c r="A111" s="25" t="s">
        <v>391</v>
      </c>
      <c r="B111" s="20" t="s">
        <v>1212</v>
      </c>
      <c r="C111" s="40" t="s">
        <v>166</v>
      </c>
      <c r="D111" s="40" t="s">
        <v>254</v>
      </c>
      <c r="E111" s="40"/>
      <c r="F111" s="40"/>
      <c r="G111" s="10">
        <f t="shared" ref="G111:H111" si="22">G112</f>
        <v>0</v>
      </c>
      <c r="H111" s="10">
        <f t="shared" si="22"/>
        <v>0</v>
      </c>
    </row>
    <row r="112" spans="1:8" ht="31.5" hidden="1" x14ac:dyDescent="0.25">
      <c r="A112" s="25" t="s">
        <v>264</v>
      </c>
      <c r="B112" s="20" t="s">
        <v>1212</v>
      </c>
      <c r="C112" s="40" t="s">
        <v>166</v>
      </c>
      <c r="D112" s="40" t="s">
        <v>254</v>
      </c>
      <c r="E112" s="40" t="s">
        <v>265</v>
      </c>
      <c r="F112" s="40"/>
      <c r="G112" s="10">
        <f>G113</f>
        <v>0</v>
      </c>
      <c r="H112" s="10">
        <f>H113</f>
        <v>0</v>
      </c>
    </row>
    <row r="113" spans="1:8" ht="47.25" hidden="1" x14ac:dyDescent="0.25">
      <c r="A113" s="25" t="s">
        <v>266</v>
      </c>
      <c r="B113" s="20" t="s">
        <v>1212</v>
      </c>
      <c r="C113" s="40" t="s">
        <v>166</v>
      </c>
      <c r="D113" s="40" t="s">
        <v>254</v>
      </c>
      <c r="E113" s="40" t="s">
        <v>267</v>
      </c>
      <c r="F113" s="40"/>
      <c r="G113" s="10">
        <f>'пр.5.1.ведом.21-22'!G255</f>
        <v>0</v>
      </c>
      <c r="H113" s="10">
        <f>'пр.5.1.ведом.21-22'!H255</f>
        <v>0</v>
      </c>
    </row>
    <row r="114" spans="1:8" ht="47.25" hidden="1" x14ac:dyDescent="0.25">
      <c r="A114" s="45" t="s">
        <v>277</v>
      </c>
      <c r="B114" s="20" t="s">
        <v>1212</v>
      </c>
      <c r="C114" s="40" t="s">
        <v>166</v>
      </c>
      <c r="D114" s="40" t="s">
        <v>254</v>
      </c>
      <c r="E114" s="40" t="s">
        <v>267</v>
      </c>
      <c r="F114" s="40" t="s">
        <v>644</v>
      </c>
      <c r="G114" s="10">
        <f>G113</f>
        <v>0</v>
      </c>
      <c r="H114" s="10">
        <f>H113</f>
        <v>0</v>
      </c>
    </row>
    <row r="115" spans="1:8" ht="63" hidden="1" x14ac:dyDescent="0.25">
      <c r="A115" s="25" t="s">
        <v>391</v>
      </c>
      <c r="B115" s="20" t="s">
        <v>1213</v>
      </c>
      <c r="C115" s="40" t="s">
        <v>166</v>
      </c>
      <c r="D115" s="40" t="s">
        <v>254</v>
      </c>
      <c r="E115" s="40"/>
      <c r="F115" s="40"/>
      <c r="G115" s="10">
        <f>G116</f>
        <v>0</v>
      </c>
      <c r="H115" s="10">
        <f>H116</f>
        <v>0</v>
      </c>
    </row>
    <row r="116" spans="1:8" ht="31.5" hidden="1" x14ac:dyDescent="0.25">
      <c r="A116" s="25" t="s">
        <v>264</v>
      </c>
      <c r="B116" s="20" t="s">
        <v>1213</v>
      </c>
      <c r="C116" s="40" t="s">
        <v>166</v>
      </c>
      <c r="D116" s="40" t="s">
        <v>254</v>
      </c>
      <c r="E116" s="40" t="s">
        <v>265</v>
      </c>
      <c r="F116" s="40"/>
      <c r="G116" s="10">
        <f>G117</f>
        <v>0</v>
      </c>
      <c r="H116" s="10">
        <f>H117</f>
        <v>0</v>
      </c>
    </row>
    <row r="117" spans="1:8" ht="47.25" hidden="1" x14ac:dyDescent="0.25">
      <c r="A117" s="25" t="s">
        <v>266</v>
      </c>
      <c r="B117" s="20" t="s">
        <v>1213</v>
      </c>
      <c r="C117" s="40" t="s">
        <v>166</v>
      </c>
      <c r="D117" s="40" t="s">
        <v>254</v>
      </c>
      <c r="E117" s="40" t="s">
        <v>267</v>
      </c>
      <c r="F117" s="40"/>
      <c r="G117" s="10">
        <f>'пр.5.1.ведом.21-22'!G258</f>
        <v>0</v>
      </c>
      <c r="H117" s="10">
        <f>'пр.5.1.ведом.21-22'!H258</f>
        <v>0</v>
      </c>
    </row>
    <row r="118" spans="1:8" ht="47.25" hidden="1" x14ac:dyDescent="0.25">
      <c r="A118" s="45" t="s">
        <v>277</v>
      </c>
      <c r="B118" s="20" t="s">
        <v>1213</v>
      </c>
      <c r="C118" s="40" t="s">
        <v>166</v>
      </c>
      <c r="D118" s="40" t="s">
        <v>254</v>
      </c>
      <c r="E118" s="40" t="s">
        <v>267</v>
      </c>
      <c r="F118" s="40" t="s">
        <v>644</v>
      </c>
      <c r="G118" s="10">
        <f>G117</f>
        <v>0</v>
      </c>
      <c r="H118" s="10">
        <f>H117</f>
        <v>0</v>
      </c>
    </row>
    <row r="119" spans="1:8" ht="47.25" x14ac:dyDescent="0.25">
      <c r="A119" s="23" t="s">
        <v>1209</v>
      </c>
      <c r="B119" s="24" t="s">
        <v>938</v>
      </c>
      <c r="C119" s="7"/>
      <c r="D119" s="7"/>
      <c r="E119" s="7"/>
      <c r="F119" s="7"/>
      <c r="G119" s="59">
        <f>G122+G126</f>
        <v>560</v>
      </c>
      <c r="H119" s="59">
        <f>H122+H126</f>
        <v>438.7</v>
      </c>
    </row>
    <row r="120" spans="1:8" ht="15.75" x14ac:dyDescent="0.25">
      <c r="A120" s="45" t="s">
        <v>248</v>
      </c>
      <c r="B120" s="40" t="s">
        <v>938</v>
      </c>
      <c r="C120" s="40" t="s">
        <v>166</v>
      </c>
      <c r="D120" s="40"/>
      <c r="E120" s="40"/>
      <c r="F120" s="40"/>
      <c r="G120" s="10">
        <f t="shared" ref="G120:H120" si="23">G121</f>
        <v>560</v>
      </c>
      <c r="H120" s="10">
        <f t="shared" si="23"/>
        <v>438.7</v>
      </c>
    </row>
    <row r="121" spans="1:8" ht="31.5" x14ac:dyDescent="0.25">
      <c r="A121" s="45" t="s">
        <v>253</v>
      </c>
      <c r="B121" s="40" t="s">
        <v>938</v>
      </c>
      <c r="C121" s="40" t="s">
        <v>166</v>
      </c>
      <c r="D121" s="40" t="s">
        <v>254</v>
      </c>
      <c r="E121" s="40"/>
      <c r="F121" s="40"/>
      <c r="G121" s="10">
        <f>G122+G126</f>
        <v>560</v>
      </c>
      <c r="H121" s="10">
        <f>H122+H126</f>
        <v>438.7</v>
      </c>
    </row>
    <row r="122" spans="1:8" ht="31.5" x14ac:dyDescent="0.25">
      <c r="A122" s="25" t="s">
        <v>1210</v>
      </c>
      <c r="B122" s="20" t="s">
        <v>1214</v>
      </c>
      <c r="C122" s="40" t="s">
        <v>166</v>
      </c>
      <c r="D122" s="40" t="s">
        <v>254</v>
      </c>
      <c r="E122" s="40"/>
      <c r="F122" s="40"/>
      <c r="G122" s="10">
        <f>G123</f>
        <v>60</v>
      </c>
      <c r="H122" s="10">
        <f>H123</f>
        <v>60</v>
      </c>
    </row>
    <row r="123" spans="1:8" ht="47.25" x14ac:dyDescent="0.25">
      <c r="A123" s="25" t="s">
        <v>288</v>
      </c>
      <c r="B123" s="20" t="s">
        <v>1214</v>
      </c>
      <c r="C123" s="40" t="s">
        <v>166</v>
      </c>
      <c r="D123" s="40" t="s">
        <v>254</v>
      </c>
      <c r="E123" s="40" t="s">
        <v>289</v>
      </c>
      <c r="F123" s="40"/>
      <c r="G123" s="10">
        <f>G124</f>
        <v>60</v>
      </c>
      <c r="H123" s="10">
        <f>H124</f>
        <v>60</v>
      </c>
    </row>
    <row r="124" spans="1:8" ht="78.75" x14ac:dyDescent="0.25">
      <c r="A124" s="25" t="s">
        <v>1291</v>
      </c>
      <c r="B124" s="20" t="s">
        <v>1214</v>
      </c>
      <c r="C124" s="40" t="s">
        <v>166</v>
      </c>
      <c r="D124" s="40" t="s">
        <v>254</v>
      </c>
      <c r="E124" s="40" t="s">
        <v>388</v>
      </c>
      <c r="F124" s="40"/>
      <c r="G124" s="10">
        <f>'пр.5.1.ведом.21-22'!G262</f>
        <v>60</v>
      </c>
      <c r="H124" s="10">
        <f>'пр.5.1.ведом.21-22'!H262</f>
        <v>60</v>
      </c>
    </row>
    <row r="125" spans="1:8" ht="47.25" x14ac:dyDescent="0.25">
      <c r="A125" s="45" t="s">
        <v>277</v>
      </c>
      <c r="B125" s="20" t="s">
        <v>1214</v>
      </c>
      <c r="C125" s="40" t="s">
        <v>166</v>
      </c>
      <c r="D125" s="40" t="s">
        <v>254</v>
      </c>
      <c r="E125" s="40" t="s">
        <v>388</v>
      </c>
      <c r="F125" s="40" t="s">
        <v>644</v>
      </c>
      <c r="G125" s="10">
        <f>G124</f>
        <v>60</v>
      </c>
      <c r="H125" s="10">
        <f>H124</f>
        <v>60</v>
      </c>
    </row>
    <row r="126" spans="1:8" ht="126" hidden="1" x14ac:dyDescent="0.25">
      <c r="A126" s="25" t="s">
        <v>389</v>
      </c>
      <c r="B126" s="20" t="s">
        <v>1215</v>
      </c>
      <c r="C126" s="40" t="s">
        <v>166</v>
      </c>
      <c r="D126" s="40" t="s">
        <v>254</v>
      </c>
      <c r="E126" s="40"/>
      <c r="F126" s="40"/>
      <c r="G126" s="10">
        <f>G127</f>
        <v>500</v>
      </c>
      <c r="H126" s="10">
        <f>H127</f>
        <v>378.7</v>
      </c>
    </row>
    <row r="127" spans="1:8" ht="47.25" hidden="1" x14ac:dyDescent="0.25">
      <c r="A127" s="25" t="s">
        <v>288</v>
      </c>
      <c r="B127" s="20" t="s">
        <v>1215</v>
      </c>
      <c r="C127" s="40" t="s">
        <v>166</v>
      </c>
      <c r="D127" s="40" t="s">
        <v>254</v>
      </c>
      <c r="E127" s="40" t="s">
        <v>289</v>
      </c>
      <c r="F127" s="40"/>
      <c r="G127" s="10">
        <f>G128</f>
        <v>500</v>
      </c>
      <c r="H127" s="10">
        <f>H128</f>
        <v>378.7</v>
      </c>
    </row>
    <row r="128" spans="1:8" ht="78.75" hidden="1" x14ac:dyDescent="0.25">
      <c r="A128" s="25" t="s">
        <v>1291</v>
      </c>
      <c r="B128" s="20" t="s">
        <v>1215</v>
      </c>
      <c r="C128" s="40" t="s">
        <v>166</v>
      </c>
      <c r="D128" s="40" t="s">
        <v>254</v>
      </c>
      <c r="E128" s="40" t="s">
        <v>388</v>
      </c>
      <c r="F128" s="40"/>
      <c r="G128" s="10">
        <f>'пр.5.1.ведом.21-22'!G265</f>
        <v>500</v>
      </c>
      <c r="H128" s="10">
        <f>'пр.5.1.ведом.21-22'!H265</f>
        <v>378.7</v>
      </c>
    </row>
    <row r="129" spans="1:8" ht="47.25" hidden="1" x14ac:dyDescent="0.25">
      <c r="A129" s="45" t="s">
        <v>277</v>
      </c>
      <c r="B129" s="20" t="s">
        <v>1215</v>
      </c>
      <c r="C129" s="40" t="s">
        <v>166</v>
      </c>
      <c r="D129" s="40" t="s">
        <v>254</v>
      </c>
      <c r="E129" s="40" t="s">
        <v>388</v>
      </c>
      <c r="F129" s="40" t="s">
        <v>644</v>
      </c>
      <c r="G129" s="10">
        <f>G128</f>
        <v>500</v>
      </c>
      <c r="H129" s="10">
        <f>H128</f>
        <v>378.7</v>
      </c>
    </row>
    <row r="130" spans="1:8" ht="31.5" hidden="1" x14ac:dyDescent="0.25">
      <c r="A130" s="23" t="s">
        <v>1145</v>
      </c>
      <c r="B130" s="24" t="s">
        <v>939</v>
      </c>
      <c r="C130" s="7"/>
      <c r="D130" s="7"/>
      <c r="E130" s="7"/>
      <c r="F130" s="7"/>
      <c r="G130" s="59">
        <f>G133+G137</f>
        <v>0</v>
      </c>
      <c r="H130" s="59">
        <f>H133+H137</f>
        <v>0</v>
      </c>
    </row>
    <row r="131" spans="1:8" ht="15.75" hidden="1" x14ac:dyDescent="0.25">
      <c r="A131" s="45" t="s">
        <v>248</v>
      </c>
      <c r="B131" s="40" t="s">
        <v>939</v>
      </c>
      <c r="C131" s="40" t="s">
        <v>166</v>
      </c>
      <c r="D131" s="40"/>
      <c r="E131" s="40"/>
      <c r="F131" s="40"/>
      <c r="G131" s="10">
        <f t="shared" ref="G131:H131" si="24">G132</f>
        <v>0</v>
      </c>
      <c r="H131" s="10">
        <f t="shared" si="24"/>
        <v>0</v>
      </c>
    </row>
    <row r="132" spans="1:8" ht="31.5" hidden="1" x14ac:dyDescent="0.25">
      <c r="A132" s="45" t="s">
        <v>253</v>
      </c>
      <c r="B132" s="40" t="s">
        <v>939</v>
      </c>
      <c r="C132" s="40" t="s">
        <v>166</v>
      </c>
      <c r="D132" s="40" t="s">
        <v>254</v>
      </c>
      <c r="E132" s="40"/>
      <c r="F132" s="40"/>
      <c r="G132" s="10">
        <f>G133+G137</f>
        <v>0</v>
      </c>
      <c r="H132" s="10">
        <f>H133+H137</f>
        <v>0</v>
      </c>
    </row>
    <row r="133" spans="1:8" ht="47.25" hidden="1" x14ac:dyDescent="0.25">
      <c r="A133" s="267" t="s">
        <v>1218</v>
      </c>
      <c r="B133" s="20" t="s">
        <v>1216</v>
      </c>
      <c r="C133" s="40" t="s">
        <v>166</v>
      </c>
      <c r="D133" s="40" t="s">
        <v>254</v>
      </c>
      <c r="E133" s="40"/>
      <c r="F133" s="40"/>
      <c r="G133" s="10">
        <f>G134</f>
        <v>0</v>
      </c>
      <c r="H133" s="10">
        <f>H134</f>
        <v>0</v>
      </c>
    </row>
    <row r="134" spans="1:8" ht="31.5" hidden="1" x14ac:dyDescent="0.25">
      <c r="A134" s="25" t="s">
        <v>147</v>
      </c>
      <c r="B134" s="20" t="s">
        <v>1216</v>
      </c>
      <c r="C134" s="40" t="s">
        <v>166</v>
      </c>
      <c r="D134" s="40" t="s">
        <v>254</v>
      </c>
      <c r="E134" s="40" t="s">
        <v>148</v>
      </c>
      <c r="F134" s="40"/>
      <c r="G134" s="10">
        <f>G135</f>
        <v>0</v>
      </c>
      <c r="H134" s="10">
        <f>H135</f>
        <v>0</v>
      </c>
    </row>
    <row r="135" spans="1:8" ht="47.25" hidden="1" x14ac:dyDescent="0.25">
      <c r="A135" s="25" t="s">
        <v>149</v>
      </c>
      <c r="B135" s="20" t="s">
        <v>1216</v>
      </c>
      <c r="C135" s="40" t="s">
        <v>166</v>
      </c>
      <c r="D135" s="40" t="s">
        <v>254</v>
      </c>
      <c r="E135" s="40" t="s">
        <v>150</v>
      </c>
      <c r="F135" s="40"/>
      <c r="G135" s="10">
        <f>'пр.5.1.ведом.21-22'!G269</f>
        <v>0</v>
      </c>
      <c r="H135" s="10">
        <f>'пр.5.1.ведом.21-22'!H269</f>
        <v>0</v>
      </c>
    </row>
    <row r="136" spans="1:8" ht="47.25" hidden="1" x14ac:dyDescent="0.25">
      <c r="A136" s="45" t="s">
        <v>277</v>
      </c>
      <c r="B136" s="20" t="s">
        <v>1216</v>
      </c>
      <c r="C136" s="40" t="s">
        <v>166</v>
      </c>
      <c r="D136" s="40" t="s">
        <v>254</v>
      </c>
      <c r="E136" s="40" t="s">
        <v>150</v>
      </c>
      <c r="F136" s="9" t="s">
        <v>644</v>
      </c>
      <c r="G136" s="10">
        <f>G135</f>
        <v>0</v>
      </c>
      <c r="H136" s="10">
        <f>H135</f>
        <v>0</v>
      </c>
    </row>
    <row r="137" spans="1:8" ht="47.25" hidden="1" x14ac:dyDescent="0.25">
      <c r="A137" s="25" t="s">
        <v>393</v>
      </c>
      <c r="B137" s="20" t="s">
        <v>1217</v>
      </c>
      <c r="C137" s="40" t="s">
        <v>166</v>
      </c>
      <c r="D137" s="40" t="s">
        <v>254</v>
      </c>
      <c r="E137" s="40"/>
      <c r="F137" s="40"/>
      <c r="G137" s="10">
        <f>G138</f>
        <v>0</v>
      </c>
      <c r="H137" s="10">
        <f>H138</f>
        <v>0</v>
      </c>
    </row>
    <row r="138" spans="1:8" ht="31.5" hidden="1" x14ac:dyDescent="0.25">
      <c r="A138" s="25" t="s">
        <v>147</v>
      </c>
      <c r="B138" s="20" t="s">
        <v>1217</v>
      </c>
      <c r="C138" s="40" t="s">
        <v>166</v>
      </c>
      <c r="D138" s="40" t="s">
        <v>254</v>
      </c>
      <c r="E138" s="40" t="s">
        <v>148</v>
      </c>
      <c r="F138" s="40"/>
      <c r="G138" s="10">
        <f>G139</f>
        <v>0</v>
      </c>
      <c r="H138" s="10">
        <f>H139</f>
        <v>0</v>
      </c>
    </row>
    <row r="139" spans="1:8" ht="47.25" hidden="1" x14ac:dyDescent="0.25">
      <c r="A139" s="25" t="s">
        <v>149</v>
      </c>
      <c r="B139" s="20" t="s">
        <v>1217</v>
      </c>
      <c r="C139" s="40" t="s">
        <v>166</v>
      </c>
      <c r="D139" s="40" t="s">
        <v>254</v>
      </c>
      <c r="E139" s="40" t="s">
        <v>150</v>
      </c>
      <c r="F139" s="40"/>
      <c r="G139" s="10">
        <f>'пр.5.1.ведом.21-22'!G272</f>
        <v>0</v>
      </c>
      <c r="H139" s="10">
        <f>'пр.5.1.ведом.21-22'!H272</f>
        <v>0</v>
      </c>
    </row>
    <row r="140" spans="1:8" ht="47.25" hidden="1" x14ac:dyDescent="0.25">
      <c r="A140" s="45" t="s">
        <v>277</v>
      </c>
      <c r="B140" s="20" t="s">
        <v>1217</v>
      </c>
      <c r="C140" s="40" t="s">
        <v>166</v>
      </c>
      <c r="D140" s="40" t="s">
        <v>254</v>
      </c>
      <c r="E140" s="40" t="s">
        <v>150</v>
      </c>
      <c r="F140" s="9" t="s">
        <v>644</v>
      </c>
      <c r="G140" s="10">
        <f>G139</f>
        <v>0</v>
      </c>
      <c r="H140" s="10">
        <f>H139</f>
        <v>0</v>
      </c>
    </row>
    <row r="141" spans="1:8" s="213" customFormat="1" ht="47.25" x14ac:dyDescent="0.25">
      <c r="A141" s="220" t="s">
        <v>1309</v>
      </c>
      <c r="B141" s="24" t="s">
        <v>1308</v>
      </c>
      <c r="C141" s="7"/>
      <c r="D141" s="7"/>
      <c r="E141" s="7"/>
      <c r="F141" s="7"/>
      <c r="G141" s="59">
        <f>G142</f>
        <v>10</v>
      </c>
      <c r="H141" s="59">
        <f>H142</f>
        <v>10</v>
      </c>
    </row>
    <row r="142" spans="1:8" s="213" customFormat="1" ht="15.75" x14ac:dyDescent="0.25">
      <c r="A142" s="45" t="s">
        <v>248</v>
      </c>
      <c r="B142" s="40" t="s">
        <v>1308</v>
      </c>
      <c r="C142" s="40" t="s">
        <v>166</v>
      </c>
      <c r="D142" s="40"/>
      <c r="E142" s="40"/>
      <c r="F142" s="40"/>
      <c r="G142" s="10">
        <f t="shared" ref="G142:H142" si="25">G143</f>
        <v>10</v>
      </c>
      <c r="H142" s="10">
        <f t="shared" si="25"/>
        <v>10</v>
      </c>
    </row>
    <row r="143" spans="1:8" s="213" customFormat="1" ht="31.5" x14ac:dyDescent="0.25">
      <c r="A143" s="45" t="s">
        <v>253</v>
      </c>
      <c r="B143" s="40" t="s">
        <v>1308</v>
      </c>
      <c r="C143" s="40" t="s">
        <v>166</v>
      </c>
      <c r="D143" s="40" t="s">
        <v>254</v>
      </c>
      <c r="E143" s="40"/>
      <c r="F143" s="40"/>
      <c r="G143" s="10">
        <f t="shared" ref="G143:H145" si="26">G144</f>
        <v>10</v>
      </c>
      <c r="H143" s="10">
        <f t="shared" si="26"/>
        <v>10</v>
      </c>
    </row>
    <row r="144" spans="1:8" s="213" customFormat="1" ht="31.5" x14ac:dyDescent="0.25">
      <c r="A144" s="245" t="s">
        <v>1310</v>
      </c>
      <c r="B144" s="20" t="s">
        <v>1359</v>
      </c>
      <c r="C144" s="40" t="s">
        <v>166</v>
      </c>
      <c r="D144" s="40" t="s">
        <v>254</v>
      </c>
      <c r="E144" s="40"/>
      <c r="F144" s="40"/>
      <c r="G144" s="10">
        <f t="shared" si="26"/>
        <v>10</v>
      </c>
      <c r="H144" s="10">
        <f t="shared" si="26"/>
        <v>10</v>
      </c>
    </row>
    <row r="145" spans="1:8" s="213" customFormat="1" ht="31.5" x14ac:dyDescent="0.25">
      <c r="A145" s="25" t="s">
        <v>147</v>
      </c>
      <c r="B145" s="20" t="s">
        <v>1359</v>
      </c>
      <c r="C145" s="40" t="s">
        <v>166</v>
      </c>
      <c r="D145" s="40" t="s">
        <v>254</v>
      </c>
      <c r="E145" s="40" t="s">
        <v>148</v>
      </c>
      <c r="F145" s="40"/>
      <c r="G145" s="10">
        <f t="shared" si="26"/>
        <v>10</v>
      </c>
      <c r="H145" s="10">
        <f t="shared" si="26"/>
        <v>10</v>
      </c>
    </row>
    <row r="146" spans="1:8" s="213" customFormat="1" ht="47.25" x14ac:dyDescent="0.25">
      <c r="A146" s="25" t="s">
        <v>149</v>
      </c>
      <c r="B146" s="20" t="s">
        <v>1359</v>
      </c>
      <c r="C146" s="40" t="s">
        <v>166</v>
      </c>
      <c r="D146" s="40" t="s">
        <v>254</v>
      </c>
      <c r="E146" s="40" t="s">
        <v>150</v>
      </c>
      <c r="F146" s="40"/>
      <c r="G146" s="10">
        <f>'пр.5.1.ведом.21-22'!G276</f>
        <v>10</v>
      </c>
      <c r="H146" s="10">
        <f>'пр.5.1.ведом.21-22'!H276</f>
        <v>10</v>
      </c>
    </row>
    <row r="147" spans="1:8" s="213" customFormat="1" ht="47.25" x14ac:dyDescent="0.25">
      <c r="A147" s="45" t="s">
        <v>277</v>
      </c>
      <c r="B147" s="20" t="s">
        <v>1359</v>
      </c>
      <c r="C147" s="40" t="s">
        <v>166</v>
      </c>
      <c r="D147" s="40" t="s">
        <v>254</v>
      </c>
      <c r="E147" s="40" t="s">
        <v>150</v>
      </c>
      <c r="F147" s="9" t="s">
        <v>644</v>
      </c>
      <c r="G147" s="10">
        <f>G146</f>
        <v>10</v>
      </c>
      <c r="H147" s="10">
        <f>H146</f>
        <v>10</v>
      </c>
    </row>
    <row r="148" spans="1:8" ht="110.25" x14ac:dyDescent="0.25">
      <c r="A148" s="41" t="s">
        <v>396</v>
      </c>
      <c r="B148" s="7" t="s">
        <v>397</v>
      </c>
      <c r="C148" s="7"/>
      <c r="D148" s="7"/>
      <c r="E148" s="7"/>
      <c r="F148" s="8"/>
      <c r="G148" s="59">
        <f>G149</f>
        <v>60</v>
      </c>
      <c r="H148" s="59">
        <f>H149</f>
        <v>60</v>
      </c>
    </row>
    <row r="149" spans="1:8" ht="63" x14ac:dyDescent="0.25">
      <c r="A149" s="265" t="s">
        <v>1219</v>
      </c>
      <c r="B149" s="7" t="s">
        <v>933</v>
      </c>
      <c r="C149" s="7"/>
      <c r="D149" s="7"/>
      <c r="E149" s="7"/>
      <c r="F149" s="8"/>
      <c r="G149" s="59">
        <f>G150</f>
        <v>60</v>
      </c>
      <c r="H149" s="59">
        <f>H150</f>
        <v>60</v>
      </c>
    </row>
    <row r="150" spans="1:8" ht="15.75" x14ac:dyDescent="0.25">
      <c r="A150" s="45" t="s">
        <v>133</v>
      </c>
      <c r="B150" s="40" t="s">
        <v>933</v>
      </c>
      <c r="C150" s="40" t="s">
        <v>134</v>
      </c>
      <c r="D150" s="40"/>
      <c r="E150" s="40"/>
      <c r="F150" s="9"/>
      <c r="G150" s="10">
        <f t="shared" ref="G150:H153" si="27">G151</f>
        <v>60</v>
      </c>
      <c r="H150" s="10">
        <f t="shared" si="27"/>
        <v>60</v>
      </c>
    </row>
    <row r="151" spans="1:8" ht="15.75" x14ac:dyDescent="0.25">
      <c r="A151" s="45" t="s">
        <v>155</v>
      </c>
      <c r="B151" s="40" t="s">
        <v>933</v>
      </c>
      <c r="C151" s="40" t="s">
        <v>134</v>
      </c>
      <c r="D151" s="40" t="s">
        <v>156</v>
      </c>
      <c r="E151" s="40"/>
      <c r="F151" s="9"/>
      <c r="G151" s="10">
        <f>G152+G156</f>
        <v>60</v>
      </c>
      <c r="H151" s="10">
        <f>H152+H156</f>
        <v>60</v>
      </c>
    </row>
    <row r="152" spans="1:8" ht="47.25" x14ac:dyDescent="0.25">
      <c r="A152" s="99" t="s">
        <v>1220</v>
      </c>
      <c r="B152" s="40" t="s">
        <v>934</v>
      </c>
      <c r="C152" s="40" t="s">
        <v>134</v>
      </c>
      <c r="D152" s="40" t="s">
        <v>156</v>
      </c>
      <c r="E152" s="40"/>
      <c r="F152" s="9"/>
      <c r="G152" s="10">
        <f t="shared" si="27"/>
        <v>60</v>
      </c>
      <c r="H152" s="10">
        <f t="shared" si="27"/>
        <v>60</v>
      </c>
    </row>
    <row r="153" spans="1:8" ht="31.5" x14ac:dyDescent="0.25">
      <c r="A153" s="29" t="s">
        <v>147</v>
      </c>
      <c r="B153" s="40" t="s">
        <v>934</v>
      </c>
      <c r="C153" s="40" t="s">
        <v>134</v>
      </c>
      <c r="D153" s="40" t="s">
        <v>156</v>
      </c>
      <c r="E153" s="40" t="s">
        <v>148</v>
      </c>
      <c r="F153" s="9"/>
      <c r="G153" s="10">
        <f t="shared" si="27"/>
        <v>60</v>
      </c>
      <c r="H153" s="10">
        <f t="shared" si="27"/>
        <v>60</v>
      </c>
    </row>
    <row r="154" spans="1:8" ht="47.25" x14ac:dyDescent="0.25">
      <c r="A154" s="29" t="s">
        <v>149</v>
      </c>
      <c r="B154" s="40" t="s">
        <v>934</v>
      </c>
      <c r="C154" s="40" t="s">
        <v>134</v>
      </c>
      <c r="D154" s="40" t="s">
        <v>156</v>
      </c>
      <c r="E154" s="40" t="s">
        <v>150</v>
      </c>
      <c r="F154" s="9"/>
      <c r="G154" s="10">
        <f>'пр.5.1.ведом.21-22'!G222</f>
        <v>60</v>
      </c>
      <c r="H154" s="10">
        <f>'пр.5.1.ведом.21-22'!H222</f>
        <v>60</v>
      </c>
    </row>
    <row r="155" spans="1:8" ht="47.25" x14ac:dyDescent="0.25">
      <c r="A155" s="45" t="s">
        <v>277</v>
      </c>
      <c r="B155" s="40" t="s">
        <v>934</v>
      </c>
      <c r="C155" s="40" t="s">
        <v>134</v>
      </c>
      <c r="D155" s="40" t="s">
        <v>156</v>
      </c>
      <c r="E155" s="40" t="s">
        <v>150</v>
      </c>
      <c r="F155" s="9" t="s">
        <v>644</v>
      </c>
      <c r="G155" s="10">
        <f>G154</f>
        <v>60</v>
      </c>
      <c r="H155" s="10">
        <f>H154</f>
        <v>60</v>
      </c>
    </row>
    <row r="156" spans="1:8" ht="47.25" hidden="1" x14ac:dyDescent="0.25">
      <c r="A156" s="35" t="s">
        <v>936</v>
      </c>
      <c r="B156" s="20" t="s">
        <v>935</v>
      </c>
      <c r="C156" s="40" t="s">
        <v>134</v>
      </c>
      <c r="D156" s="40" t="s">
        <v>156</v>
      </c>
      <c r="E156" s="40"/>
      <c r="F156" s="9"/>
      <c r="G156" s="10">
        <f>G157</f>
        <v>0</v>
      </c>
      <c r="H156" s="10">
        <f>H157</f>
        <v>0</v>
      </c>
    </row>
    <row r="157" spans="1:8" ht="31.5" hidden="1" x14ac:dyDescent="0.25">
      <c r="A157" s="25" t="s">
        <v>147</v>
      </c>
      <c r="B157" s="20" t="s">
        <v>935</v>
      </c>
      <c r="C157" s="40" t="s">
        <v>134</v>
      </c>
      <c r="D157" s="40" t="s">
        <v>156</v>
      </c>
      <c r="E157" s="40" t="s">
        <v>148</v>
      </c>
      <c r="F157" s="9"/>
      <c r="G157" s="10">
        <f>G158</f>
        <v>0</v>
      </c>
      <c r="H157" s="10">
        <f>H158</f>
        <v>0</v>
      </c>
    </row>
    <row r="158" spans="1:8" ht="47.25" hidden="1" x14ac:dyDescent="0.25">
      <c r="A158" s="25" t="s">
        <v>149</v>
      </c>
      <c r="B158" s="20" t="s">
        <v>935</v>
      </c>
      <c r="C158" s="40" t="s">
        <v>134</v>
      </c>
      <c r="D158" s="40" t="s">
        <v>156</v>
      </c>
      <c r="E158" s="40" t="s">
        <v>150</v>
      </c>
      <c r="F158" s="9"/>
      <c r="G158" s="10">
        <f>'пр.5.1.ведом.21-22'!G225</f>
        <v>0</v>
      </c>
      <c r="H158" s="10">
        <f>'пр.5.1.ведом.21-22'!H225</f>
        <v>0</v>
      </c>
    </row>
    <row r="159" spans="1:8" ht="47.25" hidden="1" x14ac:dyDescent="0.25">
      <c r="A159" s="45" t="s">
        <v>277</v>
      </c>
      <c r="B159" s="20" t="s">
        <v>935</v>
      </c>
      <c r="C159" s="40" t="s">
        <v>134</v>
      </c>
      <c r="D159" s="40" t="s">
        <v>156</v>
      </c>
      <c r="E159" s="40" t="s">
        <v>150</v>
      </c>
      <c r="F159" s="9" t="s">
        <v>644</v>
      </c>
      <c r="G159" s="10">
        <f>G158</f>
        <v>0</v>
      </c>
      <c r="H159" s="10">
        <f>H158</f>
        <v>0</v>
      </c>
    </row>
    <row r="160" spans="1:8" ht="47.25" x14ac:dyDescent="0.25">
      <c r="A160" s="58" t="s">
        <v>442</v>
      </c>
      <c r="B160" s="7" t="s">
        <v>422</v>
      </c>
      <c r="C160" s="7"/>
      <c r="D160" s="7"/>
      <c r="E160" s="7"/>
      <c r="F160" s="7"/>
      <c r="G160" s="59">
        <f>G161+G260+G313+G373+G381</f>
        <v>344480.1</v>
      </c>
      <c r="H160" s="59">
        <f>H161+H260+H313+H373+H381</f>
        <v>344488.6</v>
      </c>
    </row>
    <row r="161" spans="1:8" ht="47.25" x14ac:dyDescent="0.25">
      <c r="A161" s="41" t="s">
        <v>423</v>
      </c>
      <c r="B161" s="7" t="s">
        <v>424</v>
      </c>
      <c r="C161" s="7"/>
      <c r="D161" s="7"/>
      <c r="E161" s="7"/>
      <c r="F161" s="7"/>
      <c r="G161" s="59">
        <f>G162+G191</f>
        <v>315981</v>
      </c>
      <c r="H161" s="59">
        <f>H162+H191</f>
        <v>315981</v>
      </c>
    </row>
    <row r="162" spans="1:8" ht="47.25" x14ac:dyDescent="0.25">
      <c r="A162" s="23" t="s">
        <v>1028</v>
      </c>
      <c r="B162" s="24" t="s">
        <v>1006</v>
      </c>
      <c r="C162" s="7"/>
      <c r="D162" s="7"/>
      <c r="E162" s="7"/>
      <c r="F162" s="7"/>
      <c r="G162" s="59">
        <f>G163</f>
        <v>73445</v>
      </c>
      <c r="H162" s="59">
        <f>H163</f>
        <v>73445</v>
      </c>
    </row>
    <row r="163" spans="1:8" ht="15.75" x14ac:dyDescent="0.25">
      <c r="A163" s="29" t="s">
        <v>279</v>
      </c>
      <c r="B163" s="40" t="s">
        <v>1006</v>
      </c>
      <c r="C163" s="40" t="s">
        <v>280</v>
      </c>
      <c r="D163" s="40"/>
      <c r="E163" s="40"/>
      <c r="F163" s="40"/>
      <c r="G163" s="10">
        <f>G164+G173+G186</f>
        <v>73445</v>
      </c>
      <c r="H163" s="10">
        <f>H164+H173+H186</f>
        <v>73445</v>
      </c>
    </row>
    <row r="164" spans="1:8" ht="15.75" x14ac:dyDescent="0.25">
      <c r="A164" s="45" t="s">
        <v>420</v>
      </c>
      <c r="B164" s="40" t="s">
        <v>1006</v>
      </c>
      <c r="C164" s="40" t="s">
        <v>280</v>
      </c>
      <c r="D164" s="40" t="s">
        <v>134</v>
      </c>
      <c r="E164" s="40"/>
      <c r="F164" s="40"/>
      <c r="G164" s="10">
        <f>G165+G169</f>
        <v>12027</v>
      </c>
      <c r="H164" s="10">
        <f>H165+H169</f>
        <v>12027</v>
      </c>
    </row>
    <row r="165" spans="1:8" ht="63" x14ac:dyDescent="0.25">
      <c r="A165" s="25" t="s">
        <v>1063</v>
      </c>
      <c r="B165" s="20" t="s">
        <v>1062</v>
      </c>
      <c r="C165" s="40" t="s">
        <v>280</v>
      </c>
      <c r="D165" s="40" t="s">
        <v>134</v>
      </c>
      <c r="E165" s="40"/>
      <c r="F165" s="40"/>
      <c r="G165" s="10">
        <f t="shared" ref="G165:H166" si="28">G166</f>
        <v>7224.3</v>
      </c>
      <c r="H165" s="10">
        <f t="shared" si="28"/>
        <v>7224.3</v>
      </c>
    </row>
    <row r="166" spans="1:8" ht="47.25" x14ac:dyDescent="0.25">
      <c r="A166" s="25" t="s">
        <v>288</v>
      </c>
      <c r="B166" s="20" t="s">
        <v>1062</v>
      </c>
      <c r="C166" s="40" t="s">
        <v>280</v>
      </c>
      <c r="D166" s="40" t="s">
        <v>134</v>
      </c>
      <c r="E166" s="40" t="s">
        <v>289</v>
      </c>
      <c r="F166" s="40"/>
      <c r="G166" s="10">
        <f t="shared" si="28"/>
        <v>7224.3</v>
      </c>
      <c r="H166" s="10">
        <f t="shared" si="28"/>
        <v>7224.3</v>
      </c>
    </row>
    <row r="167" spans="1:8" ht="15.75" x14ac:dyDescent="0.25">
      <c r="A167" s="25" t="s">
        <v>290</v>
      </c>
      <c r="B167" s="20" t="s">
        <v>1062</v>
      </c>
      <c r="C167" s="40" t="s">
        <v>280</v>
      </c>
      <c r="D167" s="40" t="s">
        <v>134</v>
      </c>
      <c r="E167" s="40" t="s">
        <v>291</v>
      </c>
      <c r="F167" s="40"/>
      <c r="G167" s="6">
        <f>'пр.5.1.ведом.21-22'!G553</f>
        <v>7224.3</v>
      </c>
      <c r="H167" s="6">
        <f>'пр.5.1.ведом.21-22'!H553</f>
        <v>7224.3</v>
      </c>
    </row>
    <row r="168" spans="1:8" ht="31.5" x14ac:dyDescent="0.25">
      <c r="A168" s="29" t="s">
        <v>419</v>
      </c>
      <c r="B168" s="20" t="s">
        <v>1062</v>
      </c>
      <c r="C168" s="40" t="s">
        <v>280</v>
      </c>
      <c r="D168" s="40" t="s">
        <v>134</v>
      </c>
      <c r="E168" s="40" t="s">
        <v>291</v>
      </c>
      <c r="F168" s="40" t="s">
        <v>653</v>
      </c>
      <c r="G168" s="10">
        <f>G167</f>
        <v>7224.3</v>
      </c>
      <c r="H168" s="10">
        <f>H167</f>
        <v>7224.3</v>
      </c>
    </row>
    <row r="169" spans="1:8" ht="63" x14ac:dyDescent="0.25">
      <c r="A169" s="25" t="s">
        <v>1238</v>
      </c>
      <c r="B169" s="20" t="s">
        <v>1064</v>
      </c>
      <c r="C169" s="40" t="s">
        <v>280</v>
      </c>
      <c r="D169" s="40" t="s">
        <v>134</v>
      </c>
      <c r="E169" s="40"/>
      <c r="F169" s="40"/>
      <c r="G169" s="6">
        <f>G170</f>
        <v>4802.7</v>
      </c>
      <c r="H169" s="6">
        <f>H170</f>
        <v>4802.7</v>
      </c>
    </row>
    <row r="170" spans="1:8" ht="47.25" x14ac:dyDescent="0.25">
      <c r="A170" s="25" t="s">
        <v>288</v>
      </c>
      <c r="B170" s="20" t="s">
        <v>1064</v>
      </c>
      <c r="C170" s="40" t="s">
        <v>280</v>
      </c>
      <c r="D170" s="40" t="s">
        <v>134</v>
      </c>
      <c r="E170" s="40" t="s">
        <v>289</v>
      </c>
      <c r="F170" s="40"/>
      <c r="G170" s="6">
        <f>G171</f>
        <v>4802.7</v>
      </c>
      <c r="H170" s="6">
        <f>H171</f>
        <v>4802.7</v>
      </c>
    </row>
    <row r="171" spans="1:8" ht="15.75" x14ac:dyDescent="0.25">
      <c r="A171" s="25" t="s">
        <v>290</v>
      </c>
      <c r="B171" s="20" t="s">
        <v>1064</v>
      </c>
      <c r="C171" s="40" t="s">
        <v>280</v>
      </c>
      <c r="D171" s="40" t="s">
        <v>134</v>
      </c>
      <c r="E171" s="40" t="s">
        <v>291</v>
      </c>
      <c r="F171" s="40"/>
      <c r="G171" s="6">
        <f>'пр.5.1.ведом.21-22'!G556</f>
        <v>4802.7</v>
      </c>
      <c r="H171" s="6">
        <f>'пр.5.1.ведом.21-22'!H555</f>
        <v>4802.7</v>
      </c>
    </row>
    <row r="172" spans="1:8" ht="31.5" x14ac:dyDescent="0.25">
      <c r="A172" s="29" t="s">
        <v>419</v>
      </c>
      <c r="B172" s="20" t="s">
        <v>1064</v>
      </c>
      <c r="C172" s="40" t="s">
        <v>280</v>
      </c>
      <c r="D172" s="40" t="s">
        <v>134</v>
      </c>
      <c r="E172" s="40" t="s">
        <v>291</v>
      </c>
      <c r="F172" s="40" t="s">
        <v>653</v>
      </c>
      <c r="G172" s="10">
        <f>G171</f>
        <v>4802.7</v>
      </c>
      <c r="H172" s="10">
        <f>H171</f>
        <v>4802.7</v>
      </c>
    </row>
    <row r="173" spans="1:8" ht="15.75" x14ac:dyDescent="0.25">
      <c r="A173" s="29" t="s">
        <v>441</v>
      </c>
      <c r="B173" s="40" t="s">
        <v>1006</v>
      </c>
      <c r="C173" s="40" t="s">
        <v>280</v>
      </c>
      <c r="D173" s="40" t="s">
        <v>229</v>
      </c>
      <c r="E173" s="40"/>
      <c r="F173" s="40"/>
      <c r="G173" s="10">
        <f>G174+G178+G182</f>
        <v>28803</v>
      </c>
      <c r="H173" s="10">
        <f>H174+H178+H182</f>
        <v>28803</v>
      </c>
    </row>
    <row r="174" spans="1:8" ht="63" x14ac:dyDescent="0.25">
      <c r="A174" s="25" t="s">
        <v>1068</v>
      </c>
      <c r="B174" s="20" t="s">
        <v>1065</v>
      </c>
      <c r="C174" s="40" t="s">
        <v>280</v>
      </c>
      <c r="D174" s="40" t="s">
        <v>229</v>
      </c>
      <c r="E174" s="40"/>
      <c r="F174" s="40"/>
      <c r="G174" s="10">
        <f t="shared" ref="G174:H175" si="29">G175</f>
        <v>9775.4</v>
      </c>
      <c r="H174" s="10">
        <f t="shared" si="29"/>
        <v>9775.4</v>
      </c>
    </row>
    <row r="175" spans="1:8" ht="47.25" x14ac:dyDescent="0.25">
      <c r="A175" s="25" t="s">
        <v>288</v>
      </c>
      <c r="B175" s="20" t="s">
        <v>1065</v>
      </c>
      <c r="C175" s="40" t="s">
        <v>280</v>
      </c>
      <c r="D175" s="40" t="s">
        <v>229</v>
      </c>
      <c r="E175" s="40" t="s">
        <v>289</v>
      </c>
      <c r="F175" s="40"/>
      <c r="G175" s="10">
        <f t="shared" si="29"/>
        <v>9775.4</v>
      </c>
      <c r="H175" s="10">
        <f t="shared" si="29"/>
        <v>9775.4</v>
      </c>
    </row>
    <row r="176" spans="1:8" ht="15.75" x14ac:dyDescent="0.25">
      <c r="A176" s="25" t="s">
        <v>290</v>
      </c>
      <c r="B176" s="20" t="s">
        <v>1065</v>
      </c>
      <c r="C176" s="40" t="s">
        <v>280</v>
      </c>
      <c r="D176" s="40" t="s">
        <v>229</v>
      </c>
      <c r="E176" s="40" t="s">
        <v>291</v>
      </c>
      <c r="F176" s="40"/>
      <c r="G176" s="6">
        <f>'пр.5.1.ведом.21-22'!G624</f>
        <v>9775.4</v>
      </c>
      <c r="H176" s="6">
        <f>'пр.5.1.ведом.21-22'!H624</f>
        <v>9775.4</v>
      </c>
    </row>
    <row r="177" spans="1:8" ht="31.5" x14ac:dyDescent="0.25">
      <c r="A177" s="29" t="s">
        <v>419</v>
      </c>
      <c r="B177" s="20" t="s">
        <v>1065</v>
      </c>
      <c r="C177" s="40" t="s">
        <v>280</v>
      </c>
      <c r="D177" s="40" t="s">
        <v>229</v>
      </c>
      <c r="E177" s="40" t="s">
        <v>291</v>
      </c>
      <c r="F177" s="40" t="s">
        <v>653</v>
      </c>
      <c r="G177" s="10">
        <f>G176</f>
        <v>9775.4</v>
      </c>
      <c r="H177" s="10">
        <f>H176</f>
        <v>9775.4</v>
      </c>
    </row>
    <row r="178" spans="1:8" ht="63" x14ac:dyDescent="0.25">
      <c r="A178" s="25" t="s">
        <v>1069</v>
      </c>
      <c r="B178" s="20" t="s">
        <v>1066</v>
      </c>
      <c r="C178" s="40" t="s">
        <v>280</v>
      </c>
      <c r="D178" s="40" t="s">
        <v>229</v>
      </c>
      <c r="E178" s="40"/>
      <c r="F178" s="40"/>
      <c r="G178" s="6">
        <f>G179</f>
        <v>12351.7</v>
      </c>
      <c r="H178" s="6">
        <f>H179</f>
        <v>12351.7</v>
      </c>
    </row>
    <row r="179" spans="1:8" ht="47.25" x14ac:dyDescent="0.25">
      <c r="A179" s="25" t="s">
        <v>288</v>
      </c>
      <c r="B179" s="20" t="s">
        <v>1066</v>
      </c>
      <c r="C179" s="40" t="s">
        <v>280</v>
      </c>
      <c r="D179" s="40" t="s">
        <v>229</v>
      </c>
      <c r="E179" s="40" t="s">
        <v>289</v>
      </c>
      <c r="F179" s="40"/>
      <c r="G179" s="6">
        <f>G180</f>
        <v>12351.7</v>
      </c>
      <c r="H179" s="6">
        <f>H180</f>
        <v>12351.7</v>
      </c>
    </row>
    <row r="180" spans="1:8" ht="15.75" x14ac:dyDescent="0.25">
      <c r="A180" s="25" t="s">
        <v>290</v>
      </c>
      <c r="B180" s="20" t="s">
        <v>1066</v>
      </c>
      <c r="C180" s="40" t="s">
        <v>280</v>
      </c>
      <c r="D180" s="40" t="s">
        <v>229</v>
      </c>
      <c r="E180" s="40" t="s">
        <v>291</v>
      </c>
      <c r="F180" s="40"/>
      <c r="G180" s="6">
        <f>'пр.5.1.ведом.21-22'!G627</f>
        <v>12351.7</v>
      </c>
      <c r="H180" s="6">
        <f>'пр.5.1.ведом.21-22'!H627</f>
        <v>12351.7</v>
      </c>
    </row>
    <row r="181" spans="1:8" ht="31.5" x14ac:dyDescent="0.25">
      <c r="A181" s="29" t="s">
        <v>419</v>
      </c>
      <c r="B181" s="20" t="s">
        <v>1066</v>
      </c>
      <c r="C181" s="40" t="s">
        <v>280</v>
      </c>
      <c r="D181" s="40" t="s">
        <v>229</v>
      </c>
      <c r="E181" s="40" t="s">
        <v>291</v>
      </c>
      <c r="F181" s="40" t="s">
        <v>653</v>
      </c>
      <c r="G181" s="10">
        <f>G180</f>
        <v>12351.7</v>
      </c>
      <c r="H181" s="10">
        <f>H180</f>
        <v>12351.7</v>
      </c>
    </row>
    <row r="182" spans="1:8" ht="63" x14ac:dyDescent="0.25">
      <c r="A182" s="25" t="s">
        <v>1070</v>
      </c>
      <c r="B182" s="20" t="s">
        <v>1067</v>
      </c>
      <c r="C182" s="40" t="s">
        <v>280</v>
      </c>
      <c r="D182" s="40" t="s">
        <v>229</v>
      </c>
      <c r="E182" s="40"/>
      <c r="F182" s="40"/>
      <c r="G182" s="6">
        <f>G183</f>
        <v>6675.9</v>
      </c>
      <c r="H182" s="6">
        <f>H183</f>
        <v>6675.9</v>
      </c>
    </row>
    <row r="183" spans="1:8" ht="47.25" x14ac:dyDescent="0.25">
      <c r="A183" s="25" t="s">
        <v>288</v>
      </c>
      <c r="B183" s="20" t="s">
        <v>1067</v>
      </c>
      <c r="C183" s="40" t="s">
        <v>280</v>
      </c>
      <c r="D183" s="40" t="s">
        <v>229</v>
      </c>
      <c r="E183" s="40" t="s">
        <v>289</v>
      </c>
      <c r="F183" s="40"/>
      <c r="G183" s="6">
        <f>G184</f>
        <v>6675.9</v>
      </c>
      <c r="H183" s="6">
        <f>H184</f>
        <v>6675.9</v>
      </c>
    </row>
    <row r="184" spans="1:8" ht="15.75" x14ac:dyDescent="0.25">
      <c r="A184" s="25" t="s">
        <v>290</v>
      </c>
      <c r="B184" s="20" t="s">
        <v>1067</v>
      </c>
      <c r="C184" s="40" t="s">
        <v>280</v>
      </c>
      <c r="D184" s="40" t="s">
        <v>229</v>
      </c>
      <c r="E184" s="40" t="s">
        <v>291</v>
      </c>
      <c r="F184" s="40"/>
      <c r="G184" s="6">
        <f>'пр.5.1.ведом.21-22'!G630</f>
        <v>6675.9</v>
      </c>
      <c r="H184" s="6">
        <f>'пр.5.1.ведом.21-22'!H630</f>
        <v>6675.9</v>
      </c>
    </row>
    <row r="185" spans="1:8" ht="31.5" x14ac:dyDescent="0.25">
      <c r="A185" s="29" t="s">
        <v>419</v>
      </c>
      <c r="B185" s="20" t="s">
        <v>1067</v>
      </c>
      <c r="C185" s="40" t="s">
        <v>280</v>
      </c>
      <c r="D185" s="40" t="s">
        <v>229</v>
      </c>
      <c r="E185" s="40" t="s">
        <v>291</v>
      </c>
      <c r="F185" s="40" t="s">
        <v>653</v>
      </c>
      <c r="G185" s="10">
        <f>G184</f>
        <v>6675.9</v>
      </c>
      <c r="H185" s="10">
        <f>H184</f>
        <v>6675.9</v>
      </c>
    </row>
    <row r="186" spans="1:8" ht="15.75" x14ac:dyDescent="0.25">
      <c r="A186" s="29" t="s">
        <v>281</v>
      </c>
      <c r="B186" s="40" t="s">
        <v>1006</v>
      </c>
      <c r="C186" s="40" t="s">
        <v>280</v>
      </c>
      <c r="D186" s="40" t="s">
        <v>231</v>
      </c>
      <c r="E186" s="40"/>
      <c r="F186" s="40"/>
      <c r="G186" s="6">
        <f t="shared" ref="G186:H188" si="30">G187</f>
        <v>32615</v>
      </c>
      <c r="H186" s="6">
        <f t="shared" si="30"/>
        <v>32615</v>
      </c>
    </row>
    <row r="187" spans="1:8" ht="47.25" x14ac:dyDescent="0.25">
      <c r="A187" s="29" t="s">
        <v>286</v>
      </c>
      <c r="B187" s="20" t="s">
        <v>1051</v>
      </c>
      <c r="C187" s="40" t="s">
        <v>280</v>
      </c>
      <c r="D187" s="40" t="s">
        <v>231</v>
      </c>
      <c r="E187" s="7"/>
      <c r="F187" s="7"/>
      <c r="G187" s="10">
        <f t="shared" si="30"/>
        <v>32615</v>
      </c>
      <c r="H187" s="10">
        <f t="shared" si="30"/>
        <v>32615</v>
      </c>
    </row>
    <row r="188" spans="1:8" ht="47.25" x14ac:dyDescent="0.25">
      <c r="A188" s="29" t="s">
        <v>288</v>
      </c>
      <c r="B188" s="20" t="s">
        <v>1051</v>
      </c>
      <c r="C188" s="40" t="s">
        <v>280</v>
      </c>
      <c r="D188" s="40" t="s">
        <v>231</v>
      </c>
      <c r="E188" s="40" t="s">
        <v>289</v>
      </c>
      <c r="F188" s="40"/>
      <c r="G188" s="10">
        <f t="shared" si="30"/>
        <v>32615</v>
      </c>
      <c r="H188" s="10">
        <f t="shared" si="30"/>
        <v>32615</v>
      </c>
    </row>
    <row r="189" spans="1:8" ht="15.75" x14ac:dyDescent="0.25">
      <c r="A189" s="29" t="s">
        <v>290</v>
      </c>
      <c r="B189" s="20" t="s">
        <v>1051</v>
      </c>
      <c r="C189" s="40" t="s">
        <v>280</v>
      </c>
      <c r="D189" s="40" t="s">
        <v>231</v>
      </c>
      <c r="E189" s="40" t="s">
        <v>291</v>
      </c>
      <c r="F189" s="40"/>
      <c r="G189" s="6">
        <f>'пр.5.1.ведом.21-22'!G708</f>
        <v>32615</v>
      </c>
      <c r="H189" s="6">
        <f>'пр.5.1.ведом.21-22'!H708</f>
        <v>32615</v>
      </c>
    </row>
    <row r="190" spans="1:8" ht="31.5" x14ac:dyDescent="0.25">
      <c r="A190" s="29" t="s">
        <v>419</v>
      </c>
      <c r="B190" s="20" t="s">
        <v>1051</v>
      </c>
      <c r="C190" s="40" t="s">
        <v>280</v>
      </c>
      <c r="D190" s="40" t="s">
        <v>231</v>
      </c>
      <c r="E190" s="40" t="s">
        <v>291</v>
      </c>
      <c r="F190" s="40" t="s">
        <v>653</v>
      </c>
      <c r="G190" s="10">
        <f>G189</f>
        <v>32615</v>
      </c>
      <c r="H190" s="10">
        <f>H189</f>
        <v>32615</v>
      </c>
    </row>
    <row r="191" spans="1:8" ht="47.25" x14ac:dyDescent="0.25">
      <c r="A191" s="23" t="s">
        <v>971</v>
      </c>
      <c r="B191" s="24" t="s">
        <v>1021</v>
      </c>
      <c r="C191" s="7"/>
      <c r="D191" s="7"/>
      <c r="E191" s="7"/>
      <c r="F191" s="7"/>
      <c r="G191" s="4">
        <f>G192</f>
        <v>242536.00000000003</v>
      </c>
      <c r="H191" s="4">
        <f>H192</f>
        <v>242536.00000000003</v>
      </c>
    </row>
    <row r="192" spans="1:8" ht="15.75" x14ac:dyDescent="0.25">
      <c r="A192" s="29" t="s">
        <v>279</v>
      </c>
      <c r="B192" s="40" t="s">
        <v>1021</v>
      </c>
      <c r="C192" s="40" t="s">
        <v>280</v>
      </c>
      <c r="D192" s="40"/>
      <c r="E192" s="40"/>
      <c r="F192" s="40"/>
      <c r="G192" s="10">
        <f>G193+G214+G243</f>
        <v>242536.00000000003</v>
      </c>
      <c r="H192" s="10">
        <f>H193+H214+H243</f>
        <v>242536.00000000003</v>
      </c>
    </row>
    <row r="193" spans="1:8" ht="15.75" x14ac:dyDescent="0.25">
      <c r="A193" s="45" t="s">
        <v>420</v>
      </c>
      <c r="B193" s="40" t="s">
        <v>1021</v>
      </c>
      <c r="C193" s="40" t="s">
        <v>280</v>
      </c>
      <c r="D193" s="40" t="s">
        <v>134</v>
      </c>
      <c r="E193" s="40"/>
      <c r="F193" s="40"/>
      <c r="G193" s="10">
        <f>G198+G202+G206+G210+G194</f>
        <v>85840.5</v>
      </c>
      <c r="H193" s="328">
        <f>H198+H202+H206+H210+H194</f>
        <v>85840.5</v>
      </c>
    </row>
    <row r="194" spans="1:8" s="324" customFormat="1" ht="110.25" x14ac:dyDescent="0.25">
      <c r="A194" s="31" t="s">
        <v>309</v>
      </c>
      <c r="B194" s="331" t="s">
        <v>1517</v>
      </c>
      <c r="C194" s="339" t="s">
        <v>280</v>
      </c>
      <c r="D194" s="339" t="s">
        <v>134</v>
      </c>
      <c r="E194" s="339"/>
      <c r="F194" s="339"/>
      <c r="G194" s="328">
        <f>G195</f>
        <v>2916.1</v>
      </c>
      <c r="H194" s="328">
        <f>H195</f>
        <v>2916.1</v>
      </c>
    </row>
    <row r="195" spans="1:8" s="324" customFormat="1" ht="47.25" x14ac:dyDescent="0.25">
      <c r="A195" s="335" t="s">
        <v>288</v>
      </c>
      <c r="B195" s="331" t="s">
        <v>1517</v>
      </c>
      <c r="C195" s="339" t="s">
        <v>280</v>
      </c>
      <c r="D195" s="339" t="s">
        <v>134</v>
      </c>
      <c r="E195" s="339" t="s">
        <v>289</v>
      </c>
      <c r="F195" s="339"/>
      <c r="G195" s="328">
        <f>G196</f>
        <v>2916.1</v>
      </c>
      <c r="H195" s="328">
        <f>H196</f>
        <v>2916.1</v>
      </c>
    </row>
    <row r="196" spans="1:8" s="324" customFormat="1" ht="15.75" x14ac:dyDescent="0.25">
      <c r="A196" s="335" t="s">
        <v>290</v>
      </c>
      <c r="B196" s="331" t="s">
        <v>1517</v>
      </c>
      <c r="C196" s="339" t="s">
        <v>280</v>
      </c>
      <c r="D196" s="339" t="s">
        <v>134</v>
      </c>
      <c r="E196" s="339" t="s">
        <v>291</v>
      </c>
      <c r="F196" s="339"/>
      <c r="G196" s="328">
        <f>'пр.5.1.ведом.21-22'!G560</f>
        <v>2916.1</v>
      </c>
      <c r="H196" s="328">
        <f>'пр.5.1.ведом.21-22'!H560</f>
        <v>2916.1</v>
      </c>
    </row>
    <row r="197" spans="1:8" s="324" customFormat="1" ht="31.5" x14ac:dyDescent="0.25">
      <c r="A197" s="338" t="s">
        <v>419</v>
      </c>
      <c r="B197" s="331" t="s">
        <v>1517</v>
      </c>
      <c r="C197" s="339" t="s">
        <v>280</v>
      </c>
      <c r="D197" s="339" t="s">
        <v>134</v>
      </c>
      <c r="E197" s="339" t="s">
        <v>291</v>
      </c>
      <c r="F197" s="339" t="s">
        <v>653</v>
      </c>
      <c r="G197" s="328">
        <f>G194</f>
        <v>2916.1</v>
      </c>
      <c r="H197" s="328">
        <f>H194</f>
        <v>2916.1</v>
      </c>
    </row>
    <row r="198" spans="1:8" ht="78.75" x14ac:dyDescent="0.25">
      <c r="A198" s="31" t="s">
        <v>305</v>
      </c>
      <c r="B198" s="20" t="s">
        <v>1020</v>
      </c>
      <c r="C198" s="40" t="s">
        <v>280</v>
      </c>
      <c r="D198" s="40" t="s">
        <v>134</v>
      </c>
      <c r="E198" s="40"/>
      <c r="F198" s="40"/>
      <c r="G198" s="6">
        <f>G199</f>
        <v>559.70000000000005</v>
      </c>
      <c r="H198" s="6">
        <f>H199</f>
        <v>559.70000000000005</v>
      </c>
    </row>
    <row r="199" spans="1:8" ht="47.25" x14ac:dyDescent="0.25">
      <c r="A199" s="25" t="s">
        <v>288</v>
      </c>
      <c r="B199" s="20" t="s">
        <v>1020</v>
      </c>
      <c r="C199" s="40" t="s">
        <v>280</v>
      </c>
      <c r="D199" s="40" t="s">
        <v>134</v>
      </c>
      <c r="E199" s="40" t="s">
        <v>289</v>
      </c>
      <c r="F199" s="40"/>
      <c r="G199" s="6">
        <f>G200</f>
        <v>559.70000000000005</v>
      </c>
      <c r="H199" s="6">
        <f>H200</f>
        <v>559.70000000000005</v>
      </c>
    </row>
    <row r="200" spans="1:8" ht="15.75" x14ac:dyDescent="0.25">
      <c r="A200" s="25" t="s">
        <v>290</v>
      </c>
      <c r="B200" s="20" t="s">
        <v>1020</v>
      </c>
      <c r="C200" s="40" t="s">
        <v>280</v>
      </c>
      <c r="D200" s="40" t="s">
        <v>134</v>
      </c>
      <c r="E200" s="40" t="s">
        <v>291</v>
      </c>
      <c r="F200" s="40"/>
      <c r="G200" s="6">
        <f>'пр.5.1.ведом.21-22'!G563</f>
        <v>559.70000000000005</v>
      </c>
      <c r="H200" s="6">
        <f>'пр.5.1.ведом.21-22'!H563</f>
        <v>559.70000000000005</v>
      </c>
    </row>
    <row r="201" spans="1:8" ht="31.5" x14ac:dyDescent="0.25">
      <c r="A201" s="29" t="s">
        <v>419</v>
      </c>
      <c r="B201" s="20" t="s">
        <v>1020</v>
      </c>
      <c r="C201" s="40" t="s">
        <v>280</v>
      </c>
      <c r="D201" s="40" t="s">
        <v>134</v>
      </c>
      <c r="E201" s="40" t="s">
        <v>291</v>
      </c>
      <c r="F201" s="40" t="s">
        <v>653</v>
      </c>
      <c r="G201" s="10">
        <f>G200</f>
        <v>559.70000000000005</v>
      </c>
      <c r="H201" s="10">
        <f>H200</f>
        <v>559.70000000000005</v>
      </c>
    </row>
    <row r="202" spans="1:8" ht="94.5" x14ac:dyDescent="0.25">
      <c r="A202" s="31" t="s">
        <v>436</v>
      </c>
      <c r="B202" s="20" t="s">
        <v>1023</v>
      </c>
      <c r="C202" s="40" t="s">
        <v>280</v>
      </c>
      <c r="D202" s="40" t="s">
        <v>134</v>
      </c>
      <c r="E202" s="40"/>
      <c r="F202" s="40"/>
      <c r="G202" s="6">
        <f>G203</f>
        <v>1629.3</v>
      </c>
      <c r="H202" s="6">
        <f>H203</f>
        <v>1629.3</v>
      </c>
    </row>
    <row r="203" spans="1:8" ht="47.25" x14ac:dyDescent="0.25">
      <c r="A203" s="25" t="s">
        <v>288</v>
      </c>
      <c r="B203" s="20" t="s">
        <v>1023</v>
      </c>
      <c r="C203" s="40" t="s">
        <v>280</v>
      </c>
      <c r="D203" s="40" t="s">
        <v>134</v>
      </c>
      <c r="E203" s="40" t="s">
        <v>289</v>
      </c>
      <c r="F203" s="40"/>
      <c r="G203" s="6">
        <f>G204</f>
        <v>1629.3</v>
      </c>
      <c r="H203" s="6">
        <f>H204</f>
        <v>1629.3</v>
      </c>
    </row>
    <row r="204" spans="1:8" ht="15.75" x14ac:dyDescent="0.25">
      <c r="A204" s="25" t="s">
        <v>290</v>
      </c>
      <c r="B204" s="20" t="s">
        <v>1023</v>
      </c>
      <c r="C204" s="40" t="s">
        <v>280</v>
      </c>
      <c r="D204" s="40" t="s">
        <v>134</v>
      </c>
      <c r="E204" s="40" t="s">
        <v>291</v>
      </c>
      <c r="F204" s="40"/>
      <c r="G204" s="6">
        <f>'пр.5.1.ведом.21-22'!G566</f>
        <v>1629.3</v>
      </c>
      <c r="H204" s="6">
        <f>'пр.5.1.ведом.21-22'!H566</f>
        <v>1629.3</v>
      </c>
    </row>
    <row r="205" spans="1:8" ht="31.5" x14ac:dyDescent="0.25">
      <c r="A205" s="29" t="s">
        <v>419</v>
      </c>
      <c r="B205" s="20" t="s">
        <v>1023</v>
      </c>
      <c r="C205" s="40" t="s">
        <v>280</v>
      </c>
      <c r="D205" s="40" t="s">
        <v>134</v>
      </c>
      <c r="E205" s="40" t="s">
        <v>291</v>
      </c>
      <c r="F205" s="40" t="s">
        <v>653</v>
      </c>
      <c r="G205" s="10">
        <f>G204</f>
        <v>1629.3</v>
      </c>
      <c r="H205" s="10">
        <f>H204</f>
        <v>1629.3</v>
      </c>
    </row>
    <row r="206" spans="1:8" ht="91.5" customHeight="1" x14ac:dyDescent="0.25">
      <c r="A206" s="31" t="s">
        <v>437</v>
      </c>
      <c r="B206" s="20" t="s">
        <v>1022</v>
      </c>
      <c r="C206" s="40" t="s">
        <v>280</v>
      </c>
      <c r="D206" s="40" t="s">
        <v>134</v>
      </c>
      <c r="E206" s="40"/>
      <c r="F206" s="40"/>
      <c r="G206" s="6">
        <f>G207</f>
        <v>80735.399999999994</v>
      </c>
      <c r="H206" s="6">
        <f>H207</f>
        <v>80735.399999999994</v>
      </c>
    </row>
    <row r="207" spans="1:8" ht="47.25" x14ac:dyDescent="0.25">
      <c r="A207" s="25" t="s">
        <v>288</v>
      </c>
      <c r="B207" s="20" t="s">
        <v>1022</v>
      </c>
      <c r="C207" s="40" t="s">
        <v>280</v>
      </c>
      <c r="D207" s="40" t="s">
        <v>134</v>
      </c>
      <c r="E207" s="40" t="s">
        <v>289</v>
      </c>
      <c r="F207" s="40"/>
      <c r="G207" s="6">
        <f>G208</f>
        <v>80735.399999999994</v>
      </c>
      <c r="H207" s="6">
        <f>H208</f>
        <v>80735.399999999994</v>
      </c>
    </row>
    <row r="208" spans="1:8" ht="15.75" x14ac:dyDescent="0.25">
      <c r="A208" s="25" t="s">
        <v>290</v>
      </c>
      <c r="B208" s="20" t="s">
        <v>1022</v>
      </c>
      <c r="C208" s="40" t="s">
        <v>280</v>
      </c>
      <c r="D208" s="40" t="s">
        <v>134</v>
      </c>
      <c r="E208" s="40" t="s">
        <v>291</v>
      </c>
      <c r="F208" s="40"/>
      <c r="G208" s="6">
        <f>'пр.5.1.ведом.21-22'!G569</f>
        <v>80735.399999999994</v>
      </c>
      <c r="H208" s="6">
        <f>'пр.5.1.ведом.21-22'!H569</f>
        <v>80735.399999999994</v>
      </c>
    </row>
    <row r="209" spans="1:8" ht="31.5" x14ac:dyDescent="0.25">
      <c r="A209" s="29" t="s">
        <v>419</v>
      </c>
      <c r="B209" s="20" t="s">
        <v>1022</v>
      </c>
      <c r="C209" s="40" t="s">
        <v>280</v>
      </c>
      <c r="D209" s="40" t="s">
        <v>134</v>
      </c>
      <c r="E209" s="40" t="s">
        <v>291</v>
      </c>
      <c r="F209" s="40" t="s">
        <v>653</v>
      </c>
      <c r="G209" s="10">
        <f>G208</f>
        <v>80735.399999999994</v>
      </c>
      <c r="H209" s="10">
        <f>H208</f>
        <v>80735.399999999994</v>
      </c>
    </row>
    <row r="210" spans="1:8" ht="110.25" hidden="1" x14ac:dyDescent="0.25">
      <c r="A210" s="31" t="s">
        <v>309</v>
      </c>
      <c r="B210" s="20" t="s">
        <v>1024</v>
      </c>
      <c r="C210" s="40" t="s">
        <v>280</v>
      </c>
      <c r="D210" s="40" t="s">
        <v>134</v>
      </c>
      <c r="E210" s="40"/>
      <c r="F210" s="40"/>
      <c r="G210" s="6">
        <f>G211</f>
        <v>0</v>
      </c>
      <c r="H210" s="6">
        <f>H211</f>
        <v>0</v>
      </c>
    </row>
    <row r="211" spans="1:8" ht="47.25" hidden="1" x14ac:dyDescent="0.25">
      <c r="A211" s="25" t="s">
        <v>288</v>
      </c>
      <c r="B211" s="20" t="s">
        <v>1024</v>
      </c>
      <c r="C211" s="40" t="s">
        <v>280</v>
      </c>
      <c r="D211" s="40" t="s">
        <v>134</v>
      </c>
      <c r="E211" s="40" t="s">
        <v>289</v>
      </c>
      <c r="F211" s="40"/>
      <c r="G211" s="6">
        <f>G212</f>
        <v>0</v>
      </c>
      <c r="H211" s="6">
        <f>H212</f>
        <v>0</v>
      </c>
    </row>
    <row r="212" spans="1:8" ht="15.75" hidden="1" x14ac:dyDescent="0.25">
      <c r="A212" s="25" t="s">
        <v>290</v>
      </c>
      <c r="B212" s="20" t="s">
        <v>1024</v>
      </c>
      <c r="C212" s="40" t="s">
        <v>280</v>
      </c>
      <c r="D212" s="40" t="s">
        <v>134</v>
      </c>
      <c r="E212" s="40" t="s">
        <v>291</v>
      </c>
      <c r="F212" s="40"/>
      <c r="G212" s="6">
        <f>'пр.5.1.ведом.21-22'!G572</f>
        <v>0</v>
      </c>
      <c r="H212" s="6">
        <f>'пр.5.1.ведом.21-22'!H572</f>
        <v>0</v>
      </c>
    </row>
    <row r="213" spans="1:8" ht="31.5" hidden="1" x14ac:dyDescent="0.25">
      <c r="A213" s="29" t="s">
        <v>419</v>
      </c>
      <c r="B213" s="20" t="s">
        <v>1024</v>
      </c>
      <c r="C213" s="40" t="s">
        <v>280</v>
      </c>
      <c r="D213" s="40" t="s">
        <v>134</v>
      </c>
      <c r="E213" s="40" t="s">
        <v>291</v>
      </c>
      <c r="F213" s="40" t="s">
        <v>653</v>
      </c>
      <c r="G213" s="10">
        <f>G212</f>
        <v>0</v>
      </c>
      <c r="H213" s="10">
        <f>H212</f>
        <v>0</v>
      </c>
    </row>
    <row r="214" spans="1:8" ht="15.75" x14ac:dyDescent="0.25">
      <c r="A214" s="29" t="s">
        <v>441</v>
      </c>
      <c r="B214" s="40" t="s">
        <v>1021</v>
      </c>
      <c r="C214" s="40" t="s">
        <v>280</v>
      </c>
      <c r="D214" s="40" t="s">
        <v>229</v>
      </c>
      <c r="E214" s="40"/>
      <c r="F214" s="40"/>
      <c r="G214" s="10">
        <f>G223+G227+G231+G235+G239+G219+G215</f>
        <v>155073.30000000002</v>
      </c>
      <c r="H214" s="328">
        <f>H223+H227+H231+H235+H239+H219+H215</f>
        <v>155073.30000000002</v>
      </c>
    </row>
    <row r="215" spans="1:8" s="324" customFormat="1" ht="78.75" x14ac:dyDescent="0.25">
      <c r="A215" s="335" t="s">
        <v>1525</v>
      </c>
      <c r="B215" s="331" t="s">
        <v>1526</v>
      </c>
      <c r="C215" s="339" t="s">
        <v>280</v>
      </c>
      <c r="D215" s="339" t="s">
        <v>229</v>
      </c>
      <c r="E215" s="339"/>
      <c r="F215" s="339"/>
      <c r="G215" s="328">
        <f>G216</f>
        <v>2636.6</v>
      </c>
      <c r="H215" s="328">
        <f>H216</f>
        <v>2636.6</v>
      </c>
    </row>
    <row r="216" spans="1:8" s="324" customFormat="1" ht="47.25" x14ac:dyDescent="0.25">
      <c r="A216" s="335" t="s">
        <v>288</v>
      </c>
      <c r="B216" s="331" t="s">
        <v>1526</v>
      </c>
      <c r="C216" s="339" t="s">
        <v>280</v>
      </c>
      <c r="D216" s="339" t="s">
        <v>229</v>
      </c>
      <c r="E216" s="339" t="s">
        <v>289</v>
      </c>
      <c r="F216" s="339"/>
      <c r="G216" s="328">
        <f>G217</f>
        <v>2636.6</v>
      </c>
      <c r="H216" s="328">
        <f>H217</f>
        <v>2636.6</v>
      </c>
    </row>
    <row r="217" spans="1:8" s="324" customFormat="1" ht="15.75" x14ac:dyDescent="0.25">
      <c r="A217" s="335" t="s">
        <v>290</v>
      </c>
      <c r="B217" s="331" t="s">
        <v>1526</v>
      </c>
      <c r="C217" s="339" t="s">
        <v>280</v>
      </c>
      <c r="D217" s="339" t="s">
        <v>229</v>
      </c>
      <c r="E217" s="339" t="s">
        <v>291</v>
      </c>
      <c r="F217" s="339"/>
      <c r="G217" s="328">
        <f>'пр.5.1.ведом.21-22'!G634</f>
        <v>2636.6</v>
      </c>
      <c r="H217" s="328">
        <f>'пр.5.1.ведом.21-22'!H634</f>
        <v>2636.6</v>
      </c>
    </row>
    <row r="218" spans="1:8" s="324" customFormat="1" ht="31.5" x14ac:dyDescent="0.25">
      <c r="A218" s="338" t="s">
        <v>419</v>
      </c>
      <c r="B218" s="331" t="s">
        <v>1526</v>
      </c>
      <c r="C218" s="339" t="s">
        <v>280</v>
      </c>
      <c r="D218" s="339" t="s">
        <v>229</v>
      </c>
      <c r="E218" s="339" t="s">
        <v>291</v>
      </c>
      <c r="F218" s="339" t="s">
        <v>653</v>
      </c>
      <c r="G218" s="328">
        <f>G215</f>
        <v>2636.6</v>
      </c>
      <c r="H218" s="328">
        <f>H215</f>
        <v>2636.6</v>
      </c>
    </row>
    <row r="219" spans="1:8" s="324" customFormat="1" ht="110.25" x14ac:dyDescent="0.25">
      <c r="A219" s="31" t="s">
        <v>480</v>
      </c>
      <c r="B219" s="331" t="s">
        <v>1517</v>
      </c>
      <c r="C219" s="339" t="s">
        <v>280</v>
      </c>
      <c r="D219" s="339" t="s">
        <v>229</v>
      </c>
      <c r="E219" s="339"/>
      <c r="F219" s="339"/>
      <c r="G219" s="328">
        <f>G220</f>
        <v>4841</v>
      </c>
      <c r="H219" s="328">
        <f>H220</f>
        <v>4841</v>
      </c>
    </row>
    <row r="220" spans="1:8" s="324" customFormat="1" ht="47.25" x14ac:dyDescent="0.25">
      <c r="A220" s="335" t="s">
        <v>288</v>
      </c>
      <c r="B220" s="331" t="s">
        <v>1517</v>
      </c>
      <c r="C220" s="339" t="s">
        <v>280</v>
      </c>
      <c r="D220" s="339" t="s">
        <v>229</v>
      </c>
      <c r="E220" s="339" t="s">
        <v>289</v>
      </c>
      <c r="F220" s="339"/>
      <c r="G220" s="328">
        <f>G221</f>
        <v>4841</v>
      </c>
      <c r="H220" s="328">
        <f>H221</f>
        <v>4841</v>
      </c>
    </row>
    <row r="221" spans="1:8" s="324" customFormat="1" ht="15.75" x14ac:dyDescent="0.25">
      <c r="A221" s="335" t="s">
        <v>290</v>
      </c>
      <c r="B221" s="331" t="s">
        <v>1517</v>
      </c>
      <c r="C221" s="339" t="s">
        <v>280</v>
      </c>
      <c r="D221" s="339" t="s">
        <v>229</v>
      </c>
      <c r="E221" s="339" t="s">
        <v>291</v>
      </c>
      <c r="F221" s="339"/>
      <c r="G221" s="328">
        <f>'пр.5.1.ведом.21-22'!G637</f>
        <v>4841</v>
      </c>
      <c r="H221" s="328">
        <f>'пр.5.1.ведом.21-22'!H637</f>
        <v>4841</v>
      </c>
    </row>
    <row r="222" spans="1:8" s="324" customFormat="1" ht="31.5" x14ac:dyDescent="0.25">
      <c r="A222" s="338" t="s">
        <v>419</v>
      </c>
      <c r="B222" s="331" t="s">
        <v>1517</v>
      </c>
      <c r="C222" s="339" t="s">
        <v>280</v>
      </c>
      <c r="D222" s="339" t="s">
        <v>229</v>
      </c>
      <c r="E222" s="339" t="s">
        <v>291</v>
      </c>
      <c r="F222" s="339" t="s">
        <v>653</v>
      </c>
      <c r="G222" s="328">
        <f>G219</f>
        <v>4841</v>
      </c>
      <c r="H222" s="328">
        <f>H219</f>
        <v>4841</v>
      </c>
    </row>
    <row r="223" spans="1:8" ht="94.5" x14ac:dyDescent="0.25">
      <c r="A223" s="31" t="s">
        <v>476</v>
      </c>
      <c r="B223" s="20" t="s">
        <v>1049</v>
      </c>
      <c r="C223" s="40" t="s">
        <v>280</v>
      </c>
      <c r="D223" s="40" t="s">
        <v>229</v>
      </c>
      <c r="E223" s="40"/>
      <c r="F223" s="40"/>
      <c r="G223" s="6">
        <f>G224</f>
        <v>143160</v>
      </c>
      <c r="H223" s="6">
        <f>H224</f>
        <v>143160</v>
      </c>
    </row>
    <row r="224" spans="1:8" ht="47.25" x14ac:dyDescent="0.25">
      <c r="A224" s="25" t="s">
        <v>288</v>
      </c>
      <c r="B224" s="20" t="s">
        <v>1049</v>
      </c>
      <c r="C224" s="40" t="s">
        <v>280</v>
      </c>
      <c r="D224" s="40" t="s">
        <v>229</v>
      </c>
      <c r="E224" s="40" t="s">
        <v>289</v>
      </c>
      <c r="F224" s="40"/>
      <c r="G224" s="6">
        <f>G225</f>
        <v>143160</v>
      </c>
      <c r="H224" s="6">
        <f>H225</f>
        <v>143160</v>
      </c>
    </row>
    <row r="225" spans="1:8" ht="15.75" x14ac:dyDescent="0.25">
      <c r="A225" s="25" t="s">
        <v>290</v>
      </c>
      <c r="B225" s="20" t="s">
        <v>1049</v>
      </c>
      <c r="C225" s="40" t="s">
        <v>280</v>
      </c>
      <c r="D225" s="40" t="s">
        <v>229</v>
      </c>
      <c r="E225" s="40" t="s">
        <v>291</v>
      </c>
      <c r="F225" s="40"/>
      <c r="G225" s="6">
        <f>'пр.5.1.ведом.21-22'!G640</f>
        <v>143160</v>
      </c>
      <c r="H225" s="6">
        <f>'пр.5.1.ведом.21-22'!H640</f>
        <v>143160</v>
      </c>
    </row>
    <row r="226" spans="1:8" ht="31.5" x14ac:dyDescent="0.25">
      <c r="A226" s="29" t="s">
        <v>419</v>
      </c>
      <c r="B226" s="20" t="s">
        <v>1049</v>
      </c>
      <c r="C226" s="40" t="s">
        <v>280</v>
      </c>
      <c r="D226" s="40" t="s">
        <v>229</v>
      </c>
      <c r="E226" s="40" t="s">
        <v>291</v>
      </c>
      <c r="F226" s="40" t="s">
        <v>653</v>
      </c>
      <c r="G226" s="10">
        <f>G225</f>
        <v>143160</v>
      </c>
      <c r="H226" s="10">
        <f>H225</f>
        <v>143160</v>
      </c>
    </row>
    <row r="227" spans="1:8" ht="78.75" x14ac:dyDescent="0.25">
      <c r="A227" s="31" t="s">
        <v>305</v>
      </c>
      <c r="B227" s="20" t="s">
        <v>1020</v>
      </c>
      <c r="C227" s="40" t="s">
        <v>280</v>
      </c>
      <c r="D227" s="40" t="s">
        <v>229</v>
      </c>
      <c r="E227" s="40"/>
      <c r="F227" s="40"/>
      <c r="G227" s="6">
        <f>G228</f>
        <v>1245.5999999999999</v>
      </c>
      <c r="H227" s="6">
        <f>H228</f>
        <v>1245.5999999999999</v>
      </c>
    </row>
    <row r="228" spans="1:8" ht="47.25" x14ac:dyDescent="0.25">
      <c r="A228" s="25" t="s">
        <v>288</v>
      </c>
      <c r="B228" s="20" t="s">
        <v>1020</v>
      </c>
      <c r="C228" s="40" t="s">
        <v>280</v>
      </c>
      <c r="D228" s="40" t="s">
        <v>229</v>
      </c>
      <c r="E228" s="40" t="s">
        <v>289</v>
      </c>
      <c r="F228" s="40"/>
      <c r="G228" s="6">
        <f>G229</f>
        <v>1245.5999999999999</v>
      </c>
      <c r="H228" s="6">
        <f>H229</f>
        <v>1245.5999999999999</v>
      </c>
    </row>
    <row r="229" spans="1:8" ht="15.75" x14ac:dyDescent="0.25">
      <c r="A229" s="25" t="s">
        <v>290</v>
      </c>
      <c r="B229" s="20" t="s">
        <v>1020</v>
      </c>
      <c r="C229" s="40" t="s">
        <v>280</v>
      </c>
      <c r="D229" s="40" t="s">
        <v>229</v>
      </c>
      <c r="E229" s="40" t="s">
        <v>291</v>
      </c>
      <c r="F229" s="40"/>
      <c r="G229" s="6">
        <f>'пр.5.1.ведом.21-22'!G643</f>
        <v>1245.5999999999999</v>
      </c>
      <c r="H229" s="6">
        <f>'пр.5.1.ведом.21-22'!H643</f>
        <v>1245.5999999999999</v>
      </c>
    </row>
    <row r="230" spans="1:8" ht="31.5" x14ac:dyDescent="0.25">
      <c r="A230" s="29" t="s">
        <v>419</v>
      </c>
      <c r="B230" s="20" t="s">
        <v>1020</v>
      </c>
      <c r="C230" s="40" t="s">
        <v>280</v>
      </c>
      <c r="D230" s="40" t="s">
        <v>229</v>
      </c>
      <c r="E230" s="40" t="s">
        <v>291</v>
      </c>
      <c r="F230" s="40" t="s">
        <v>653</v>
      </c>
      <c r="G230" s="10">
        <f>G229</f>
        <v>1245.5999999999999</v>
      </c>
      <c r="H230" s="10">
        <f>H229</f>
        <v>1245.5999999999999</v>
      </c>
    </row>
    <row r="231" spans="1:8" ht="84.2" customHeight="1" x14ac:dyDescent="0.25">
      <c r="A231" s="31" t="s">
        <v>307</v>
      </c>
      <c r="B231" s="20" t="s">
        <v>1023</v>
      </c>
      <c r="C231" s="40" t="s">
        <v>280</v>
      </c>
      <c r="D231" s="40" t="s">
        <v>229</v>
      </c>
      <c r="E231" s="40"/>
      <c r="F231" s="40"/>
      <c r="G231" s="6">
        <f>G232</f>
        <v>2266.6999999999998</v>
      </c>
      <c r="H231" s="6">
        <f>H232</f>
        <v>2266.6999999999998</v>
      </c>
    </row>
    <row r="232" spans="1:8" ht="47.25" x14ac:dyDescent="0.25">
      <c r="A232" s="25" t="s">
        <v>288</v>
      </c>
      <c r="B232" s="20" t="s">
        <v>1023</v>
      </c>
      <c r="C232" s="40" t="s">
        <v>280</v>
      </c>
      <c r="D232" s="40" t="s">
        <v>229</v>
      </c>
      <c r="E232" s="40" t="s">
        <v>289</v>
      </c>
      <c r="F232" s="40"/>
      <c r="G232" s="6">
        <f>G233</f>
        <v>2266.6999999999998</v>
      </c>
      <c r="H232" s="6">
        <f>H233</f>
        <v>2266.6999999999998</v>
      </c>
    </row>
    <row r="233" spans="1:8" ht="15.75" x14ac:dyDescent="0.25">
      <c r="A233" s="25" t="s">
        <v>290</v>
      </c>
      <c r="B233" s="20" t="s">
        <v>1023</v>
      </c>
      <c r="C233" s="40" t="s">
        <v>280</v>
      </c>
      <c r="D233" s="40" t="s">
        <v>229</v>
      </c>
      <c r="E233" s="40" t="s">
        <v>291</v>
      </c>
      <c r="F233" s="40"/>
      <c r="G233" s="6">
        <f>'пр.5.1.ведом.21-22'!G646</f>
        <v>2266.6999999999998</v>
      </c>
      <c r="H233" s="6">
        <f>'пр.5.1.ведом.21-22'!H646</f>
        <v>2266.6999999999998</v>
      </c>
    </row>
    <row r="234" spans="1:8" ht="31.5" x14ac:dyDescent="0.25">
      <c r="A234" s="29" t="s">
        <v>419</v>
      </c>
      <c r="B234" s="20" t="s">
        <v>1023</v>
      </c>
      <c r="C234" s="40" t="s">
        <v>280</v>
      </c>
      <c r="D234" s="40" t="s">
        <v>229</v>
      </c>
      <c r="E234" s="40" t="s">
        <v>291</v>
      </c>
      <c r="F234" s="40" t="s">
        <v>653</v>
      </c>
      <c r="G234" s="10">
        <f>G233</f>
        <v>2266.6999999999998</v>
      </c>
      <c r="H234" s="10">
        <f>H233</f>
        <v>2266.6999999999998</v>
      </c>
    </row>
    <row r="235" spans="1:8" ht="47.25" x14ac:dyDescent="0.25">
      <c r="A235" s="31" t="s">
        <v>478</v>
      </c>
      <c r="B235" s="20" t="s">
        <v>1050</v>
      </c>
      <c r="C235" s="40" t="s">
        <v>280</v>
      </c>
      <c r="D235" s="40" t="s">
        <v>229</v>
      </c>
      <c r="E235" s="40"/>
      <c r="F235" s="40"/>
      <c r="G235" s="6">
        <f>G236</f>
        <v>923.4</v>
      </c>
      <c r="H235" s="6">
        <f>H236</f>
        <v>923.4</v>
      </c>
    </row>
    <row r="236" spans="1:8" ht="47.25" x14ac:dyDescent="0.25">
      <c r="A236" s="25" t="s">
        <v>288</v>
      </c>
      <c r="B236" s="20" t="s">
        <v>1050</v>
      </c>
      <c r="C236" s="40" t="s">
        <v>280</v>
      </c>
      <c r="D236" s="40" t="s">
        <v>229</v>
      </c>
      <c r="E236" s="40" t="s">
        <v>289</v>
      </c>
      <c r="F236" s="40"/>
      <c r="G236" s="6">
        <f>G237</f>
        <v>923.4</v>
      </c>
      <c r="H236" s="6">
        <f>H237</f>
        <v>923.4</v>
      </c>
    </row>
    <row r="237" spans="1:8" ht="15.75" x14ac:dyDescent="0.25">
      <c r="A237" s="25" t="s">
        <v>290</v>
      </c>
      <c r="B237" s="20" t="s">
        <v>1050</v>
      </c>
      <c r="C237" s="40" t="s">
        <v>280</v>
      </c>
      <c r="D237" s="40" t="s">
        <v>229</v>
      </c>
      <c r="E237" s="40" t="s">
        <v>291</v>
      </c>
      <c r="F237" s="40"/>
      <c r="G237" s="6">
        <f>'пр.5.1.ведом.21-22'!G649</f>
        <v>923.4</v>
      </c>
      <c r="H237" s="6">
        <f>'пр.5.1.ведом.21-22'!H649</f>
        <v>923.4</v>
      </c>
    </row>
    <row r="238" spans="1:8" ht="31.5" x14ac:dyDescent="0.25">
      <c r="A238" s="29" t="s">
        <v>419</v>
      </c>
      <c r="B238" s="20" t="s">
        <v>1050</v>
      </c>
      <c r="C238" s="40" t="s">
        <v>280</v>
      </c>
      <c r="D238" s="40" t="s">
        <v>229</v>
      </c>
      <c r="E238" s="40" t="s">
        <v>291</v>
      </c>
      <c r="F238" s="40" t="s">
        <v>653</v>
      </c>
      <c r="G238" s="10">
        <f>G237</f>
        <v>923.4</v>
      </c>
      <c r="H238" s="10">
        <f>H237</f>
        <v>923.4</v>
      </c>
    </row>
    <row r="239" spans="1:8" ht="110.25" hidden="1" x14ac:dyDescent="0.25">
      <c r="A239" s="31" t="s">
        <v>480</v>
      </c>
      <c r="B239" s="20" t="s">
        <v>1024</v>
      </c>
      <c r="C239" s="40" t="s">
        <v>280</v>
      </c>
      <c r="D239" s="40" t="s">
        <v>229</v>
      </c>
      <c r="E239" s="40"/>
      <c r="F239" s="40"/>
      <c r="G239" s="6">
        <f>G240</f>
        <v>0</v>
      </c>
      <c r="H239" s="6">
        <f>H240</f>
        <v>0</v>
      </c>
    </row>
    <row r="240" spans="1:8" ht="47.25" hidden="1" x14ac:dyDescent="0.25">
      <c r="A240" s="25" t="s">
        <v>288</v>
      </c>
      <c r="B240" s="20" t="s">
        <v>1024</v>
      </c>
      <c r="C240" s="40" t="s">
        <v>280</v>
      </c>
      <c r="D240" s="40" t="s">
        <v>229</v>
      </c>
      <c r="E240" s="40" t="s">
        <v>289</v>
      </c>
      <c r="F240" s="40"/>
      <c r="G240" s="6">
        <f>G241</f>
        <v>0</v>
      </c>
      <c r="H240" s="6">
        <f>H241</f>
        <v>0</v>
      </c>
    </row>
    <row r="241" spans="1:8" ht="15.75" hidden="1" x14ac:dyDescent="0.25">
      <c r="A241" s="25" t="s">
        <v>290</v>
      </c>
      <c r="B241" s="20" t="s">
        <v>1024</v>
      </c>
      <c r="C241" s="40" t="s">
        <v>280</v>
      </c>
      <c r="D241" s="40" t="s">
        <v>229</v>
      </c>
      <c r="E241" s="40" t="s">
        <v>291</v>
      </c>
      <c r="F241" s="40"/>
      <c r="G241" s="6">
        <f>'пр.5.1.ведом.21-22'!G652</f>
        <v>0</v>
      </c>
      <c r="H241" s="6">
        <f>'пр.5.1.ведом.21-22'!H652</f>
        <v>0</v>
      </c>
    </row>
    <row r="242" spans="1:8" ht="31.5" hidden="1" x14ac:dyDescent="0.25">
      <c r="A242" s="29" t="s">
        <v>419</v>
      </c>
      <c r="B242" s="20" t="s">
        <v>1024</v>
      </c>
      <c r="C242" s="40" t="s">
        <v>280</v>
      </c>
      <c r="D242" s="40" t="s">
        <v>229</v>
      </c>
      <c r="E242" s="40" t="s">
        <v>291</v>
      </c>
      <c r="F242" s="40" t="s">
        <v>653</v>
      </c>
      <c r="G242" s="10">
        <f>G241</f>
        <v>0</v>
      </c>
      <c r="H242" s="10">
        <f>H241</f>
        <v>0</v>
      </c>
    </row>
    <row r="243" spans="1:8" ht="15.75" x14ac:dyDescent="0.25">
      <c r="A243" s="29" t="s">
        <v>281</v>
      </c>
      <c r="B243" s="40" t="s">
        <v>1021</v>
      </c>
      <c r="C243" s="40" t="s">
        <v>280</v>
      </c>
      <c r="D243" s="40" t="s">
        <v>231</v>
      </c>
      <c r="E243" s="40"/>
      <c r="F243" s="40"/>
      <c r="G243" s="6">
        <f>G248+G252+G256+G244</f>
        <v>1622.1999999999998</v>
      </c>
      <c r="H243" s="6">
        <f>H248+H252+H256+H244</f>
        <v>1622.1999999999998</v>
      </c>
    </row>
    <row r="244" spans="1:8" s="324" customFormat="1" ht="110.25" x14ac:dyDescent="0.25">
      <c r="A244" s="31" t="s">
        <v>309</v>
      </c>
      <c r="B244" s="331" t="s">
        <v>1517</v>
      </c>
      <c r="C244" s="339" t="s">
        <v>280</v>
      </c>
      <c r="D244" s="339" t="s">
        <v>231</v>
      </c>
      <c r="E244" s="339"/>
      <c r="F244" s="339"/>
      <c r="G244" s="6">
        <f>G245</f>
        <v>903.4</v>
      </c>
      <c r="H244" s="6">
        <f>H245</f>
        <v>903.4</v>
      </c>
    </row>
    <row r="245" spans="1:8" s="324" customFormat="1" ht="47.25" x14ac:dyDescent="0.25">
      <c r="A245" s="335" t="s">
        <v>288</v>
      </c>
      <c r="B245" s="331" t="s">
        <v>1517</v>
      </c>
      <c r="C245" s="339" t="s">
        <v>280</v>
      </c>
      <c r="D245" s="339" t="s">
        <v>231</v>
      </c>
      <c r="E245" s="339" t="s">
        <v>289</v>
      </c>
      <c r="F245" s="339"/>
      <c r="G245" s="6">
        <f>G246</f>
        <v>903.4</v>
      </c>
      <c r="H245" s="6">
        <f>H246</f>
        <v>903.4</v>
      </c>
    </row>
    <row r="246" spans="1:8" s="324" customFormat="1" ht="15.75" x14ac:dyDescent="0.25">
      <c r="A246" s="335" t="s">
        <v>290</v>
      </c>
      <c r="B246" s="331" t="s">
        <v>1517</v>
      </c>
      <c r="C246" s="339" t="s">
        <v>280</v>
      </c>
      <c r="D246" s="339" t="s">
        <v>231</v>
      </c>
      <c r="E246" s="339" t="s">
        <v>291</v>
      </c>
      <c r="F246" s="339"/>
      <c r="G246" s="6">
        <f>'пр.5.1.ведом.21-22'!G712</f>
        <v>903.4</v>
      </c>
      <c r="H246" s="6">
        <f>'пр.5.1.ведом.21-22'!H712</f>
        <v>903.4</v>
      </c>
    </row>
    <row r="247" spans="1:8" s="324" customFormat="1" ht="31.5" x14ac:dyDescent="0.25">
      <c r="A247" s="338" t="s">
        <v>419</v>
      </c>
      <c r="B247" s="331" t="s">
        <v>1517</v>
      </c>
      <c r="C247" s="339" t="s">
        <v>280</v>
      </c>
      <c r="D247" s="339" t="s">
        <v>231</v>
      </c>
      <c r="E247" s="339" t="s">
        <v>291</v>
      </c>
      <c r="F247" s="339" t="s">
        <v>653</v>
      </c>
      <c r="G247" s="6">
        <f>G244</f>
        <v>903.4</v>
      </c>
      <c r="H247" s="6">
        <f>H244</f>
        <v>903.4</v>
      </c>
    </row>
    <row r="248" spans="1:8" ht="78.75" x14ac:dyDescent="0.25">
      <c r="A248" s="31" t="s">
        <v>305</v>
      </c>
      <c r="B248" s="20" t="s">
        <v>1020</v>
      </c>
      <c r="C248" s="40" t="s">
        <v>280</v>
      </c>
      <c r="D248" s="40" t="s">
        <v>231</v>
      </c>
      <c r="E248" s="40"/>
      <c r="F248" s="40"/>
      <c r="G248" s="6">
        <f>G249</f>
        <v>169.3</v>
      </c>
      <c r="H248" s="6">
        <f>H249</f>
        <v>169.3</v>
      </c>
    </row>
    <row r="249" spans="1:8" ht="47.25" x14ac:dyDescent="0.25">
      <c r="A249" s="25" t="s">
        <v>288</v>
      </c>
      <c r="B249" s="20" t="s">
        <v>1020</v>
      </c>
      <c r="C249" s="40" t="s">
        <v>280</v>
      </c>
      <c r="D249" s="40" t="s">
        <v>231</v>
      </c>
      <c r="E249" s="40" t="s">
        <v>289</v>
      </c>
      <c r="F249" s="40"/>
      <c r="G249" s="6">
        <f>G250</f>
        <v>169.3</v>
      </c>
      <c r="H249" s="6">
        <f>H250</f>
        <v>169.3</v>
      </c>
    </row>
    <row r="250" spans="1:8" ht="15.75" x14ac:dyDescent="0.25">
      <c r="A250" s="25" t="s">
        <v>290</v>
      </c>
      <c r="B250" s="20" t="s">
        <v>1020</v>
      </c>
      <c r="C250" s="40" t="s">
        <v>280</v>
      </c>
      <c r="D250" s="40" t="s">
        <v>231</v>
      </c>
      <c r="E250" s="40" t="s">
        <v>291</v>
      </c>
      <c r="F250" s="40"/>
      <c r="G250" s="6">
        <f>'пр.5.1.ведом.21-22'!G715</f>
        <v>169.3</v>
      </c>
      <c r="H250" s="6">
        <f>'пр.5.1.ведом.21-22'!H715</f>
        <v>169.3</v>
      </c>
    </row>
    <row r="251" spans="1:8" ht="31.5" x14ac:dyDescent="0.25">
      <c r="A251" s="29" t="s">
        <v>419</v>
      </c>
      <c r="B251" s="20" t="s">
        <v>1020</v>
      </c>
      <c r="C251" s="40" t="s">
        <v>280</v>
      </c>
      <c r="D251" s="40" t="s">
        <v>231</v>
      </c>
      <c r="E251" s="40" t="s">
        <v>291</v>
      </c>
      <c r="F251" s="40" t="s">
        <v>653</v>
      </c>
      <c r="G251" s="10">
        <f>G250</f>
        <v>169.3</v>
      </c>
      <c r="H251" s="10">
        <f>H250</f>
        <v>169.3</v>
      </c>
    </row>
    <row r="252" spans="1:8" ht="94.5" x14ac:dyDescent="0.25">
      <c r="A252" s="31" t="s">
        <v>307</v>
      </c>
      <c r="B252" s="20" t="s">
        <v>1023</v>
      </c>
      <c r="C252" s="40" t="s">
        <v>280</v>
      </c>
      <c r="D252" s="40" t="s">
        <v>231</v>
      </c>
      <c r="E252" s="40"/>
      <c r="F252" s="40"/>
      <c r="G252" s="6">
        <f>G253</f>
        <v>549.5</v>
      </c>
      <c r="H252" s="6">
        <f>H253</f>
        <v>549.5</v>
      </c>
    </row>
    <row r="253" spans="1:8" ht="47.25" x14ac:dyDescent="0.25">
      <c r="A253" s="25" t="s">
        <v>288</v>
      </c>
      <c r="B253" s="20" t="s">
        <v>1023</v>
      </c>
      <c r="C253" s="40" t="s">
        <v>280</v>
      </c>
      <c r="D253" s="40" t="s">
        <v>231</v>
      </c>
      <c r="E253" s="40" t="s">
        <v>289</v>
      </c>
      <c r="F253" s="40"/>
      <c r="G253" s="6">
        <f>G254</f>
        <v>549.5</v>
      </c>
      <c r="H253" s="6">
        <f>H254</f>
        <v>549.5</v>
      </c>
    </row>
    <row r="254" spans="1:8" ht="15.75" x14ac:dyDescent="0.25">
      <c r="A254" s="25" t="s">
        <v>290</v>
      </c>
      <c r="B254" s="20" t="s">
        <v>1023</v>
      </c>
      <c r="C254" s="40" t="s">
        <v>280</v>
      </c>
      <c r="D254" s="40" t="s">
        <v>231</v>
      </c>
      <c r="E254" s="40" t="s">
        <v>291</v>
      </c>
      <c r="F254" s="40"/>
      <c r="G254" s="6">
        <f>'пр.5.1.ведом.21-22'!G718</f>
        <v>549.5</v>
      </c>
      <c r="H254" s="6">
        <f>'пр.5.1.ведом.21-22'!H718</f>
        <v>549.5</v>
      </c>
    </row>
    <row r="255" spans="1:8" ht="31.5" x14ac:dyDescent="0.25">
      <c r="A255" s="29" t="s">
        <v>419</v>
      </c>
      <c r="B255" s="20" t="s">
        <v>1023</v>
      </c>
      <c r="C255" s="40" t="s">
        <v>280</v>
      </c>
      <c r="D255" s="40" t="s">
        <v>231</v>
      </c>
      <c r="E255" s="40" t="s">
        <v>291</v>
      </c>
      <c r="F255" s="40" t="s">
        <v>653</v>
      </c>
      <c r="G255" s="10">
        <f>G254</f>
        <v>549.5</v>
      </c>
      <c r="H255" s="10">
        <f>H254</f>
        <v>549.5</v>
      </c>
    </row>
    <row r="256" spans="1:8" ht="110.25" hidden="1" x14ac:dyDescent="0.25">
      <c r="A256" s="31" t="s">
        <v>309</v>
      </c>
      <c r="B256" s="20" t="s">
        <v>1024</v>
      </c>
      <c r="C256" s="40" t="s">
        <v>280</v>
      </c>
      <c r="D256" s="40" t="s">
        <v>231</v>
      </c>
      <c r="E256" s="40"/>
      <c r="F256" s="40"/>
      <c r="G256" s="6">
        <f>G257</f>
        <v>0</v>
      </c>
      <c r="H256" s="6">
        <f>H257</f>
        <v>0</v>
      </c>
    </row>
    <row r="257" spans="1:8" ht="47.25" hidden="1" x14ac:dyDescent="0.25">
      <c r="A257" s="25" t="s">
        <v>288</v>
      </c>
      <c r="B257" s="20" t="s">
        <v>1024</v>
      </c>
      <c r="C257" s="40" t="s">
        <v>280</v>
      </c>
      <c r="D257" s="40" t="s">
        <v>231</v>
      </c>
      <c r="E257" s="40" t="s">
        <v>289</v>
      </c>
      <c r="F257" s="40"/>
      <c r="G257" s="6">
        <f>G258</f>
        <v>0</v>
      </c>
      <c r="H257" s="6">
        <f>H258</f>
        <v>0</v>
      </c>
    </row>
    <row r="258" spans="1:8" ht="15.75" hidden="1" x14ac:dyDescent="0.25">
      <c r="A258" s="25" t="s">
        <v>290</v>
      </c>
      <c r="B258" s="20" t="s">
        <v>1024</v>
      </c>
      <c r="C258" s="40" t="s">
        <v>280</v>
      </c>
      <c r="D258" s="40" t="s">
        <v>231</v>
      </c>
      <c r="E258" s="40" t="s">
        <v>291</v>
      </c>
      <c r="F258" s="40"/>
      <c r="G258" s="6">
        <f>'пр.5.1.ведом.21-22'!G721</f>
        <v>0</v>
      </c>
      <c r="H258" s="6">
        <f>'пр.5.1.ведом.21-22'!H721</f>
        <v>0</v>
      </c>
    </row>
    <row r="259" spans="1:8" ht="31.5" hidden="1" x14ac:dyDescent="0.25">
      <c r="A259" s="29" t="s">
        <v>419</v>
      </c>
      <c r="B259" s="20" t="s">
        <v>1024</v>
      </c>
      <c r="C259" s="40" t="s">
        <v>280</v>
      </c>
      <c r="D259" s="40" t="s">
        <v>231</v>
      </c>
      <c r="E259" s="40" t="s">
        <v>291</v>
      </c>
      <c r="F259" s="40" t="s">
        <v>653</v>
      </c>
      <c r="G259" s="10">
        <f>G258</f>
        <v>0</v>
      </c>
      <c r="H259" s="10">
        <f>H258</f>
        <v>0</v>
      </c>
    </row>
    <row r="260" spans="1:8" ht="47.25" x14ac:dyDescent="0.25">
      <c r="A260" s="41" t="s">
        <v>427</v>
      </c>
      <c r="B260" s="7" t="s">
        <v>428</v>
      </c>
      <c r="C260" s="7"/>
      <c r="D260" s="7"/>
      <c r="E260" s="7"/>
      <c r="F260" s="7"/>
      <c r="G260" s="59">
        <f>G261+G276+G291+G302</f>
        <v>11639.1</v>
      </c>
      <c r="H260" s="59">
        <f>H261+H276+H291+H302</f>
        <v>11639.1</v>
      </c>
    </row>
    <row r="261" spans="1:8" ht="31.5" x14ac:dyDescent="0.25">
      <c r="A261" s="23" t="s">
        <v>1007</v>
      </c>
      <c r="B261" s="24" t="s">
        <v>1008</v>
      </c>
      <c r="C261" s="7"/>
      <c r="D261" s="7"/>
      <c r="E261" s="7"/>
      <c r="F261" s="7"/>
      <c r="G261" s="59">
        <f>G262</f>
        <v>5071.3999999999996</v>
      </c>
      <c r="H261" s="59">
        <f>H262</f>
        <v>5071.3999999999996</v>
      </c>
    </row>
    <row r="262" spans="1:8" ht="15.75" x14ac:dyDescent="0.25">
      <c r="A262" s="29" t="s">
        <v>279</v>
      </c>
      <c r="B262" s="40" t="s">
        <v>1008</v>
      </c>
      <c r="C262" s="40" t="s">
        <v>280</v>
      </c>
      <c r="D262" s="40"/>
      <c r="E262" s="40"/>
      <c r="F262" s="40"/>
      <c r="G262" s="10">
        <f t="shared" ref="G262:H262" si="31">G263</f>
        <v>5071.3999999999996</v>
      </c>
      <c r="H262" s="10">
        <f t="shared" si="31"/>
        <v>5071.3999999999996</v>
      </c>
    </row>
    <row r="263" spans="1:8" ht="15.75" x14ac:dyDescent="0.25">
      <c r="A263" s="45" t="s">
        <v>420</v>
      </c>
      <c r="B263" s="40" t="s">
        <v>1008</v>
      </c>
      <c r="C263" s="40" t="s">
        <v>280</v>
      </c>
      <c r="D263" s="40" t="s">
        <v>134</v>
      </c>
      <c r="E263" s="40"/>
      <c r="F263" s="40"/>
      <c r="G263" s="10">
        <f>G264+G268+G272</f>
        <v>5071.3999999999996</v>
      </c>
      <c r="H263" s="10">
        <f>H264+H268+H272</f>
        <v>5071.3999999999996</v>
      </c>
    </row>
    <row r="264" spans="1:8" ht="47.25" hidden="1" x14ac:dyDescent="0.25">
      <c r="A264" s="29" t="s">
        <v>294</v>
      </c>
      <c r="B264" s="20" t="s">
        <v>1009</v>
      </c>
      <c r="C264" s="40" t="s">
        <v>280</v>
      </c>
      <c r="D264" s="40" t="s">
        <v>134</v>
      </c>
      <c r="E264" s="40"/>
      <c r="F264" s="40"/>
      <c r="G264" s="10">
        <f t="shared" ref="G264:H265" si="32">G265</f>
        <v>574</v>
      </c>
      <c r="H264" s="10">
        <f t="shared" si="32"/>
        <v>574</v>
      </c>
    </row>
    <row r="265" spans="1:8" ht="47.25" hidden="1" x14ac:dyDescent="0.25">
      <c r="A265" s="29" t="s">
        <v>288</v>
      </c>
      <c r="B265" s="20" t="s">
        <v>1009</v>
      </c>
      <c r="C265" s="40" t="s">
        <v>280</v>
      </c>
      <c r="D265" s="40" t="s">
        <v>134</v>
      </c>
      <c r="E265" s="40" t="s">
        <v>289</v>
      </c>
      <c r="F265" s="40"/>
      <c r="G265" s="10">
        <f t="shared" si="32"/>
        <v>574</v>
      </c>
      <c r="H265" s="10">
        <f t="shared" si="32"/>
        <v>574</v>
      </c>
    </row>
    <row r="266" spans="1:8" ht="15.75" hidden="1" x14ac:dyDescent="0.25">
      <c r="A266" s="29" t="s">
        <v>290</v>
      </c>
      <c r="B266" s="20" t="s">
        <v>1009</v>
      </c>
      <c r="C266" s="40" t="s">
        <v>280</v>
      </c>
      <c r="D266" s="40" t="s">
        <v>134</v>
      </c>
      <c r="E266" s="40" t="s">
        <v>291</v>
      </c>
      <c r="F266" s="40"/>
      <c r="G266" s="10">
        <f>'пр.5.1.ведом.21-22'!G577</f>
        <v>574</v>
      </c>
      <c r="H266" s="10">
        <f>'пр.5.1.ведом.21-22'!H577</f>
        <v>574</v>
      </c>
    </row>
    <row r="267" spans="1:8" ht="31.5" hidden="1" x14ac:dyDescent="0.25">
      <c r="A267" s="29" t="s">
        <v>419</v>
      </c>
      <c r="B267" s="20" t="s">
        <v>1009</v>
      </c>
      <c r="C267" s="40" t="s">
        <v>280</v>
      </c>
      <c r="D267" s="40" t="s">
        <v>134</v>
      </c>
      <c r="E267" s="40" t="s">
        <v>291</v>
      </c>
      <c r="F267" s="40" t="s">
        <v>653</v>
      </c>
      <c r="G267" s="10">
        <f>G266</f>
        <v>574</v>
      </c>
      <c r="H267" s="10">
        <f>H266</f>
        <v>574</v>
      </c>
    </row>
    <row r="268" spans="1:8" ht="31.5" hidden="1" x14ac:dyDescent="0.25">
      <c r="A268" s="29" t="s">
        <v>296</v>
      </c>
      <c r="B268" s="20" t="s">
        <v>1010</v>
      </c>
      <c r="C268" s="40" t="s">
        <v>280</v>
      </c>
      <c r="D268" s="40" t="s">
        <v>134</v>
      </c>
      <c r="E268" s="40"/>
      <c r="F268" s="40"/>
      <c r="G268" s="10">
        <f t="shared" ref="G268:H269" si="33">G269</f>
        <v>67.400000000000006</v>
      </c>
      <c r="H268" s="10">
        <f t="shared" si="33"/>
        <v>67.400000000000006</v>
      </c>
    </row>
    <row r="269" spans="1:8" ht="47.25" hidden="1" x14ac:dyDescent="0.25">
      <c r="A269" s="29" t="s">
        <v>288</v>
      </c>
      <c r="B269" s="20" t="s">
        <v>1010</v>
      </c>
      <c r="C269" s="40" t="s">
        <v>280</v>
      </c>
      <c r="D269" s="40" t="s">
        <v>134</v>
      </c>
      <c r="E269" s="40" t="s">
        <v>289</v>
      </c>
      <c r="F269" s="40"/>
      <c r="G269" s="10">
        <f t="shared" si="33"/>
        <v>67.400000000000006</v>
      </c>
      <c r="H269" s="10">
        <f t="shared" si="33"/>
        <v>67.400000000000006</v>
      </c>
    </row>
    <row r="270" spans="1:8" ht="15.75" hidden="1" x14ac:dyDescent="0.25">
      <c r="A270" s="29" t="s">
        <v>290</v>
      </c>
      <c r="B270" s="20" t="s">
        <v>1010</v>
      </c>
      <c r="C270" s="40" t="s">
        <v>280</v>
      </c>
      <c r="D270" s="40" t="s">
        <v>134</v>
      </c>
      <c r="E270" s="40" t="s">
        <v>291</v>
      </c>
      <c r="F270" s="40"/>
      <c r="G270" s="10">
        <f>'пр.5.1.ведом.21-22'!G580</f>
        <v>67.400000000000006</v>
      </c>
      <c r="H270" s="10">
        <f>'пр.5.1.ведом.21-22'!H580</f>
        <v>67.400000000000006</v>
      </c>
    </row>
    <row r="271" spans="1:8" ht="31.5" hidden="1" x14ac:dyDescent="0.25">
      <c r="A271" s="29" t="s">
        <v>419</v>
      </c>
      <c r="B271" s="20" t="s">
        <v>1010</v>
      </c>
      <c r="C271" s="40" t="s">
        <v>280</v>
      </c>
      <c r="D271" s="40" t="s">
        <v>134</v>
      </c>
      <c r="E271" s="40" t="s">
        <v>291</v>
      </c>
      <c r="F271" s="40" t="s">
        <v>653</v>
      </c>
      <c r="G271" s="10">
        <f>G270</f>
        <v>67.400000000000006</v>
      </c>
      <c r="H271" s="10">
        <f>H270</f>
        <v>67.400000000000006</v>
      </c>
    </row>
    <row r="272" spans="1:8" ht="47.25" x14ac:dyDescent="0.25">
      <c r="A272" s="29" t="s">
        <v>431</v>
      </c>
      <c r="B272" s="20" t="s">
        <v>1011</v>
      </c>
      <c r="C272" s="40" t="s">
        <v>280</v>
      </c>
      <c r="D272" s="40" t="s">
        <v>134</v>
      </c>
      <c r="E272" s="40"/>
      <c r="F272" s="40"/>
      <c r="G272" s="10">
        <f t="shared" ref="G272:H273" si="34">G273</f>
        <v>4430</v>
      </c>
      <c r="H272" s="10">
        <f t="shared" si="34"/>
        <v>4430</v>
      </c>
    </row>
    <row r="273" spans="1:8" ht="47.25" x14ac:dyDescent="0.25">
      <c r="A273" s="29" t="s">
        <v>288</v>
      </c>
      <c r="B273" s="20" t="s">
        <v>1011</v>
      </c>
      <c r="C273" s="40" t="s">
        <v>280</v>
      </c>
      <c r="D273" s="40" t="s">
        <v>134</v>
      </c>
      <c r="E273" s="40" t="s">
        <v>289</v>
      </c>
      <c r="F273" s="40"/>
      <c r="G273" s="10">
        <f t="shared" si="34"/>
        <v>4430</v>
      </c>
      <c r="H273" s="10">
        <f t="shared" si="34"/>
        <v>4430</v>
      </c>
    </row>
    <row r="274" spans="1:8" ht="15.75" x14ac:dyDescent="0.25">
      <c r="A274" s="29" t="s">
        <v>290</v>
      </c>
      <c r="B274" s="20" t="s">
        <v>1011</v>
      </c>
      <c r="C274" s="40" t="s">
        <v>280</v>
      </c>
      <c r="D274" s="40" t="s">
        <v>134</v>
      </c>
      <c r="E274" s="40" t="s">
        <v>291</v>
      </c>
      <c r="F274" s="40"/>
      <c r="G274" s="6">
        <f>'пр.5.1.ведом.21-22'!G583</f>
        <v>4430</v>
      </c>
      <c r="H274" s="6">
        <f>'пр.5.1.ведом.21-22'!H583</f>
        <v>4430</v>
      </c>
    </row>
    <row r="275" spans="1:8" ht="31.5" x14ac:dyDescent="0.25">
      <c r="A275" s="29" t="s">
        <v>419</v>
      </c>
      <c r="B275" s="20" t="s">
        <v>1011</v>
      </c>
      <c r="C275" s="40" t="s">
        <v>280</v>
      </c>
      <c r="D275" s="40" t="s">
        <v>134</v>
      </c>
      <c r="E275" s="40" t="s">
        <v>291</v>
      </c>
      <c r="F275" s="40" t="s">
        <v>653</v>
      </c>
      <c r="G275" s="10">
        <f>G274</f>
        <v>4430</v>
      </c>
      <c r="H275" s="10">
        <f>H274</f>
        <v>4430</v>
      </c>
    </row>
    <row r="276" spans="1:8" ht="47.25" x14ac:dyDescent="0.25">
      <c r="A276" s="227" t="s">
        <v>1077</v>
      </c>
      <c r="B276" s="24" t="s">
        <v>1012</v>
      </c>
      <c r="C276" s="7"/>
      <c r="D276" s="7"/>
      <c r="E276" s="7"/>
      <c r="F276" s="7"/>
      <c r="G276" s="4">
        <f>G277</f>
        <v>4610</v>
      </c>
      <c r="H276" s="4">
        <f>H277</f>
        <v>4610</v>
      </c>
    </row>
    <row r="277" spans="1:8" ht="15.75" x14ac:dyDescent="0.25">
      <c r="A277" s="29" t="s">
        <v>279</v>
      </c>
      <c r="B277" s="40" t="s">
        <v>1012</v>
      </c>
      <c r="C277" s="40" t="s">
        <v>280</v>
      </c>
      <c r="D277" s="40"/>
      <c r="E277" s="40"/>
      <c r="F277" s="40"/>
      <c r="G277" s="10">
        <f t="shared" ref="G277:H277" si="35">G278</f>
        <v>4610</v>
      </c>
      <c r="H277" s="10">
        <f t="shared" si="35"/>
        <v>4610</v>
      </c>
    </row>
    <row r="278" spans="1:8" ht="15.75" x14ac:dyDescent="0.25">
      <c r="A278" s="45" t="s">
        <v>420</v>
      </c>
      <c r="B278" s="40" t="s">
        <v>1012</v>
      </c>
      <c r="C278" s="40" t="s">
        <v>280</v>
      </c>
      <c r="D278" s="40" t="s">
        <v>134</v>
      </c>
      <c r="E278" s="40"/>
      <c r="F278" s="40"/>
      <c r="G278" s="10">
        <f>G279+G283+G287</f>
        <v>4610</v>
      </c>
      <c r="H278" s="10">
        <f>H279+H283+H287</f>
        <v>4610</v>
      </c>
    </row>
    <row r="279" spans="1:8" ht="31.5" hidden="1" x14ac:dyDescent="0.25">
      <c r="A279" s="29" t="s">
        <v>300</v>
      </c>
      <c r="B279" s="20" t="s">
        <v>1013</v>
      </c>
      <c r="C279" s="40" t="s">
        <v>280</v>
      </c>
      <c r="D279" s="40" t="s">
        <v>134</v>
      </c>
      <c r="E279" s="40"/>
      <c r="F279" s="40"/>
      <c r="G279" s="10">
        <f t="shared" ref="G279:H280" si="36">G280</f>
        <v>0</v>
      </c>
      <c r="H279" s="10">
        <f t="shared" si="36"/>
        <v>0</v>
      </c>
    </row>
    <row r="280" spans="1:8" ht="47.25" hidden="1" x14ac:dyDescent="0.25">
      <c r="A280" s="29" t="s">
        <v>288</v>
      </c>
      <c r="B280" s="20" t="s">
        <v>1013</v>
      </c>
      <c r="C280" s="40" t="s">
        <v>280</v>
      </c>
      <c r="D280" s="40" t="s">
        <v>134</v>
      </c>
      <c r="E280" s="40" t="s">
        <v>289</v>
      </c>
      <c r="F280" s="40"/>
      <c r="G280" s="10">
        <f t="shared" si="36"/>
        <v>0</v>
      </c>
      <c r="H280" s="10">
        <f t="shared" si="36"/>
        <v>0</v>
      </c>
    </row>
    <row r="281" spans="1:8" ht="15.75" hidden="1" x14ac:dyDescent="0.25">
      <c r="A281" s="29" t="s">
        <v>290</v>
      </c>
      <c r="B281" s="20" t="s">
        <v>1013</v>
      </c>
      <c r="C281" s="40" t="s">
        <v>280</v>
      </c>
      <c r="D281" s="40" t="s">
        <v>134</v>
      </c>
      <c r="E281" s="40" t="s">
        <v>291</v>
      </c>
      <c r="F281" s="40"/>
      <c r="G281" s="10">
        <f>'пр.5.1.ведом.21-22'!G587</f>
        <v>0</v>
      </c>
      <c r="H281" s="10">
        <f>'пр.5.1.ведом.21-22'!H587</f>
        <v>0</v>
      </c>
    </row>
    <row r="282" spans="1:8" ht="31.5" hidden="1" x14ac:dyDescent="0.25">
      <c r="A282" s="29" t="s">
        <v>419</v>
      </c>
      <c r="B282" s="20" t="s">
        <v>1013</v>
      </c>
      <c r="C282" s="40" t="s">
        <v>280</v>
      </c>
      <c r="D282" s="40" t="s">
        <v>134</v>
      </c>
      <c r="E282" s="40" t="s">
        <v>291</v>
      </c>
      <c r="F282" s="40" t="s">
        <v>653</v>
      </c>
      <c r="G282" s="10">
        <f>G281</f>
        <v>0</v>
      </c>
      <c r="H282" s="10">
        <f>H281</f>
        <v>0</v>
      </c>
    </row>
    <row r="283" spans="1:8" ht="47.25" x14ac:dyDescent="0.25">
      <c r="A283" s="60" t="s">
        <v>787</v>
      </c>
      <c r="B283" s="20" t="s">
        <v>1014</v>
      </c>
      <c r="C283" s="20" t="s">
        <v>280</v>
      </c>
      <c r="D283" s="20" t="s">
        <v>134</v>
      </c>
      <c r="E283" s="20"/>
      <c r="F283" s="20"/>
      <c r="G283" s="10">
        <f t="shared" ref="G283:H284" si="37">G284</f>
        <v>2850</v>
      </c>
      <c r="H283" s="10">
        <f t="shared" si="37"/>
        <v>2850</v>
      </c>
    </row>
    <row r="284" spans="1:8" ht="47.25" x14ac:dyDescent="0.25">
      <c r="A284" s="29" t="s">
        <v>288</v>
      </c>
      <c r="B284" s="20" t="s">
        <v>1014</v>
      </c>
      <c r="C284" s="20" t="s">
        <v>280</v>
      </c>
      <c r="D284" s="20" t="s">
        <v>134</v>
      </c>
      <c r="E284" s="20" t="s">
        <v>289</v>
      </c>
      <c r="F284" s="20"/>
      <c r="G284" s="10">
        <f t="shared" si="37"/>
        <v>2850</v>
      </c>
      <c r="H284" s="10">
        <f t="shared" si="37"/>
        <v>2850</v>
      </c>
    </row>
    <row r="285" spans="1:8" ht="15.75" x14ac:dyDescent="0.25">
      <c r="A285" s="192" t="s">
        <v>290</v>
      </c>
      <c r="B285" s="20" t="s">
        <v>1014</v>
      </c>
      <c r="C285" s="20" t="s">
        <v>280</v>
      </c>
      <c r="D285" s="20" t="s">
        <v>134</v>
      </c>
      <c r="E285" s="20" t="s">
        <v>291</v>
      </c>
      <c r="F285" s="20"/>
      <c r="G285" s="10">
        <f>'пр.5.1.ведом.21-22'!G590</f>
        <v>2850</v>
      </c>
      <c r="H285" s="10">
        <f>'пр.5.1.ведом.21-22'!H590</f>
        <v>2850</v>
      </c>
    </row>
    <row r="286" spans="1:8" ht="31.5" x14ac:dyDescent="0.25">
      <c r="A286" s="29" t="s">
        <v>419</v>
      </c>
      <c r="B286" s="20" t="s">
        <v>1014</v>
      </c>
      <c r="C286" s="40" t="s">
        <v>280</v>
      </c>
      <c r="D286" s="40" t="s">
        <v>134</v>
      </c>
      <c r="E286" s="40" t="s">
        <v>291</v>
      </c>
      <c r="F286" s="40" t="s">
        <v>653</v>
      </c>
      <c r="G286" s="10">
        <f>G285</f>
        <v>2850</v>
      </c>
      <c r="H286" s="10">
        <f>H285</f>
        <v>2850</v>
      </c>
    </row>
    <row r="287" spans="1:8" ht="63" x14ac:dyDescent="0.25">
      <c r="A287" s="60" t="s">
        <v>788</v>
      </c>
      <c r="B287" s="20" t="s">
        <v>1015</v>
      </c>
      <c r="C287" s="20" t="s">
        <v>280</v>
      </c>
      <c r="D287" s="20" t="s">
        <v>134</v>
      </c>
      <c r="E287" s="20"/>
      <c r="F287" s="20"/>
      <c r="G287" s="10">
        <f t="shared" ref="G287:H288" si="38">G288</f>
        <v>1760</v>
      </c>
      <c r="H287" s="10">
        <f t="shared" si="38"/>
        <v>1760</v>
      </c>
    </row>
    <row r="288" spans="1:8" ht="47.25" x14ac:dyDescent="0.25">
      <c r="A288" s="29" t="s">
        <v>288</v>
      </c>
      <c r="B288" s="20" t="s">
        <v>1015</v>
      </c>
      <c r="C288" s="20" t="s">
        <v>280</v>
      </c>
      <c r="D288" s="20" t="s">
        <v>134</v>
      </c>
      <c r="E288" s="20" t="s">
        <v>289</v>
      </c>
      <c r="F288" s="20"/>
      <c r="G288" s="10">
        <f t="shared" si="38"/>
        <v>1760</v>
      </c>
      <c r="H288" s="10">
        <f t="shared" si="38"/>
        <v>1760</v>
      </c>
    </row>
    <row r="289" spans="1:8" ht="15.75" x14ac:dyDescent="0.25">
      <c r="A289" s="192" t="s">
        <v>290</v>
      </c>
      <c r="B289" s="20" t="s">
        <v>1015</v>
      </c>
      <c r="C289" s="20" t="s">
        <v>280</v>
      </c>
      <c r="D289" s="20" t="s">
        <v>134</v>
      </c>
      <c r="E289" s="20" t="s">
        <v>291</v>
      </c>
      <c r="F289" s="20"/>
      <c r="G289" s="10">
        <f>'пр.5.1.ведом.21-22'!G593</f>
        <v>1760</v>
      </c>
      <c r="H289" s="10">
        <f>'пр.5.1.ведом.21-22'!H593</f>
        <v>1760</v>
      </c>
    </row>
    <row r="290" spans="1:8" ht="31.5" x14ac:dyDescent="0.25">
      <c r="A290" s="29" t="s">
        <v>419</v>
      </c>
      <c r="B290" s="20" t="s">
        <v>1015</v>
      </c>
      <c r="C290" s="40" t="s">
        <v>280</v>
      </c>
      <c r="D290" s="40" t="s">
        <v>134</v>
      </c>
      <c r="E290" s="40" t="s">
        <v>291</v>
      </c>
      <c r="F290" s="40" t="s">
        <v>653</v>
      </c>
      <c r="G290" s="10">
        <f>G289</f>
        <v>1760</v>
      </c>
      <c r="H290" s="10">
        <f>H289</f>
        <v>1760</v>
      </c>
    </row>
    <row r="291" spans="1:8" ht="78.75" x14ac:dyDescent="0.25">
      <c r="A291" s="23" t="s">
        <v>1016</v>
      </c>
      <c r="B291" s="24" t="s">
        <v>1017</v>
      </c>
      <c r="C291" s="24"/>
      <c r="D291" s="24"/>
      <c r="E291" s="24"/>
      <c r="F291" s="24"/>
      <c r="G291" s="59">
        <f>G292</f>
        <v>291.10000000000002</v>
      </c>
      <c r="H291" s="59">
        <f>H292</f>
        <v>291.10000000000002</v>
      </c>
    </row>
    <row r="292" spans="1:8" ht="15.75" x14ac:dyDescent="0.25">
      <c r="A292" s="29" t="s">
        <v>279</v>
      </c>
      <c r="B292" s="40" t="s">
        <v>1017</v>
      </c>
      <c r="C292" s="40" t="s">
        <v>280</v>
      </c>
      <c r="D292" s="40"/>
      <c r="E292" s="40"/>
      <c r="F292" s="40"/>
      <c r="G292" s="10">
        <f t="shared" ref="G292:H292" si="39">G293</f>
        <v>291.10000000000002</v>
      </c>
      <c r="H292" s="10">
        <f t="shared" si="39"/>
        <v>291.10000000000002</v>
      </c>
    </row>
    <row r="293" spans="1:8" ht="15.75" x14ac:dyDescent="0.25">
      <c r="A293" s="45" t="s">
        <v>420</v>
      </c>
      <c r="B293" s="40" t="s">
        <v>1017</v>
      </c>
      <c r="C293" s="40" t="s">
        <v>280</v>
      </c>
      <c r="D293" s="40" t="s">
        <v>134</v>
      </c>
      <c r="E293" s="40"/>
      <c r="F293" s="40"/>
      <c r="G293" s="10">
        <f>G294+G298</f>
        <v>291.10000000000002</v>
      </c>
      <c r="H293" s="10">
        <f>H294+H298</f>
        <v>291.10000000000002</v>
      </c>
    </row>
    <row r="294" spans="1:8" ht="157.5" x14ac:dyDescent="0.25">
      <c r="A294" s="25" t="s">
        <v>1463</v>
      </c>
      <c r="B294" s="20" t="s">
        <v>1018</v>
      </c>
      <c r="C294" s="20" t="s">
        <v>280</v>
      </c>
      <c r="D294" s="20" t="s">
        <v>134</v>
      </c>
      <c r="E294" s="20"/>
      <c r="F294" s="20"/>
      <c r="G294" s="10">
        <f>G295</f>
        <v>124.4</v>
      </c>
      <c r="H294" s="10">
        <f>H295</f>
        <v>124.4</v>
      </c>
    </row>
    <row r="295" spans="1:8" ht="47.25" x14ac:dyDescent="0.25">
      <c r="A295" s="25" t="s">
        <v>288</v>
      </c>
      <c r="B295" s="20" t="s">
        <v>1018</v>
      </c>
      <c r="C295" s="20" t="s">
        <v>280</v>
      </c>
      <c r="D295" s="20" t="s">
        <v>134</v>
      </c>
      <c r="E295" s="20" t="s">
        <v>289</v>
      </c>
      <c r="F295" s="20"/>
      <c r="G295" s="10">
        <f>G296</f>
        <v>124.4</v>
      </c>
      <c r="H295" s="10">
        <f>H296</f>
        <v>124.4</v>
      </c>
    </row>
    <row r="296" spans="1:8" ht="15.75" x14ac:dyDescent="0.25">
      <c r="A296" s="25" t="s">
        <v>290</v>
      </c>
      <c r="B296" s="20" t="s">
        <v>1018</v>
      </c>
      <c r="C296" s="20" t="s">
        <v>280</v>
      </c>
      <c r="D296" s="20" t="s">
        <v>134</v>
      </c>
      <c r="E296" s="20" t="s">
        <v>291</v>
      </c>
      <c r="F296" s="20"/>
      <c r="G296" s="10">
        <f>'пр.5.1.ведом.21-22'!G597</f>
        <v>124.4</v>
      </c>
      <c r="H296" s="10">
        <f>'пр.5.1.ведом.21-22'!H597</f>
        <v>124.4</v>
      </c>
    </row>
    <row r="297" spans="1:8" ht="31.5" x14ac:dyDescent="0.25">
      <c r="A297" s="29" t="s">
        <v>419</v>
      </c>
      <c r="B297" s="20" t="s">
        <v>1018</v>
      </c>
      <c r="C297" s="40" t="s">
        <v>280</v>
      </c>
      <c r="D297" s="40" t="s">
        <v>134</v>
      </c>
      <c r="E297" s="40" t="s">
        <v>291</v>
      </c>
      <c r="F297" s="40" t="s">
        <v>653</v>
      </c>
      <c r="G297" s="10">
        <f>G296</f>
        <v>124.4</v>
      </c>
      <c r="H297" s="10">
        <f>H296</f>
        <v>124.4</v>
      </c>
    </row>
    <row r="298" spans="1:8" ht="157.5" x14ac:dyDescent="0.25">
      <c r="A298" s="25" t="s">
        <v>439</v>
      </c>
      <c r="B298" s="20" t="s">
        <v>1019</v>
      </c>
      <c r="C298" s="20" t="s">
        <v>280</v>
      </c>
      <c r="D298" s="20" t="s">
        <v>134</v>
      </c>
      <c r="E298" s="20"/>
      <c r="F298" s="20"/>
      <c r="G298" s="10">
        <f>G299</f>
        <v>166.7</v>
      </c>
      <c r="H298" s="10">
        <f>H299</f>
        <v>166.7</v>
      </c>
    </row>
    <row r="299" spans="1:8" ht="47.25" x14ac:dyDescent="0.25">
      <c r="A299" s="25" t="s">
        <v>288</v>
      </c>
      <c r="B299" s="20" t="s">
        <v>1019</v>
      </c>
      <c r="C299" s="20" t="s">
        <v>280</v>
      </c>
      <c r="D299" s="20" t="s">
        <v>134</v>
      </c>
      <c r="E299" s="20" t="s">
        <v>289</v>
      </c>
      <c r="F299" s="20"/>
      <c r="G299" s="10">
        <f>G300</f>
        <v>166.7</v>
      </c>
      <c r="H299" s="10">
        <f>H300</f>
        <v>166.7</v>
      </c>
    </row>
    <row r="300" spans="1:8" ht="15.75" x14ac:dyDescent="0.25">
      <c r="A300" s="25" t="s">
        <v>290</v>
      </c>
      <c r="B300" s="20" t="s">
        <v>1019</v>
      </c>
      <c r="C300" s="20" t="s">
        <v>280</v>
      </c>
      <c r="D300" s="20" t="s">
        <v>134</v>
      </c>
      <c r="E300" s="20" t="s">
        <v>291</v>
      </c>
      <c r="F300" s="20"/>
      <c r="G300" s="10">
        <f>'пр.5.1.ведом.21-22'!G600</f>
        <v>166.7</v>
      </c>
      <c r="H300" s="10">
        <f>'пр.5.1.ведом.21-22'!H600</f>
        <v>166.7</v>
      </c>
    </row>
    <row r="301" spans="1:8" ht="31.5" x14ac:dyDescent="0.25">
      <c r="A301" s="29" t="s">
        <v>419</v>
      </c>
      <c r="B301" s="20" t="s">
        <v>1019</v>
      </c>
      <c r="C301" s="40" t="s">
        <v>280</v>
      </c>
      <c r="D301" s="40" t="s">
        <v>134</v>
      </c>
      <c r="E301" s="40" t="s">
        <v>291</v>
      </c>
      <c r="F301" s="40" t="s">
        <v>653</v>
      </c>
      <c r="G301" s="10">
        <f>G300</f>
        <v>166.7</v>
      </c>
      <c r="H301" s="10">
        <f>H300</f>
        <v>166.7</v>
      </c>
    </row>
    <row r="302" spans="1:8" s="213" customFormat="1" ht="126" x14ac:dyDescent="0.25">
      <c r="A302" s="23" t="s">
        <v>1400</v>
      </c>
      <c r="B302" s="24" t="s">
        <v>1398</v>
      </c>
      <c r="C302" s="7"/>
      <c r="D302" s="7"/>
      <c r="E302" s="7"/>
      <c r="F302" s="7"/>
      <c r="G302" s="59">
        <f>G303</f>
        <v>1666.6</v>
      </c>
      <c r="H302" s="59">
        <f>H303</f>
        <v>1666.6</v>
      </c>
    </row>
    <row r="303" spans="1:8" s="213" customFormat="1" ht="15.75" x14ac:dyDescent="0.25">
      <c r="A303" s="25" t="s">
        <v>279</v>
      </c>
      <c r="B303" s="20" t="s">
        <v>1398</v>
      </c>
      <c r="C303" s="40" t="s">
        <v>280</v>
      </c>
      <c r="D303" s="40"/>
      <c r="E303" s="40"/>
      <c r="F303" s="40"/>
      <c r="G303" s="10">
        <f>G304</f>
        <v>1666.6</v>
      </c>
      <c r="H303" s="10">
        <f>H304</f>
        <v>1666.6</v>
      </c>
    </row>
    <row r="304" spans="1:8" s="213" customFormat="1" ht="15.75" x14ac:dyDescent="0.25">
      <c r="A304" s="25" t="s">
        <v>420</v>
      </c>
      <c r="B304" s="20" t="s">
        <v>1398</v>
      </c>
      <c r="C304" s="40" t="s">
        <v>280</v>
      </c>
      <c r="D304" s="40" t="s">
        <v>134</v>
      </c>
      <c r="E304" s="40"/>
      <c r="F304" s="40"/>
      <c r="G304" s="10">
        <f>G305+G309</f>
        <v>1666.6</v>
      </c>
      <c r="H304" s="10">
        <f>H305+H309</f>
        <v>1666.6</v>
      </c>
    </row>
    <row r="305" spans="1:8" s="213" customFormat="1" ht="94.5" x14ac:dyDescent="0.25">
      <c r="A305" s="151" t="s">
        <v>1464</v>
      </c>
      <c r="B305" s="20" t="s">
        <v>1402</v>
      </c>
      <c r="C305" s="40" t="s">
        <v>280</v>
      </c>
      <c r="D305" s="40" t="s">
        <v>134</v>
      </c>
      <c r="E305" s="40"/>
      <c r="F305" s="40"/>
      <c r="G305" s="10">
        <f>G306</f>
        <v>0</v>
      </c>
      <c r="H305" s="10">
        <f>H306</f>
        <v>0</v>
      </c>
    </row>
    <row r="306" spans="1:8" s="213" customFormat="1" ht="47.25" x14ac:dyDescent="0.25">
      <c r="A306" s="25" t="s">
        <v>288</v>
      </c>
      <c r="B306" s="20" t="s">
        <v>1402</v>
      </c>
      <c r="C306" s="40" t="s">
        <v>280</v>
      </c>
      <c r="D306" s="40" t="s">
        <v>134</v>
      </c>
      <c r="E306" s="40" t="s">
        <v>289</v>
      </c>
      <c r="F306" s="40"/>
      <c r="G306" s="10">
        <f>G307</f>
        <v>0</v>
      </c>
      <c r="H306" s="10">
        <f>H307</f>
        <v>0</v>
      </c>
    </row>
    <row r="307" spans="1:8" s="213" customFormat="1" ht="15.75" x14ac:dyDescent="0.25">
      <c r="A307" s="25" t="s">
        <v>290</v>
      </c>
      <c r="B307" s="20" t="s">
        <v>1402</v>
      </c>
      <c r="C307" s="40" t="s">
        <v>280</v>
      </c>
      <c r="D307" s="40" t="s">
        <v>134</v>
      </c>
      <c r="E307" s="40" t="s">
        <v>291</v>
      </c>
      <c r="F307" s="40"/>
      <c r="G307" s="10">
        <f>'пр.5.1.ведом.21-22'!G609</f>
        <v>0</v>
      </c>
      <c r="H307" s="10">
        <f>'пр.5.1.ведом.21-22'!H609</f>
        <v>0</v>
      </c>
    </row>
    <row r="308" spans="1:8" s="213" customFormat="1" ht="31.5" x14ac:dyDescent="0.25">
      <c r="A308" s="29" t="s">
        <v>419</v>
      </c>
      <c r="B308" s="20" t="s">
        <v>1402</v>
      </c>
      <c r="C308" s="40" t="s">
        <v>280</v>
      </c>
      <c r="D308" s="40" t="s">
        <v>134</v>
      </c>
      <c r="E308" s="40" t="s">
        <v>291</v>
      </c>
      <c r="F308" s="40" t="s">
        <v>653</v>
      </c>
      <c r="G308" s="10">
        <f>G305</f>
        <v>0</v>
      </c>
      <c r="H308" s="10">
        <f>H305</f>
        <v>0</v>
      </c>
    </row>
    <row r="309" spans="1:8" s="213" customFormat="1" ht="110.25" x14ac:dyDescent="0.25">
      <c r="A309" s="151" t="s">
        <v>1399</v>
      </c>
      <c r="B309" s="20" t="s">
        <v>1401</v>
      </c>
      <c r="C309" s="40" t="s">
        <v>280</v>
      </c>
      <c r="D309" s="40" t="s">
        <v>134</v>
      </c>
      <c r="E309" s="40"/>
      <c r="F309" s="40"/>
      <c r="G309" s="10">
        <f>G310</f>
        <v>1666.6</v>
      </c>
      <c r="H309" s="10">
        <f>H310</f>
        <v>1666.6</v>
      </c>
    </row>
    <row r="310" spans="1:8" s="213" customFormat="1" ht="47.25" x14ac:dyDescent="0.25">
      <c r="A310" s="25" t="s">
        <v>288</v>
      </c>
      <c r="B310" s="20" t="s">
        <v>1401</v>
      </c>
      <c r="C310" s="40" t="s">
        <v>280</v>
      </c>
      <c r="D310" s="40" t="s">
        <v>134</v>
      </c>
      <c r="E310" s="40" t="s">
        <v>289</v>
      </c>
      <c r="F310" s="40"/>
      <c r="G310" s="10">
        <f>G311</f>
        <v>1666.6</v>
      </c>
      <c r="H310" s="10">
        <f>H311</f>
        <v>1666.6</v>
      </c>
    </row>
    <row r="311" spans="1:8" s="213" customFormat="1" ht="15.75" x14ac:dyDescent="0.25">
      <c r="A311" s="25" t="s">
        <v>290</v>
      </c>
      <c r="B311" s="20" t="s">
        <v>1401</v>
      </c>
      <c r="C311" s="40" t="s">
        <v>280</v>
      </c>
      <c r="D311" s="40" t="s">
        <v>134</v>
      </c>
      <c r="E311" s="40" t="s">
        <v>291</v>
      </c>
      <c r="F311" s="40"/>
      <c r="G311" s="10">
        <f>'пр.5.1.ведом.21-22'!G612</f>
        <v>1666.6</v>
      </c>
      <c r="H311" s="10">
        <f>'пр.5.1.ведом.21-22'!H612</f>
        <v>1666.6</v>
      </c>
    </row>
    <row r="312" spans="1:8" s="213" customFormat="1" ht="31.5" x14ac:dyDescent="0.25">
      <c r="A312" s="29" t="s">
        <v>419</v>
      </c>
      <c r="B312" s="20" t="s">
        <v>1401</v>
      </c>
      <c r="C312" s="40" t="s">
        <v>280</v>
      </c>
      <c r="D312" s="40" t="s">
        <v>134</v>
      </c>
      <c r="E312" s="40" t="s">
        <v>291</v>
      </c>
      <c r="F312" s="40" t="s">
        <v>653</v>
      </c>
      <c r="G312" s="10">
        <f>G309</f>
        <v>1666.6</v>
      </c>
      <c r="H312" s="10">
        <f>H309</f>
        <v>1666.6</v>
      </c>
    </row>
    <row r="313" spans="1:8" ht="47.25" x14ac:dyDescent="0.25">
      <c r="A313" s="41" t="s">
        <v>446</v>
      </c>
      <c r="B313" s="7" t="s">
        <v>447</v>
      </c>
      <c r="C313" s="7"/>
      <c r="D313" s="7"/>
      <c r="E313" s="7"/>
      <c r="F313" s="7"/>
      <c r="G313" s="4">
        <f>G314+G333+G344+G355+G366</f>
        <v>10366.099999999999</v>
      </c>
      <c r="H313" s="4">
        <f>H314+H333+H344+H355+H366</f>
        <v>10374.599999999999</v>
      </c>
    </row>
    <row r="314" spans="1:8" ht="31.5" x14ac:dyDescent="0.25">
      <c r="A314" s="23" t="s">
        <v>1029</v>
      </c>
      <c r="B314" s="24" t="s">
        <v>1030</v>
      </c>
      <c r="C314" s="7"/>
      <c r="D314" s="7"/>
      <c r="E314" s="7"/>
      <c r="F314" s="7"/>
      <c r="G314" s="4">
        <f>G315</f>
        <v>1746</v>
      </c>
      <c r="H314" s="4">
        <f>H315</f>
        <v>1746</v>
      </c>
    </row>
    <row r="315" spans="1:8" ht="15.75" x14ac:dyDescent="0.25">
      <c r="A315" s="29" t="s">
        <v>279</v>
      </c>
      <c r="B315" s="40" t="s">
        <v>1030</v>
      </c>
      <c r="C315" s="40" t="s">
        <v>280</v>
      </c>
      <c r="D315" s="40"/>
      <c r="E315" s="40"/>
      <c r="F315" s="40"/>
      <c r="G315" s="10">
        <f t="shared" ref="G315:H315" si="40">G316</f>
        <v>1746</v>
      </c>
      <c r="H315" s="10">
        <f t="shared" si="40"/>
        <v>1746</v>
      </c>
    </row>
    <row r="316" spans="1:8" ht="15.75" x14ac:dyDescent="0.25">
      <c r="A316" s="29" t="s">
        <v>441</v>
      </c>
      <c r="B316" s="40" t="s">
        <v>1030</v>
      </c>
      <c r="C316" s="40" t="s">
        <v>280</v>
      </c>
      <c r="D316" s="40" t="s">
        <v>229</v>
      </c>
      <c r="E316" s="40"/>
      <c r="F316" s="40"/>
      <c r="G316" s="10">
        <f>G317+G321+G325+G329</f>
        <v>1746</v>
      </c>
      <c r="H316" s="10">
        <f>H317+H321+H325+H329</f>
        <v>1746</v>
      </c>
    </row>
    <row r="317" spans="1:8" ht="47.25" hidden="1" x14ac:dyDescent="0.25">
      <c r="A317" s="25" t="s">
        <v>813</v>
      </c>
      <c r="B317" s="20" t="s">
        <v>1034</v>
      </c>
      <c r="C317" s="40" t="s">
        <v>280</v>
      </c>
      <c r="D317" s="40" t="s">
        <v>229</v>
      </c>
      <c r="E317" s="40"/>
      <c r="F317" s="40"/>
      <c r="G317" s="6">
        <f>G318</f>
        <v>0</v>
      </c>
      <c r="H317" s="6">
        <f>H318</f>
        <v>0</v>
      </c>
    </row>
    <row r="318" spans="1:8" ht="47.25" hidden="1" x14ac:dyDescent="0.25">
      <c r="A318" s="25" t="s">
        <v>288</v>
      </c>
      <c r="B318" s="20" t="s">
        <v>1034</v>
      </c>
      <c r="C318" s="40" t="s">
        <v>280</v>
      </c>
      <c r="D318" s="40" t="s">
        <v>229</v>
      </c>
      <c r="E318" s="40" t="s">
        <v>289</v>
      </c>
      <c r="F318" s="40"/>
      <c r="G318" s="6">
        <f>G319</f>
        <v>0</v>
      </c>
      <c r="H318" s="6">
        <f>H319</f>
        <v>0</v>
      </c>
    </row>
    <row r="319" spans="1:8" ht="15.75" hidden="1" x14ac:dyDescent="0.25">
      <c r="A319" s="25" t="s">
        <v>290</v>
      </c>
      <c r="B319" s="20" t="s">
        <v>1034</v>
      </c>
      <c r="C319" s="40" t="s">
        <v>280</v>
      </c>
      <c r="D319" s="40" t="s">
        <v>229</v>
      </c>
      <c r="E319" s="40" t="s">
        <v>291</v>
      </c>
      <c r="F319" s="40"/>
      <c r="G319" s="6">
        <f>'пр.5.1.ведом.21-22'!G657</f>
        <v>0</v>
      </c>
      <c r="H319" s="6">
        <f>'пр.5.1.ведом.21-22'!H657</f>
        <v>0</v>
      </c>
    </row>
    <row r="320" spans="1:8" ht="31.5" hidden="1" x14ac:dyDescent="0.25">
      <c r="A320" s="29" t="s">
        <v>419</v>
      </c>
      <c r="B320" s="20" t="s">
        <v>1034</v>
      </c>
      <c r="C320" s="40" t="s">
        <v>280</v>
      </c>
      <c r="D320" s="40" t="s">
        <v>229</v>
      </c>
      <c r="E320" s="40" t="s">
        <v>291</v>
      </c>
      <c r="F320" s="40" t="s">
        <v>653</v>
      </c>
      <c r="G320" s="10">
        <f>G319</f>
        <v>0</v>
      </c>
      <c r="H320" s="10">
        <f>H319</f>
        <v>0</v>
      </c>
    </row>
    <row r="321" spans="1:8" ht="47.25" hidden="1" x14ac:dyDescent="0.25">
      <c r="A321" s="25" t="s">
        <v>294</v>
      </c>
      <c r="B321" s="20" t="s">
        <v>1035</v>
      </c>
      <c r="C321" s="40" t="s">
        <v>280</v>
      </c>
      <c r="D321" s="40" t="s">
        <v>229</v>
      </c>
      <c r="E321" s="40"/>
      <c r="F321" s="40"/>
      <c r="G321" s="6">
        <f t="shared" ref="G321:H322" si="41">G322</f>
        <v>1522</v>
      </c>
      <c r="H321" s="6">
        <f t="shared" si="41"/>
        <v>1522</v>
      </c>
    </row>
    <row r="322" spans="1:8" ht="47.25" hidden="1" x14ac:dyDescent="0.25">
      <c r="A322" s="25" t="s">
        <v>288</v>
      </c>
      <c r="B322" s="20" t="s">
        <v>1035</v>
      </c>
      <c r="C322" s="40" t="s">
        <v>280</v>
      </c>
      <c r="D322" s="40" t="s">
        <v>229</v>
      </c>
      <c r="E322" s="40" t="s">
        <v>289</v>
      </c>
      <c r="F322" s="40"/>
      <c r="G322" s="6">
        <f t="shared" si="41"/>
        <v>1522</v>
      </c>
      <c r="H322" s="6">
        <f t="shared" si="41"/>
        <v>1522</v>
      </c>
    </row>
    <row r="323" spans="1:8" ht="15.75" hidden="1" x14ac:dyDescent="0.25">
      <c r="A323" s="25" t="s">
        <v>290</v>
      </c>
      <c r="B323" s="20" t="s">
        <v>1035</v>
      </c>
      <c r="C323" s="40" t="s">
        <v>280</v>
      </c>
      <c r="D323" s="40" t="s">
        <v>229</v>
      </c>
      <c r="E323" s="40" t="s">
        <v>291</v>
      </c>
      <c r="F323" s="40"/>
      <c r="G323" s="6">
        <f>'пр.5.1.ведом.21-22'!G660</f>
        <v>1522</v>
      </c>
      <c r="H323" s="6">
        <f>'пр.5.1.ведом.21-22'!H660</f>
        <v>1522</v>
      </c>
    </row>
    <row r="324" spans="1:8" ht="31.5" hidden="1" x14ac:dyDescent="0.25">
      <c r="A324" s="29" t="s">
        <v>419</v>
      </c>
      <c r="B324" s="20" t="s">
        <v>1035</v>
      </c>
      <c r="C324" s="40" t="s">
        <v>280</v>
      </c>
      <c r="D324" s="40" t="s">
        <v>229</v>
      </c>
      <c r="E324" s="40" t="s">
        <v>291</v>
      </c>
      <c r="F324" s="40" t="s">
        <v>653</v>
      </c>
      <c r="G324" s="10">
        <f>G323</f>
        <v>1522</v>
      </c>
      <c r="H324" s="10">
        <f>H323</f>
        <v>1522</v>
      </c>
    </row>
    <row r="325" spans="1:8" ht="31.5" hidden="1" x14ac:dyDescent="0.25">
      <c r="A325" s="25" t="s">
        <v>296</v>
      </c>
      <c r="B325" s="20" t="s">
        <v>1036</v>
      </c>
      <c r="C325" s="40" t="s">
        <v>280</v>
      </c>
      <c r="D325" s="40" t="s">
        <v>229</v>
      </c>
      <c r="E325" s="40"/>
      <c r="F325" s="40"/>
      <c r="G325" s="6">
        <f t="shared" ref="G325:H326" si="42">G326</f>
        <v>0</v>
      </c>
      <c r="H325" s="6">
        <f t="shared" si="42"/>
        <v>0</v>
      </c>
    </row>
    <row r="326" spans="1:8" ht="47.25" hidden="1" x14ac:dyDescent="0.25">
      <c r="A326" s="25" t="s">
        <v>288</v>
      </c>
      <c r="B326" s="20" t="s">
        <v>1036</v>
      </c>
      <c r="C326" s="40" t="s">
        <v>280</v>
      </c>
      <c r="D326" s="40" t="s">
        <v>229</v>
      </c>
      <c r="E326" s="40" t="s">
        <v>289</v>
      </c>
      <c r="F326" s="40"/>
      <c r="G326" s="6">
        <f t="shared" si="42"/>
        <v>0</v>
      </c>
      <c r="H326" s="6">
        <f t="shared" si="42"/>
        <v>0</v>
      </c>
    </row>
    <row r="327" spans="1:8" ht="15.75" hidden="1" x14ac:dyDescent="0.25">
      <c r="A327" s="25" t="s">
        <v>290</v>
      </c>
      <c r="B327" s="20" t="s">
        <v>1036</v>
      </c>
      <c r="C327" s="40" t="s">
        <v>280</v>
      </c>
      <c r="D327" s="40" t="s">
        <v>229</v>
      </c>
      <c r="E327" s="40" t="s">
        <v>291</v>
      </c>
      <c r="F327" s="40"/>
      <c r="G327" s="6">
        <f>'пр.5.1.ведом.21-22'!G663</f>
        <v>0</v>
      </c>
      <c r="H327" s="6">
        <f>'пр.5.1.ведом.21-22'!H663</f>
        <v>0</v>
      </c>
    </row>
    <row r="328" spans="1:8" ht="31.5" hidden="1" x14ac:dyDescent="0.25">
      <c r="A328" s="29" t="s">
        <v>419</v>
      </c>
      <c r="B328" s="20" t="s">
        <v>1036</v>
      </c>
      <c r="C328" s="40" t="s">
        <v>280</v>
      </c>
      <c r="D328" s="40" t="s">
        <v>229</v>
      </c>
      <c r="E328" s="40" t="s">
        <v>291</v>
      </c>
      <c r="F328" s="40" t="s">
        <v>653</v>
      </c>
      <c r="G328" s="10">
        <f>G327</f>
        <v>0</v>
      </c>
      <c r="H328" s="10">
        <f>H327</f>
        <v>0</v>
      </c>
    </row>
    <row r="329" spans="1:8" ht="47.25" x14ac:dyDescent="0.25">
      <c r="A329" s="29" t="s">
        <v>298</v>
      </c>
      <c r="B329" s="20" t="s">
        <v>1037</v>
      </c>
      <c r="C329" s="40" t="s">
        <v>280</v>
      </c>
      <c r="D329" s="40" t="s">
        <v>229</v>
      </c>
      <c r="E329" s="40"/>
      <c r="F329" s="40"/>
      <c r="G329" s="10">
        <f t="shared" ref="G329:H330" si="43">G330</f>
        <v>224</v>
      </c>
      <c r="H329" s="10">
        <f t="shared" si="43"/>
        <v>224</v>
      </c>
    </row>
    <row r="330" spans="1:8" ht="47.25" x14ac:dyDescent="0.25">
      <c r="A330" s="29" t="s">
        <v>288</v>
      </c>
      <c r="B330" s="20" t="s">
        <v>1037</v>
      </c>
      <c r="C330" s="40" t="s">
        <v>280</v>
      </c>
      <c r="D330" s="40" t="s">
        <v>229</v>
      </c>
      <c r="E330" s="40" t="s">
        <v>289</v>
      </c>
      <c r="F330" s="40"/>
      <c r="G330" s="10">
        <f t="shared" si="43"/>
        <v>224</v>
      </c>
      <c r="H330" s="10">
        <f t="shared" si="43"/>
        <v>224</v>
      </c>
    </row>
    <row r="331" spans="1:8" ht="15.75" x14ac:dyDescent="0.25">
      <c r="A331" s="29" t="s">
        <v>290</v>
      </c>
      <c r="B331" s="20" t="s">
        <v>1037</v>
      </c>
      <c r="C331" s="40" t="s">
        <v>280</v>
      </c>
      <c r="D331" s="40" t="s">
        <v>229</v>
      </c>
      <c r="E331" s="40" t="s">
        <v>291</v>
      </c>
      <c r="F331" s="40"/>
      <c r="G331" s="10">
        <f>'пр.5.1.ведом.21-22'!G666</f>
        <v>224</v>
      </c>
      <c r="H331" s="10">
        <f>'пр.5.1.ведом.21-22'!H666</f>
        <v>224</v>
      </c>
    </row>
    <row r="332" spans="1:8" ht="31.5" x14ac:dyDescent="0.25">
      <c r="A332" s="29" t="s">
        <v>419</v>
      </c>
      <c r="B332" s="20" t="s">
        <v>1037</v>
      </c>
      <c r="C332" s="40" t="s">
        <v>280</v>
      </c>
      <c r="D332" s="40" t="s">
        <v>229</v>
      </c>
      <c r="E332" s="40" t="s">
        <v>291</v>
      </c>
      <c r="F332" s="40" t="s">
        <v>653</v>
      </c>
      <c r="G332" s="10">
        <f>G331</f>
        <v>224</v>
      </c>
      <c r="H332" s="10">
        <f>H331</f>
        <v>224</v>
      </c>
    </row>
    <row r="333" spans="1:8" ht="47.25" x14ac:dyDescent="0.25">
      <c r="A333" s="23" t="s">
        <v>1031</v>
      </c>
      <c r="B333" s="24" t="s">
        <v>1032</v>
      </c>
      <c r="C333" s="7"/>
      <c r="D333" s="7"/>
      <c r="E333" s="7"/>
      <c r="F333" s="7"/>
      <c r="G333" s="59">
        <f>G336+G340</f>
        <v>3943.4</v>
      </c>
      <c r="H333" s="59">
        <f>H336+H340</f>
        <v>3951.9</v>
      </c>
    </row>
    <row r="334" spans="1:8" ht="15.75" x14ac:dyDescent="0.25">
      <c r="A334" s="29" t="s">
        <v>279</v>
      </c>
      <c r="B334" s="40" t="s">
        <v>1032</v>
      </c>
      <c r="C334" s="40" t="s">
        <v>280</v>
      </c>
      <c r="D334" s="40"/>
      <c r="E334" s="40"/>
      <c r="F334" s="40"/>
      <c r="G334" s="10">
        <f t="shared" ref="G334:H334" si="44">G335</f>
        <v>3943.4</v>
      </c>
      <c r="H334" s="10">
        <f t="shared" si="44"/>
        <v>3951.9</v>
      </c>
    </row>
    <row r="335" spans="1:8" ht="15.75" x14ac:dyDescent="0.25">
      <c r="A335" s="29" t="s">
        <v>441</v>
      </c>
      <c r="B335" s="40" t="s">
        <v>1032</v>
      </c>
      <c r="C335" s="40" t="s">
        <v>280</v>
      </c>
      <c r="D335" s="40" t="s">
        <v>229</v>
      </c>
      <c r="E335" s="40"/>
      <c r="F335" s="40"/>
      <c r="G335" s="10">
        <f>G336+G340</f>
        <v>3943.4</v>
      </c>
      <c r="H335" s="10">
        <f>H336+H340</f>
        <v>3951.9</v>
      </c>
    </row>
    <row r="336" spans="1:8" ht="47.25" x14ac:dyDescent="0.25">
      <c r="A336" s="29" t="s">
        <v>619</v>
      </c>
      <c r="B336" s="20" t="s">
        <v>1038</v>
      </c>
      <c r="C336" s="40" t="s">
        <v>280</v>
      </c>
      <c r="D336" s="40" t="s">
        <v>229</v>
      </c>
      <c r="E336" s="40"/>
      <c r="F336" s="40"/>
      <c r="G336" s="10">
        <f t="shared" ref="G336:H337" si="45">G337</f>
        <v>2200</v>
      </c>
      <c r="H336" s="10">
        <f t="shared" si="45"/>
        <v>2200</v>
      </c>
    </row>
    <row r="337" spans="1:8" ht="47.25" x14ac:dyDescent="0.25">
      <c r="A337" s="29" t="s">
        <v>288</v>
      </c>
      <c r="B337" s="20" t="s">
        <v>1038</v>
      </c>
      <c r="C337" s="40" t="s">
        <v>280</v>
      </c>
      <c r="D337" s="40" t="s">
        <v>229</v>
      </c>
      <c r="E337" s="40" t="s">
        <v>289</v>
      </c>
      <c r="F337" s="40"/>
      <c r="G337" s="10">
        <f t="shared" si="45"/>
        <v>2200</v>
      </c>
      <c r="H337" s="10">
        <f t="shared" si="45"/>
        <v>2200</v>
      </c>
    </row>
    <row r="338" spans="1:8" ht="15.75" x14ac:dyDescent="0.25">
      <c r="A338" s="29" t="s">
        <v>290</v>
      </c>
      <c r="B338" s="20" t="s">
        <v>1038</v>
      </c>
      <c r="C338" s="40" t="s">
        <v>280</v>
      </c>
      <c r="D338" s="40" t="s">
        <v>229</v>
      </c>
      <c r="E338" s="40" t="s">
        <v>291</v>
      </c>
      <c r="F338" s="40"/>
      <c r="G338" s="6">
        <f>'пр.5.1.ведом.21-22'!G670</f>
        <v>2200</v>
      </c>
      <c r="H338" s="6">
        <f>'пр.5.1.ведом.21-22'!H670</f>
        <v>2200</v>
      </c>
    </row>
    <row r="339" spans="1:8" ht="31.5" x14ac:dyDescent="0.25">
      <c r="A339" s="29" t="s">
        <v>419</v>
      </c>
      <c r="B339" s="20" t="s">
        <v>1038</v>
      </c>
      <c r="C339" s="40" t="s">
        <v>280</v>
      </c>
      <c r="D339" s="40" t="s">
        <v>229</v>
      </c>
      <c r="E339" s="40" t="s">
        <v>291</v>
      </c>
      <c r="F339" s="40" t="s">
        <v>653</v>
      </c>
      <c r="G339" s="10">
        <f>G338</f>
        <v>2200</v>
      </c>
      <c r="H339" s="10">
        <f>H338</f>
        <v>2200</v>
      </c>
    </row>
    <row r="340" spans="1:8" ht="31.5" x14ac:dyDescent="0.25">
      <c r="A340" s="25" t="s">
        <v>472</v>
      </c>
      <c r="B340" s="20" t="s">
        <v>1039</v>
      </c>
      <c r="C340" s="40" t="s">
        <v>280</v>
      </c>
      <c r="D340" s="40" t="s">
        <v>229</v>
      </c>
      <c r="E340" s="40"/>
      <c r="F340" s="40"/>
      <c r="G340" s="10">
        <f>G341</f>
        <v>1743.4</v>
      </c>
      <c r="H340" s="10">
        <f>H341</f>
        <v>1751.9</v>
      </c>
    </row>
    <row r="341" spans="1:8" ht="47.25" x14ac:dyDescent="0.25">
      <c r="A341" s="25" t="s">
        <v>288</v>
      </c>
      <c r="B341" s="20" t="s">
        <v>1039</v>
      </c>
      <c r="C341" s="40" t="s">
        <v>280</v>
      </c>
      <c r="D341" s="40" t="s">
        <v>229</v>
      </c>
      <c r="E341" s="40" t="s">
        <v>289</v>
      </c>
      <c r="F341" s="40"/>
      <c r="G341" s="10">
        <f>G342</f>
        <v>1743.4</v>
      </c>
      <c r="H341" s="10">
        <f>H342</f>
        <v>1751.9</v>
      </c>
    </row>
    <row r="342" spans="1:8" ht="15.75" x14ac:dyDescent="0.25">
      <c r="A342" s="25" t="s">
        <v>290</v>
      </c>
      <c r="B342" s="20" t="s">
        <v>1039</v>
      </c>
      <c r="C342" s="40" t="s">
        <v>280</v>
      </c>
      <c r="D342" s="40" t="s">
        <v>229</v>
      </c>
      <c r="E342" s="40" t="s">
        <v>291</v>
      </c>
      <c r="F342" s="40"/>
      <c r="G342" s="10">
        <f>'пр.5.1.ведом.21-22'!G673</f>
        <v>1743.4</v>
      </c>
      <c r="H342" s="10">
        <f>'пр.5.1.ведом.21-22'!H673</f>
        <v>1751.9</v>
      </c>
    </row>
    <row r="343" spans="1:8" ht="31.5" x14ac:dyDescent="0.25">
      <c r="A343" s="29" t="s">
        <v>419</v>
      </c>
      <c r="B343" s="20" t="s">
        <v>1039</v>
      </c>
      <c r="C343" s="40" t="s">
        <v>280</v>
      </c>
      <c r="D343" s="40" t="s">
        <v>229</v>
      </c>
      <c r="E343" s="40" t="s">
        <v>291</v>
      </c>
      <c r="F343" s="40" t="s">
        <v>653</v>
      </c>
      <c r="G343" s="10">
        <f>G342</f>
        <v>1743.4</v>
      </c>
      <c r="H343" s="10">
        <f>H342</f>
        <v>1751.9</v>
      </c>
    </row>
    <row r="344" spans="1:8" ht="31.5" x14ac:dyDescent="0.25">
      <c r="A344" s="23" t="s">
        <v>1033</v>
      </c>
      <c r="B344" s="24" t="s">
        <v>1040</v>
      </c>
      <c r="C344" s="7"/>
      <c r="D344" s="7"/>
      <c r="E344" s="7"/>
      <c r="F344" s="7"/>
      <c r="G344" s="59">
        <f>G347+G351</f>
        <v>1364.7</v>
      </c>
      <c r="H344" s="59">
        <f>H347+H351</f>
        <v>1364.7</v>
      </c>
    </row>
    <row r="345" spans="1:8" ht="15.75" x14ac:dyDescent="0.25">
      <c r="A345" s="29" t="s">
        <v>279</v>
      </c>
      <c r="B345" s="40" t="s">
        <v>1040</v>
      </c>
      <c r="C345" s="40" t="s">
        <v>280</v>
      </c>
      <c r="D345" s="40"/>
      <c r="E345" s="40"/>
      <c r="F345" s="40"/>
      <c r="G345" s="10">
        <f t="shared" ref="G345:H345" si="46">G346</f>
        <v>1364.7</v>
      </c>
      <c r="H345" s="10">
        <f t="shared" si="46"/>
        <v>1364.7</v>
      </c>
    </row>
    <row r="346" spans="1:8" ht="15.75" x14ac:dyDescent="0.25">
      <c r="A346" s="29" t="s">
        <v>441</v>
      </c>
      <c r="B346" s="40" t="s">
        <v>1040</v>
      </c>
      <c r="C346" s="40" t="s">
        <v>280</v>
      </c>
      <c r="D346" s="40" t="s">
        <v>229</v>
      </c>
      <c r="E346" s="40"/>
      <c r="F346" s="40"/>
      <c r="G346" s="10">
        <f>G347+G351</f>
        <v>1364.7</v>
      </c>
      <c r="H346" s="10">
        <f>H347+H351</f>
        <v>1364.7</v>
      </c>
    </row>
    <row r="347" spans="1:8" ht="63" x14ac:dyDescent="0.25">
      <c r="A347" s="25" t="s">
        <v>454</v>
      </c>
      <c r="B347" s="20" t="s">
        <v>1041</v>
      </c>
      <c r="C347" s="40" t="s">
        <v>280</v>
      </c>
      <c r="D347" s="40" t="s">
        <v>229</v>
      </c>
      <c r="E347" s="40"/>
      <c r="F347" s="40"/>
      <c r="G347" s="10">
        <f>G348</f>
        <v>868</v>
      </c>
      <c r="H347" s="10">
        <f>H348</f>
        <v>868</v>
      </c>
    </row>
    <row r="348" spans="1:8" ht="47.25" x14ac:dyDescent="0.25">
      <c r="A348" s="25" t="s">
        <v>288</v>
      </c>
      <c r="B348" s="20" t="s">
        <v>1041</v>
      </c>
      <c r="C348" s="40" t="s">
        <v>280</v>
      </c>
      <c r="D348" s="40" t="s">
        <v>229</v>
      </c>
      <c r="E348" s="40" t="s">
        <v>289</v>
      </c>
      <c r="F348" s="40"/>
      <c r="G348" s="10">
        <f>G349</f>
        <v>868</v>
      </c>
      <c r="H348" s="10">
        <f>H349</f>
        <v>868</v>
      </c>
    </row>
    <row r="349" spans="1:8" ht="15.75" x14ac:dyDescent="0.25">
      <c r="A349" s="25" t="s">
        <v>290</v>
      </c>
      <c r="B349" s="20" t="s">
        <v>1041</v>
      </c>
      <c r="C349" s="40" t="s">
        <v>280</v>
      </c>
      <c r="D349" s="40" t="s">
        <v>229</v>
      </c>
      <c r="E349" s="40" t="s">
        <v>291</v>
      </c>
      <c r="F349" s="40"/>
      <c r="G349" s="10">
        <f>'пр.5.1.ведом.21-22'!G677</f>
        <v>868</v>
      </c>
      <c r="H349" s="10">
        <f>'пр.5.1.ведом.21-22'!H677</f>
        <v>868</v>
      </c>
    </row>
    <row r="350" spans="1:8" ht="31.5" x14ac:dyDescent="0.25">
      <c r="A350" s="29" t="s">
        <v>419</v>
      </c>
      <c r="B350" s="20" t="s">
        <v>1041</v>
      </c>
      <c r="C350" s="40" t="s">
        <v>280</v>
      </c>
      <c r="D350" s="40" t="s">
        <v>229</v>
      </c>
      <c r="E350" s="40" t="s">
        <v>291</v>
      </c>
      <c r="F350" s="40" t="s">
        <v>653</v>
      </c>
      <c r="G350" s="10">
        <f>G349</f>
        <v>868</v>
      </c>
      <c r="H350" s="10">
        <f>H349</f>
        <v>868</v>
      </c>
    </row>
    <row r="351" spans="1:8" ht="47.25" x14ac:dyDescent="0.25">
      <c r="A351" s="25" t="s">
        <v>474</v>
      </c>
      <c r="B351" s="20" t="s">
        <v>1042</v>
      </c>
      <c r="C351" s="40" t="s">
        <v>280</v>
      </c>
      <c r="D351" s="40" t="s">
        <v>229</v>
      </c>
      <c r="E351" s="40"/>
      <c r="F351" s="40"/>
      <c r="G351" s="10">
        <f>G352</f>
        <v>496.7</v>
      </c>
      <c r="H351" s="10">
        <f>H352</f>
        <v>496.7</v>
      </c>
    </row>
    <row r="352" spans="1:8" ht="47.25" x14ac:dyDescent="0.25">
      <c r="A352" s="270" t="s">
        <v>288</v>
      </c>
      <c r="B352" s="20" t="s">
        <v>1042</v>
      </c>
      <c r="C352" s="40" t="s">
        <v>280</v>
      </c>
      <c r="D352" s="40" t="s">
        <v>229</v>
      </c>
      <c r="E352" s="40" t="s">
        <v>289</v>
      </c>
      <c r="F352" s="40"/>
      <c r="G352" s="10">
        <f>G353</f>
        <v>496.7</v>
      </c>
      <c r="H352" s="10">
        <f>H353</f>
        <v>496.7</v>
      </c>
    </row>
    <row r="353" spans="1:8" ht="15.75" x14ac:dyDescent="0.25">
      <c r="A353" s="25" t="s">
        <v>290</v>
      </c>
      <c r="B353" s="20" t="s">
        <v>1042</v>
      </c>
      <c r="C353" s="40" t="s">
        <v>280</v>
      </c>
      <c r="D353" s="40" t="s">
        <v>229</v>
      </c>
      <c r="E353" s="40" t="s">
        <v>291</v>
      </c>
      <c r="F353" s="40"/>
      <c r="G353" s="10">
        <f>'пр.5.1.ведом.21-22'!G680</f>
        <v>496.7</v>
      </c>
      <c r="H353" s="10">
        <f>'пр.5.1.ведом.21-22'!H680</f>
        <v>496.7</v>
      </c>
    </row>
    <row r="354" spans="1:8" ht="31.5" x14ac:dyDescent="0.25">
      <c r="A354" s="29" t="s">
        <v>419</v>
      </c>
      <c r="B354" s="20" t="s">
        <v>1042</v>
      </c>
      <c r="C354" s="40" t="s">
        <v>280</v>
      </c>
      <c r="D354" s="40" t="s">
        <v>229</v>
      </c>
      <c r="E354" s="40" t="s">
        <v>291</v>
      </c>
      <c r="F354" s="40" t="s">
        <v>653</v>
      </c>
      <c r="G354" s="10">
        <f>G353</f>
        <v>496.7</v>
      </c>
      <c r="H354" s="10">
        <f>H353</f>
        <v>496.7</v>
      </c>
    </row>
    <row r="355" spans="1:8" ht="47.25" x14ac:dyDescent="0.25">
      <c r="A355" s="227" t="s">
        <v>1077</v>
      </c>
      <c r="B355" s="24" t="s">
        <v>1043</v>
      </c>
      <c r="C355" s="7"/>
      <c r="D355" s="7"/>
      <c r="E355" s="7"/>
      <c r="F355" s="7"/>
      <c r="G355" s="59">
        <f>G358+G362</f>
        <v>2634</v>
      </c>
      <c r="H355" s="59">
        <f>H358+H362</f>
        <v>2634</v>
      </c>
    </row>
    <row r="356" spans="1:8" ht="15.75" x14ac:dyDescent="0.25">
      <c r="A356" s="29" t="s">
        <v>279</v>
      </c>
      <c r="B356" s="40" t="s">
        <v>1043</v>
      </c>
      <c r="C356" s="40" t="s">
        <v>280</v>
      </c>
      <c r="D356" s="40"/>
      <c r="E356" s="40"/>
      <c r="F356" s="40"/>
      <c r="G356" s="10">
        <f t="shared" ref="G356:H356" si="47">G357</f>
        <v>2634</v>
      </c>
      <c r="H356" s="10">
        <f t="shared" si="47"/>
        <v>2634</v>
      </c>
    </row>
    <row r="357" spans="1:8" ht="15.75" x14ac:dyDescent="0.25">
      <c r="A357" s="29" t="s">
        <v>441</v>
      </c>
      <c r="B357" s="40" t="s">
        <v>1043</v>
      </c>
      <c r="C357" s="40" t="s">
        <v>280</v>
      </c>
      <c r="D357" s="40" t="s">
        <v>229</v>
      </c>
      <c r="E357" s="40"/>
      <c r="F357" s="40"/>
      <c r="G357" s="10">
        <f>G358+G362</f>
        <v>2634</v>
      </c>
      <c r="H357" s="10">
        <f>H358+H362</f>
        <v>2634</v>
      </c>
    </row>
    <row r="358" spans="1:8" ht="31.5" hidden="1" x14ac:dyDescent="0.25">
      <c r="A358" s="29" t="s">
        <v>300</v>
      </c>
      <c r="B358" s="20" t="s">
        <v>1045</v>
      </c>
      <c r="C358" s="40" t="s">
        <v>280</v>
      </c>
      <c r="D358" s="40" t="s">
        <v>229</v>
      </c>
      <c r="E358" s="40"/>
      <c r="F358" s="40"/>
      <c r="G358" s="10">
        <f t="shared" ref="G358:H359" si="48">G359</f>
        <v>0</v>
      </c>
      <c r="H358" s="10">
        <f t="shared" si="48"/>
        <v>0</v>
      </c>
    </row>
    <row r="359" spans="1:8" ht="47.25" hidden="1" x14ac:dyDescent="0.25">
      <c r="A359" s="29" t="s">
        <v>288</v>
      </c>
      <c r="B359" s="20" t="s">
        <v>1045</v>
      </c>
      <c r="C359" s="40" t="s">
        <v>280</v>
      </c>
      <c r="D359" s="40" t="s">
        <v>229</v>
      </c>
      <c r="E359" s="40" t="s">
        <v>289</v>
      </c>
      <c r="F359" s="40"/>
      <c r="G359" s="10">
        <f t="shared" si="48"/>
        <v>0</v>
      </c>
      <c r="H359" s="10">
        <f t="shared" si="48"/>
        <v>0</v>
      </c>
    </row>
    <row r="360" spans="1:8" ht="15.75" hidden="1" x14ac:dyDescent="0.25">
      <c r="A360" s="29" t="s">
        <v>290</v>
      </c>
      <c r="B360" s="20" t="s">
        <v>1045</v>
      </c>
      <c r="C360" s="40" t="s">
        <v>280</v>
      </c>
      <c r="D360" s="40" t="s">
        <v>229</v>
      </c>
      <c r="E360" s="40" t="s">
        <v>291</v>
      </c>
      <c r="F360" s="40"/>
      <c r="G360" s="10">
        <f>'пр.5.1.ведом.21-22'!G684</f>
        <v>0</v>
      </c>
      <c r="H360" s="10">
        <f>'пр.5.1.ведом.21-22'!H684</f>
        <v>0</v>
      </c>
    </row>
    <row r="361" spans="1:8" ht="31.5" hidden="1" x14ac:dyDescent="0.25">
      <c r="A361" s="29" t="s">
        <v>419</v>
      </c>
      <c r="B361" s="20" t="s">
        <v>1045</v>
      </c>
      <c r="C361" s="40" t="s">
        <v>280</v>
      </c>
      <c r="D361" s="40" t="s">
        <v>229</v>
      </c>
      <c r="E361" s="40" t="s">
        <v>291</v>
      </c>
      <c r="F361" s="40" t="s">
        <v>653</v>
      </c>
      <c r="G361" s="10">
        <f>G360</f>
        <v>0</v>
      </c>
      <c r="H361" s="10">
        <f>H360</f>
        <v>0</v>
      </c>
    </row>
    <row r="362" spans="1:8" ht="47.25" x14ac:dyDescent="0.25">
      <c r="A362" s="60" t="s">
        <v>787</v>
      </c>
      <c r="B362" s="20" t="s">
        <v>1046</v>
      </c>
      <c r="C362" s="40" t="s">
        <v>280</v>
      </c>
      <c r="D362" s="40" t="s">
        <v>229</v>
      </c>
      <c r="E362" s="40"/>
      <c r="F362" s="40"/>
      <c r="G362" s="10">
        <f t="shared" ref="G362:H363" si="49">G363</f>
        <v>2634</v>
      </c>
      <c r="H362" s="10">
        <f t="shared" si="49"/>
        <v>2634</v>
      </c>
    </row>
    <row r="363" spans="1:8" ht="47.25" x14ac:dyDescent="0.25">
      <c r="A363" s="29" t="s">
        <v>288</v>
      </c>
      <c r="B363" s="20" t="s">
        <v>1046</v>
      </c>
      <c r="C363" s="40" t="s">
        <v>280</v>
      </c>
      <c r="D363" s="40" t="s">
        <v>229</v>
      </c>
      <c r="E363" s="40" t="s">
        <v>289</v>
      </c>
      <c r="F363" s="40"/>
      <c r="G363" s="10">
        <f t="shared" si="49"/>
        <v>2634</v>
      </c>
      <c r="H363" s="10">
        <f t="shared" si="49"/>
        <v>2634</v>
      </c>
    </row>
    <row r="364" spans="1:8" ht="15.75" x14ac:dyDescent="0.25">
      <c r="A364" s="192" t="s">
        <v>290</v>
      </c>
      <c r="B364" s="20" t="s">
        <v>1046</v>
      </c>
      <c r="C364" s="40" t="s">
        <v>280</v>
      </c>
      <c r="D364" s="40" t="s">
        <v>229</v>
      </c>
      <c r="E364" s="40" t="s">
        <v>291</v>
      </c>
      <c r="F364" s="40"/>
      <c r="G364" s="10">
        <f>'пр.5.1.ведом.21-22'!G687</f>
        <v>2634</v>
      </c>
      <c r="H364" s="10">
        <f>'пр.5.1.ведом.21-22'!H687</f>
        <v>2634</v>
      </c>
    </row>
    <row r="365" spans="1:8" ht="31.5" x14ac:dyDescent="0.25">
      <c r="A365" s="29" t="s">
        <v>419</v>
      </c>
      <c r="B365" s="20" t="s">
        <v>1046</v>
      </c>
      <c r="C365" s="40" t="s">
        <v>280</v>
      </c>
      <c r="D365" s="40" t="s">
        <v>229</v>
      </c>
      <c r="E365" s="40" t="s">
        <v>291</v>
      </c>
      <c r="F365" s="40" t="s">
        <v>653</v>
      </c>
      <c r="G365" s="10">
        <f>G364</f>
        <v>2634</v>
      </c>
      <c r="H365" s="10">
        <f>H364</f>
        <v>2634</v>
      </c>
    </row>
    <row r="366" spans="1:8" ht="47.25" x14ac:dyDescent="0.25">
      <c r="A366" s="225" t="s">
        <v>1048</v>
      </c>
      <c r="B366" s="24" t="s">
        <v>1044</v>
      </c>
      <c r="C366" s="7"/>
      <c r="D366" s="7"/>
      <c r="E366" s="7"/>
      <c r="F366" s="7"/>
      <c r="G366" s="59">
        <f>G369</f>
        <v>678</v>
      </c>
      <c r="H366" s="59">
        <f>H369</f>
        <v>678</v>
      </c>
    </row>
    <row r="367" spans="1:8" ht="15.75" x14ac:dyDescent="0.25">
      <c r="A367" s="29" t="s">
        <v>279</v>
      </c>
      <c r="B367" s="40" t="s">
        <v>1044</v>
      </c>
      <c r="C367" s="40" t="s">
        <v>280</v>
      </c>
      <c r="D367" s="40"/>
      <c r="E367" s="40"/>
      <c r="F367" s="40"/>
      <c r="G367" s="10">
        <f t="shared" ref="G367:H367" si="50">G368</f>
        <v>678</v>
      </c>
      <c r="H367" s="10">
        <f t="shared" si="50"/>
        <v>678</v>
      </c>
    </row>
    <row r="368" spans="1:8" ht="15.75" x14ac:dyDescent="0.25">
      <c r="A368" s="29" t="s">
        <v>441</v>
      </c>
      <c r="B368" s="40" t="s">
        <v>1044</v>
      </c>
      <c r="C368" s="40" t="s">
        <v>280</v>
      </c>
      <c r="D368" s="40" t="s">
        <v>229</v>
      </c>
      <c r="E368" s="40"/>
      <c r="F368" s="40"/>
      <c r="G368" s="10">
        <f t="shared" ref="G368:H370" si="51">G369</f>
        <v>678</v>
      </c>
      <c r="H368" s="10">
        <f t="shared" si="51"/>
        <v>678</v>
      </c>
    </row>
    <row r="369" spans="1:8" ht="63" x14ac:dyDescent="0.25">
      <c r="A369" s="192" t="s">
        <v>874</v>
      </c>
      <c r="B369" s="20" t="s">
        <v>1047</v>
      </c>
      <c r="C369" s="40" t="s">
        <v>280</v>
      </c>
      <c r="D369" s="40" t="s">
        <v>229</v>
      </c>
      <c r="E369" s="40"/>
      <c r="F369" s="40"/>
      <c r="G369" s="10">
        <f t="shared" si="51"/>
        <v>678</v>
      </c>
      <c r="H369" s="10">
        <f t="shared" si="51"/>
        <v>678</v>
      </c>
    </row>
    <row r="370" spans="1:8" ht="47.25" x14ac:dyDescent="0.25">
      <c r="A370" s="29" t="s">
        <v>288</v>
      </c>
      <c r="B370" s="20" t="s">
        <v>1047</v>
      </c>
      <c r="C370" s="40" t="s">
        <v>280</v>
      </c>
      <c r="D370" s="40" t="s">
        <v>229</v>
      </c>
      <c r="E370" s="40" t="s">
        <v>289</v>
      </c>
      <c r="F370" s="40"/>
      <c r="G370" s="10">
        <f t="shared" si="51"/>
        <v>678</v>
      </c>
      <c r="H370" s="10">
        <f t="shared" si="51"/>
        <v>678</v>
      </c>
    </row>
    <row r="371" spans="1:8" ht="15.75" x14ac:dyDescent="0.25">
      <c r="A371" s="192" t="s">
        <v>290</v>
      </c>
      <c r="B371" s="20" t="s">
        <v>1047</v>
      </c>
      <c r="C371" s="40" t="s">
        <v>280</v>
      </c>
      <c r="D371" s="40" t="s">
        <v>229</v>
      </c>
      <c r="E371" s="40" t="s">
        <v>291</v>
      </c>
      <c r="F371" s="40"/>
      <c r="G371" s="10">
        <f>'пр.5.1.ведом.21-22'!G691</f>
        <v>678</v>
      </c>
      <c r="H371" s="10">
        <f>'пр.5.1.ведом.21-22'!H691</f>
        <v>678</v>
      </c>
    </row>
    <row r="372" spans="1:8" ht="31.5" x14ac:dyDescent="0.25">
      <c r="A372" s="29" t="s">
        <v>419</v>
      </c>
      <c r="B372" s="20" t="s">
        <v>1047</v>
      </c>
      <c r="C372" s="40" t="s">
        <v>280</v>
      </c>
      <c r="D372" s="40" t="s">
        <v>229</v>
      </c>
      <c r="E372" s="40" t="s">
        <v>291</v>
      </c>
      <c r="F372" s="40" t="s">
        <v>653</v>
      </c>
      <c r="G372" s="10">
        <f>G371</f>
        <v>678</v>
      </c>
      <c r="H372" s="10">
        <f>H371</f>
        <v>678</v>
      </c>
    </row>
    <row r="373" spans="1:8" ht="47.25" x14ac:dyDescent="0.25">
      <c r="A373" s="41" t="s">
        <v>462</v>
      </c>
      <c r="B373" s="7" t="s">
        <v>463</v>
      </c>
      <c r="C373" s="7"/>
      <c r="D373" s="7"/>
      <c r="E373" s="7"/>
      <c r="F373" s="7"/>
      <c r="G373" s="59">
        <f t="shared" ref="G373:H373" si="52">G375</f>
        <v>689</v>
      </c>
      <c r="H373" s="59">
        <f t="shared" si="52"/>
        <v>689</v>
      </c>
    </row>
    <row r="374" spans="1:8" ht="47.25" x14ac:dyDescent="0.25">
      <c r="A374" s="227" t="s">
        <v>1077</v>
      </c>
      <c r="B374" s="24" t="s">
        <v>1053</v>
      </c>
      <c r="C374" s="7"/>
      <c r="D374" s="7"/>
      <c r="E374" s="7"/>
      <c r="F374" s="7"/>
      <c r="G374" s="59">
        <f>G375</f>
        <v>689</v>
      </c>
      <c r="H374" s="59">
        <f>H375</f>
        <v>689</v>
      </c>
    </row>
    <row r="375" spans="1:8" ht="15.75" x14ac:dyDescent="0.25">
      <c r="A375" s="29" t="s">
        <v>279</v>
      </c>
      <c r="B375" s="40" t="s">
        <v>1053</v>
      </c>
      <c r="C375" s="40" t="s">
        <v>280</v>
      </c>
      <c r="D375" s="40"/>
      <c r="E375" s="40"/>
      <c r="F375" s="40"/>
      <c r="G375" s="10">
        <f t="shared" ref="G375:H375" si="53">G376</f>
        <v>689</v>
      </c>
      <c r="H375" s="10">
        <f t="shared" si="53"/>
        <v>689</v>
      </c>
    </row>
    <row r="376" spans="1:8" ht="15.75" x14ac:dyDescent="0.25">
      <c r="A376" s="29" t="s">
        <v>281</v>
      </c>
      <c r="B376" s="40" t="s">
        <v>1053</v>
      </c>
      <c r="C376" s="40" t="s">
        <v>280</v>
      </c>
      <c r="D376" s="40" t="s">
        <v>231</v>
      </c>
      <c r="E376" s="40"/>
      <c r="F376" s="40"/>
      <c r="G376" s="10">
        <f>G377</f>
        <v>689</v>
      </c>
      <c r="H376" s="10">
        <f>H377</f>
        <v>689</v>
      </c>
    </row>
    <row r="377" spans="1:8" ht="47.25" x14ac:dyDescent="0.25">
      <c r="A377" s="45" t="s">
        <v>787</v>
      </c>
      <c r="B377" s="20" t="s">
        <v>1054</v>
      </c>
      <c r="C377" s="20" t="s">
        <v>280</v>
      </c>
      <c r="D377" s="20" t="s">
        <v>231</v>
      </c>
      <c r="E377" s="20"/>
      <c r="F377" s="20"/>
      <c r="G377" s="10">
        <f t="shared" ref="G377:H378" si="54">G378</f>
        <v>689</v>
      </c>
      <c r="H377" s="10">
        <f t="shared" si="54"/>
        <v>689</v>
      </c>
    </row>
    <row r="378" spans="1:8" ht="47.25" x14ac:dyDescent="0.25">
      <c r="A378" s="29" t="s">
        <v>288</v>
      </c>
      <c r="B378" s="20" t="s">
        <v>1054</v>
      </c>
      <c r="C378" s="20" t="s">
        <v>280</v>
      </c>
      <c r="D378" s="20" t="s">
        <v>231</v>
      </c>
      <c r="E378" s="20" t="s">
        <v>289</v>
      </c>
      <c r="F378" s="20"/>
      <c r="G378" s="10">
        <f t="shared" si="54"/>
        <v>689</v>
      </c>
      <c r="H378" s="10">
        <f t="shared" si="54"/>
        <v>689</v>
      </c>
    </row>
    <row r="379" spans="1:8" ht="15.75" x14ac:dyDescent="0.25">
      <c r="A379" s="31" t="s">
        <v>290</v>
      </c>
      <c r="B379" s="20" t="s">
        <v>1054</v>
      </c>
      <c r="C379" s="20" t="s">
        <v>280</v>
      </c>
      <c r="D379" s="20" t="s">
        <v>231</v>
      </c>
      <c r="E379" s="20" t="s">
        <v>291</v>
      </c>
      <c r="F379" s="20"/>
      <c r="G379" s="10">
        <f>'пр.5.1.ведом.21-22'!G730</f>
        <v>689</v>
      </c>
      <c r="H379" s="10">
        <f>'пр.5.1.ведом.21-22'!H730</f>
        <v>689</v>
      </c>
    </row>
    <row r="380" spans="1:8" ht="31.5" x14ac:dyDescent="0.25">
      <c r="A380" s="29" t="s">
        <v>419</v>
      </c>
      <c r="B380" s="20" t="s">
        <v>1054</v>
      </c>
      <c r="C380" s="40" t="s">
        <v>280</v>
      </c>
      <c r="D380" s="40" t="s">
        <v>231</v>
      </c>
      <c r="E380" s="40" t="s">
        <v>291</v>
      </c>
      <c r="F380" s="40" t="s">
        <v>653</v>
      </c>
      <c r="G380" s="10">
        <f>G379</f>
        <v>689</v>
      </c>
      <c r="H380" s="10">
        <f>H379</f>
        <v>689</v>
      </c>
    </row>
    <row r="381" spans="1:8" ht="47.25" x14ac:dyDescent="0.25">
      <c r="A381" s="41" t="s">
        <v>483</v>
      </c>
      <c r="B381" s="7" t="s">
        <v>485</v>
      </c>
      <c r="C381" s="7"/>
      <c r="D381" s="7"/>
      <c r="E381" s="7"/>
      <c r="F381" s="7"/>
      <c r="G381" s="59">
        <f>G382</f>
        <v>5804.9</v>
      </c>
      <c r="H381" s="59">
        <f>H382</f>
        <v>5804.9</v>
      </c>
    </row>
    <row r="382" spans="1:8" ht="31.5" x14ac:dyDescent="0.25">
      <c r="A382" s="23" t="s">
        <v>1056</v>
      </c>
      <c r="B382" s="24" t="s">
        <v>1057</v>
      </c>
      <c r="C382" s="7"/>
      <c r="D382" s="7"/>
      <c r="E382" s="7"/>
      <c r="F382" s="7"/>
      <c r="G382" s="59">
        <f>G383</f>
        <v>5804.9</v>
      </c>
      <c r="H382" s="59">
        <f>H383</f>
        <v>5804.9</v>
      </c>
    </row>
    <row r="383" spans="1:8" ht="15.75" x14ac:dyDescent="0.25">
      <c r="A383" s="29" t="s">
        <v>279</v>
      </c>
      <c r="B383" s="40" t="s">
        <v>1057</v>
      </c>
      <c r="C383" s="40" t="s">
        <v>280</v>
      </c>
      <c r="D383" s="40"/>
      <c r="E383" s="40"/>
      <c r="F383" s="40"/>
      <c r="G383" s="10">
        <f t="shared" ref="G383:H386" si="55">G384</f>
        <v>5804.9</v>
      </c>
      <c r="H383" s="10">
        <f t="shared" si="55"/>
        <v>5804.9</v>
      </c>
    </row>
    <row r="384" spans="1:8" ht="19.5" customHeight="1" x14ac:dyDescent="0.25">
      <c r="A384" s="29" t="s">
        <v>482</v>
      </c>
      <c r="B384" s="40" t="s">
        <v>1057</v>
      </c>
      <c r="C384" s="40" t="s">
        <v>280</v>
      </c>
      <c r="D384" s="40" t="s">
        <v>280</v>
      </c>
      <c r="E384" s="40"/>
      <c r="F384" s="40"/>
      <c r="G384" s="10">
        <f>G385+G389</f>
        <v>5804.9</v>
      </c>
      <c r="H384" s="10">
        <f>H385+H389</f>
        <v>5804.9</v>
      </c>
    </row>
    <row r="385" spans="1:8" ht="47.25" x14ac:dyDescent="0.25">
      <c r="A385" s="31" t="s">
        <v>1235</v>
      </c>
      <c r="B385" s="20" t="s">
        <v>1058</v>
      </c>
      <c r="C385" s="40" t="s">
        <v>280</v>
      </c>
      <c r="D385" s="40" t="s">
        <v>280</v>
      </c>
      <c r="E385" s="40"/>
      <c r="F385" s="40"/>
      <c r="G385" s="10">
        <f t="shared" si="55"/>
        <v>3584</v>
      </c>
      <c r="H385" s="10">
        <f t="shared" si="55"/>
        <v>3584</v>
      </c>
    </row>
    <row r="386" spans="1:8" ht="47.25" x14ac:dyDescent="0.25">
      <c r="A386" s="25" t="s">
        <v>288</v>
      </c>
      <c r="B386" s="20" t="s">
        <v>1058</v>
      </c>
      <c r="C386" s="40" t="s">
        <v>280</v>
      </c>
      <c r="D386" s="40" t="s">
        <v>280</v>
      </c>
      <c r="E386" s="40" t="s">
        <v>289</v>
      </c>
      <c r="F386" s="40"/>
      <c r="G386" s="10">
        <f t="shared" si="55"/>
        <v>3584</v>
      </c>
      <c r="H386" s="10">
        <f t="shared" si="55"/>
        <v>3584</v>
      </c>
    </row>
    <row r="387" spans="1:8" ht="15.75" x14ac:dyDescent="0.25">
      <c r="A387" s="25" t="s">
        <v>290</v>
      </c>
      <c r="B387" s="20" t="s">
        <v>1058</v>
      </c>
      <c r="C387" s="40" t="s">
        <v>280</v>
      </c>
      <c r="D387" s="40" t="s">
        <v>280</v>
      </c>
      <c r="E387" s="40" t="s">
        <v>291</v>
      </c>
      <c r="F387" s="40"/>
      <c r="G387" s="10">
        <f>'пр.5.1.ведом.21-22'!G742</f>
        <v>3584</v>
      </c>
      <c r="H387" s="10">
        <f>'пр.5.1.ведом.21-22'!H742</f>
        <v>3584</v>
      </c>
    </row>
    <row r="388" spans="1:8" ht="31.5" x14ac:dyDescent="0.25">
      <c r="A388" s="29" t="s">
        <v>419</v>
      </c>
      <c r="B388" s="20" t="s">
        <v>1058</v>
      </c>
      <c r="C388" s="40" t="s">
        <v>280</v>
      </c>
      <c r="D388" s="40" t="s">
        <v>280</v>
      </c>
      <c r="E388" s="40" t="s">
        <v>291</v>
      </c>
      <c r="F388" s="40" t="s">
        <v>653</v>
      </c>
      <c r="G388" s="10">
        <f>G387</f>
        <v>3584</v>
      </c>
      <c r="H388" s="10">
        <f>H387</f>
        <v>3584</v>
      </c>
    </row>
    <row r="389" spans="1:8" ht="31.5" x14ac:dyDescent="0.25">
      <c r="A389" s="31" t="s">
        <v>490</v>
      </c>
      <c r="B389" s="20" t="s">
        <v>1059</v>
      </c>
      <c r="C389" s="40" t="s">
        <v>280</v>
      </c>
      <c r="D389" s="40" t="s">
        <v>280</v>
      </c>
      <c r="E389" s="40"/>
      <c r="F389" s="40"/>
      <c r="G389" s="10">
        <f>G390</f>
        <v>2220.9</v>
      </c>
      <c r="H389" s="10">
        <f>H390</f>
        <v>2220.9</v>
      </c>
    </row>
    <row r="390" spans="1:8" ht="47.25" x14ac:dyDescent="0.25">
      <c r="A390" s="25" t="s">
        <v>288</v>
      </c>
      <c r="B390" s="20" t="s">
        <v>1059</v>
      </c>
      <c r="C390" s="40" t="s">
        <v>280</v>
      </c>
      <c r="D390" s="40" t="s">
        <v>280</v>
      </c>
      <c r="E390" s="40" t="s">
        <v>289</v>
      </c>
      <c r="F390" s="40"/>
      <c r="G390" s="10">
        <f>G391</f>
        <v>2220.9</v>
      </c>
      <c r="H390" s="10">
        <f>H391</f>
        <v>2220.9</v>
      </c>
    </row>
    <row r="391" spans="1:8" ht="15.75" x14ac:dyDescent="0.25">
      <c r="A391" s="25" t="s">
        <v>290</v>
      </c>
      <c r="B391" s="20" t="s">
        <v>1059</v>
      </c>
      <c r="C391" s="40" t="s">
        <v>280</v>
      </c>
      <c r="D391" s="40" t="s">
        <v>280</v>
      </c>
      <c r="E391" s="40" t="s">
        <v>291</v>
      </c>
      <c r="F391" s="40"/>
      <c r="G391" s="10">
        <f>'пр.5.1.ведом.21-22'!G745</f>
        <v>2220.9</v>
      </c>
      <c r="H391" s="10">
        <f>'пр.5.1.ведом.21-22'!H745</f>
        <v>2220.9</v>
      </c>
    </row>
    <row r="392" spans="1:8" ht="31.5" x14ac:dyDescent="0.25">
      <c r="A392" s="29" t="s">
        <v>419</v>
      </c>
      <c r="B392" s="20" t="s">
        <v>1059</v>
      </c>
      <c r="C392" s="40" t="s">
        <v>280</v>
      </c>
      <c r="D392" s="40" t="s">
        <v>280</v>
      </c>
      <c r="E392" s="40" t="s">
        <v>291</v>
      </c>
      <c r="F392" s="40" t="s">
        <v>653</v>
      </c>
      <c r="G392" s="10">
        <f>G391</f>
        <v>2220.9</v>
      </c>
      <c r="H392" s="10">
        <f>H391</f>
        <v>2220.9</v>
      </c>
    </row>
    <row r="393" spans="1:8" ht="63" hidden="1" x14ac:dyDescent="0.25">
      <c r="A393" s="58" t="s">
        <v>815</v>
      </c>
      <c r="B393" s="206" t="s">
        <v>172</v>
      </c>
      <c r="C393" s="7"/>
      <c r="D393" s="206"/>
      <c r="E393" s="206"/>
      <c r="F393" s="206"/>
      <c r="G393" s="59">
        <f>G395</f>
        <v>0</v>
      </c>
      <c r="H393" s="59">
        <f>H395</f>
        <v>0</v>
      </c>
    </row>
    <row r="394" spans="1:8" ht="47.25" hidden="1" x14ac:dyDescent="0.25">
      <c r="A394" s="23" t="s">
        <v>1243</v>
      </c>
      <c r="B394" s="24" t="s">
        <v>1240</v>
      </c>
      <c r="C394" s="7"/>
      <c r="D394" s="7"/>
      <c r="E394" s="7"/>
      <c r="F394" s="7"/>
      <c r="G394" s="59">
        <f>G395+G397</f>
        <v>0</v>
      </c>
      <c r="H394" s="59">
        <f>H395+H397</f>
        <v>0</v>
      </c>
    </row>
    <row r="395" spans="1:8" ht="15.75" hidden="1" x14ac:dyDescent="0.25">
      <c r="A395" s="45" t="s">
        <v>248</v>
      </c>
      <c r="B395" s="5" t="s">
        <v>1240</v>
      </c>
      <c r="C395" s="40" t="s">
        <v>166</v>
      </c>
      <c r="D395" s="40"/>
      <c r="E395" s="40"/>
      <c r="F395" s="40"/>
      <c r="G395" s="10">
        <f>G396</f>
        <v>0</v>
      </c>
      <c r="H395" s="10">
        <f>H396</f>
        <v>0</v>
      </c>
    </row>
    <row r="396" spans="1:8" ht="15.75" hidden="1" x14ac:dyDescent="0.25">
      <c r="A396" s="45" t="s">
        <v>798</v>
      </c>
      <c r="B396" s="5" t="s">
        <v>1240</v>
      </c>
      <c r="C396" s="40" t="s">
        <v>166</v>
      </c>
      <c r="D396" s="40" t="s">
        <v>254</v>
      </c>
      <c r="E396" s="40"/>
      <c r="F396" s="40"/>
      <c r="G396" s="10">
        <f>G397+G401</f>
        <v>0</v>
      </c>
      <c r="H396" s="10">
        <f>H397+H401</f>
        <v>0</v>
      </c>
    </row>
    <row r="397" spans="1:8" ht="31.5" hidden="1" x14ac:dyDescent="0.25">
      <c r="A397" s="25" t="s">
        <v>1244</v>
      </c>
      <c r="B397" s="20" t="s">
        <v>1241</v>
      </c>
      <c r="C397" s="40" t="s">
        <v>166</v>
      </c>
      <c r="D397" s="40" t="s">
        <v>254</v>
      </c>
      <c r="E397" s="40"/>
      <c r="F397" s="40"/>
      <c r="G397" s="10">
        <f>G398</f>
        <v>0</v>
      </c>
      <c r="H397" s="10">
        <f>H398</f>
        <v>0</v>
      </c>
    </row>
    <row r="398" spans="1:8" ht="15.75" hidden="1" x14ac:dyDescent="0.25">
      <c r="A398" s="25" t="s">
        <v>151</v>
      </c>
      <c r="B398" s="20" t="s">
        <v>1241</v>
      </c>
      <c r="C398" s="40" t="s">
        <v>166</v>
      </c>
      <c r="D398" s="40" t="s">
        <v>254</v>
      </c>
      <c r="E398" s="40" t="s">
        <v>148</v>
      </c>
      <c r="F398" s="40"/>
      <c r="G398" s="10">
        <f>G399</f>
        <v>0</v>
      </c>
      <c r="H398" s="10">
        <f>H399</f>
        <v>0</v>
      </c>
    </row>
    <row r="399" spans="1:8" ht="63" hidden="1" x14ac:dyDescent="0.25">
      <c r="A399" s="25" t="s">
        <v>200</v>
      </c>
      <c r="B399" s="20" t="s">
        <v>1241</v>
      </c>
      <c r="C399" s="40" t="s">
        <v>166</v>
      </c>
      <c r="D399" s="40" t="s">
        <v>254</v>
      </c>
      <c r="E399" s="40" t="s">
        <v>150</v>
      </c>
      <c r="F399" s="40"/>
      <c r="G399" s="10">
        <f>'пр.5.1.ведом.21-22'!G186</f>
        <v>0</v>
      </c>
      <c r="H399" s="10">
        <f>'пр.5.1.ведом.21-22'!H186</f>
        <v>0</v>
      </c>
    </row>
    <row r="400" spans="1:8" ht="31.5" hidden="1" x14ac:dyDescent="0.25">
      <c r="A400" s="29" t="s">
        <v>164</v>
      </c>
      <c r="B400" s="20" t="s">
        <v>1241</v>
      </c>
      <c r="C400" s="40" t="s">
        <v>166</v>
      </c>
      <c r="D400" s="40" t="s">
        <v>254</v>
      </c>
      <c r="E400" s="40" t="s">
        <v>150</v>
      </c>
      <c r="F400" s="40" t="s">
        <v>658</v>
      </c>
      <c r="G400" s="10">
        <f>G399</f>
        <v>0</v>
      </c>
      <c r="H400" s="10">
        <f>H399</f>
        <v>0</v>
      </c>
    </row>
    <row r="401" spans="1:8" ht="47.25" hidden="1" x14ac:dyDescent="0.25">
      <c r="A401" s="25" t="s">
        <v>255</v>
      </c>
      <c r="B401" s="20" t="s">
        <v>1242</v>
      </c>
      <c r="C401" s="40" t="s">
        <v>166</v>
      </c>
      <c r="D401" s="40" t="s">
        <v>254</v>
      </c>
      <c r="E401" s="40"/>
      <c r="F401" s="40"/>
      <c r="G401" s="10">
        <f>G402</f>
        <v>0</v>
      </c>
      <c r="H401" s="10">
        <f>H402</f>
        <v>0</v>
      </c>
    </row>
    <row r="402" spans="1:8" ht="15.75" hidden="1" x14ac:dyDescent="0.25">
      <c r="A402" s="25" t="s">
        <v>151</v>
      </c>
      <c r="B402" s="20" t="s">
        <v>1242</v>
      </c>
      <c r="C402" s="40" t="s">
        <v>166</v>
      </c>
      <c r="D402" s="40" t="s">
        <v>254</v>
      </c>
      <c r="E402" s="40" t="s">
        <v>161</v>
      </c>
      <c r="F402" s="40"/>
      <c r="G402" s="10">
        <f>G403</f>
        <v>0</v>
      </c>
      <c r="H402" s="10">
        <f>H403</f>
        <v>0</v>
      </c>
    </row>
    <row r="403" spans="1:8" ht="63" hidden="1" x14ac:dyDescent="0.25">
      <c r="A403" s="25" t="s">
        <v>200</v>
      </c>
      <c r="B403" s="20" t="s">
        <v>1242</v>
      </c>
      <c r="C403" s="40" t="s">
        <v>166</v>
      </c>
      <c r="D403" s="40" t="s">
        <v>254</v>
      </c>
      <c r="E403" s="40" t="s">
        <v>176</v>
      </c>
      <c r="F403" s="40"/>
      <c r="G403" s="10">
        <f>'пр.5.1.ведом.21-22'!G189</f>
        <v>0</v>
      </c>
      <c r="H403" s="10">
        <f>'пр.5.1.ведом.21-22'!H189</f>
        <v>0</v>
      </c>
    </row>
    <row r="404" spans="1:8" ht="31.5" hidden="1" x14ac:dyDescent="0.25">
      <c r="A404" s="29" t="s">
        <v>164</v>
      </c>
      <c r="B404" s="20" t="s">
        <v>1242</v>
      </c>
      <c r="C404" s="40" t="s">
        <v>166</v>
      </c>
      <c r="D404" s="40" t="s">
        <v>254</v>
      </c>
      <c r="E404" s="40" t="s">
        <v>176</v>
      </c>
      <c r="F404" s="40" t="s">
        <v>658</v>
      </c>
      <c r="G404" s="10">
        <f>G403</f>
        <v>0</v>
      </c>
      <c r="H404" s="10">
        <f>H403</f>
        <v>0</v>
      </c>
    </row>
    <row r="405" spans="1:8" ht="47.25" x14ac:dyDescent="0.25">
      <c r="A405" s="41" t="s">
        <v>819</v>
      </c>
      <c r="B405" s="206" t="s">
        <v>178</v>
      </c>
      <c r="C405" s="7"/>
      <c r="D405" s="7"/>
      <c r="E405" s="7"/>
      <c r="F405" s="7"/>
      <c r="G405" s="59">
        <f>G406+G413+G432</f>
        <v>549</v>
      </c>
      <c r="H405" s="59">
        <f>H406+H413+H432</f>
        <v>549</v>
      </c>
    </row>
    <row r="406" spans="1:8" ht="78.75" x14ac:dyDescent="0.25">
      <c r="A406" s="229" t="s">
        <v>1155</v>
      </c>
      <c r="B406" s="7" t="s">
        <v>895</v>
      </c>
      <c r="C406" s="7"/>
      <c r="D406" s="8"/>
      <c r="E406" s="206"/>
      <c r="F406" s="7"/>
      <c r="G406" s="59">
        <f>G408</f>
        <v>446</v>
      </c>
      <c r="H406" s="59">
        <f>H408</f>
        <v>446</v>
      </c>
    </row>
    <row r="407" spans="1:8" ht="15.75" x14ac:dyDescent="0.25">
      <c r="A407" s="45" t="s">
        <v>133</v>
      </c>
      <c r="B407" s="5" t="s">
        <v>895</v>
      </c>
      <c r="C407" s="40" t="s">
        <v>134</v>
      </c>
      <c r="D407" s="5"/>
      <c r="E407" s="5"/>
      <c r="F407" s="40"/>
      <c r="G407" s="10">
        <f t="shared" ref="G407:H407" si="56">G408</f>
        <v>446</v>
      </c>
      <c r="H407" s="10">
        <f t="shared" si="56"/>
        <v>446</v>
      </c>
    </row>
    <row r="408" spans="1:8" ht="78.75" x14ac:dyDescent="0.25">
      <c r="A408" s="29" t="s">
        <v>165</v>
      </c>
      <c r="B408" s="5" t="s">
        <v>895</v>
      </c>
      <c r="C408" s="40" t="s">
        <v>134</v>
      </c>
      <c r="D408" s="9" t="s">
        <v>166</v>
      </c>
      <c r="E408" s="5"/>
      <c r="F408" s="40"/>
      <c r="G408" s="10">
        <f>G409</f>
        <v>446</v>
      </c>
      <c r="H408" s="10">
        <f>H409</f>
        <v>446</v>
      </c>
    </row>
    <row r="409" spans="1:8" ht="31.5" x14ac:dyDescent="0.25">
      <c r="A409" s="29" t="s">
        <v>179</v>
      </c>
      <c r="B409" s="40" t="s">
        <v>887</v>
      </c>
      <c r="C409" s="40" t="s">
        <v>134</v>
      </c>
      <c r="D409" s="9" t="s">
        <v>166</v>
      </c>
      <c r="E409" s="40"/>
      <c r="F409" s="40"/>
      <c r="G409" s="10">
        <f t="shared" ref="G409:H410" si="57">G410</f>
        <v>446</v>
      </c>
      <c r="H409" s="10">
        <f t="shared" si="57"/>
        <v>446</v>
      </c>
    </row>
    <row r="410" spans="1:8" ht="31.5" x14ac:dyDescent="0.25">
      <c r="A410" s="29" t="s">
        <v>147</v>
      </c>
      <c r="B410" s="40" t="s">
        <v>887</v>
      </c>
      <c r="C410" s="40" t="s">
        <v>134</v>
      </c>
      <c r="D410" s="9" t="s">
        <v>166</v>
      </c>
      <c r="E410" s="40" t="s">
        <v>148</v>
      </c>
      <c r="F410" s="40"/>
      <c r="G410" s="10">
        <f t="shared" si="57"/>
        <v>446</v>
      </c>
      <c r="H410" s="10">
        <f t="shared" si="57"/>
        <v>446</v>
      </c>
    </row>
    <row r="411" spans="1:8" ht="47.25" x14ac:dyDescent="0.25">
      <c r="A411" s="29" t="s">
        <v>149</v>
      </c>
      <c r="B411" s="40" t="s">
        <v>887</v>
      </c>
      <c r="C411" s="40" t="s">
        <v>134</v>
      </c>
      <c r="D411" s="9" t="s">
        <v>166</v>
      </c>
      <c r="E411" s="40" t="s">
        <v>150</v>
      </c>
      <c r="F411" s="40"/>
      <c r="G411" s="10">
        <f>'пр.5.1.ведом.21-22'!G73</f>
        <v>446</v>
      </c>
      <c r="H411" s="10">
        <f>'пр.5.1.ведом.21-22'!H73</f>
        <v>446</v>
      </c>
    </row>
    <row r="412" spans="1:8" ht="31.5" x14ac:dyDescent="0.25">
      <c r="A412" s="29" t="s">
        <v>164</v>
      </c>
      <c r="B412" s="40" t="s">
        <v>887</v>
      </c>
      <c r="C412" s="40" t="s">
        <v>134</v>
      </c>
      <c r="D412" s="9" t="s">
        <v>166</v>
      </c>
      <c r="E412" s="40" t="s">
        <v>150</v>
      </c>
      <c r="F412" s="40" t="s">
        <v>658</v>
      </c>
      <c r="G412" s="10">
        <f>G411</f>
        <v>446</v>
      </c>
      <c r="H412" s="10">
        <f>H411</f>
        <v>446</v>
      </c>
    </row>
    <row r="413" spans="1:8" ht="78.75" x14ac:dyDescent="0.25">
      <c r="A413" s="228" t="s">
        <v>889</v>
      </c>
      <c r="B413" s="7" t="s">
        <v>896</v>
      </c>
      <c r="C413" s="7"/>
      <c r="D413" s="8"/>
      <c r="E413" s="206"/>
      <c r="F413" s="7"/>
      <c r="G413" s="59">
        <f>G414</f>
        <v>102.5</v>
      </c>
      <c r="H413" s="59">
        <f>H414</f>
        <v>102.5</v>
      </c>
    </row>
    <row r="414" spans="1:8" ht="15.75" x14ac:dyDescent="0.25">
      <c r="A414" s="45" t="s">
        <v>133</v>
      </c>
      <c r="B414" s="5" t="s">
        <v>896</v>
      </c>
      <c r="C414" s="40" t="s">
        <v>134</v>
      </c>
      <c r="D414" s="5"/>
      <c r="E414" s="5"/>
      <c r="F414" s="40"/>
      <c r="G414" s="10">
        <f>G415+G424</f>
        <v>102.5</v>
      </c>
      <c r="H414" s="10">
        <f>H415+H424</f>
        <v>102.5</v>
      </c>
    </row>
    <row r="415" spans="1:8" ht="47.25" x14ac:dyDescent="0.25">
      <c r="A415" s="29" t="s">
        <v>591</v>
      </c>
      <c r="B415" s="5" t="s">
        <v>896</v>
      </c>
      <c r="C415" s="40" t="s">
        <v>134</v>
      </c>
      <c r="D415" s="9" t="s">
        <v>229</v>
      </c>
      <c r="E415" s="5"/>
      <c r="F415" s="40"/>
      <c r="G415" s="10">
        <f>G416+G420</f>
        <v>25.5</v>
      </c>
      <c r="H415" s="10">
        <f>H416+H420</f>
        <v>25.5</v>
      </c>
    </row>
    <row r="416" spans="1:8" ht="63" x14ac:dyDescent="0.25">
      <c r="A416" s="31" t="s">
        <v>712</v>
      </c>
      <c r="B416" s="40" t="s">
        <v>1142</v>
      </c>
      <c r="C416" s="40" t="s">
        <v>134</v>
      </c>
      <c r="D416" s="9" t="s">
        <v>229</v>
      </c>
      <c r="E416" s="5"/>
      <c r="F416" s="40"/>
      <c r="G416" s="10">
        <f>G417</f>
        <v>0.5</v>
      </c>
      <c r="H416" s="10">
        <f>H417</f>
        <v>0.5</v>
      </c>
    </row>
    <row r="417" spans="1:8" ht="31.5" x14ac:dyDescent="0.25">
      <c r="A417" s="25" t="s">
        <v>147</v>
      </c>
      <c r="B417" s="40" t="s">
        <v>1142</v>
      </c>
      <c r="C417" s="40" t="s">
        <v>134</v>
      </c>
      <c r="D417" s="9" t="s">
        <v>229</v>
      </c>
      <c r="E417" s="5">
        <v>200</v>
      </c>
      <c r="F417" s="40"/>
      <c r="G417" s="10">
        <f>G418</f>
        <v>0.5</v>
      </c>
      <c r="H417" s="10">
        <f>H418</f>
        <v>0.5</v>
      </c>
    </row>
    <row r="418" spans="1:8" ht="47.25" x14ac:dyDescent="0.25">
      <c r="A418" s="25" t="s">
        <v>149</v>
      </c>
      <c r="B418" s="40" t="s">
        <v>713</v>
      </c>
      <c r="C418" s="40" t="s">
        <v>134</v>
      </c>
      <c r="D418" s="9" t="s">
        <v>229</v>
      </c>
      <c r="E418" s="5">
        <v>240</v>
      </c>
      <c r="F418" s="40"/>
      <c r="G418" s="10">
        <f>'пр.5.1.ведом.21-22'!G1079</f>
        <v>0.5</v>
      </c>
      <c r="H418" s="10">
        <f>'пр.5.1.ведом.21-22'!H1079</f>
        <v>0.5</v>
      </c>
    </row>
    <row r="419" spans="1:8" ht="31.5" x14ac:dyDescent="0.25">
      <c r="A419" s="45" t="s">
        <v>590</v>
      </c>
      <c r="B419" s="40" t="s">
        <v>713</v>
      </c>
      <c r="C419" s="40" t="s">
        <v>134</v>
      </c>
      <c r="D419" s="9" t="s">
        <v>229</v>
      </c>
      <c r="E419" s="5">
        <v>240</v>
      </c>
      <c r="F419" s="40" t="s">
        <v>814</v>
      </c>
      <c r="G419" s="10">
        <f>G418</f>
        <v>0.5</v>
      </c>
      <c r="H419" s="10">
        <f>H418</f>
        <v>0.5</v>
      </c>
    </row>
    <row r="420" spans="1:8" ht="63" x14ac:dyDescent="0.25">
      <c r="A420" s="31" t="s">
        <v>712</v>
      </c>
      <c r="B420" s="20" t="s">
        <v>1141</v>
      </c>
      <c r="C420" s="40" t="s">
        <v>134</v>
      </c>
      <c r="D420" s="9" t="s">
        <v>229</v>
      </c>
      <c r="E420" s="5"/>
      <c r="F420" s="40"/>
      <c r="G420" s="10">
        <f>G421</f>
        <v>25</v>
      </c>
      <c r="H420" s="10">
        <f>H421</f>
        <v>25</v>
      </c>
    </row>
    <row r="421" spans="1:8" ht="31.5" x14ac:dyDescent="0.25">
      <c r="A421" s="25" t="s">
        <v>147</v>
      </c>
      <c r="B421" s="20" t="s">
        <v>1141</v>
      </c>
      <c r="C421" s="40" t="s">
        <v>134</v>
      </c>
      <c r="D421" s="9" t="s">
        <v>229</v>
      </c>
      <c r="E421" s="5">
        <v>200</v>
      </c>
      <c r="F421" s="40"/>
      <c r="G421" s="10">
        <f>G422</f>
        <v>25</v>
      </c>
      <c r="H421" s="10">
        <f>H422</f>
        <v>25</v>
      </c>
    </row>
    <row r="422" spans="1:8" ht="47.25" x14ac:dyDescent="0.25">
      <c r="A422" s="25" t="s">
        <v>149</v>
      </c>
      <c r="B422" s="20" t="s">
        <v>1141</v>
      </c>
      <c r="C422" s="40" t="s">
        <v>134</v>
      </c>
      <c r="D422" s="9" t="s">
        <v>229</v>
      </c>
      <c r="E422" s="5">
        <v>240</v>
      </c>
      <c r="F422" s="40"/>
      <c r="G422" s="10">
        <f>'пр.5.1.ведом.21-22'!G1082</f>
        <v>25</v>
      </c>
      <c r="H422" s="10">
        <f>'пр.5.1.ведом.21-22'!H1082</f>
        <v>25</v>
      </c>
    </row>
    <row r="423" spans="1:8" ht="31.5" x14ac:dyDescent="0.25">
      <c r="A423" s="45" t="s">
        <v>590</v>
      </c>
      <c r="B423" s="20" t="s">
        <v>1141</v>
      </c>
      <c r="C423" s="40" t="s">
        <v>134</v>
      </c>
      <c r="D423" s="9" t="s">
        <v>229</v>
      </c>
      <c r="E423" s="5">
        <v>240</v>
      </c>
      <c r="F423" s="40" t="s">
        <v>814</v>
      </c>
      <c r="G423" s="10">
        <f>G422</f>
        <v>25</v>
      </c>
      <c r="H423" s="10">
        <f>H422</f>
        <v>25</v>
      </c>
    </row>
    <row r="424" spans="1:8" ht="78.75" x14ac:dyDescent="0.25">
      <c r="A424" s="29" t="s">
        <v>165</v>
      </c>
      <c r="B424" s="5" t="s">
        <v>896</v>
      </c>
      <c r="C424" s="40" t="s">
        <v>134</v>
      </c>
      <c r="D424" s="9" t="s">
        <v>166</v>
      </c>
      <c r="E424" s="5"/>
      <c r="F424" s="40"/>
      <c r="G424" s="10">
        <f>G425</f>
        <v>77</v>
      </c>
      <c r="H424" s="10">
        <f>H425</f>
        <v>77</v>
      </c>
    </row>
    <row r="425" spans="1:8" ht="63" x14ac:dyDescent="0.25">
      <c r="A425" s="178" t="s">
        <v>181</v>
      </c>
      <c r="B425" s="40" t="s">
        <v>888</v>
      </c>
      <c r="C425" s="40" t="s">
        <v>134</v>
      </c>
      <c r="D425" s="9" t="s">
        <v>166</v>
      </c>
      <c r="E425" s="40"/>
      <c r="F425" s="40"/>
      <c r="G425" s="10">
        <f>G426+G429</f>
        <v>77</v>
      </c>
      <c r="H425" s="10">
        <f>H426+H429</f>
        <v>77</v>
      </c>
    </row>
    <row r="426" spans="1:8" ht="94.5" x14ac:dyDescent="0.25">
      <c r="A426" s="25" t="s">
        <v>143</v>
      </c>
      <c r="B426" s="40" t="s">
        <v>888</v>
      </c>
      <c r="C426" s="40" t="s">
        <v>134</v>
      </c>
      <c r="D426" s="9" t="s">
        <v>166</v>
      </c>
      <c r="E426" s="40" t="s">
        <v>144</v>
      </c>
      <c r="F426" s="40"/>
      <c r="G426" s="10">
        <f t="shared" ref="G426:H426" si="58">G427</f>
        <v>37</v>
      </c>
      <c r="H426" s="10">
        <f t="shared" si="58"/>
        <v>37</v>
      </c>
    </row>
    <row r="427" spans="1:8" ht="31.5" x14ac:dyDescent="0.25">
      <c r="A427" s="25" t="s">
        <v>145</v>
      </c>
      <c r="B427" s="40" t="s">
        <v>888</v>
      </c>
      <c r="C427" s="40" t="s">
        <v>134</v>
      </c>
      <c r="D427" s="9" t="s">
        <v>166</v>
      </c>
      <c r="E427" s="40" t="s">
        <v>146</v>
      </c>
      <c r="F427" s="40"/>
      <c r="G427" s="10">
        <f>'пр.5.1.ведом.21-22'!G77</f>
        <v>37</v>
      </c>
      <c r="H427" s="10">
        <f>'пр.5.1.ведом.21-22'!H77</f>
        <v>37</v>
      </c>
    </row>
    <row r="428" spans="1:8" ht="31.5" x14ac:dyDescent="0.25">
      <c r="A428" s="29" t="s">
        <v>164</v>
      </c>
      <c r="B428" s="40" t="s">
        <v>888</v>
      </c>
      <c r="C428" s="40" t="s">
        <v>134</v>
      </c>
      <c r="D428" s="9" t="s">
        <v>166</v>
      </c>
      <c r="E428" s="40" t="s">
        <v>146</v>
      </c>
      <c r="F428" s="40" t="s">
        <v>658</v>
      </c>
      <c r="G428" s="10">
        <f>G427</f>
        <v>37</v>
      </c>
      <c r="H428" s="10">
        <f>H427</f>
        <v>37</v>
      </c>
    </row>
    <row r="429" spans="1:8" ht="31.5" x14ac:dyDescent="0.25">
      <c r="A429" s="25" t="s">
        <v>147</v>
      </c>
      <c r="B429" s="40" t="s">
        <v>888</v>
      </c>
      <c r="C429" s="40" t="s">
        <v>134</v>
      </c>
      <c r="D429" s="9" t="s">
        <v>166</v>
      </c>
      <c r="E429" s="40" t="s">
        <v>148</v>
      </c>
      <c r="F429" s="40"/>
      <c r="G429" s="10">
        <f t="shared" ref="G429:H429" si="59">G430</f>
        <v>40</v>
      </c>
      <c r="H429" s="10">
        <f t="shared" si="59"/>
        <v>40</v>
      </c>
    </row>
    <row r="430" spans="1:8" ht="47.25" x14ac:dyDescent="0.25">
      <c r="A430" s="25" t="s">
        <v>149</v>
      </c>
      <c r="B430" s="40" t="s">
        <v>888</v>
      </c>
      <c r="C430" s="40" t="s">
        <v>134</v>
      </c>
      <c r="D430" s="9" t="s">
        <v>166</v>
      </c>
      <c r="E430" s="40" t="s">
        <v>150</v>
      </c>
      <c r="F430" s="40"/>
      <c r="G430" s="10">
        <f>'пр.5.1.ведом.21-22'!G79</f>
        <v>40</v>
      </c>
      <c r="H430" s="10">
        <f>'пр.5.1.ведом.21-22'!H79</f>
        <v>40</v>
      </c>
    </row>
    <row r="431" spans="1:8" ht="31.5" x14ac:dyDescent="0.25">
      <c r="A431" s="29" t="s">
        <v>164</v>
      </c>
      <c r="B431" s="40" t="s">
        <v>888</v>
      </c>
      <c r="C431" s="40" t="s">
        <v>134</v>
      </c>
      <c r="D431" s="9" t="s">
        <v>166</v>
      </c>
      <c r="E431" s="40" t="s">
        <v>150</v>
      </c>
      <c r="F431" s="40" t="s">
        <v>658</v>
      </c>
      <c r="G431" s="10">
        <f>G430</f>
        <v>40</v>
      </c>
      <c r="H431" s="10">
        <f>H430</f>
        <v>40</v>
      </c>
    </row>
    <row r="432" spans="1:8" ht="78.75" x14ac:dyDescent="0.25">
      <c r="A432" s="230" t="s">
        <v>1156</v>
      </c>
      <c r="B432" s="7" t="s">
        <v>897</v>
      </c>
      <c r="C432" s="7"/>
      <c r="D432" s="8"/>
      <c r="E432" s="7"/>
      <c r="F432" s="7"/>
      <c r="G432" s="59">
        <f>G433</f>
        <v>0.5</v>
      </c>
      <c r="H432" s="59">
        <f>H433</f>
        <v>0.5</v>
      </c>
    </row>
    <row r="433" spans="1:8" s="213" customFormat="1" ht="15.75" x14ac:dyDescent="0.25">
      <c r="A433" s="289" t="s">
        <v>133</v>
      </c>
      <c r="B433" s="40" t="s">
        <v>897</v>
      </c>
      <c r="C433" s="40" t="s">
        <v>134</v>
      </c>
      <c r="D433" s="9"/>
      <c r="E433" s="7"/>
      <c r="F433" s="7"/>
      <c r="G433" s="10">
        <f>G434</f>
        <v>0.5</v>
      </c>
      <c r="H433" s="10">
        <f>H434</f>
        <v>0.5</v>
      </c>
    </row>
    <row r="434" spans="1:8" s="213" customFormat="1" ht="78.75" x14ac:dyDescent="0.25">
      <c r="A434" s="29" t="s">
        <v>165</v>
      </c>
      <c r="B434" s="40" t="s">
        <v>897</v>
      </c>
      <c r="C434" s="40" t="s">
        <v>134</v>
      </c>
      <c r="D434" s="9" t="s">
        <v>166</v>
      </c>
      <c r="E434" s="7"/>
      <c r="F434" s="7"/>
      <c r="G434" s="10">
        <f>G435+G439</f>
        <v>0.5</v>
      </c>
      <c r="H434" s="10">
        <f>H435+H439</f>
        <v>0.5</v>
      </c>
    </row>
    <row r="435" spans="1:8" ht="63" x14ac:dyDescent="0.25">
      <c r="A435" s="33" t="s">
        <v>207</v>
      </c>
      <c r="B435" s="40" t="s">
        <v>890</v>
      </c>
      <c r="C435" s="40" t="s">
        <v>134</v>
      </c>
      <c r="D435" s="9" t="s">
        <v>166</v>
      </c>
      <c r="E435" s="40"/>
      <c r="F435" s="40"/>
      <c r="G435" s="10">
        <f>G436</f>
        <v>0.5</v>
      </c>
      <c r="H435" s="10">
        <f>H436</f>
        <v>0.5</v>
      </c>
    </row>
    <row r="436" spans="1:8" ht="31.5" x14ac:dyDescent="0.25">
      <c r="A436" s="25" t="s">
        <v>147</v>
      </c>
      <c r="B436" s="40" t="s">
        <v>890</v>
      </c>
      <c r="C436" s="40" t="s">
        <v>134</v>
      </c>
      <c r="D436" s="9" t="s">
        <v>166</v>
      </c>
      <c r="E436" s="40" t="s">
        <v>148</v>
      </c>
      <c r="F436" s="40"/>
      <c r="G436" s="10">
        <f>G437</f>
        <v>0.5</v>
      </c>
      <c r="H436" s="10">
        <f>H437</f>
        <v>0.5</v>
      </c>
    </row>
    <row r="437" spans="1:8" ht="47.25" x14ac:dyDescent="0.25">
      <c r="A437" s="25" t="s">
        <v>149</v>
      </c>
      <c r="B437" s="40" t="s">
        <v>890</v>
      </c>
      <c r="C437" s="40" t="s">
        <v>134</v>
      </c>
      <c r="D437" s="9" t="s">
        <v>166</v>
      </c>
      <c r="E437" s="40" t="s">
        <v>150</v>
      </c>
      <c r="F437" s="40"/>
      <c r="G437" s="10">
        <f>'пр.5.1.ведом.21-22'!G83</f>
        <v>0.5</v>
      </c>
      <c r="H437" s="10">
        <f>'пр.5.1.ведом.21-22'!H83</f>
        <v>0.5</v>
      </c>
    </row>
    <row r="438" spans="1:8" ht="31.5" x14ac:dyDescent="0.25">
      <c r="A438" s="29" t="s">
        <v>164</v>
      </c>
      <c r="B438" s="40" t="s">
        <v>890</v>
      </c>
      <c r="C438" s="40" t="s">
        <v>134</v>
      </c>
      <c r="D438" s="9" t="s">
        <v>166</v>
      </c>
      <c r="E438" s="40" t="s">
        <v>150</v>
      </c>
      <c r="F438" s="40" t="s">
        <v>658</v>
      </c>
      <c r="G438" s="10">
        <f>G437</f>
        <v>0.5</v>
      </c>
      <c r="H438" s="10">
        <f>H437</f>
        <v>0.5</v>
      </c>
    </row>
    <row r="439" spans="1:8" ht="63" hidden="1" x14ac:dyDescent="0.25">
      <c r="A439" s="33" t="s">
        <v>207</v>
      </c>
      <c r="B439" s="20" t="s">
        <v>891</v>
      </c>
      <c r="C439" s="40" t="s">
        <v>134</v>
      </c>
      <c r="D439" s="9" t="s">
        <v>166</v>
      </c>
      <c r="E439" s="40"/>
      <c r="F439" s="40"/>
      <c r="G439" s="10">
        <f>G440</f>
        <v>0</v>
      </c>
      <c r="H439" s="10">
        <f>H440</f>
        <v>0</v>
      </c>
    </row>
    <row r="440" spans="1:8" ht="31.5" hidden="1" x14ac:dyDescent="0.25">
      <c r="A440" s="25" t="s">
        <v>147</v>
      </c>
      <c r="B440" s="20" t="s">
        <v>891</v>
      </c>
      <c r="C440" s="40" t="s">
        <v>134</v>
      </c>
      <c r="D440" s="9" t="s">
        <v>166</v>
      </c>
      <c r="E440" s="40" t="s">
        <v>148</v>
      </c>
      <c r="F440" s="40"/>
      <c r="G440" s="10">
        <f>G441</f>
        <v>0</v>
      </c>
      <c r="H440" s="10">
        <f>H441</f>
        <v>0</v>
      </c>
    </row>
    <row r="441" spans="1:8" ht="47.25" hidden="1" x14ac:dyDescent="0.25">
      <c r="A441" s="25" t="s">
        <v>149</v>
      </c>
      <c r="B441" s="20" t="s">
        <v>891</v>
      </c>
      <c r="C441" s="40" t="s">
        <v>134</v>
      </c>
      <c r="D441" s="9" t="s">
        <v>166</v>
      </c>
      <c r="E441" s="40" t="s">
        <v>150</v>
      </c>
      <c r="F441" s="40"/>
      <c r="G441" s="10">
        <f>'пр.5.1.ведом.21-22'!G86</f>
        <v>0</v>
      </c>
      <c r="H441" s="10">
        <f>'пр.5.1.ведом.21-22'!H86</f>
        <v>0</v>
      </c>
    </row>
    <row r="442" spans="1:8" ht="31.5" hidden="1" x14ac:dyDescent="0.25">
      <c r="A442" s="29" t="s">
        <v>164</v>
      </c>
      <c r="B442" s="20" t="s">
        <v>891</v>
      </c>
      <c r="C442" s="40" t="s">
        <v>134</v>
      </c>
      <c r="D442" s="9" t="s">
        <v>166</v>
      </c>
      <c r="E442" s="40" t="s">
        <v>150</v>
      </c>
      <c r="F442" s="40" t="s">
        <v>658</v>
      </c>
      <c r="G442" s="10">
        <f>G441</f>
        <v>0</v>
      </c>
      <c r="H442" s="10">
        <f>H441</f>
        <v>0</v>
      </c>
    </row>
    <row r="443" spans="1:8" ht="78.75" x14ac:dyDescent="0.25">
      <c r="A443" s="41" t="s">
        <v>269</v>
      </c>
      <c r="B443" s="206" t="s">
        <v>270</v>
      </c>
      <c r="C443" s="40"/>
      <c r="D443" s="40"/>
      <c r="E443" s="40"/>
      <c r="F443" s="40"/>
      <c r="G443" s="59">
        <f t="shared" ref="G443:H443" si="60">G445</f>
        <v>5010</v>
      </c>
      <c r="H443" s="59">
        <f t="shared" si="60"/>
        <v>10</v>
      </c>
    </row>
    <row r="444" spans="1:8" ht="47.25" x14ac:dyDescent="0.25">
      <c r="A444" s="23" t="s">
        <v>931</v>
      </c>
      <c r="B444" s="24" t="s">
        <v>929</v>
      </c>
      <c r="C444" s="40"/>
      <c r="D444" s="40"/>
      <c r="E444" s="40"/>
      <c r="F444" s="40"/>
      <c r="G444" s="59">
        <f t="shared" ref="G444:H445" si="61">G445</f>
        <v>5010</v>
      </c>
      <c r="H444" s="59">
        <f t="shared" si="61"/>
        <v>10</v>
      </c>
    </row>
    <row r="445" spans="1:8" ht="15.75" x14ac:dyDescent="0.25">
      <c r="A445" s="29" t="s">
        <v>259</v>
      </c>
      <c r="B445" s="5" t="s">
        <v>929</v>
      </c>
      <c r="C445" s="40" t="s">
        <v>260</v>
      </c>
      <c r="D445" s="40"/>
      <c r="E445" s="40"/>
      <c r="F445" s="40"/>
      <c r="G445" s="10">
        <f t="shared" si="61"/>
        <v>5010</v>
      </c>
      <c r="H445" s="10">
        <f t="shared" si="61"/>
        <v>10</v>
      </c>
    </row>
    <row r="446" spans="1:8" ht="15.75" x14ac:dyDescent="0.25">
      <c r="A446" s="29" t="s">
        <v>268</v>
      </c>
      <c r="B446" s="5" t="s">
        <v>929</v>
      </c>
      <c r="C446" s="40" t="s">
        <v>260</v>
      </c>
      <c r="D446" s="40" t="s">
        <v>231</v>
      </c>
      <c r="E446" s="40"/>
      <c r="F446" s="40"/>
      <c r="G446" s="10">
        <f>G447+G451</f>
        <v>5010</v>
      </c>
      <c r="H446" s="10">
        <f>H447+H451</f>
        <v>10</v>
      </c>
    </row>
    <row r="447" spans="1:8" ht="31.5" x14ac:dyDescent="0.25">
      <c r="A447" s="25" t="s">
        <v>930</v>
      </c>
      <c r="B447" s="20" t="s">
        <v>1469</v>
      </c>
      <c r="C447" s="40" t="s">
        <v>260</v>
      </c>
      <c r="D447" s="40" t="s">
        <v>231</v>
      </c>
      <c r="E447" s="40"/>
      <c r="F447" s="40"/>
      <c r="G447" s="10">
        <f t="shared" ref="G447:H448" si="62">G448</f>
        <v>10</v>
      </c>
      <c r="H447" s="10">
        <f t="shared" si="62"/>
        <v>10</v>
      </c>
    </row>
    <row r="448" spans="1:8" ht="31.5" x14ac:dyDescent="0.25">
      <c r="A448" s="25" t="s">
        <v>264</v>
      </c>
      <c r="B448" s="20" t="s">
        <v>1469</v>
      </c>
      <c r="C448" s="40" t="s">
        <v>260</v>
      </c>
      <c r="D448" s="40" t="s">
        <v>231</v>
      </c>
      <c r="E448" s="40" t="s">
        <v>265</v>
      </c>
      <c r="F448" s="40"/>
      <c r="G448" s="10">
        <f t="shared" si="62"/>
        <v>10</v>
      </c>
      <c r="H448" s="10">
        <f t="shared" si="62"/>
        <v>10</v>
      </c>
    </row>
    <row r="449" spans="1:8" ht="47.25" x14ac:dyDescent="0.25">
      <c r="A449" s="25" t="s">
        <v>266</v>
      </c>
      <c r="B449" s="20" t="s">
        <v>1469</v>
      </c>
      <c r="C449" s="40" t="s">
        <v>260</v>
      </c>
      <c r="D449" s="40" t="s">
        <v>231</v>
      </c>
      <c r="E449" s="40" t="s">
        <v>267</v>
      </c>
      <c r="F449" s="40"/>
      <c r="G449" s="10">
        <f>'пр.5.1.ведом.21-22'!G202</f>
        <v>10</v>
      </c>
      <c r="H449" s="10">
        <f>'пр.5.1.ведом.21-22'!H202</f>
        <v>10</v>
      </c>
    </row>
    <row r="450" spans="1:8" ht="31.5" x14ac:dyDescent="0.25">
      <c r="A450" s="45" t="s">
        <v>164</v>
      </c>
      <c r="B450" s="20" t="s">
        <v>1469</v>
      </c>
      <c r="C450" s="40" t="s">
        <v>260</v>
      </c>
      <c r="D450" s="40" t="s">
        <v>231</v>
      </c>
      <c r="E450" s="40" t="s">
        <v>267</v>
      </c>
      <c r="F450" s="40" t="s">
        <v>658</v>
      </c>
      <c r="G450" s="10">
        <f>G449</f>
        <v>10</v>
      </c>
      <c r="H450" s="10">
        <f>H449</f>
        <v>10</v>
      </c>
    </row>
    <row r="451" spans="1:8" s="213" customFormat="1" ht="78.75" x14ac:dyDescent="0.25">
      <c r="A451" s="25" t="s">
        <v>1417</v>
      </c>
      <c r="B451" s="20" t="s">
        <v>1416</v>
      </c>
      <c r="C451" s="40" t="s">
        <v>260</v>
      </c>
      <c r="D451" s="40" t="s">
        <v>231</v>
      </c>
      <c r="E451" s="40"/>
      <c r="F451" s="40"/>
      <c r="G451" s="10">
        <f>G452</f>
        <v>5000</v>
      </c>
      <c r="H451" s="10">
        <f>H452</f>
        <v>0</v>
      </c>
    </row>
    <row r="452" spans="1:8" s="213" customFormat="1" ht="31.5" x14ac:dyDescent="0.25">
      <c r="A452" s="25" t="s">
        <v>264</v>
      </c>
      <c r="B452" s="20" t="s">
        <v>1416</v>
      </c>
      <c r="C452" s="40" t="s">
        <v>260</v>
      </c>
      <c r="D452" s="40" t="s">
        <v>231</v>
      </c>
      <c r="E452" s="40" t="s">
        <v>265</v>
      </c>
      <c r="F452" s="40"/>
      <c r="G452" s="10">
        <f>G453</f>
        <v>5000</v>
      </c>
      <c r="H452" s="10">
        <f>H453</f>
        <v>0</v>
      </c>
    </row>
    <row r="453" spans="1:8" s="213" customFormat="1" ht="47.25" x14ac:dyDescent="0.25">
      <c r="A453" s="25" t="s">
        <v>266</v>
      </c>
      <c r="B453" s="20" t="s">
        <v>1416</v>
      </c>
      <c r="C453" s="40" t="s">
        <v>260</v>
      </c>
      <c r="D453" s="40" t="s">
        <v>231</v>
      </c>
      <c r="E453" s="40" t="s">
        <v>267</v>
      </c>
      <c r="F453" s="40"/>
      <c r="G453" s="10">
        <f>'пр.5.1.ведом.21-22'!G205</f>
        <v>5000</v>
      </c>
      <c r="H453" s="10">
        <f>'пр.5.1.ведом.21-22'!H205</f>
        <v>0</v>
      </c>
    </row>
    <row r="454" spans="1:8" s="213" customFormat="1" ht="31.5" x14ac:dyDescent="0.25">
      <c r="A454" s="45" t="s">
        <v>164</v>
      </c>
      <c r="B454" s="20" t="s">
        <v>1416</v>
      </c>
      <c r="C454" s="40" t="s">
        <v>260</v>
      </c>
      <c r="D454" s="40" t="s">
        <v>231</v>
      </c>
      <c r="E454" s="40" t="s">
        <v>267</v>
      </c>
      <c r="F454" s="40" t="s">
        <v>658</v>
      </c>
      <c r="G454" s="10">
        <f>G451</f>
        <v>5000</v>
      </c>
      <c r="H454" s="10">
        <f>H451</f>
        <v>0</v>
      </c>
    </row>
    <row r="455" spans="1:8" ht="63" x14ac:dyDescent="0.25">
      <c r="A455" s="41" t="s">
        <v>497</v>
      </c>
      <c r="B455" s="3" t="s">
        <v>498</v>
      </c>
      <c r="C455" s="68"/>
      <c r="D455" s="68"/>
      <c r="E455" s="68"/>
      <c r="F455" s="68"/>
      <c r="G455" s="4">
        <f>G456+G505</f>
        <v>48439.5</v>
      </c>
      <c r="H455" s="4">
        <f>H456+H505</f>
        <v>48439.5</v>
      </c>
    </row>
    <row r="456" spans="1:8" ht="63" x14ac:dyDescent="0.25">
      <c r="A456" s="58" t="s">
        <v>509</v>
      </c>
      <c r="B456" s="7" t="s">
        <v>510</v>
      </c>
      <c r="C456" s="7"/>
      <c r="D456" s="7"/>
      <c r="E456" s="7"/>
      <c r="F456" s="3"/>
      <c r="G456" s="59">
        <f>G457+G472+G487+G498</f>
        <v>46439.5</v>
      </c>
      <c r="H456" s="59">
        <f>H457+H472+H487+H498</f>
        <v>46439.5</v>
      </c>
    </row>
    <row r="457" spans="1:8" ht="47.25" x14ac:dyDescent="0.25">
      <c r="A457" s="23" t="s">
        <v>1028</v>
      </c>
      <c r="B457" s="24" t="s">
        <v>1061</v>
      </c>
      <c r="C457" s="7"/>
      <c r="D457" s="7"/>
      <c r="E457" s="232"/>
      <c r="F457" s="206"/>
      <c r="G457" s="59">
        <f>G458</f>
        <v>44582</v>
      </c>
      <c r="H457" s="59">
        <f>H458</f>
        <v>44582</v>
      </c>
    </row>
    <row r="458" spans="1:8" ht="15.75" x14ac:dyDescent="0.25">
      <c r="A458" s="29" t="s">
        <v>506</v>
      </c>
      <c r="B458" s="40" t="s">
        <v>1061</v>
      </c>
      <c r="C458" s="2">
        <v>11</v>
      </c>
      <c r="D458" s="68"/>
      <c r="E458" s="68"/>
      <c r="F458" s="68"/>
      <c r="G458" s="10">
        <f t="shared" ref="G458:H458" si="63">G459</f>
        <v>44582</v>
      </c>
      <c r="H458" s="10">
        <f t="shared" si="63"/>
        <v>44582</v>
      </c>
    </row>
    <row r="459" spans="1:8" ht="16.5" x14ac:dyDescent="0.25">
      <c r="A459" s="29" t="s">
        <v>508</v>
      </c>
      <c r="B459" s="40" t="s">
        <v>1061</v>
      </c>
      <c r="C459" s="40" t="s">
        <v>507</v>
      </c>
      <c r="D459" s="40" t="s">
        <v>134</v>
      </c>
      <c r="E459" s="71"/>
      <c r="F459" s="5"/>
      <c r="G459" s="10">
        <f>G460+G464+G468</f>
        <v>44582</v>
      </c>
      <c r="H459" s="10">
        <f>H460+H464+H468</f>
        <v>44582</v>
      </c>
    </row>
    <row r="460" spans="1:8" ht="63" x14ac:dyDescent="0.25">
      <c r="A460" s="25" t="s">
        <v>837</v>
      </c>
      <c r="B460" s="20" t="s">
        <v>1071</v>
      </c>
      <c r="C460" s="40" t="s">
        <v>507</v>
      </c>
      <c r="D460" s="40" t="s">
        <v>134</v>
      </c>
      <c r="E460" s="71"/>
      <c r="F460" s="5"/>
      <c r="G460" s="10">
        <f>G461</f>
        <v>13108</v>
      </c>
      <c r="H460" s="10">
        <f>H461</f>
        <v>13108</v>
      </c>
    </row>
    <row r="461" spans="1:8" ht="47.25" x14ac:dyDescent="0.25">
      <c r="A461" s="29" t="s">
        <v>288</v>
      </c>
      <c r="B461" s="20" t="s">
        <v>1071</v>
      </c>
      <c r="C461" s="40" t="s">
        <v>507</v>
      </c>
      <c r="D461" s="40" t="s">
        <v>134</v>
      </c>
      <c r="E461" s="40" t="s">
        <v>289</v>
      </c>
      <c r="F461" s="5"/>
      <c r="G461" s="10">
        <f>G462</f>
        <v>13108</v>
      </c>
      <c r="H461" s="10">
        <f>H462</f>
        <v>13108</v>
      </c>
    </row>
    <row r="462" spans="1:8" ht="15.75" x14ac:dyDescent="0.25">
      <c r="A462" s="29" t="s">
        <v>290</v>
      </c>
      <c r="B462" s="20" t="s">
        <v>1071</v>
      </c>
      <c r="C462" s="40" t="s">
        <v>507</v>
      </c>
      <c r="D462" s="40" t="s">
        <v>134</v>
      </c>
      <c r="E462" s="40" t="s">
        <v>291</v>
      </c>
      <c r="F462" s="5"/>
      <c r="G462" s="10">
        <f>'пр.5.1.ведом.21-22'!G788</f>
        <v>13108</v>
      </c>
      <c r="H462" s="10">
        <f>'пр.5.1.ведом.21-22'!H788</f>
        <v>13108</v>
      </c>
    </row>
    <row r="463" spans="1:8" ht="47.25" x14ac:dyDescent="0.25">
      <c r="A463" s="70" t="s">
        <v>496</v>
      </c>
      <c r="B463" s="20" t="s">
        <v>1071</v>
      </c>
      <c r="C463" s="40" t="s">
        <v>507</v>
      </c>
      <c r="D463" s="40" t="s">
        <v>134</v>
      </c>
      <c r="E463" s="40" t="s">
        <v>291</v>
      </c>
      <c r="F463" s="5">
        <v>907</v>
      </c>
      <c r="G463" s="10">
        <f>G462</f>
        <v>13108</v>
      </c>
      <c r="H463" s="10">
        <f>H462</f>
        <v>13108</v>
      </c>
    </row>
    <row r="464" spans="1:8" ht="47.25" x14ac:dyDescent="0.25">
      <c r="A464" s="25" t="s">
        <v>836</v>
      </c>
      <c r="B464" s="20" t="s">
        <v>1072</v>
      </c>
      <c r="C464" s="40" t="s">
        <v>507</v>
      </c>
      <c r="D464" s="40" t="s">
        <v>134</v>
      </c>
      <c r="E464" s="40"/>
      <c r="F464" s="5"/>
      <c r="G464" s="10">
        <f>G465</f>
        <v>12897</v>
      </c>
      <c r="H464" s="10">
        <f>H465</f>
        <v>12897</v>
      </c>
    </row>
    <row r="465" spans="1:8" ht="47.25" x14ac:dyDescent="0.25">
      <c r="A465" s="25" t="s">
        <v>288</v>
      </c>
      <c r="B465" s="20" t="s">
        <v>1072</v>
      </c>
      <c r="C465" s="40" t="s">
        <v>507</v>
      </c>
      <c r="D465" s="40" t="s">
        <v>134</v>
      </c>
      <c r="E465" s="40" t="s">
        <v>289</v>
      </c>
      <c r="F465" s="5"/>
      <c r="G465" s="10">
        <f>G466</f>
        <v>12897</v>
      </c>
      <c r="H465" s="10">
        <f>H466</f>
        <v>12897</v>
      </c>
    </row>
    <row r="466" spans="1:8" ht="15.75" x14ac:dyDescent="0.25">
      <c r="A466" s="25" t="s">
        <v>290</v>
      </c>
      <c r="B466" s="20" t="s">
        <v>1072</v>
      </c>
      <c r="C466" s="40" t="s">
        <v>507</v>
      </c>
      <c r="D466" s="40" t="s">
        <v>134</v>
      </c>
      <c r="E466" s="40" t="s">
        <v>291</v>
      </c>
      <c r="F466" s="5"/>
      <c r="G466" s="10">
        <f>'пр.5.1.ведом.21-22'!G791</f>
        <v>12897</v>
      </c>
      <c r="H466" s="10">
        <f>'пр.5.1.ведом.21-22'!H791</f>
        <v>12897</v>
      </c>
    </row>
    <row r="467" spans="1:8" ht="47.25" x14ac:dyDescent="0.25">
      <c r="A467" s="70" t="s">
        <v>496</v>
      </c>
      <c r="B467" s="20" t="s">
        <v>1072</v>
      </c>
      <c r="C467" s="40" t="s">
        <v>507</v>
      </c>
      <c r="D467" s="40" t="s">
        <v>134</v>
      </c>
      <c r="E467" s="40" t="s">
        <v>291</v>
      </c>
      <c r="F467" s="5">
        <v>907</v>
      </c>
      <c r="G467" s="10">
        <f>G466</f>
        <v>12897</v>
      </c>
      <c r="H467" s="10">
        <f>H466</f>
        <v>12897</v>
      </c>
    </row>
    <row r="468" spans="1:8" ht="63" x14ac:dyDescent="0.25">
      <c r="A468" s="25" t="s">
        <v>835</v>
      </c>
      <c r="B468" s="20" t="s">
        <v>1073</v>
      </c>
      <c r="C468" s="40" t="s">
        <v>507</v>
      </c>
      <c r="D468" s="40" t="s">
        <v>134</v>
      </c>
      <c r="E468" s="40"/>
      <c r="F468" s="5"/>
      <c r="G468" s="10">
        <f>G469</f>
        <v>18577</v>
      </c>
      <c r="H468" s="10">
        <f>H469</f>
        <v>18577</v>
      </c>
    </row>
    <row r="469" spans="1:8" ht="47.25" x14ac:dyDescent="0.25">
      <c r="A469" s="25" t="s">
        <v>288</v>
      </c>
      <c r="B469" s="20" t="s">
        <v>1073</v>
      </c>
      <c r="C469" s="40" t="s">
        <v>507</v>
      </c>
      <c r="D469" s="40" t="s">
        <v>134</v>
      </c>
      <c r="E469" s="40" t="s">
        <v>289</v>
      </c>
      <c r="F469" s="5"/>
      <c r="G469" s="10">
        <f>G470</f>
        <v>18577</v>
      </c>
      <c r="H469" s="10">
        <f>H470</f>
        <v>18577</v>
      </c>
    </row>
    <row r="470" spans="1:8" ht="15.75" x14ac:dyDescent="0.25">
      <c r="A470" s="25" t="s">
        <v>290</v>
      </c>
      <c r="B470" s="20" t="s">
        <v>1073</v>
      </c>
      <c r="C470" s="40" t="s">
        <v>507</v>
      </c>
      <c r="D470" s="40" t="s">
        <v>134</v>
      </c>
      <c r="E470" s="40" t="s">
        <v>291</v>
      </c>
      <c r="F470" s="5"/>
      <c r="G470" s="10">
        <f>'пр.5.1.ведом.21-22'!G794</f>
        <v>18577</v>
      </c>
      <c r="H470" s="10">
        <f>'пр.5.1.ведом.21-22'!H794</f>
        <v>18577</v>
      </c>
    </row>
    <row r="471" spans="1:8" ht="47.25" x14ac:dyDescent="0.25">
      <c r="A471" s="70" t="s">
        <v>496</v>
      </c>
      <c r="B471" s="20" t="s">
        <v>1073</v>
      </c>
      <c r="C471" s="40" t="s">
        <v>507</v>
      </c>
      <c r="D471" s="40" t="s">
        <v>134</v>
      </c>
      <c r="E471" s="40" t="s">
        <v>291</v>
      </c>
      <c r="F471" s="5">
        <v>907</v>
      </c>
      <c r="G471" s="10">
        <f>G470</f>
        <v>18577</v>
      </c>
      <c r="H471" s="10">
        <f>H470</f>
        <v>18577</v>
      </c>
    </row>
    <row r="472" spans="1:8" ht="31.5" x14ac:dyDescent="0.25">
      <c r="A472" s="23" t="s">
        <v>1074</v>
      </c>
      <c r="B472" s="24" t="s">
        <v>1075</v>
      </c>
      <c r="C472" s="7"/>
      <c r="D472" s="7"/>
      <c r="E472" s="7"/>
      <c r="F472" s="206"/>
      <c r="G472" s="59">
        <f>G473</f>
        <v>288</v>
      </c>
      <c r="H472" s="59">
        <f>H473</f>
        <v>288</v>
      </c>
    </row>
    <row r="473" spans="1:8" ht="15.75" x14ac:dyDescent="0.25">
      <c r="A473" s="29" t="s">
        <v>506</v>
      </c>
      <c r="B473" s="40" t="s">
        <v>1075</v>
      </c>
      <c r="C473" s="2">
        <v>11</v>
      </c>
      <c r="D473" s="68"/>
      <c r="E473" s="68"/>
      <c r="F473" s="68"/>
      <c r="G473" s="10">
        <f t="shared" ref="G473:H473" si="64">G474</f>
        <v>288</v>
      </c>
      <c r="H473" s="10">
        <f t="shared" si="64"/>
        <v>288</v>
      </c>
    </row>
    <row r="474" spans="1:8" ht="16.5" x14ac:dyDescent="0.25">
      <c r="A474" s="29" t="s">
        <v>508</v>
      </c>
      <c r="B474" s="40" t="s">
        <v>1075</v>
      </c>
      <c r="C474" s="40" t="s">
        <v>507</v>
      </c>
      <c r="D474" s="40" t="s">
        <v>134</v>
      </c>
      <c r="E474" s="71"/>
      <c r="F474" s="5"/>
      <c r="G474" s="10">
        <f>G475+G479+G483</f>
        <v>288</v>
      </c>
      <c r="H474" s="10">
        <f>H475+H479+H483</f>
        <v>288</v>
      </c>
    </row>
    <row r="475" spans="1:8" ht="47.25" hidden="1" x14ac:dyDescent="0.25">
      <c r="A475" s="29" t="s">
        <v>294</v>
      </c>
      <c r="B475" s="20" t="s">
        <v>1079</v>
      </c>
      <c r="C475" s="40" t="s">
        <v>507</v>
      </c>
      <c r="D475" s="40" t="s">
        <v>134</v>
      </c>
      <c r="E475" s="40"/>
      <c r="F475" s="5"/>
      <c r="G475" s="10">
        <f t="shared" ref="G475:H476" si="65">G476</f>
        <v>252</v>
      </c>
      <c r="H475" s="10">
        <f t="shared" si="65"/>
        <v>252</v>
      </c>
    </row>
    <row r="476" spans="1:8" ht="47.25" hidden="1" x14ac:dyDescent="0.25">
      <c r="A476" s="29" t="s">
        <v>288</v>
      </c>
      <c r="B476" s="20" t="s">
        <v>1079</v>
      </c>
      <c r="C476" s="40" t="s">
        <v>507</v>
      </c>
      <c r="D476" s="40" t="s">
        <v>134</v>
      </c>
      <c r="E476" s="40" t="s">
        <v>289</v>
      </c>
      <c r="F476" s="5"/>
      <c r="G476" s="10">
        <f t="shared" si="65"/>
        <v>252</v>
      </c>
      <c r="H476" s="10">
        <f t="shared" si="65"/>
        <v>252</v>
      </c>
    </row>
    <row r="477" spans="1:8" ht="15.75" hidden="1" x14ac:dyDescent="0.25">
      <c r="A477" s="29" t="s">
        <v>290</v>
      </c>
      <c r="B477" s="20" t="s">
        <v>1079</v>
      </c>
      <c r="C477" s="40" t="s">
        <v>507</v>
      </c>
      <c r="D477" s="40" t="s">
        <v>134</v>
      </c>
      <c r="E477" s="40" t="s">
        <v>291</v>
      </c>
      <c r="F477" s="5"/>
      <c r="G477" s="10">
        <f>'пр.5.1.ведом.21-22'!G798</f>
        <v>252</v>
      </c>
      <c r="H477" s="10">
        <f>'пр.5.1.ведом.21-22'!H798</f>
        <v>252</v>
      </c>
    </row>
    <row r="478" spans="1:8" ht="47.25" hidden="1" x14ac:dyDescent="0.25">
      <c r="A478" s="70" t="s">
        <v>496</v>
      </c>
      <c r="B478" s="20" t="s">
        <v>1079</v>
      </c>
      <c r="C478" s="40" t="s">
        <v>507</v>
      </c>
      <c r="D478" s="40" t="s">
        <v>134</v>
      </c>
      <c r="E478" s="40" t="s">
        <v>291</v>
      </c>
      <c r="F478" s="5">
        <v>907</v>
      </c>
      <c r="G478" s="10">
        <f>G477</f>
        <v>252</v>
      </c>
      <c r="H478" s="10">
        <f>H477</f>
        <v>252</v>
      </c>
    </row>
    <row r="479" spans="1:8" ht="31.5" hidden="1" x14ac:dyDescent="0.25">
      <c r="A479" s="29" t="s">
        <v>296</v>
      </c>
      <c r="B479" s="20" t="s">
        <v>1080</v>
      </c>
      <c r="C479" s="40" t="s">
        <v>507</v>
      </c>
      <c r="D479" s="40" t="s">
        <v>134</v>
      </c>
      <c r="E479" s="40"/>
      <c r="F479" s="5"/>
      <c r="G479" s="10">
        <f t="shared" ref="G479:H480" si="66">G480</f>
        <v>0</v>
      </c>
      <c r="H479" s="10">
        <f t="shared" si="66"/>
        <v>0</v>
      </c>
    </row>
    <row r="480" spans="1:8" ht="47.25" hidden="1" x14ac:dyDescent="0.25">
      <c r="A480" s="29" t="s">
        <v>288</v>
      </c>
      <c r="B480" s="20" t="s">
        <v>1080</v>
      </c>
      <c r="C480" s="40" t="s">
        <v>507</v>
      </c>
      <c r="D480" s="40" t="s">
        <v>134</v>
      </c>
      <c r="E480" s="40" t="s">
        <v>289</v>
      </c>
      <c r="F480" s="5"/>
      <c r="G480" s="10">
        <f t="shared" si="66"/>
        <v>0</v>
      </c>
      <c r="H480" s="10">
        <f t="shared" si="66"/>
        <v>0</v>
      </c>
    </row>
    <row r="481" spans="1:8" ht="15.75" hidden="1" x14ac:dyDescent="0.25">
      <c r="A481" s="29" t="s">
        <v>290</v>
      </c>
      <c r="B481" s="20" t="s">
        <v>1080</v>
      </c>
      <c r="C481" s="40" t="s">
        <v>507</v>
      </c>
      <c r="D481" s="40" t="s">
        <v>134</v>
      </c>
      <c r="E481" s="40" t="s">
        <v>291</v>
      </c>
      <c r="F481" s="5"/>
      <c r="G481" s="10">
        <f>'пр.5.1.ведом.21-22'!G801</f>
        <v>0</v>
      </c>
      <c r="H481" s="10">
        <f>'пр.5.1.ведом.21-22'!H801</f>
        <v>0</v>
      </c>
    </row>
    <row r="482" spans="1:8" ht="47.25" hidden="1" x14ac:dyDescent="0.25">
      <c r="A482" s="70" t="s">
        <v>496</v>
      </c>
      <c r="B482" s="20" t="s">
        <v>1080</v>
      </c>
      <c r="C482" s="40" t="s">
        <v>507</v>
      </c>
      <c r="D482" s="40" t="s">
        <v>134</v>
      </c>
      <c r="E482" s="40" t="s">
        <v>291</v>
      </c>
      <c r="F482" s="5">
        <v>907</v>
      </c>
      <c r="G482" s="10">
        <f>G481</f>
        <v>0</v>
      </c>
      <c r="H482" s="10">
        <f>H481</f>
        <v>0</v>
      </c>
    </row>
    <row r="483" spans="1:8" ht="15.75" x14ac:dyDescent="0.25">
      <c r="A483" s="25" t="s">
        <v>876</v>
      </c>
      <c r="B483" s="20" t="s">
        <v>1081</v>
      </c>
      <c r="C483" s="40" t="s">
        <v>507</v>
      </c>
      <c r="D483" s="40" t="s">
        <v>134</v>
      </c>
      <c r="E483" s="40"/>
      <c r="F483" s="5"/>
      <c r="G483" s="10">
        <f>G484</f>
        <v>36</v>
      </c>
      <c r="H483" s="10">
        <f>H484</f>
        <v>36</v>
      </c>
    </row>
    <row r="484" spans="1:8" ht="47.25" x14ac:dyDescent="0.25">
      <c r="A484" s="25" t="s">
        <v>288</v>
      </c>
      <c r="B484" s="20" t="s">
        <v>1081</v>
      </c>
      <c r="C484" s="40" t="s">
        <v>507</v>
      </c>
      <c r="D484" s="40" t="s">
        <v>134</v>
      </c>
      <c r="E484" s="40" t="s">
        <v>289</v>
      </c>
      <c r="F484" s="5"/>
      <c r="G484" s="10">
        <f>G485</f>
        <v>36</v>
      </c>
      <c r="H484" s="10">
        <f>H485</f>
        <v>36</v>
      </c>
    </row>
    <row r="485" spans="1:8" ht="15.75" x14ac:dyDescent="0.25">
      <c r="A485" s="25" t="s">
        <v>290</v>
      </c>
      <c r="B485" s="20" t="s">
        <v>1081</v>
      </c>
      <c r="C485" s="40" t="s">
        <v>507</v>
      </c>
      <c r="D485" s="40" t="s">
        <v>134</v>
      </c>
      <c r="E485" s="40" t="s">
        <v>291</v>
      </c>
      <c r="F485" s="5"/>
      <c r="G485" s="10">
        <f>'пр.5.1.ведом.21-22'!G804</f>
        <v>36</v>
      </c>
      <c r="H485" s="10">
        <f>'пр.5.1.ведом.21-22'!H804</f>
        <v>36</v>
      </c>
    </row>
    <row r="486" spans="1:8" ht="47.25" x14ac:dyDescent="0.25">
      <c r="A486" s="70" t="s">
        <v>496</v>
      </c>
      <c r="B486" s="20" t="s">
        <v>1081</v>
      </c>
      <c r="C486" s="40" t="s">
        <v>507</v>
      </c>
      <c r="D486" s="40" t="s">
        <v>134</v>
      </c>
      <c r="E486" s="40" t="s">
        <v>291</v>
      </c>
      <c r="F486" s="5">
        <v>907</v>
      </c>
      <c r="G486" s="10">
        <f>G485</f>
        <v>36</v>
      </c>
      <c r="H486" s="10">
        <f>H485</f>
        <v>36</v>
      </c>
    </row>
    <row r="487" spans="1:8" ht="47.25" x14ac:dyDescent="0.25">
      <c r="A487" s="23" t="s">
        <v>1076</v>
      </c>
      <c r="B487" s="24" t="s">
        <v>1078</v>
      </c>
      <c r="C487" s="7"/>
      <c r="D487" s="7"/>
      <c r="E487" s="7"/>
      <c r="F487" s="206"/>
      <c r="G487" s="59">
        <f>G488</f>
        <v>756</v>
      </c>
      <c r="H487" s="59">
        <f>H488</f>
        <v>756</v>
      </c>
    </row>
    <row r="488" spans="1:8" ht="15.75" x14ac:dyDescent="0.25">
      <c r="A488" s="29" t="s">
        <v>506</v>
      </c>
      <c r="B488" s="40" t="s">
        <v>1078</v>
      </c>
      <c r="C488" s="2">
        <v>11</v>
      </c>
      <c r="D488" s="68"/>
      <c r="E488" s="68"/>
      <c r="F488" s="68"/>
      <c r="G488" s="10">
        <f t="shared" ref="G488:H488" si="67">G489</f>
        <v>756</v>
      </c>
      <c r="H488" s="10">
        <f t="shared" si="67"/>
        <v>756</v>
      </c>
    </row>
    <row r="489" spans="1:8" ht="16.5" x14ac:dyDescent="0.25">
      <c r="A489" s="29" t="s">
        <v>508</v>
      </c>
      <c r="B489" s="40" t="s">
        <v>1078</v>
      </c>
      <c r="C489" s="40" t="s">
        <v>507</v>
      </c>
      <c r="D489" s="40" t="s">
        <v>134</v>
      </c>
      <c r="E489" s="71"/>
      <c r="F489" s="5"/>
      <c r="G489" s="10">
        <f>G490+G494</f>
        <v>756</v>
      </c>
      <c r="H489" s="10">
        <f>H490+H494</f>
        <v>756</v>
      </c>
    </row>
    <row r="490" spans="1:8" ht="31.5" hidden="1" x14ac:dyDescent="0.25">
      <c r="A490" s="29" t="s">
        <v>300</v>
      </c>
      <c r="B490" s="20" t="s">
        <v>1082</v>
      </c>
      <c r="C490" s="40" t="s">
        <v>507</v>
      </c>
      <c r="D490" s="40" t="s">
        <v>134</v>
      </c>
      <c r="E490" s="40"/>
      <c r="F490" s="5"/>
      <c r="G490" s="10">
        <f t="shared" ref="G490:H491" si="68">G491</f>
        <v>0</v>
      </c>
      <c r="H490" s="10">
        <f t="shared" si="68"/>
        <v>0</v>
      </c>
    </row>
    <row r="491" spans="1:8" ht="47.25" hidden="1" x14ac:dyDescent="0.25">
      <c r="A491" s="29" t="s">
        <v>288</v>
      </c>
      <c r="B491" s="20" t="s">
        <v>1082</v>
      </c>
      <c r="C491" s="40" t="s">
        <v>507</v>
      </c>
      <c r="D491" s="40" t="s">
        <v>134</v>
      </c>
      <c r="E491" s="40" t="s">
        <v>289</v>
      </c>
      <c r="F491" s="5"/>
      <c r="G491" s="10">
        <f t="shared" si="68"/>
        <v>0</v>
      </c>
      <c r="H491" s="10">
        <f t="shared" si="68"/>
        <v>0</v>
      </c>
    </row>
    <row r="492" spans="1:8" ht="15.75" hidden="1" x14ac:dyDescent="0.25">
      <c r="A492" s="29" t="s">
        <v>290</v>
      </c>
      <c r="B492" s="20" t="s">
        <v>1082</v>
      </c>
      <c r="C492" s="40" t="s">
        <v>507</v>
      </c>
      <c r="D492" s="40" t="s">
        <v>134</v>
      </c>
      <c r="E492" s="40" t="s">
        <v>291</v>
      </c>
      <c r="F492" s="5"/>
      <c r="G492" s="10">
        <f>'пр.5.1.ведом.21-22'!G808</f>
        <v>0</v>
      </c>
      <c r="H492" s="10">
        <f>'пр.5.1.ведом.21-22'!H808</f>
        <v>0</v>
      </c>
    </row>
    <row r="493" spans="1:8" ht="47.25" hidden="1" x14ac:dyDescent="0.25">
      <c r="A493" s="70" t="s">
        <v>496</v>
      </c>
      <c r="B493" s="20" t="s">
        <v>1082</v>
      </c>
      <c r="C493" s="40" t="s">
        <v>507</v>
      </c>
      <c r="D493" s="40" t="s">
        <v>134</v>
      </c>
      <c r="E493" s="40" t="s">
        <v>291</v>
      </c>
      <c r="F493" s="5">
        <v>907</v>
      </c>
      <c r="G493" s="10">
        <f>G492</f>
        <v>0</v>
      </c>
      <c r="H493" s="10">
        <f>H492</f>
        <v>0</v>
      </c>
    </row>
    <row r="494" spans="1:8" ht="47.25" x14ac:dyDescent="0.25">
      <c r="A494" s="45" t="s">
        <v>787</v>
      </c>
      <c r="B494" s="20" t="s">
        <v>1083</v>
      </c>
      <c r="C494" s="40" t="s">
        <v>507</v>
      </c>
      <c r="D494" s="40" t="s">
        <v>134</v>
      </c>
      <c r="E494" s="40"/>
      <c r="F494" s="5"/>
      <c r="G494" s="10">
        <f t="shared" ref="G494:H495" si="69">G495</f>
        <v>756</v>
      </c>
      <c r="H494" s="10">
        <f t="shared" si="69"/>
        <v>756</v>
      </c>
    </row>
    <row r="495" spans="1:8" ht="47.25" x14ac:dyDescent="0.25">
      <c r="A495" s="31" t="s">
        <v>288</v>
      </c>
      <c r="B495" s="20" t="s">
        <v>1083</v>
      </c>
      <c r="C495" s="40" t="s">
        <v>507</v>
      </c>
      <c r="D495" s="40" t="s">
        <v>134</v>
      </c>
      <c r="E495" s="40" t="s">
        <v>289</v>
      </c>
      <c r="F495" s="5"/>
      <c r="G495" s="10">
        <f t="shared" si="69"/>
        <v>756</v>
      </c>
      <c r="H495" s="10">
        <f t="shared" si="69"/>
        <v>756</v>
      </c>
    </row>
    <row r="496" spans="1:8" ht="15.75" x14ac:dyDescent="0.25">
      <c r="A496" s="31" t="s">
        <v>290</v>
      </c>
      <c r="B496" s="20" t="s">
        <v>1083</v>
      </c>
      <c r="C496" s="40" t="s">
        <v>507</v>
      </c>
      <c r="D496" s="40" t="s">
        <v>134</v>
      </c>
      <c r="E496" s="40" t="s">
        <v>291</v>
      </c>
      <c r="F496" s="5"/>
      <c r="G496" s="10">
        <f>'пр.5.1.ведом.21-22'!G811</f>
        <v>756</v>
      </c>
      <c r="H496" s="10">
        <f>'пр.5.1.ведом.21-22'!H811</f>
        <v>756</v>
      </c>
    </row>
    <row r="497" spans="1:8" ht="47.25" x14ac:dyDescent="0.25">
      <c r="A497" s="70" t="s">
        <v>496</v>
      </c>
      <c r="B497" s="20" t="s">
        <v>1083</v>
      </c>
      <c r="C497" s="40" t="s">
        <v>507</v>
      </c>
      <c r="D497" s="40" t="s">
        <v>134</v>
      </c>
      <c r="E497" s="40" t="s">
        <v>291</v>
      </c>
      <c r="F497" s="5">
        <v>907</v>
      </c>
      <c r="G497" s="10">
        <f>G496</f>
        <v>756</v>
      </c>
      <c r="H497" s="10">
        <f>H496</f>
        <v>756</v>
      </c>
    </row>
    <row r="498" spans="1:8" ht="47.25" x14ac:dyDescent="0.25">
      <c r="A498" s="23" t="s">
        <v>971</v>
      </c>
      <c r="B498" s="24" t="s">
        <v>1084</v>
      </c>
      <c r="C498" s="7"/>
      <c r="D498" s="7"/>
      <c r="E498" s="7"/>
      <c r="F498" s="206"/>
      <c r="G498" s="59">
        <f>G499</f>
        <v>813.5</v>
      </c>
      <c r="H498" s="59">
        <f>H499</f>
        <v>813.5</v>
      </c>
    </row>
    <row r="499" spans="1:8" ht="15.75" x14ac:dyDescent="0.25">
      <c r="A499" s="29" t="s">
        <v>506</v>
      </c>
      <c r="B499" s="40" t="s">
        <v>1084</v>
      </c>
      <c r="C499" s="2">
        <v>11</v>
      </c>
      <c r="D499" s="68"/>
      <c r="E499" s="68"/>
      <c r="F499" s="68"/>
      <c r="G499" s="10">
        <f t="shared" ref="G499:H499" si="70">G500</f>
        <v>813.5</v>
      </c>
      <c r="H499" s="10">
        <f t="shared" si="70"/>
        <v>813.5</v>
      </c>
    </row>
    <row r="500" spans="1:8" ht="16.5" x14ac:dyDescent="0.25">
      <c r="A500" s="29" t="s">
        <v>508</v>
      </c>
      <c r="B500" s="40" t="s">
        <v>1084</v>
      </c>
      <c r="C500" s="40" t="s">
        <v>507</v>
      </c>
      <c r="D500" s="40" t="s">
        <v>134</v>
      </c>
      <c r="E500" s="71"/>
      <c r="F500" s="5"/>
      <c r="G500" s="10">
        <f t="shared" ref="G500:H502" si="71">G501</f>
        <v>813.5</v>
      </c>
      <c r="H500" s="10">
        <f t="shared" si="71"/>
        <v>813.5</v>
      </c>
    </row>
    <row r="501" spans="1:8" ht="110.25" x14ac:dyDescent="0.25">
      <c r="A501" s="31" t="s">
        <v>309</v>
      </c>
      <c r="B501" s="20" t="s">
        <v>1519</v>
      </c>
      <c r="C501" s="40" t="s">
        <v>507</v>
      </c>
      <c r="D501" s="40" t="s">
        <v>134</v>
      </c>
      <c r="E501" s="40"/>
      <c r="F501" s="5"/>
      <c r="G501" s="10">
        <f t="shared" si="71"/>
        <v>813.5</v>
      </c>
      <c r="H501" s="10">
        <f t="shared" si="71"/>
        <v>813.5</v>
      </c>
    </row>
    <row r="502" spans="1:8" ht="47.25" x14ac:dyDescent="0.25">
      <c r="A502" s="25" t="s">
        <v>288</v>
      </c>
      <c r="B502" s="331" t="s">
        <v>1519</v>
      </c>
      <c r="C502" s="40" t="s">
        <v>507</v>
      </c>
      <c r="D502" s="40" t="s">
        <v>134</v>
      </c>
      <c r="E502" s="40" t="s">
        <v>289</v>
      </c>
      <c r="F502" s="5"/>
      <c r="G502" s="10">
        <f t="shared" si="71"/>
        <v>813.5</v>
      </c>
      <c r="H502" s="10">
        <f t="shared" si="71"/>
        <v>813.5</v>
      </c>
    </row>
    <row r="503" spans="1:8" ht="15.75" x14ac:dyDescent="0.25">
      <c r="A503" s="25" t="s">
        <v>290</v>
      </c>
      <c r="B503" s="331" t="s">
        <v>1519</v>
      </c>
      <c r="C503" s="40" t="s">
        <v>507</v>
      </c>
      <c r="D503" s="40" t="s">
        <v>134</v>
      </c>
      <c r="E503" s="40" t="s">
        <v>291</v>
      </c>
      <c r="F503" s="5"/>
      <c r="G503" s="10">
        <f>'пр.5.1.ведом.21-22'!G815</f>
        <v>813.5</v>
      </c>
      <c r="H503" s="10">
        <f>'пр.5.1.ведом.21-22'!H815</f>
        <v>813.5</v>
      </c>
    </row>
    <row r="504" spans="1:8" ht="47.25" x14ac:dyDescent="0.25">
      <c r="A504" s="70" t="s">
        <v>496</v>
      </c>
      <c r="B504" s="331" t="s">
        <v>1519</v>
      </c>
      <c r="C504" s="40" t="s">
        <v>507</v>
      </c>
      <c r="D504" s="40" t="s">
        <v>134</v>
      </c>
      <c r="E504" s="40" t="s">
        <v>291</v>
      </c>
      <c r="F504" s="5">
        <v>907</v>
      </c>
      <c r="G504" s="10">
        <f>G503</f>
        <v>813.5</v>
      </c>
      <c r="H504" s="10">
        <f>H503</f>
        <v>813.5</v>
      </c>
    </row>
    <row r="505" spans="1:8" ht="47.25" x14ac:dyDescent="0.25">
      <c r="A505" s="58" t="s">
        <v>517</v>
      </c>
      <c r="B505" s="7" t="s">
        <v>518</v>
      </c>
      <c r="C505" s="40"/>
      <c r="D505" s="40"/>
      <c r="E505" s="7"/>
      <c r="F505" s="206"/>
      <c r="G505" s="4">
        <f t="shared" ref="G505:H508" si="72">G506</f>
        <v>2000</v>
      </c>
      <c r="H505" s="4">
        <f t="shared" si="72"/>
        <v>2000</v>
      </c>
    </row>
    <row r="506" spans="1:8" ht="51" customHeight="1" x14ac:dyDescent="0.25">
      <c r="A506" s="58" t="s">
        <v>1086</v>
      </c>
      <c r="B506" s="7" t="s">
        <v>1087</v>
      </c>
      <c r="C506" s="7"/>
      <c r="D506" s="7"/>
      <c r="E506" s="7"/>
      <c r="F506" s="206"/>
      <c r="G506" s="4">
        <f t="shared" si="72"/>
        <v>2000</v>
      </c>
      <c r="H506" s="4">
        <f t="shared" si="72"/>
        <v>2000</v>
      </c>
    </row>
    <row r="507" spans="1:8" ht="15.75" x14ac:dyDescent="0.25">
      <c r="A507" s="29" t="s">
        <v>506</v>
      </c>
      <c r="B507" s="40" t="s">
        <v>1087</v>
      </c>
      <c r="C507" s="40" t="s">
        <v>507</v>
      </c>
      <c r="D507" s="40"/>
      <c r="E507" s="40"/>
      <c r="F507" s="5"/>
      <c r="G507" s="6">
        <f t="shared" si="72"/>
        <v>2000</v>
      </c>
      <c r="H507" s="6">
        <f t="shared" si="72"/>
        <v>2000</v>
      </c>
    </row>
    <row r="508" spans="1:8" ht="31.5" x14ac:dyDescent="0.25">
      <c r="A508" s="25" t="s">
        <v>516</v>
      </c>
      <c r="B508" s="40" t="s">
        <v>1087</v>
      </c>
      <c r="C508" s="40" t="s">
        <v>507</v>
      </c>
      <c r="D508" s="40" t="s">
        <v>250</v>
      </c>
      <c r="E508" s="40"/>
      <c r="F508" s="5"/>
      <c r="G508" s="6">
        <f t="shared" si="72"/>
        <v>2000</v>
      </c>
      <c r="H508" s="6">
        <f t="shared" si="72"/>
        <v>2000</v>
      </c>
    </row>
    <row r="509" spans="1:8" ht="31.5" x14ac:dyDescent="0.25">
      <c r="A509" s="29" t="s">
        <v>1088</v>
      </c>
      <c r="B509" s="40" t="s">
        <v>1236</v>
      </c>
      <c r="C509" s="40" t="s">
        <v>507</v>
      </c>
      <c r="D509" s="40" t="s">
        <v>250</v>
      </c>
      <c r="E509" s="40"/>
      <c r="F509" s="5"/>
      <c r="G509" s="6">
        <f>G510+G513</f>
        <v>2000</v>
      </c>
      <c r="H509" s="6">
        <f>H510+H513</f>
        <v>2000</v>
      </c>
    </row>
    <row r="510" spans="1:8" ht="94.5" x14ac:dyDescent="0.25">
      <c r="A510" s="25" t="s">
        <v>143</v>
      </c>
      <c r="B510" s="40" t="s">
        <v>1236</v>
      </c>
      <c r="C510" s="40" t="s">
        <v>507</v>
      </c>
      <c r="D510" s="40" t="s">
        <v>250</v>
      </c>
      <c r="E510" s="40" t="s">
        <v>144</v>
      </c>
      <c r="F510" s="5"/>
      <c r="G510" s="6">
        <f t="shared" ref="G510:H510" si="73">G511</f>
        <v>1500</v>
      </c>
      <c r="H510" s="6">
        <f t="shared" si="73"/>
        <v>1500</v>
      </c>
    </row>
    <row r="511" spans="1:8" ht="31.5" x14ac:dyDescent="0.25">
      <c r="A511" s="25" t="s">
        <v>358</v>
      </c>
      <c r="B511" s="40" t="s">
        <v>1236</v>
      </c>
      <c r="C511" s="40" t="s">
        <v>507</v>
      </c>
      <c r="D511" s="40" t="s">
        <v>250</v>
      </c>
      <c r="E511" s="40" t="s">
        <v>225</v>
      </c>
      <c r="F511" s="5"/>
      <c r="G511" s="6">
        <f>'пр.5.1.ведом.21-22'!G847</f>
        <v>1500</v>
      </c>
      <c r="H511" s="6">
        <f>'пр.5.1.ведом.21-22'!H847</f>
        <v>1500</v>
      </c>
    </row>
    <row r="512" spans="1:8" ht="47.25" x14ac:dyDescent="0.25">
      <c r="A512" s="70" t="s">
        <v>496</v>
      </c>
      <c r="B512" s="40" t="s">
        <v>1236</v>
      </c>
      <c r="C512" s="40" t="s">
        <v>507</v>
      </c>
      <c r="D512" s="40" t="s">
        <v>250</v>
      </c>
      <c r="E512" s="40" t="s">
        <v>225</v>
      </c>
      <c r="F512" s="5">
        <v>907</v>
      </c>
      <c r="G512" s="10">
        <f>G511</f>
        <v>1500</v>
      </c>
      <c r="H512" s="10">
        <f>H511</f>
        <v>1500</v>
      </c>
    </row>
    <row r="513" spans="1:8" ht="31.5" x14ac:dyDescent="0.25">
      <c r="A513" s="29" t="s">
        <v>147</v>
      </c>
      <c r="B513" s="40" t="s">
        <v>1236</v>
      </c>
      <c r="C513" s="40" t="s">
        <v>507</v>
      </c>
      <c r="D513" s="40" t="s">
        <v>250</v>
      </c>
      <c r="E513" s="40" t="s">
        <v>148</v>
      </c>
      <c r="F513" s="5"/>
      <c r="G513" s="6">
        <f t="shared" ref="G513:H513" si="74">G514</f>
        <v>500</v>
      </c>
      <c r="H513" s="6">
        <f t="shared" si="74"/>
        <v>500</v>
      </c>
    </row>
    <row r="514" spans="1:8" ht="47.25" x14ac:dyDescent="0.25">
      <c r="A514" s="29" t="s">
        <v>149</v>
      </c>
      <c r="B514" s="40" t="s">
        <v>1236</v>
      </c>
      <c r="C514" s="40" t="s">
        <v>507</v>
      </c>
      <c r="D514" s="40" t="s">
        <v>250</v>
      </c>
      <c r="E514" s="40" t="s">
        <v>150</v>
      </c>
      <c r="F514" s="5"/>
      <c r="G514" s="6">
        <f>'пр.5.1.ведом.21-22'!G849</f>
        <v>500</v>
      </c>
      <c r="H514" s="6">
        <f>'пр.5.1.ведом.21-22'!H849</f>
        <v>500</v>
      </c>
    </row>
    <row r="515" spans="1:8" ht="47.25" x14ac:dyDescent="0.25">
      <c r="A515" s="70" t="s">
        <v>496</v>
      </c>
      <c r="B515" s="40" t="s">
        <v>1236</v>
      </c>
      <c r="C515" s="40" t="s">
        <v>507</v>
      </c>
      <c r="D515" s="40" t="s">
        <v>250</v>
      </c>
      <c r="E515" s="40" t="s">
        <v>150</v>
      </c>
      <c r="F515" s="5">
        <v>907</v>
      </c>
      <c r="G515" s="10">
        <f>G514</f>
        <v>500</v>
      </c>
      <c r="H515" s="10">
        <f>H514</f>
        <v>500</v>
      </c>
    </row>
    <row r="516" spans="1:8" ht="47.25" x14ac:dyDescent="0.25">
      <c r="A516" s="41" t="s">
        <v>282</v>
      </c>
      <c r="B516" s="7" t="s">
        <v>283</v>
      </c>
      <c r="C516" s="72"/>
      <c r="D516" s="72"/>
      <c r="E516" s="72"/>
      <c r="F516" s="3"/>
      <c r="G516" s="59">
        <f>G517+G562+G616</f>
        <v>68780.012000000002</v>
      </c>
      <c r="H516" s="59">
        <f>H517+H562+H616</f>
        <v>66505.7</v>
      </c>
    </row>
    <row r="517" spans="1:8" ht="63" x14ac:dyDescent="0.25">
      <c r="A517" s="41" t="s">
        <v>317</v>
      </c>
      <c r="B517" s="7" t="s">
        <v>318</v>
      </c>
      <c r="C517" s="7"/>
      <c r="D517" s="7"/>
      <c r="E517" s="72"/>
      <c r="F517" s="3"/>
      <c r="G517" s="59">
        <f>G518+G531+G541+G548+G555</f>
        <v>27742.858</v>
      </c>
      <c r="H517" s="59">
        <f>H518+H531+H541+H548+H555</f>
        <v>25446.3</v>
      </c>
    </row>
    <row r="518" spans="1:8" ht="47.25" x14ac:dyDescent="0.25">
      <c r="A518" s="23" t="s">
        <v>956</v>
      </c>
      <c r="B518" s="24" t="s">
        <v>957</v>
      </c>
      <c r="C518" s="7"/>
      <c r="D518" s="7"/>
      <c r="E518" s="7"/>
      <c r="F518" s="3"/>
      <c r="G518" s="59">
        <f t="shared" ref="G518:H520" si="75">G519</f>
        <v>23784</v>
      </c>
      <c r="H518" s="59">
        <f t="shared" si="75"/>
        <v>23784</v>
      </c>
    </row>
    <row r="519" spans="1:8" ht="15.75" x14ac:dyDescent="0.25">
      <c r="A519" s="73" t="s">
        <v>314</v>
      </c>
      <c r="B519" s="40" t="s">
        <v>957</v>
      </c>
      <c r="C519" s="40" t="s">
        <v>315</v>
      </c>
      <c r="D519" s="73"/>
      <c r="E519" s="73"/>
      <c r="F519" s="2"/>
      <c r="G519" s="10">
        <f t="shared" si="75"/>
        <v>23784</v>
      </c>
      <c r="H519" s="10">
        <f t="shared" si="75"/>
        <v>23784</v>
      </c>
    </row>
    <row r="520" spans="1:8" ht="15.75" x14ac:dyDescent="0.25">
      <c r="A520" s="73" t="s">
        <v>316</v>
      </c>
      <c r="B520" s="40" t="s">
        <v>957</v>
      </c>
      <c r="C520" s="40" t="s">
        <v>315</v>
      </c>
      <c r="D520" s="40" t="s">
        <v>134</v>
      </c>
      <c r="E520" s="73"/>
      <c r="F520" s="2"/>
      <c r="G520" s="10">
        <f t="shared" si="75"/>
        <v>23784</v>
      </c>
      <c r="H520" s="10">
        <f t="shared" si="75"/>
        <v>23784</v>
      </c>
    </row>
    <row r="521" spans="1:8" ht="31.5" x14ac:dyDescent="0.25">
      <c r="A521" s="25" t="s">
        <v>832</v>
      </c>
      <c r="B521" s="20" t="s">
        <v>955</v>
      </c>
      <c r="C521" s="40" t="s">
        <v>315</v>
      </c>
      <c r="D521" s="40" t="s">
        <v>134</v>
      </c>
      <c r="E521" s="40"/>
      <c r="F521" s="2"/>
      <c r="G521" s="10">
        <f>G522+G525+G528</f>
        <v>23784</v>
      </c>
      <c r="H521" s="10">
        <f>H522+H525+H528</f>
        <v>23784</v>
      </c>
    </row>
    <row r="522" spans="1:8" ht="94.5" x14ac:dyDescent="0.25">
      <c r="A522" s="25" t="s">
        <v>143</v>
      </c>
      <c r="B522" s="20" t="s">
        <v>955</v>
      </c>
      <c r="C522" s="40" t="s">
        <v>315</v>
      </c>
      <c r="D522" s="40" t="s">
        <v>134</v>
      </c>
      <c r="E522" s="40" t="s">
        <v>144</v>
      </c>
      <c r="F522" s="2"/>
      <c r="G522" s="10">
        <f>G523</f>
        <v>20032</v>
      </c>
      <c r="H522" s="10">
        <f>H523</f>
        <v>20032</v>
      </c>
    </row>
    <row r="523" spans="1:8" ht="31.5" x14ac:dyDescent="0.25">
      <c r="A523" s="25" t="s">
        <v>224</v>
      </c>
      <c r="B523" s="20" t="s">
        <v>955</v>
      </c>
      <c r="C523" s="40" t="s">
        <v>315</v>
      </c>
      <c r="D523" s="40" t="s">
        <v>134</v>
      </c>
      <c r="E523" s="40" t="s">
        <v>225</v>
      </c>
      <c r="F523" s="2"/>
      <c r="G523" s="10">
        <f>'пр.5.1.ведом.21-22'!G348</f>
        <v>20032</v>
      </c>
      <c r="H523" s="10">
        <f>'пр.5.1.ведом.21-22'!H348</f>
        <v>20032</v>
      </c>
    </row>
    <row r="524" spans="1:8" ht="47.25" x14ac:dyDescent="0.25">
      <c r="A524" s="25" t="s">
        <v>1269</v>
      </c>
      <c r="B524" s="20" t="s">
        <v>955</v>
      </c>
      <c r="C524" s="40" t="s">
        <v>315</v>
      </c>
      <c r="D524" s="40" t="s">
        <v>134</v>
      </c>
      <c r="E524" s="40" t="s">
        <v>225</v>
      </c>
      <c r="F524" s="2">
        <v>903</v>
      </c>
      <c r="G524" s="10">
        <f>G523</f>
        <v>20032</v>
      </c>
      <c r="H524" s="10">
        <f>H523</f>
        <v>20032</v>
      </c>
    </row>
    <row r="525" spans="1:8" ht="31.5" x14ac:dyDescent="0.25">
      <c r="A525" s="25" t="s">
        <v>147</v>
      </c>
      <c r="B525" s="20" t="s">
        <v>955</v>
      </c>
      <c r="C525" s="40" t="s">
        <v>315</v>
      </c>
      <c r="D525" s="40" t="s">
        <v>134</v>
      </c>
      <c r="E525" s="40" t="s">
        <v>148</v>
      </c>
      <c r="F525" s="2"/>
      <c r="G525" s="10">
        <f>G526</f>
        <v>3715</v>
      </c>
      <c r="H525" s="10">
        <f>H526</f>
        <v>3715</v>
      </c>
    </row>
    <row r="526" spans="1:8" ht="47.25" x14ac:dyDescent="0.25">
      <c r="A526" s="25" t="s">
        <v>149</v>
      </c>
      <c r="B526" s="20" t="s">
        <v>955</v>
      </c>
      <c r="C526" s="40" t="s">
        <v>315</v>
      </c>
      <c r="D526" s="40" t="s">
        <v>134</v>
      </c>
      <c r="E526" s="40" t="s">
        <v>150</v>
      </c>
      <c r="F526" s="2"/>
      <c r="G526" s="10">
        <f>'пр.5.1.ведом.21-22'!G350</f>
        <v>3715</v>
      </c>
      <c r="H526" s="10">
        <f>'пр.5.1.ведом.21-22'!H350</f>
        <v>3715</v>
      </c>
    </row>
    <row r="527" spans="1:8" ht="47.25" x14ac:dyDescent="0.25">
      <c r="A527" s="25" t="s">
        <v>1269</v>
      </c>
      <c r="B527" s="20" t="s">
        <v>955</v>
      </c>
      <c r="C527" s="40" t="s">
        <v>315</v>
      </c>
      <c r="D527" s="40" t="s">
        <v>134</v>
      </c>
      <c r="E527" s="40" t="s">
        <v>150</v>
      </c>
      <c r="F527" s="2">
        <v>903</v>
      </c>
      <c r="G527" s="10">
        <f>G526</f>
        <v>3715</v>
      </c>
      <c r="H527" s="10">
        <f>H526</f>
        <v>3715</v>
      </c>
    </row>
    <row r="528" spans="1:8" ht="15.75" x14ac:dyDescent="0.25">
      <c r="A528" s="25" t="s">
        <v>151</v>
      </c>
      <c r="B528" s="20" t="s">
        <v>955</v>
      </c>
      <c r="C528" s="40" t="s">
        <v>315</v>
      </c>
      <c r="D528" s="40" t="s">
        <v>134</v>
      </c>
      <c r="E528" s="40" t="s">
        <v>161</v>
      </c>
      <c r="F528" s="2"/>
      <c r="G528" s="10">
        <f>G529</f>
        <v>37</v>
      </c>
      <c r="H528" s="10">
        <f>H529</f>
        <v>37</v>
      </c>
    </row>
    <row r="529" spans="1:8" ht="15.75" x14ac:dyDescent="0.25">
      <c r="A529" s="25" t="s">
        <v>153</v>
      </c>
      <c r="B529" s="20" t="s">
        <v>955</v>
      </c>
      <c r="C529" s="40" t="s">
        <v>315</v>
      </c>
      <c r="D529" s="40" t="s">
        <v>134</v>
      </c>
      <c r="E529" s="40" t="s">
        <v>154</v>
      </c>
      <c r="F529" s="2"/>
      <c r="G529" s="10">
        <f>'пр.5.1.ведом.21-22'!G352</f>
        <v>37</v>
      </c>
      <c r="H529" s="10">
        <f>'пр.5.1.ведом.21-22'!H352</f>
        <v>37</v>
      </c>
    </row>
    <row r="530" spans="1:8" ht="47.25" x14ac:dyDescent="0.25">
      <c r="A530" s="25" t="s">
        <v>1269</v>
      </c>
      <c r="B530" s="20" t="s">
        <v>955</v>
      </c>
      <c r="C530" s="40" t="s">
        <v>315</v>
      </c>
      <c r="D530" s="40" t="s">
        <v>134</v>
      </c>
      <c r="E530" s="40" t="s">
        <v>154</v>
      </c>
      <c r="F530" s="2">
        <v>903</v>
      </c>
      <c r="G530" s="10">
        <f>G529</f>
        <v>37</v>
      </c>
      <c r="H530" s="10">
        <f>H529</f>
        <v>37</v>
      </c>
    </row>
    <row r="531" spans="1:8" ht="47.25" x14ac:dyDescent="0.25">
      <c r="A531" s="225" t="s">
        <v>970</v>
      </c>
      <c r="B531" s="24" t="s">
        <v>958</v>
      </c>
      <c r="C531" s="7"/>
      <c r="D531" s="7"/>
      <c r="E531" s="7"/>
      <c r="F531" s="3"/>
      <c r="G531" s="59">
        <f>G534+G538</f>
        <v>250</v>
      </c>
      <c r="H531" s="59">
        <f>H534+H538</f>
        <v>250</v>
      </c>
    </row>
    <row r="532" spans="1:8" ht="15.75" x14ac:dyDescent="0.25">
      <c r="A532" s="73" t="s">
        <v>314</v>
      </c>
      <c r="B532" s="40" t="s">
        <v>958</v>
      </c>
      <c r="C532" s="40" t="s">
        <v>315</v>
      </c>
      <c r="D532" s="73"/>
      <c r="E532" s="73"/>
      <c r="F532" s="2"/>
      <c r="G532" s="10">
        <f>G533</f>
        <v>250</v>
      </c>
      <c r="H532" s="10">
        <f>H533</f>
        <v>250</v>
      </c>
    </row>
    <row r="533" spans="1:8" ht="15.75" x14ac:dyDescent="0.25">
      <c r="A533" s="73" t="s">
        <v>316</v>
      </c>
      <c r="B533" s="40" t="s">
        <v>958</v>
      </c>
      <c r="C533" s="40" t="s">
        <v>315</v>
      </c>
      <c r="D533" s="40" t="s">
        <v>134</v>
      </c>
      <c r="E533" s="73"/>
      <c r="F533" s="2"/>
      <c r="G533" s="10">
        <f>G534+G538</f>
        <v>250</v>
      </c>
      <c r="H533" s="10">
        <f>H534+H538</f>
        <v>250</v>
      </c>
    </row>
    <row r="534" spans="1:8" ht="47.25" hidden="1" x14ac:dyDescent="0.25">
      <c r="A534" s="31" t="s">
        <v>860</v>
      </c>
      <c r="B534" s="20" t="s">
        <v>959</v>
      </c>
      <c r="C534" s="40" t="s">
        <v>315</v>
      </c>
      <c r="D534" s="40" t="s">
        <v>134</v>
      </c>
      <c r="E534" s="40"/>
      <c r="F534" s="2"/>
      <c r="G534" s="10">
        <f>G535</f>
        <v>0</v>
      </c>
      <c r="H534" s="10">
        <f>H535</f>
        <v>0</v>
      </c>
    </row>
    <row r="535" spans="1:8" ht="94.5" hidden="1" x14ac:dyDescent="0.25">
      <c r="A535" s="25" t="s">
        <v>143</v>
      </c>
      <c r="B535" s="20" t="s">
        <v>959</v>
      </c>
      <c r="C535" s="40" t="s">
        <v>315</v>
      </c>
      <c r="D535" s="40" t="s">
        <v>134</v>
      </c>
      <c r="E535" s="40" t="s">
        <v>144</v>
      </c>
      <c r="F535" s="2"/>
      <c r="G535" s="10">
        <f>G536</f>
        <v>0</v>
      </c>
      <c r="H535" s="10">
        <f>H536</f>
        <v>0</v>
      </c>
    </row>
    <row r="536" spans="1:8" ht="31.5" hidden="1" x14ac:dyDescent="0.25">
      <c r="A536" s="25" t="s">
        <v>224</v>
      </c>
      <c r="B536" s="20" t="s">
        <v>959</v>
      </c>
      <c r="C536" s="40" t="s">
        <v>315</v>
      </c>
      <c r="D536" s="40" t="s">
        <v>134</v>
      </c>
      <c r="E536" s="40" t="s">
        <v>225</v>
      </c>
      <c r="F536" s="2"/>
      <c r="G536" s="10">
        <f>'пр.5.1.ведом.21-22'!G356</f>
        <v>0</v>
      </c>
      <c r="H536" s="10">
        <f>'пр.5.1.ведом.21-22'!H356</f>
        <v>0</v>
      </c>
    </row>
    <row r="537" spans="1:8" ht="47.25" hidden="1" x14ac:dyDescent="0.25">
      <c r="A537" s="25" t="s">
        <v>1269</v>
      </c>
      <c r="B537" s="20" t="s">
        <v>959</v>
      </c>
      <c r="C537" s="40" t="s">
        <v>315</v>
      </c>
      <c r="D537" s="40" t="s">
        <v>134</v>
      </c>
      <c r="E537" s="40" t="s">
        <v>225</v>
      </c>
      <c r="F537" s="2">
        <v>903</v>
      </c>
      <c r="G537" s="10">
        <f>G536</f>
        <v>0</v>
      </c>
      <c r="H537" s="10">
        <f>H536</f>
        <v>0</v>
      </c>
    </row>
    <row r="538" spans="1:8" ht="31.5" x14ac:dyDescent="0.25">
      <c r="A538" s="25" t="s">
        <v>147</v>
      </c>
      <c r="B538" s="20" t="s">
        <v>959</v>
      </c>
      <c r="C538" s="40" t="s">
        <v>315</v>
      </c>
      <c r="D538" s="40" t="s">
        <v>134</v>
      </c>
      <c r="E538" s="40" t="s">
        <v>148</v>
      </c>
      <c r="F538" s="2"/>
      <c r="G538" s="10">
        <f>G539</f>
        <v>250</v>
      </c>
      <c r="H538" s="10">
        <f>H539</f>
        <v>250</v>
      </c>
    </row>
    <row r="539" spans="1:8" ht="47.25" x14ac:dyDescent="0.25">
      <c r="A539" s="25" t="s">
        <v>149</v>
      </c>
      <c r="B539" s="20" t="s">
        <v>959</v>
      </c>
      <c r="C539" s="40" t="s">
        <v>315</v>
      </c>
      <c r="D539" s="40" t="s">
        <v>134</v>
      </c>
      <c r="E539" s="40" t="s">
        <v>150</v>
      </c>
      <c r="F539" s="2"/>
      <c r="G539" s="10">
        <f>'пр.5.1.ведом.21-22'!G358</f>
        <v>250</v>
      </c>
      <c r="H539" s="10">
        <f>'пр.5.1.ведом.21-22'!H358</f>
        <v>250</v>
      </c>
    </row>
    <row r="540" spans="1:8" ht="47.25" x14ac:dyDescent="0.25">
      <c r="A540" s="25" t="s">
        <v>1269</v>
      </c>
      <c r="B540" s="20" t="s">
        <v>959</v>
      </c>
      <c r="C540" s="40" t="s">
        <v>315</v>
      </c>
      <c r="D540" s="40" t="s">
        <v>134</v>
      </c>
      <c r="E540" s="40" t="s">
        <v>150</v>
      </c>
      <c r="F540" s="2">
        <v>903</v>
      </c>
      <c r="G540" s="10">
        <f>G539</f>
        <v>250</v>
      </c>
      <c r="H540" s="10">
        <f>H539</f>
        <v>250</v>
      </c>
    </row>
    <row r="541" spans="1:8" ht="47.25" x14ac:dyDescent="0.25">
      <c r="A541" s="23" t="s">
        <v>1076</v>
      </c>
      <c r="B541" s="24" t="s">
        <v>1164</v>
      </c>
      <c r="C541" s="7"/>
      <c r="D541" s="7"/>
      <c r="E541" s="7"/>
      <c r="F541" s="3"/>
      <c r="G541" s="59">
        <f>G544</f>
        <v>588</v>
      </c>
      <c r="H541" s="59">
        <f>H544</f>
        <v>588</v>
      </c>
    </row>
    <row r="542" spans="1:8" ht="15.75" x14ac:dyDescent="0.25">
      <c r="A542" s="73" t="s">
        <v>314</v>
      </c>
      <c r="B542" s="40" t="s">
        <v>1164</v>
      </c>
      <c r="C542" s="40" t="s">
        <v>315</v>
      </c>
      <c r="D542" s="73"/>
      <c r="E542" s="73"/>
      <c r="F542" s="2"/>
      <c r="G542" s="10">
        <f>G543</f>
        <v>1412.3</v>
      </c>
      <c r="H542" s="10">
        <f>H543</f>
        <v>1412.3</v>
      </c>
    </row>
    <row r="543" spans="1:8" ht="15.75" x14ac:dyDescent="0.25">
      <c r="A543" s="73" t="s">
        <v>316</v>
      </c>
      <c r="B543" s="40" t="s">
        <v>1164</v>
      </c>
      <c r="C543" s="40" t="s">
        <v>315</v>
      </c>
      <c r="D543" s="40" t="s">
        <v>134</v>
      </c>
      <c r="E543" s="73"/>
      <c r="F543" s="2"/>
      <c r="G543" s="10">
        <f>G544+G548</f>
        <v>1412.3</v>
      </c>
      <c r="H543" s="10">
        <f>H544+H548</f>
        <v>1412.3</v>
      </c>
    </row>
    <row r="544" spans="1:8" ht="47.25" x14ac:dyDescent="0.25">
      <c r="A544" s="25" t="s">
        <v>885</v>
      </c>
      <c r="B544" s="20" t="s">
        <v>1165</v>
      </c>
      <c r="C544" s="40" t="s">
        <v>315</v>
      </c>
      <c r="D544" s="40" t="s">
        <v>134</v>
      </c>
      <c r="E544" s="40"/>
      <c r="F544" s="2"/>
      <c r="G544" s="10">
        <f>G545</f>
        <v>588</v>
      </c>
      <c r="H544" s="10">
        <f>H545</f>
        <v>588</v>
      </c>
    </row>
    <row r="545" spans="1:8" ht="94.5" x14ac:dyDescent="0.25">
      <c r="A545" s="25" t="s">
        <v>143</v>
      </c>
      <c r="B545" s="20" t="s">
        <v>1165</v>
      </c>
      <c r="C545" s="40" t="s">
        <v>315</v>
      </c>
      <c r="D545" s="40" t="s">
        <v>134</v>
      </c>
      <c r="E545" s="40" t="s">
        <v>144</v>
      </c>
      <c r="F545" s="2"/>
      <c r="G545" s="10">
        <f>G546</f>
        <v>588</v>
      </c>
      <c r="H545" s="10">
        <f>H546</f>
        <v>588</v>
      </c>
    </row>
    <row r="546" spans="1:8" ht="31.5" x14ac:dyDescent="0.25">
      <c r="A546" s="25" t="s">
        <v>145</v>
      </c>
      <c r="B546" s="20" t="s">
        <v>1165</v>
      </c>
      <c r="C546" s="40" t="s">
        <v>315</v>
      </c>
      <c r="D546" s="40" t="s">
        <v>134</v>
      </c>
      <c r="E546" s="40" t="s">
        <v>225</v>
      </c>
      <c r="F546" s="2"/>
      <c r="G546" s="10">
        <f>'пр.5.1.ведом.21-22'!G362</f>
        <v>588</v>
      </c>
      <c r="H546" s="10">
        <f>'пр.5.1.ведом.21-22'!H362</f>
        <v>588</v>
      </c>
    </row>
    <row r="547" spans="1:8" ht="47.25" x14ac:dyDescent="0.25">
      <c r="A547" s="25" t="s">
        <v>1269</v>
      </c>
      <c r="B547" s="20" t="s">
        <v>1165</v>
      </c>
      <c r="C547" s="40" t="s">
        <v>315</v>
      </c>
      <c r="D547" s="40" t="s">
        <v>134</v>
      </c>
      <c r="E547" s="40" t="s">
        <v>225</v>
      </c>
      <c r="F547" s="2">
        <v>903</v>
      </c>
      <c r="G547" s="10">
        <f>G546</f>
        <v>588</v>
      </c>
      <c r="H547" s="10">
        <f>H546</f>
        <v>588</v>
      </c>
    </row>
    <row r="548" spans="1:8" ht="47.25" x14ac:dyDescent="0.25">
      <c r="A548" s="226" t="s">
        <v>971</v>
      </c>
      <c r="B548" s="24" t="s">
        <v>1166</v>
      </c>
      <c r="C548" s="7"/>
      <c r="D548" s="7"/>
      <c r="E548" s="7"/>
      <c r="F548" s="3"/>
      <c r="G548" s="59">
        <f>G551</f>
        <v>824.3</v>
      </c>
      <c r="H548" s="59">
        <f>H551</f>
        <v>824.3</v>
      </c>
    </row>
    <row r="549" spans="1:8" ht="15.75" x14ac:dyDescent="0.25">
      <c r="A549" s="73" t="s">
        <v>314</v>
      </c>
      <c r="B549" s="40" t="s">
        <v>1166</v>
      </c>
      <c r="C549" s="40" t="s">
        <v>315</v>
      </c>
      <c r="D549" s="73"/>
      <c r="E549" s="73"/>
      <c r="F549" s="2"/>
      <c r="G549" s="10">
        <f t="shared" ref="G549:H552" si="76">G550</f>
        <v>824.3</v>
      </c>
      <c r="H549" s="10">
        <f t="shared" si="76"/>
        <v>824.3</v>
      </c>
    </row>
    <row r="550" spans="1:8" ht="15.75" x14ac:dyDescent="0.25">
      <c r="A550" s="73" t="s">
        <v>316</v>
      </c>
      <c r="B550" s="40" t="s">
        <v>1166</v>
      </c>
      <c r="C550" s="40" t="s">
        <v>315</v>
      </c>
      <c r="D550" s="40" t="s">
        <v>134</v>
      </c>
      <c r="E550" s="73"/>
      <c r="F550" s="2"/>
      <c r="G550" s="10">
        <f t="shared" si="76"/>
        <v>824.3</v>
      </c>
      <c r="H550" s="10">
        <f t="shared" si="76"/>
        <v>824.3</v>
      </c>
    </row>
    <row r="551" spans="1:8" ht="110.25" x14ac:dyDescent="0.25">
      <c r="A551" s="31" t="s">
        <v>309</v>
      </c>
      <c r="B551" s="20" t="s">
        <v>1521</v>
      </c>
      <c r="C551" s="40" t="s">
        <v>315</v>
      </c>
      <c r="D551" s="40" t="s">
        <v>134</v>
      </c>
      <c r="E551" s="40"/>
      <c r="F551" s="2"/>
      <c r="G551" s="10">
        <f t="shared" si="76"/>
        <v>824.3</v>
      </c>
      <c r="H551" s="10">
        <f t="shared" si="76"/>
        <v>824.3</v>
      </c>
    </row>
    <row r="552" spans="1:8" ht="94.5" x14ac:dyDescent="0.25">
      <c r="A552" s="25" t="s">
        <v>143</v>
      </c>
      <c r="B552" s="331" t="s">
        <v>1521</v>
      </c>
      <c r="C552" s="40" t="s">
        <v>315</v>
      </c>
      <c r="D552" s="40" t="s">
        <v>134</v>
      </c>
      <c r="E552" s="40" t="s">
        <v>144</v>
      </c>
      <c r="F552" s="2"/>
      <c r="G552" s="10">
        <f t="shared" si="76"/>
        <v>824.3</v>
      </c>
      <c r="H552" s="10">
        <f t="shared" si="76"/>
        <v>824.3</v>
      </c>
    </row>
    <row r="553" spans="1:8" ht="31.5" x14ac:dyDescent="0.25">
      <c r="A553" s="25" t="s">
        <v>224</v>
      </c>
      <c r="B553" s="331" t="s">
        <v>1521</v>
      </c>
      <c r="C553" s="40" t="s">
        <v>315</v>
      </c>
      <c r="D553" s="40" t="s">
        <v>134</v>
      </c>
      <c r="E553" s="40" t="s">
        <v>225</v>
      </c>
      <c r="F553" s="2"/>
      <c r="G553" s="10">
        <f>'пр.5.1.ведом.21-22'!G366</f>
        <v>824.3</v>
      </c>
      <c r="H553" s="10">
        <f>'пр.5.1.ведом.21-22'!H366</f>
        <v>824.3</v>
      </c>
    </row>
    <row r="554" spans="1:8" ht="47.25" x14ac:dyDescent="0.25">
      <c r="A554" s="25" t="s">
        <v>1269</v>
      </c>
      <c r="B554" s="331" t="s">
        <v>1521</v>
      </c>
      <c r="C554" s="40" t="s">
        <v>315</v>
      </c>
      <c r="D554" s="40" t="s">
        <v>134</v>
      </c>
      <c r="E554" s="40" t="s">
        <v>225</v>
      </c>
      <c r="F554" s="2">
        <v>903</v>
      </c>
      <c r="G554" s="10">
        <f>G553</f>
        <v>824.3</v>
      </c>
      <c r="H554" s="10">
        <f>H553</f>
        <v>824.3</v>
      </c>
    </row>
    <row r="555" spans="1:8" s="213" customFormat="1" ht="47.25" x14ac:dyDescent="0.25">
      <c r="A555" s="276" t="s">
        <v>1443</v>
      </c>
      <c r="B555" s="24" t="s">
        <v>1442</v>
      </c>
      <c r="C555" s="40"/>
      <c r="D555" s="73"/>
      <c r="E555" s="73"/>
      <c r="F555" s="2"/>
      <c r="G555" s="59">
        <f t="shared" ref="G555:H559" si="77">G556</f>
        <v>2296.558</v>
      </c>
      <c r="H555" s="59">
        <f t="shared" si="77"/>
        <v>0</v>
      </c>
    </row>
    <row r="556" spans="1:8" s="213" customFormat="1" ht="15.75" x14ac:dyDescent="0.25">
      <c r="A556" s="73" t="s">
        <v>314</v>
      </c>
      <c r="B556" s="20" t="s">
        <v>1442</v>
      </c>
      <c r="C556" s="40" t="s">
        <v>315</v>
      </c>
      <c r="D556" s="73"/>
      <c r="E556" s="73"/>
      <c r="F556" s="2"/>
      <c r="G556" s="10">
        <f t="shared" si="77"/>
        <v>2296.558</v>
      </c>
      <c r="H556" s="10">
        <f t="shared" si="77"/>
        <v>0</v>
      </c>
    </row>
    <row r="557" spans="1:8" s="213" customFormat="1" ht="15.75" x14ac:dyDescent="0.25">
      <c r="A557" s="73" t="s">
        <v>316</v>
      </c>
      <c r="B557" s="20" t="s">
        <v>1442</v>
      </c>
      <c r="C557" s="40" t="s">
        <v>315</v>
      </c>
      <c r="D557" s="40" t="s">
        <v>134</v>
      </c>
      <c r="E557" s="73"/>
      <c r="F557" s="2"/>
      <c r="G557" s="10">
        <f t="shared" si="77"/>
        <v>2296.558</v>
      </c>
      <c r="H557" s="10">
        <f t="shared" si="77"/>
        <v>0</v>
      </c>
    </row>
    <row r="558" spans="1:8" s="213" customFormat="1" ht="63" x14ac:dyDescent="0.25">
      <c r="A558" s="277" t="s">
        <v>1405</v>
      </c>
      <c r="B558" s="20" t="s">
        <v>1441</v>
      </c>
      <c r="C558" s="40" t="s">
        <v>315</v>
      </c>
      <c r="D558" s="40" t="s">
        <v>134</v>
      </c>
      <c r="E558" s="40"/>
      <c r="F558" s="2"/>
      <c r="G558" s="10">
        <f t="shared" si="77"/>
        <v>2296.558</v>
      </c>
      <c r="H558" s="10">
        <f t="shared" si="77"/>
        <v>0</v>
      </c>
    </row>
    <row r="559" spans="1:8" s="213" customFormat="1" ht="31.5" x14ac:dyDescent="0.25">
      <c r="A559" s="25" t="s">
        <v>147</v>
      </c>
      <c r="B559" s="20" t="s">
        <v>1441</v>
      </c>
      <c r="C559" s="40" t="s">
        <v>315</v>
      </c>
      <c r="D559" s="40" t="s">
        <v>134</v>
      </c>
      <c r="E559" s="40" t="s">
        <v>148</v>
      </c>
      <c r="F559" s="2"/>
      <c r="G559" s="10">
        <f t="shared" si="77"/>
        <v>2296.558</v>
      </c>
      <c r="H559" s="10">
        <f t="shared" si="77"/>
        <v>0</v>
      </c>
    </row>
    <row r="560" spans="1:8" s="213" customFormat="1" ht="47.25" x14ac:dyDescent="0.25">
      <c r="A560" s="25" t="s">
        <v>149</v>
      </c>
      <c r="B560" s="20" t="s">
        <v>1441</v>
      </c>
      <c r="C560" s="40" t="s">
        <v>315</v>
      </c>
      <c r="D560" s="40" t="s">
        <v>134</v>
      </c>
      <c r="E560" s="40" t="s">
        <v>150</v>
      </c>
      <c r="F560" s="2"/>
      <c r="G560" s="10">
        <f>'пр.5.1.ведом.21-22'!G370</f>
        <v>2296.558</v>
      </c>
      <c r="H560" s="10">
        <f>'пр.5.1.ведом.21-22'!H370</f>
        <v>0</v>
      </c>
    </row>
    <row r="561" spans="1:8" s="213" customFormat="1" ht="47.25" x14ac:dyDescent="0.25">
      <c r="A561" s="25" t="s">
        <v>1269</v>
      </c>
      <c r="B561" s="20" t="s">
        <v>1441</v>
      </c>
      <c r="C561" s="40" t="s">
        <v>315</v>
      </c>
      <c r="D561" s="40" t="s">
        <v>134</v>
      </c>
      <c r="E561" s="40" t="s">
        <v>150</v>
      </c>
      <c r="F561" s="2">
        <v>903</v>
      </c>
      <c r="G561" s="10">
        <f>G555</f>
        <v>2296.558</v>
      </c>
      <c r="H561" s="10">
        <f>H555</f>
        <v>0</v>
      </c>
    </row>
    <row r="562" spans="1:8" ht="47.25" x14ac:dyDescent="0.25">
      <c r="A562" s="41" t="s">
        <v>328</v>
      </c>
      <c r="B562" s="7" t="s">
        <v>329</v>
      </c>
      <c r="C562" s="7"/>
      <c r="D562" s="7"/>
      <c r="E562" s="7"/>
      <c r="F562" s="75"/>
      <c r="G562" s="59">
        <f>G563+G576+G583+G590+G601</f>
        <v>24393.454000000002</v>
      </c>
      <c r="H562" s="59">
        <f>H563+H576+H583+H590+H601</f>
        <v>24415.7</v>
      </c>
    </row>
    <row r="563" spans="1:8" ht="47.25" x14ac:dyDescent="0.25">
      <c r="A563" s="23" t="s">
        <v>956</v>
      </c>
      <c r="B563" s="24" t="s">
        <v>960</v>
      </c>
      <c r="C563" s="7"/>
      <c r="D563" s="7"/>
      <c r="E563" s="7"/>
      <c r="F563" s="3"/>
      <c r="G563" s="59">
        <f>G564</f>
        <v>22194</v>
      </c>
      <c r="H563" s="59">
        <f>H564</f>
        <v>22194</v>
      </c>
    </row>
    <row r="564" spans="1:8" ht="15.75" x14ac:dyDescent="0.25">
      <c r="A564" s="73" t="s">
        <v>314</v>
      </c>
      <c r="B564" s="40" t="s">
        <v>960</v>
      </c>
      <c r="C564" s="40" t="s">
        <v>315</v>
      </c>
      <c r="D564" s="40"/>
      <c r="E564" s="40"/>
      <c r="F564" s="74"/>
      <c r="G564" s="10">
        <f t="shared" ref="G564:H564" si="78">G565</f>
        <v>22194</v>
      </c>
      <c r="H564" s="10">
        <f t="shared" si="78"/>
        <v>22194</v>
      </c>
    </row>
    <row r="565" spans="1:8" ht="15.75" x14ac:dyDescent="0.25">
      <c r="A565" s="73" t="s">
        <v>316</v>
      </c>
      <c r="B565" s="40" t="s">
        <v>960</v>
      </c>
      <c r="C565" s="40" t="s">
        <v>315</v>
      </c>
      <c r="D565" s="40" t="s">
        <v>134</v>
      </c>
      <c r="E565" s="40"/>
      <c r="F565" s="74"/>
      <c r="G565" s="10">
        <f>G566</f>
        <v>22194</v>
      </c>
      <c r="H565" s="10">
        <f>H566</f>
        <v>22194</v>
      </c>
    </row>
    <row r="566" spans="1:8" ht="31.5" x14ac:dyDescent="0.25">
      <c r="A566" s="25" t="s">
        <v>832</v>
      </c>
      <c r="B566" s="20" t="s">
        <v>961</v>
      </c>
      <c r="C566" s="40" t="s">
        <v>315</v>
      </c>
      <c r="D566" s="40" t="s">
        <v>134</v>
      </c>
      <c r="E566" s="40"/>
      <c r="F566" s="2"/>
      <c r="G566" s="10">
        <f>G567+G570+G573</f>
        <v>22194</v>
      </c>
      <c r="H566" s="10">
        <f>H567+H570+H573</f>
        <v>22194</v>
      </c>
    </row>
    <row r="567" spans="1:8" ht="94.5" x14ac:dyDescent="0.25">
      <c r="A567" s="25" t="s">
        <v>143</v>
      </c>
      <c r="B567" s="20" t="s">
        <v>961</v>
      </c>
      <c r="C567" s="40" t="s">
        <v>315</v>
      </c>
      <c r="D567" s="40" t="s">
        <v>134</v>
      </c>
      <c r="E567" s="40" t="s">
        <v>144</v>
      </c>
      <c r="F567" s="2"/>
      <c r="G567" s="10">
        <f>G568</f>
        <v>19218</v>
      </c>
      <c r="H567" s="10">
        <f>H568</f>
        <v>19218</v>
      </c>
    </row>
    <row r="568" spans="1:8" ht="31.5" x14ac:dyDescent="0.25">
      <c r="A568" s="25" t="s">
        <v>224</v>
      </c>
      <c r="B568" s="20" t="s">
        <v>961</v>
      </c>
      <c r="C568" s="40" t="s">
        <v>315</v>
      </c>
      <c r="D568" s="40" t="s">
        <v>134</v>
      </c>
      <c r="E568" s="40" t="s">
        <v>225</v>
      </c>
      <c r="F568" s="2"/>
      <c r="G568" s="10">
        <f>'пр.5.1.ведом.21-22'!G375</f>
        <v>19218</v>
      </c>
      <c r="H568" s="10">
        <f>'пр.5.1.ведом.21-22'!H375</f>
        <v>19218</v>
      </c>
    </row>
    <row r="569" spans="1:8" ht="47.25" x14ac:dyDescent="0.25">
      <c r="A569" s="25" t="s">
        <v>1269</v>
      </c>
      <c r="B569" s="20" t="s">
        <v>961</v>
      </c>
      <c r="C569" s="40" t="s">
        <v>315</v>
      </c>
      <c r="D569" s="40" t="s">
        <v>134</v>
      </c>
      <c r="E569" s="40" t="s">
        <v>225</v>
      </c>
      <c r="F569" s="2">
        <v>903</v>
      </c>
      <c r="G569" s="10">
        <f>G568</f>
        <v>19218</v>
      </c>
      <c r="H569" s="10">
        <f>H568</f>
        <v>19218</v>
      </c>
    </row>
    <row r="570" spans="1:8" ht="31.5" x14ac:dyDescent="0.25">
      <c r="A570" s="25" t="s">
        <v>147</v>
      </c>
      <c r="B570" s="20" t="s">
        <v>961</v>
      </c>
      <c r="C570" s="40" t="s">
        <v>315</v>
      </c>
      <c r="D570" s="40" t="s">
        <v>134</v>
      </c>
      <c r="E570" s="40" t="s">
        <v>148</v>
      </c>
      <c r="F570" s="2"/>
      <c r="G570" s="10">
        <f>G571</f>
        <v>2950</v>
      </c>
      <c r="H570" s="10">
        <f>H571</f>
        <v>2950</v>
      </c>
    </row>
    <row r="571" spans="1:8" ht="47.25" x14ac:dyDescent="0.25">
      <c r="A571" s="25" t="s">
        <v>149</v>
      </c>
      <c r="B571" s="20" t="s">
        <v>961</v>
      </c>
      <c r="C571" s="40" t="s">
        <v>315</v>
      </c>
      <c r="D571" s="40" t="s">
        <v>134</v>
      </c>
      <c r="E571" s="40" t="s">
        <v>150</v>
      </c>
      <c r="F571" s="2"/>
      <c r="G571" s="10">
        <f>'пр.5.1.ведом.21-22'!G377</f>
        <v>2950</v>
      </c>
      <c r="H571" s="10">
        <f>'пр.5.1.ведом.21-22'!H377</f>
        <v>2950</v>
      </c>
    </row>
    <row r="572" spans="1:8" ht="47.25" x14ac:dyDescent="0.25">
      <c r="A572" s="25" t="s">
        <v>1269</v>
      </c>
      <c r="B572" s="20" t="s">
        <v>961</v>
      </c>
      <c r="C572" s="40" t="s">
        <v>315</v>
      </c>
      <c r="D572" s="40" t="s">
        <v>134</v>
      </c>
      <c r="E572" s="40" t="s">
        <v>150</v>
      </c>
      <c r="F572" s="2">
        <v>903</v>
      </c>
      <c r="G572" s="10">
        <f>G571</f>
        <v>2950</v>
      </c>
      <c r="H572" s="10">
        <f>H571</f>
        <v>2950</v>
      </c>
    </row>
    <row r="573" spans="1:8" ht="15.75" x14ac:dyDescent="0.25">
      <c r="A573" s="25" t="s">
        <v>151</v>
      </c>
      <c r="B573" s="20" t="s">
        <v>961</v>
      </c>
      <c r="C573" s="40" t="s">
        <v>315</v>
      </c>
      <c r="D573" s="40" t="s">
        <v>134</v>
      </c>
      <c r="E573" s="40" t="s">
        <v>161</v>
      </c>
      <c r="F573" s="2"/>
      <c r="G573" s="10">
        <f>G574</f>
        <v>26</v>
      </c>
      <c r="H573" s="10">
        <f>H574</f>
        <v>26</v>
      </c>
    </row>
    <row r="574" spans="1:8" ht="15.75" x14ac:dyDescent="0.25">
      <c r="A574" s="25" t="s">
        <v>153</v>
      </c>
      <c r="B574" s="20" t="s">
        <v>961</v>
      </c>
      <c r="C574" s="40" t="s">
        <v>315</v>
      </c>
      <c r="D574" s="40" t="s">
        <v>134</v>
      </c>
      <c r="E574" s="40" t="s">
        <v>154</v>
      </c>
      <c r="F574" s="2"/>
      <c r="G574" s="10">
        <f>'пр.5.1.ведом.21-22'!G379</f>
        <v>26</v>
      </c>
      <c r="H574" s="10">
        <f>'пр.5.1.ведом.21-22'!H379</f>
        <v>26</v>
      </c>
    </row>
    <row r="575" spans="1:8" ht="47.25" x14ac:dyDescent="0.25">
      <c r="A575" s="25" t="s">
        <v>1269</v>
      </c>
      <c r="B575" s="20" t="s">
        <v>961</v>
      </c>
      <c r="C575" s="40" t="s">
        <v>315</v>
      </c>
      <c r="D575" s="40" t="s">
        <v>134</v>
      </c>
      <c r="E575" s="40" t="s">
        <v>154</v>
      </c>
      <c r="F575" s="2">
        <v>903</v>
      </c>
      <c r="G575" s="10">
        <f>G574</f>
        <v>26</v>
      </c>
      <c r="H575" s="10">
        <f>H574</f>
        <v>26</v>
      </c>
    </row>
    <row r="576" spans="1:8" ht="35.450000000000003" customHeight="1" x14ac:dyDescent="0.25">
      <c r="A576" s="23" t="s">
        <v>973</v>
      </c>
      <c r="B576" s="24" t="s">
        <v>962</v>
      </c>
      <c r="C576" s="7"/>
      <c r="D576" s="7"/>
      <c r="E576" s="7"/>
      <c r="F576" s="3"/>
      <c r="G576" s="59">
        <f>G579</f>
        <v>27.754000000000001</v>
      </c>
      <c r="H576" s="59">
        <f>H579</f>
        <v>50</v>
      </c>
    </row>
    <row r="577" spans="1:8" ht="15.75" x14ac:dyDescent="0.25">
      <c r="A577" s="73" t="s">
        <v>314</v>
      </c>
      <c r="B577" s="40" t="s">
        <v>962</v>
      </c>
      <c r="C577" s="40" t="s">
        <v>315</v>
      </c>
      <c r="D577" s="40"/>
      <c r="E577" s="40"/>
      <c r="F577" s="74"/>
      <c r="G577" s="10">
        <f t="shared" ref="G577:H577" si="79">G578</f>
        <v>27.754000000000001</v>
      </c>
      <c r="H577" s="10">
        <f t="shared" si="79"/>
        <v>50</v>
      </c>
    </row>
    <row r="578" spans="1:8" ht="15.75" x14ac:dyDescent="0.25">
      <c r="A578" s="73" t="s">
        <v>316</v>
      </c>
      <c r="B578" s="40" t="s">
        <v>962</v>
      </c>
      <c r="C578" s="40" t="s">
        <v>315</v>
      </c>
      <c r="D578" s="40" t="s">
        <v>134</v>
      </c>
      <c r="E578" s="40"/>
      <c r="F578" s="74"/>
      <c r="G578" s="10">
        <f t="shared" ref="G578:H580" si="80">G579</f>
        <v>27.754000000000001</v>
      </c>
      <c r="H578" s="10">
        <f t="shared" si="80"/>
        <v>50</v>
      </c>
    </row>
    <row r="579" spans="1:8" ht="31.5" x14ac:dyDescent="0.25">
      <c r="A579" s="25" t="s">
        <v>866</v>
      </c>
      <c r="B579" s="20" t="s">
        <v>963</v>
      </c>
      <c r="C579" s="40" t="s">
        <v>315</v>
      </c>
      <c r="D579" s="40" t="s">
        <v>134</v>
      </c>
      <c r="E579" s="40"/>
      <c r="F579" s="2"/>
      <c r="G579" s="10">
        <f t="shared" si="80"/>
        <v>27.754000000000001</v>
      </c>
      <c r="H579" s="10">
        <f t="shared" si="80"/>
        <v>50</v>
      </c>
    </row>
    <row r="580" spans="1:8" ht="31.5" x14ac:dyDescent="0.25">
      <c r="A580" s="25" t="s">
        <v>147</v>
      </c>
      <c r="B580" s="20" t="s">
        <v>963</v>
      </c>
      <c r="C580" s="40" t="s">
        <v>315</v>
      </c>
      <c r="D580" s="40" t="s">
        <v>134</v>
      </c>
      <c r="E580" s="40" t="s">
        <v>148</v>
      </c>
      <c r="F580" s="2"/>
      <c r="G580" s="10">
        <f t="shared" si="80"/>
        <v>27.754000000000001</v>
      </c>
      <c r="H580" s="10">
        <f t="shared" si="80"/>
        <v>50</v>
      </c>
    </row>
    <row r="581" spans="1:8" ht="47.25" x14ac:dyDescent="0.25">
      <c r="A581" s="25" t="s">
        <v>149</v>
      </c>
      <c r="B581" s="20" t="s">
        <v>963</v>
      </c>
      <c r="C581" s="40" t="s">
        <v>315</v>
      </c>
      <c r="D581" s="40" t="s">
        <v>134</v>
      </c>
      <c r="E581" s="40" t="s">
        <v>150</v>
      </c>
      <c r="F581" s="2"/>
      <c r="G581" s="10">
        <f>'пр.5.1.ведом.21-22'!G383</f>
        <v>27.754000000000001</v>
      </c>
      <c r="H581" s="10">
        <f>'пр.5.1.ведом.21-22'!H383</f>
        <v>50</v>
      </c>
    </row>
    <row r="582" spans="1:8" ht="47.25" x14ac:dyDescent="0.25">
      <c r="A582" s="25" t="s">
        <v>1269</v>
      </c>
      <c r="B582" s="20" t="s">
        <v>963</v>
      </c>
      <c r="C582" s="40" t="s">
        <v>315</v>
      </c>
      <c r="D582" s="40" t="s">
        <v>134</v>
      </c>
      <c r="E582" s="40" t="s">
        <v>150</v>
      </c>
      <c r="F582" s="2">
        <v>903</v>
      </c>
      <c r="G582" s="10">
        <f>G581</f>
        <v>27.754000000000001</v>
      </c>
      <c r="H582" s="10">
        <f>H581</f>
        <v>50</v>
      </c>
    </row>
    <row r="583" spans="1:8" ht="47.25" x14ac:dyDescent="0.25">
      <c r="A583" s="23" t="s">
        <v>1076</v>
      </c>
      <c r="B583" s="24" t="s">
        <v>964</v>
      </c>
      <c r="C583" s="7"/>
      <c r="D583" s="7"/>
      <c r="E583" s="7"/>
      <c r="F583" s="3"/>
      <c r="G583" s="59">
        <f>G586</f>
        <v>507</v>
      </c>
      <c r="H583" s="59">
        <f>H586</f>
        <v>507</v>
      </c>
    </row>
    <row r="584" spans="1:8" ht="15.75" x14ac:dyDescent="0.25">
      <c r="A584" s="73" t="s">
        <v>314</v>
      </c>
      <c r="B584" s="40" t="s">
        <v>964</v>
      </c>
      <c r="C584" s="40" t="s">
        <v>315</v>
      </c>
      <c r="D584" s="40"/>
      <c r="E584" s="40"/>
      <c r="F584" s="74"/>
      <c r="G584" s="10">
        <f t="shared" ref="G584:H584" si="81">G585</f>
        <v>507</v>
      </c>
      <c r="H584" s="10">
        <f t="shared" si="81"/>
        <v>507</v>
      </c>
    </row>
    <row r="585" spans="1:8" ht="15.75" x14ac:dyDescent="0.25">
      <c r="A585" s="73" t="s">
        <v>316</v>
      </c>
      <c r="B585" s="40" t="s">
        <v>964</v>
      </c>
      <c r="C585" s="40" t="s">
        <v>315</v>
      </c>
      <c r="D585" s="40" t="s">
        <v>134</v>
      </c>
      <c r="E585" s="40"/>
      <c r="F585" s="74"/>
      <c r="G585" s="10">
        <f t="shared" ref="G585:H587" si="82">G586</f>
        <v>507</v>
      </c>
      <c r="H585" s="10">
        <f t="shared" si="82"/>
        <v>507</v>
      </c>
    </row>
    <row r="586" spans="1:8" ht="47.25" x14ac:dyDescent="0.25">
      <c r="A586" s="25" t="s">
        <v>885</v>
      </c>
      <c r="B586" s="20" t="s">
        <v>1252</v>
      </c>
      <c r="C586" s="40" t="s">
        <v>315</v>
      </c>
      <c r="D586" s="40" t="s">
        <v>134</v>
      </c>
      <c r="E586" s="40"/>
      <c r="F586" s="2"/>
      <c r="G586" s="10">
        <f t="shared" si="82"/>
        <v>507</v>
      </c>
      <c r="H586" s="10">
        <f t="shared" si="82"/>
        <v>507</v>
      </c>
    </row>
    <row r="587" spans="1:8" ht="94.5" x14ac:dyDescent="0.25">
      <c r="A587" s="25" t="s">
        <v>143</v>
      </c>
      <c r="B587" s="20" t="s">
        <v>1252</v>
      </c>
      <c r="C587" s="40" t="s">
        <v>315</v>
      </c>
      <c r="D587" s="40" t="s">
        <v>134</v>
      </c>
      <c r="E587" s="40" t="s">
        <v>144</v>
      </c>
      <c r="F587" s="2"/>
      <c r="G587" s="10">
        <f t="shared" si="82"/>
        <v>507</v>
      </c>
      <c r="H587" s="10">
        <f t="shared" si="82"/>
        <v>507</v>
      </c>
    </row>
    <row r="588" spans="1:8" ht="31.5" x14ac:dyDescent="0.25">
      <c r="A588" s="25" t="s">
        <v>145</v>
      </c>
      <c r="B588" s="20" t="s">
        <v>1252</v>
      </c>
      <c r="C588" s="40" t="s">
        <v>315</v>
      </c>
      <c r="D588" s="40" t="s">
        <v>134</v>
      </c>
      <c r="E588" s="40" t="s">
        <v>225</v>
      </c>
      <c r="F588" s="2"/>
      <c r="G588" s="10">
        <f>'пр.5.1.ведом.21-22'!G387</f>
        <v>507</v>
      </c>
      <c r="H588" s="10">
        <f>'пр.5.1.ведом.21-22'!H387</f>
        <v>507</v>
      </c>
    </row>
    <row r="589" spans="1:8" ht="47.25" x14ac:dyDescent="0.25">
      <c r="A589" s="25" t="s">
        <v>1269</v>
      </c>
      <c r="B589" s="20" t="s">
        <v>1252</v>
      </c>
      <c r="C589" s="40" t="s">
        <v>315</v>
      </c>
      <c r="D589" s="40" t="s">
        <v>134</v>
      </c>
      <c r="E589" s="40" t="s">
        <v>225</v>
      </c>
      <c r="F589" s="2">
        <v>903</v>
      </c>
      <c r="G589" s="10">
        <f>G588</f>
        <v>507</v>
      </c>
      <c r="H589" s="10">
        <f>H588</f>
        <v>507</v>
      </c>
    </row>
    <row r="590" spans="1:8" ht="31.5" x14ac:dyDescent="0.25">
      <c r="A590" s="23" t="s">
        <v>1163</v>
      </c>
      <c r="B590" s="24" t="s">
        <v>965</v>
      </c>
      <c r="C590" s="7"/>
      <c r="D590" s="7"/>
      <c r="E590" s="7"/>
      <c r="F590" s="3"/>
      <c r="G590" s="59">
        <f>G593+G597</f>
        <v>68.7</v>
      </c>
      <c r="H590" s="59">
        <f>H593+H597</f>
        <v>68.7</v>
      </c>
    </row>
    <row r="591" spans="1:8" ht="15.75" x14ac:dyDescent="0.25">
      <c r="A591" s="68" t="s">
        <v>314</v>
      </c>
      <c r="B591" s="40" t="s">
        <v>965</v>
      </c>
      <c r="C591" s="40" t="s">
        <v>315</v>
      </c>
      <c r="D591" s="40"/>
      <c r="E591" s="40"/>
      <c r="F591" s="74"/>
      <c r="G591" s="10">
        <f t="shared" ref="G591:H591" si="83">G592</f>
        <v>68.7</v>
      </c>
      <c r="H591" s="10">
        <f t="shared" si="83"/>
        <v>68.7</v>
      </c>
    </row>
    <row r="592" spans="1:8" ht="15.75" x14ac:dyDescent="0.25">
      <c r="A592" s="68" t="s">
        <v>316</v>
      </c>
      <c r="B592" s="40" t="s">
        <v>965</v>
      </c>
      <c r="C592" s="40" t="s">
        <v>315</v>
      </c>
      <c r="D592" s="40" t="s">
        <v>134</v>
      </c>
      <c r="E592" s="40"/>
      <c r="F592" s="74"/>
      <c r="G592" s="10">
        <f>G593+G597</f>
        <v>68.7</v>
      </c>
      <c r="H592" s="10">
        <f>H593+H597</f>
        <v>68.7</v>
      </c>
    </row>
    <row r="593" spans="1:8" ht="31.5" x14ac:dyDescent="0.25">
      <c r="A593" s="25" t="s">
        <v>345</v>
      </c>
      <c r="B593" s="20" t="s">
        <v>1253</v>
      </c>
      <c r="C593" s="40" t="s">
        <v>315</v>
      </c>
      <c r="D593" s="40" t="s">
        <v>134</v>
      </c>
      <c r="E593" s="40"/>
      <c r="F593" s="2"/>
      <c r="G593" s="10">
        <f>G594</f>
        <v>3.5</v>
      </c>
      <c r="H593" s="10">
        <f>H594</f>
        <v>3.5</v>
      </c>
    </row>
    <row r="594" spans="1:8" ht="31.5" x14ac:dyDescent="0.25">
      <c r="A594" s="25" t="s">
        <v>147</v>
      </c>
      <c r="B594" s="20" t="s">
        <v>1253</v>
      </c>
      <c r="C594" s="40" t="s">
        <v>315</v>
      </c>
      <c r="D594" s="40" t="s">
        <v>134</v>
      </c>
      <c r="E594" s="40" t="s">
        <v>148</v>
      </c>
      <c r="F594" s="2"/>
      <c r="G594" s="10">
        <f>G595</f>
        <v>3.5</v>
      </c>
      <c r="H594" s="10">
        <f>H595</f>
        <v>3.5</v>
      </c>
    </row>
    <row r="595" spans="1:8" ht="47.25" x14ac:dyDescent="0.25">
      <c r="A595" s="25" t="s">
        <v>149</v>
      </c>
      <c r="B595" s="20" t="s">
        <v>1253</v>
      </c>
      <c r="C595" s="40" t="s">
        <v>315</v>
      </c>
      <c r="D595" s="40" t="s">
        <v>134</v>
      </c>
      <c r="E595" s="40" t="s">
        <v>150</v>
      </c>
      <c r="F595" s="2"/>
      <c r="G595" s="10">
        <f>'пр.5.1.ведом.21-22'!G391</f>
        <v>3.5</v>
      </c>
      <c r="H595" s="10">
        <f>'пр.5.1.ведом.21-22'!H391</f>
        <v>3.5</v>
      </c>
    </row>
    <row r="596" spans="1:8" ht="47.25" x14ac:dyDescent="0.25">
      <c r="A596" s="25" t="s">
        <v>1269</v>
      </c>
      <c r="B596" s="20" t="s">
        <v>1253</v>
      </c>
      <c r="C596" s="40" t="s">
        <v>315</v>
      </c>
      <c r="D596" s="40" t="s">
        <v>134</v>
      </c>
      <c r="E596" s="40" t="s">
        <v>150</v>
      </c>
      <c r="F596" s="2">
        <v>903</v>
      </c>
      <c r="G596" s="10">
        <f>G595</f>
        <v>3.5</v>
      </c>
      <c r="H596" s="10">
        <f>H595</f>
        <v>3.5</v>
      </c>
    </row>
    <row r="597" spans="1:8" ht="31.5" x14ac:dyDescent="0.25">
      <c r="A597" s="25" t="s">
        <v>345</v>
      </c>
      <c r="B597" s="20" t="s">
        <v>1254</v>
      </c>
      <c r="C597" s="40" t="s">
        <v>315</v>
      </c>
      <c r="D597" s="40" t="s">
        <v>134</v>
      </c>
      <c r="E597" s="40"/>
      <c r="F597" s="2"/>
      <c r="G597" s="10">
        <f>G598</f>
        <v>65.2</v>
      </c>
      <c r="H597" s="10">
        <f>H598</f>
        <v>65.2</v>
      </c>
    </row>
    <row r="598" spans="1:8" ht="31.5" x14ac:dyDescent="0.25">
      <c r="A598" s="25" t="s">
        <v>147</v>
      </c>
      <c r="B598" s="20" t="s">
        <v>1254</v>
      </c>
      <c r="C598" s="40" t="s">
        <v>315</v>
      </c>
      <c r="D598" s="40" t="s">
        <v>134</v>
      </c>
      <c r="E598" s="40" t="s">
        <v>148</v>
      </c>
      <c r="F598" s="2"/>
      <c r="G598" s="10">
        <f>G599</f>
        <v>65.2</v>
      </c>
      <c r="H598" s="10">
        <f>H599</f>
        <v>65.2</v>
      </c>
    </row>
    <row r="599" spans="1:8" ht="47.25" x14ac:dyDescent="0.25">
      <c r="A599" s="25" t="s">
        <v>149</v>
      </c>
      <c r="B599" s="20" t="s">
        <v>1254</v>
      </c>
      <c r="C599" s="40" t="s">
        <v>315</v>
      </c>
      <c r="D599" s="40" t="s">
        <v>134</v>
      </c>
      <c r="E599" s="40" t="s">
        <v>150</v>
      </c>
      <c r="F599" s="2"/>
      <c r="G599" s="10">
        <f>'пр.5.1.ведом.21-22'!G394</f>
        <v>65.2</v>
      </c>
      <c r="H599" s="10">
        <f>'пр.5.1.ведом.21-22'!H394</f>
        <v>65.2</v>
      </c>
    </row>
    <row r="600" spans="1:8" ht="47.25" x14ac:dyDescent="0.25">
      <c r="A600" s="25" t="s">
        <v>1269</v>
      </c>
      <c r="B600" s="20" t="s">
        <v>1254</v>
      </c>
      <c r="C600" s="40" t="s">
        <v>315</v>
      </c>
      <c r="D600" s="40" t="s">
        <v>134</v>
      </c>
      <c r="E600" s="40" t="s">
        <v>150</v>
      </c>
      <c r="F600" s="2">
        <v>903</v>
      </c>
      <c r="G600" s="10">
        <f>G599</f>
        <v>65.2</v>
      </c>
      <c r="H600" s="10">
        <f>H599</f>
        <v>65.2</v>
      </c>
    </row>
    <row r="601" spans="1:8" ht="47.25" x14ac:dyDescent="0.25">
      <c r="A601" s="226" t="s">
        <v>971</v>
      </c>
      <c r="B601" s="24" t="s">
        <v>1255</v>
      </c>
      <c r="C601" s="7"/>
      <c r="D601" s="7"/>
      <c r="E601" s="7"/>
      <c r="F601" s="3"/>
      <c r="G601" s="59">
        <f>G602</f>
        <v>1596</v>
      </c>
      <c r="H601" s="59">
        <f>H602</f>
        <v>1596</v>
      </c>
    </row>
    <row r="602" spans="1:8" ht="15.75" x14ac:dyDescent="0.25">
      <c r="A602" s="68" t="s">
        <v>314</v>
      </c>
      <c r="B602" s="40" t="s">
        <v>1255</v>
      </c>
      <c r="C602" s="40" t="s">
        <v>315</v>
      </c>
      <c r="D602" s="40"/>
      <c r="E602" s="40"/>
      <c r="F602" s="74"/>
      <c r="G602" s="10">
        <f t="shared" ref="G602:H602" si="84">G603</f>
        <v>1596</v>
      </c>
      <c r="H602" s="10">
        <f t="shared" si="84"/>
        <v>1596</v>
      </c>
    </row>
    <row r="603" spans="1:8" ht="15.75" x14ac:dyDescent="0.25">
      <c r="A603" s="68" t="s">
        <v>316</v>
      </c>
      <c r="B603" s="40" t="s">
        <v>1255</v>
      </c>
      <c r="C603" s="40" t="s">
        <v>315</v>
      </c>
      <c r="D603" s="40" t="s">
        <v>134</v>
      </c>
      <c r="E603" s="40"/>
      <c r="F603" s="74"/>
      <c r="G603" s="10">
        <f>G608+G612+G604</f>
        <v>1596</v>
      </c>
      <c r="H603" s="328">
        <f>H608+H612+H604</f>
        <v>1596</v>
      </c>
    </row>
    <row r="604" spans="1:8" s="324" customFormat="1" ht="110.25" x14ac:dyDescent="0.25">
      <c r="A604" s="31" t="s">
        <v>309</v>
      </c>
      <c r="B604" s="331" t="s">
        <v>1522</v>
      </c>
      <c r="C604" s="339" t="s">
        <v>315</v>
      </c>
      <c r="D604" s="339" t="s">
        <v>134</v>
      </c>
      <c r="E604" s="339"/>
      <c r="F604" s="2"/>
      <c r="G604" s="328">
        <f>G605</f>
        <v>1276.3</v>
      </c>
      <c r="H604" s="328">
        <f>H605</f>
        <v>1276.3</v>
      </c>
    </row>
    <row r="605" spans="1:8" s="324" customFormat="1" ht="94.5" x14ac:dyDescent="0.25">
      <c r="A605" s="335" t="s">
        <v>143</v>
      </c>
      <c r="B605" s="331" t="s">
        <v>1522</v>
      </c>
      <c r="C605" s="339" t="s">
        <v>315</v>
      </c>
      <c r="D605" s="339" t="s">
        <v>134</v>
      </c>
      <c r="E605" s="339" t="s">
        <v>144</v>
      </c>
      <c r="F605" s="2"/>
      <c r="G605" s="328">
        <f>G606</f>
        <v>1276.3</v>
      </c>
      <c r="H605" s="328">
        <f>H606</f>
        <v>1276.3</v>
      </c>
    </row>
    <row r="606" spans="1:8" s="324" customFormat="1" ht="31.5" x14ac:dyDescent="0.25">
      <c r="A606" s="335" t="s">
        <v>224</v>
      </c>
      <c r="B606" s="331" t="s">
        <v>1522</v>
      </c>
      <c r="C606" s="339" t="s">
        <v>315</v>
      </c>
      <c r="D606" s="339" t="s">
        <v>134</v>
      </c>
      <c r="E606" s="339" t="s">
        <v>225</v>
      </c>
      <c r="F606" s="2"/>
      <c r="G606" s="328">
        <f>'пр.5.1.ведом.21-22'!G398</f>
        <v>1276.3</v>
      </c>
      <c r="H606" s="328">
        <f>'пр.5.1.ведом.21-22'!H398</f>
        <v>1276.3</v>
      </c>
    </row>
    <row r="607" spans="1:8" s="324" customFormat="1" ht="47.25" x14ac:dyDescent="0.25">
      <c r="A607" s="335" t="s">
        <v>1269</v>
      </c>
      <c r="B607" s="331" t="s">
        <v>1522</v>
      </c>
      <c r="C607" s="339" t="s">
        <v>315</v>
      </c>
      <c r="D607" s="339" t="s">
        <v>134</v>
      </c>
      <c r="E607" s="339" t="s">
        <v>225</v>
      </c>
      <c r="F607" s="2">
        <v>903</v>
      </c>
      <c r="G607" s="328">
        <f>G604</f>
        <v>1276.3</v>
      </c>
      <c r="H607" s="328">
        <f>H604</f>
        <v>1276.3</v>
      </c>
    </row>
    <row r="608" spans="1:8" ht="94.5" x14ac:dyDescent="0.25">
      <c r="A608" s="25" t="s">
        <v>347</v>
      </c>
      <c r="B608" s="20" t="s">
        <v>1256</v>
      </c>
      <c r="C608" s="40" t="s">
        <v>315</v>
      </c>
      <c r="D608" s="40" t="s">
        <v>134</v>
      </c>
      <c r="E608" s="40"/>
      <c r="F608" s="2"/>
      <c r="G608" s="10">
        <f>G609</f>
        <v>319.7</v>
      </c>
      <c r="H608" s="10">
        <f>H609</f>
        <v>319.7</v>
      </c>
    </row>
    <row r="609" spans="1:8" ht="94.5" x14ac:dyDescent="0.25">
      <c r="A609" s="25" t="s">
        <v>143</v>
      </c>
      <c r="B609" s="20" t="s">
        <v>1256</v>
      </c>
      <c r="C609" s="40" t="s">
        <v>315</v>
      </c>
      <c r="D609" s="40" t="s">
        <v>134</v>
      </c>
      <c r="E609" s="40" t="s">
        <v>144</v>
      </c>
      <c r="F609" s="2"/>
      <c r="G609" s="10">
        <f>G610</f>
        <v>319.7</v>
      </c>
      <c r="H609" s="10">
        <f>H610</f>
        <v>319.7</v>
      </c>
    </row>
    <row r="610" spans="1:8" ht="31.5" x14ac:dyDescent="0.25">
      <c r="A610" s="25" t="s">
        <v>224</v>
      </c>
      <c r="B610" s="20" t="s">
        <v>1256</v>
      </c>
      <c r="C610" s="40" t="s">
        <v>315</v>
      </c>
      <c r="D610" s="40" t="s">
        <v>134</v>
      </c>
      <c r="E610" s="40" t="s">
        <v>225</v>
      </c>
      <c r="F610" s="2"/>
      <c r="G610" s="10">
        <f>'пр.5.1.ведом.21-22'!G401</f>
        <v>319.7</v>
      </c>
      <c r="H610" s="10">
        <f>'пр.5.1.ведом.21-22'!H401</f>
        <v>319.7</v>
      </c>
    </row>
    <row r="611" spans="1:8" ht="47.25" x14ac:dyDescent="0.25">
      <c r="A611" s="25" t="s">
        <v>1269</v>
      </c>
      <c r="B611" s="20" t="s">
        <v>1256</v>
      </c>
      <c r="C611" s="40" t="s">
        <v>315</v>
      </c>
      <c r="D611" s="40" t="s">
        <v>134</v>
      </c>
      <c r="E611" s="40" t="s">
        <v>225</v>
      </c>
      <c r="F611" s="2">
        <v>903</v>
      </c>
      <c r="G611" s="10">
        <f>G610</f>
        <v>319.7</v>
      </c>
      <c r="H611" s="10">
        <f>H610</f>
        <v>319.7</v>
      </c>
    </row>
    <row r="612" spans="1:8" ht="110.25" hidden="1" x14ac:dyDescent="0.25">
      <c r="A612" s="31" t="s">
        <v>309</v>
      </c>
      <c r="B612" s="20" t="s">
        <v>1257</v>
      </c>
      <c r="C612" s="40" t="s">
        <v>315</v>
      </c>
      <c r="D612" s="40" t="s">
        <v>134</v>
      </c>
      <c r="E612" s="40"/>
      <c r="F612" s="2"/>
      <c r="G612" s="10">
        <f>G613</f>
        <v>0</v>
      </c>
      <c r="H612" s="10">
        <f>H613</f>
        <v>0</v>
      </c>
    </row>
    <row r="613" spans="1:8" ht="94.5" hidden="1" x14ac:dyDescent="0.25">
      <c r="A613" s="25" t="s">
        <v>143</v>
      </c>
      <c r="B613" s="20" t="s">
        <v>1257</v>
      </c>
      <c r="C613" s="40" t="s">
        <v>315</v>
      </c>
      <c r="D613" s="40" t="s">
        <v>134</v>
      </c>
      <c r="E613" s="40" t="s">
        <v>144</v>
      </c>
      <c r="F613" s="2"/>
      <c r="G613" s="10">
        <f>G614</f>
        <v>0</v>
      </c>
      <c r="H613" s="10">
        <f>H614</f>
        <v>0</v>
      </c>
    </row>
    <row r="614" spans="1:8" ht="31.5" hidden="1" x14ac:dyDescent="0.25">
      <c r="A614" s="25" t="s">
        <v>224</v>
      </c>
      <c r="B614" s="20" t="s">
        <v>1257</v>
      </c>
      <c r="C614" s="40" t="s">
        <v>315</v>
      </c>
      <c r="D614" s="40" t="s">
        <v>134</v>
      </c>
      <c r="E614" s="40" t="s">
        <v>225</v>
      </c>
      <c r="F614" s="2"/>
      <c r="G614" s="10">
        <f>'пр.5.1.ведом.21-22'!G404</f>
        <v>0</v>
      </c>
      <c r="H614" s="10">
        <f>'пр.5.1.ведом.21-22'!H404</f>
        <v>0</v>
      </c>
    </row>
    <row r="615" spans="1:8" ht="47.25" hidden="1" x14ac:dyDescent="0.25">
      <c r="A615" s="25" t="s">
        <v>1269</v>
      </c>
      <c r="B615" s="20" t="s">
        <v>1257</v>
      </c>
      <c r="C615" s="40" t="s">
        <v>315</v>
      </c>
      <c r="D615" s="40" t="s">
        <v>134</v>
      </c>
      <c r="E615" s="40" t="s">
        <v>225</v>
      </c>
      <c r="F615" s="2">
        <v>903</v>
      </c>
      <c r="G615" s="10">
        <f>G614</f>
        <v>0</v>
      </c>
      <c r="H615" s="10">
        <f>H614</f>
        <v>0</v>
      </c>
    </row>
    <row r="616" spans="1:8" ht="63" x14ac:dyDescent="0.25">
      <c r="A616" s="23" t="s">
        <v>284</v>
      </c>
      <c r="B616" s="24" t="s">
        <v>285</v>
      </c>
      <c r="C616" s="7"/>
      <c r="D616" s="7"/>
      <c r="E616" s="7"/>
      <c r="F616" s="3"/>
      <c r="G616" s="59">
        <f>G617+G630+G637+G647+G654</f>
        <v>16643.7</v>
      </c>
      <c r="H616" s="59">
        <f>H617+H630+H637+H647+H654</f>
        <v>16643.7</v>
      </c>
    </row>
    <row r="617" spans="1:8" ht="47.25" x14ac:dyDescent="0.25">
      <c r="A617" s="23" t="s">
        <v>941</v>
      </c>
      <c r="B617" s="24" t="s">
        <v>942</v>
      </c>
      <c r="C617" s="7"/>
      <c r="D617" s="7"/>
      <c r="E617" s="7"/>
      <c r="F617" s="3"/>
      <c r="G617" s="59">
        <f t="shared" ref="G617:H619" si="85">G618</f>
        <v>15011</v>
      </c>
      <c r="H617" s="59">
        <f t="shared" si="85"/>
        <v>15011</v>
      </c>
    </row>
    <row r="618" spans="1:8" ht="15.75" x14ac:dyDescent="0.25">
      <c r="A618" s="25" t="s">
        <v>279</v>
      </c>
      <c r="B618" s="20" t="s">
        <v>942</v>
      </c>
      <c r="C618" s="40" t="s">
        <v>280</v>
      </c>
      <c r="D618" s="40"/>
      <c r="E618" s="40"/>
      <c r="F618" s="2"/>
      <c r="G618" s="10">
        <f t="shared" si="85"/>
        <v>15011</v>
      </c>
      <c r="H618" s="10">
        <f t="shared" si="85"/>
        <v>15011</v>
      </c>
    </row>
    <row r="619" spans="1:8" ht="15.75" x14ac:dyDescent="0.25">
      <c r="A619" s="25" t="s">
        <v>281</v>
      </c>
      <c r="B619" s="20" t="s">
        <v>942</v>
      </c>
      <c r="C619" s="40" t="s">
        <v>280</v>
      </c>
      <c r="D619" s="40" t="s">
        <v>231</v>
      </c>
      <c r="E619" s="40"/>
      <c r="F619" s="2"/>
      <c r="G619" s="10">
        <f t="shared" si="85"/>
        <v>15011</v>
      </c>
      <c r="H619" s="10">
        <f t="shared" si="85"/>
        <v>15011</v>
      </c>
    </row>
    <row r="620" spans="1:8" ht="31.5" x14ac:dyDescent="0.25">
      <c r="A620" s="25" t="s">
        <v>832</v>
      </c>
      <c r="B620" s="20" t="s">
        <v>940</v>
      </c>
      <c r="C620" s="40" t="s">
        <v>280</v>
      </c>
      <c r="D620" s="40" t="s">
        <v>231</v>
      </c>
      <c r="E620" s="40"/>
      <c r="F620" s="2"/>
      <c r="G620" s="10">
        <f>G621+G624+G627</f>
        <v>15011</v>
      </c>
      <c r="H620" s="10">
        <f>H621+H624+H627</f>
        <v>15011</v>
      </c>
    </row>
    <row r="621" spans="1:8" ht="94.5" x14ac:dyDescent="0.25">
      <c r="A621" s="25" t="s">
        <v>143</v>
      </c>
      <c r="B621" s="20" t="s">
        <v>940</v>
      </c>
      <c r="C621" s="40" t="s">
        <v>280</v>
      </c>
      <c r="D621" s="40" t="s">
        <v>231</v>
      </c>
      <c r="E621" s="20" t="s">
        <v>144</v>
      </c>
      <c r="F621" s="2"/>
      <c r="G621" s="10">
        <f>G622</f>
        <v>13393</v>
      </c>
      <c r="H621" s="10">
        <f>H622</f>
        <v>13393</v>
      </c>
    </row>
    <row r="622" spans="1:8" ht="31.5" x14ac:dyDescent="0.25">
      <c r="A622" s="46" t="s">
        <v>358</v>
      </c>
      <c r="B622" s="20" t="s">
        <v>940</v>
      </c>
      <c r="C622" s="40" t="s">
        <v>280</v>
      </c>
      <c r="D622" s="40" t="s">
        <v>231</v>
      </c>
      <c r="E622" s="20" t="s">
        <v>225</v>
      </c>
      <c r="F622" s="2"/>
      <c r="G622" s="10">
        <f>'пр.5.1.ведом.21-22'!G284</f>
        <v>13393</v>
      </c>
      <c r="H622" s="10">
        <f>'пр.5.1.ведом.21-22'!H284</f>
        <v>13393</v>
      </c>
    </row>
    <row r="623" spans="1:8" ht="47.25" x14ac:dyDescent="0.25">
      <c r="A623" s="25" t="s">
        <v>1269</v>
      </c>
      <c r="B623" s="20" t="s">
        <v>940</v>
      </c>
      <c r="C623" s="40" t="s">
        <v>280</v>
      </c>
      <c r="D623" s="40" t="s">
        <v>231</v>
      </c>
      <c r="E623" s="20" t="s">
        <v>225</v>
      </c>
      <c r="F623" s="2">
        <v>903</v>
      </c>
      <c r="G623" s="10">
        <f>G622</f>
        <v>13393</v>
      </c>
      <c r="H623" s="10">
        <f>H622</f>
        <v>13393</v>
      </c>
    </row>
    <row r="624" spans="1:8" ht="31.5" x14ac:dyDescent="0.25">
      <c r="A624" s="25" t="s">
        <v>147</v>
      </c>
      <c r="B624" s="20" t="s">
        <v>940</v>
      </c>
      <c r="C624" s="40" t="s">
        <v>280</v>
      </c>
      <c r="D624" s="40" t="s">
        <v>231</v>
      </c>
      <c r="E624" s="20" t="s">
        <v>148</v>
      </c>
      <c r="F624" s="2"/>
      <c r="G624" s="10">
        <f>G625</f>
        <v>1540</v>
      </c>
      <c r="H624" s="10">
        <f>H625</f>
        <v>1540</v>
      </c>
    </row>
    <row r="625" spans="1:8" ht="47.25" x14ac:dyDescent="0.25">
      <c r="A625" s="25" t="s">
        <v>149</v>
      </c>
      <c r="B625" s="20" t="s">
        <v>940</v>
      </c>
      <c r="C625" s="40" t="s">
        <v>280</v>
      </c>
      <c r="D625" s="40" t="s">
        <v>231</v>
      </c>
      <c r="E625" s="20" t="s">
        <v>150</v>
      </c>
      <c r="F625" s="2"/>
      <c r="G625" s="10">
        <f>'пр.5.1.ведом.21-22'!G286</f>
        <v>1540</v>
      </c>
      <c r="H625" s="10">
        <f>'пр.5.1.ведом.21-22'!H286</f>
        <v>1540</v>
      </c>
    </row>
    <row r="626" spans="1:8" ht="47.25" x14ac:dyDescent="0.25">
      <c r="A626" s="25" t="s">
        <v>1269</v>
      </c>
      <c r="B626" s="20" t="s">
        <v>940</v>
      </c>
      <c r="C626" s="40" t="s">
        <v>280</v>
      </c>
      <c r="D626" s="40" t="s">
        <v>231</v>
      </c>
      <c r="E626" s="20" t="s">
        <v>150</v>
      </c>
      <c r="F626" s="2">
        <v>903</v>
      </c>
      <c r="G626" s="10">
        <f>G625</f>
        <v>1540</v>
      </c>
      <c r="H626" s="10">
        <f>H625</f>
        <v>1540</v>
      </c>
    </row>
    <row r="627" spans="1:8" ht="15.75" x14ac:dyDescent="0.25">
      <c r="A627" s="25" t="s">
        <v>151</v>
      </c>
      <c r="B627" s="20" t="s">
        <v>940</v>
      </c>
      <c r="C627" s="40" t="s">
        <v>280</v>
      </c>
      <c r="D627" s="40" t="s">
        <v>231</v>
      </c>
      <c r="E627" s="20" t="s">
        <v>161</v>
      </c>
      <c r="F627" s="2"/>
      <c r="G627" s="10">
        <f>G628</f>
        <v>78</v>
      </c>
      <c r="H627" s="10">
        <f>H628</f>
        <v>78</v>
      </c>
    </row>
    <row r="628" spans="1:8" ht="15.75" x14ac:dyDescent="0.25">
      <c r="A628" s="25" t="s">
        <v>727</v>
      </c>
      <c r="B628" s="20" t="s">
        <v>940</v>
      </c>
      <c r="C628" s="40" t="s">
        <v>280</v>
      </c>
      <c r="D628" s="40" t="s">
        <v>231</v>
      </c>
      <c r="E628" s="20" t="s">
        <v>154</v>
      </c>
      <c r="F628" s="2"/>
      <c r="G628" s="10">
        <f>'пр.5.1.ведом.21-22'!G288</f>
        <v>78</v>
      </c>
      <c r="H628" s="10">
        <f>'пр.5.1.ведом.21-22'!H288</f>
        <v>78</v>
      </c>
    </row>
    <row r="629" spans="1:8" ht="47.25" x14ac:dyDescent="0.25">
      <c r="A629" s="25" t="s">
        <v>1269</v>
      </c>
      <c r="B629" s="20" t="s">
        <v>940</v>
      </c>
      <c r="C629" s="40" t="s">
        <v>280</v>
      </c>
      <c r="D629" s="40" t="s">
        <v>231</v>
      </c>
      <c r="E629" s="20" t="s">
        <v>154</v>
      </c>
      <c r="F629" s="2">
        <v>903</v>
      </c>
      <c r="G629" s="10">
        <f>G628</f>
        <v>78</v>
      </c>
      <c r="H629" s="10">
        <f>H628</f>
        <v>78</v>
      </c>
    </row>
    <row r="630" spans="1:8" ht="47.25" x14ac:dyDescent="0.25">
      <c r="A630" s="224" t="s">
        <v>1189</v>
      </c>
      <c r="B630" s="24" t="s">
        <v>944</v>
      </c>
      <c r="C630" s="7"/>
      <c r="D630" s="7"/>
      <c r="E630" s="24"/>
      <c r="F630" s="3"/>
      <c r="G630" s="59">
        <f>G633</f>
        <v>45</v>
      </c>
      <c r="H630" s="59">
        <f>H633</f>
        <v>45</v>
      </c>
    </row>
    <row r="631" spans="1:8" ht="15.75" x14ac:dyDescent="0.25">
      <c r="A631" s="25" t="s">
        <v>279</v>
      </c>
      <c r="B631" s="20" t="s">
        <v>944</v>
      </c>
      <c r="C631" s="40" t="s">
        <v>280</v>
      </c>
      <c r="D631" s="40"/>
      <c r="E631" s="40"/>
      <c r="F631" s="2"/>
      <c r="G631" s="10">
        <f t="shared" ref="G631:H634" si="86">G632</f>
        <v>45</v>
      </c>
      <c r="H631" s="10">
        <f t="shared" si="86"/>
        <v>45</v>
      </c>
    </row>
    <row r="632" spans="1:8" ht="15.75" x14ac:dyDescent="0.25">
      <c r="A632" s="25" t="s">
        <v>281</v>
      </c>
      <c r="B632" s="20" t="s">
        <v>944</v>
      </c>
      <c r="C632" s="40" t="s">
        <v>280</v>
      </c>
      <c r="D632" s="40" t="s">
        <v>231</v>
      </c>
      <c r="E632" s="40"/>
      <c r="F632" s="2"/>
      <c r="G632" s="10">
        <f t="shared" si="86"/>
        <v>45</v>
      </c>
      <c r="H632" s="10">
        <f t="shared" si="86"/>
        <v>45</v>
      </c>
    </row>
    <row r="633" spans="1:8" ht="31.5" x14ac:dyDescent="0.25">
      <c r="A633" s="208" t="s">
        <v>831</v>
      </c>
      <c r="B633" s="20" t="s">
        <v>943</v>
      </c>
      <c r="C633" s="40" t="s">
        <v>280</v>
      </c>
      <c r="D633" s="40" t="s">
        <v>231</v>
      </c>
      <c r="E633" s="20"/>
      <c r="F633" s="2"/>
      <c r="G633" s="10">
        <f t="shared" si="86"/>
        <v>45</v>
      </c>
      <c r="H633" s="10">
        <f t="shared" si="86"/>
        <v>45</v>
      </c>
    </row>
    <row r="634" spans="1:8" ht="31.5" x14ac:dyDescent="0.25">
      <c r="A634" s="25" t="s">
        <v>264</v>
      </c>
      <c r="B634" s="20" t="s">
        <v>943</v>
      </c>
      <c r="C634" s="40" t="s">
        <v>280</v>
      </c>
      <c r="D634" s="40" t="s">
        <v>231</v>
      </c>
      <c r="E634" s="20" t="s">
        <v>265</v>
      </c>
      <c r="F634" s="2"/>
      <c r="G634" s="10">
        <f t="shared" si="86"/>
        <v>45</v>
      </c>
      <c r="H634" s="10">
        <f t="shared" si="86"/>
        <v>45</v>
      </c>
    </row>
    <row r="635" spans="1:8" ht="15.75" x14ac:dyDescent="0.25">
      <c r="A635" s="25" t="s">
        <v>865</v>
      </c>
      <c r="B635" s="20" t="s">
        <v>943</v>
      </c>
      <c r="C635" s="40" t="s">
        <v>280</v>
      </c>
      <c r="D635" s="40" t="s">
        <v>231</v>
      </c>
      <c r="E635" s="20" t="s">
        <v>864</v>
      </c>
      <c r="F635" s="2"/>
      <c r="G635" s="10">
        <f>'пр.5.1.ведом.21-22'!G292</f>
        <v>45</v>
      </c>
      <c r="H635" s="10">
        <f>'пр.5.1.ведом.21-22'!H292</f>
        <v>45</v>
      </c>
    </row>
    <row r="636" spans="1:8" ht="47.25" x14ac:dyDescent="0.25">
      <c r="A636" s="25" t="s">
        <v>1269</v>
      </c>
      <c r="B636" s="20" t="s">
        <v>943</v>
      </c>
      <c r="C636" s="40" t="s">
        <v>280</v>
      </c>
      <c r="D636" s="40" t="s">
        <v>231</v>
      </c>
      <c r="E636" s="20" t="s">
        <v>864</v>
      </c>
      <c r="F636" s="2">
        <v>903</v>
      </c>
      <c r="G636" s="10">
        <f>G635</f>
        <v>45</v>
      </c>
      <c r="H636" s="10">
        <f>H635</f>
        <v>45</v>
      </c>
    </row>
    <row r="637" spans="1:8" ht="47.25" x14ac:dyDescent="0.25">
      <c r="A637" s="229" t="s">
        <v>1168</v>
      </c>
      <c r="B637" s="24" t="s">
        <v>945</v>
      </c>
      <c r="C637" s="7"/>
      <c r="D637" s="7"/>
      <c r="E637" s="24"/>
      <c r="F637" s="3"/>
      <c r="G637" s="59">
        <f>G640</f>
        <v>250</v>
      </c>
      <c r="H637" s="59">
        <f>H640</f>
        <v>250</v>
      </c>
    </row>
    <row r="638" spans="1:8" ht="15.75" x14ac:dyDescent="0.25">
      <c r="A638" s="25" t="s">
        <v>279</v>
      </c>
      <c r="B638" s="20" t="s">
        <v>945</v>
      </c>
      <c r="C638" s="40" t="s">
        <v>280</v>
      </c>
      <c r="D638" s="40"/>
      <c r="E638" s="40"/>
      <c r="F638" s="2"/>
      <c r="G638" s="10">
        <f>G639</f>
        <v>250</v>
      </c>
      <c r="H638" s="10">
        <f>H639</f>
        <v>250</v>
      </c>
    </row>
    <row r="639" spans="1:8" ht="15.75" x14ac:dyDescent="0.25">
      <c r="A639" s="25" t="s">
        <v>281</v>
      </c>
      <c r="B639" s="20" t="s">
        <v>945</v>
      </c>
      <c r="C639" s="40" t="s">
        <v>280</v>
      </c>
      <c r="D639" s="40" t="s">
        <v>231</v>
      </c>
      <c r="E639" s="40"/>
      <c r="F639" s="2"/>
      <c r="G639" s="10">
        <f>G640</f>
        <v>250</v>
      </c>
      <c r="H639" s="10">
        <f>H640</f>
        <v>250</v>
      </c>
    </row>
    <row r="640" spans="1:8" ht="36.75" customHeight="1" x14ac:dyDescent="0.25">
      <c r="A640" s="31" t="s">
        <v>860</v>
      </c>
      <c r="B640" s="20" t="s">
        <v>946</v>
      </c>
      <c r="C640" s="40" t="s">
        <v>280</v>
      </c>
      <c r="D640" s="40" t="s">
        <v>231</v>
      </c>
      <c r="E640" s="20"/>
      <c r="F640" s="2"/>
      <c r="G640" s="10">
        <f>G641+G644</f>
        <v>250</v>
      </c>
      <c r="H640" s="10">
        <f>H641+H644</f>
        <v>250</v>
      </c>
    </row>
    <row r="641" spans="1:8" ht="94.5" x14ac:dyDescent="0.25">
      <c r="A641" s="25" t="s">
        <v>143</v>
      </c>
      <c r="B641" s="20" t="s">
        <v>946</v>
      </c>
      <c r="C641" s="40" t="s">
        <v>280</v>
      </c>
      <c r="D641" s="40" t="s">
        <v>231</v>
      </c>
      <c r="E641" s="20" t="s">
        <v>144</v>
      </c>
      <c r="F641" s="2"/>
      <c r="G641" s="10">
        <f>G642</f>
        <v>250</v>
      </c>
      <c r="H641" s="10">
        <f>H642</f>
        <v>250</v>
      </c>
    </row>
    <row r="642" spans="1:8" ht="31.5" x14ac:dyDescent="0.25">
      <c r="A642" s="46" t="s">
        <v>358</v>
      </c>
      <c r="B642" s="20" t="s">
        <v>946</v>
      </c>
      <c r="C642" s="40" t="s">
        <v>280</v>
      </c>
      <c r="D642" s="40" t="s">
        <v>231</v>
      </c>
      <c r="E642" s="20" t="s">
        <v>225</v>
      </c>
      <c r="F642" s="2"/>
      <c r="G642" s="10">
        <f>'пр.5.1.ведом.21-22'!G296</f>
        <v>250</v>
      </c>
      <c r="H642" s="10">
        <f>'пр.5.1.ведом.21-22'!H296</f>
        <v>250</v>
      </c>
    </row>
    <row r="643" spans="1:8" ht="47.25" x14ac:dyDescent="0.25">
      <c r="A643" s="25" t="s">
        <v>1269</v>
      </c>
      <c r="B643" s="20" t="s">
        <v>946</v>
      </c>
      <c r="C643" s="40" t="s">
        <v>280</v>
      </c>
      <c r="D643" s="40" t="s">
        <v>231</v>
      </c>
      <c r="E643" s="20" t="s">
        <v>225</v>
      </c>
      <c r="F643" s="2">
        <v>903</v>
      </c>
      <c r="G643" s="10">
        <f>G642</f>
        <v>250</v>
      </c>
      <c r="H643" s="10">
        <f>H642</f>
        <v>250</v>
      </c>
    </row>
    <row r="644" spans="1:8" ht="31.5" hidden="1" x14ac:dyDescent="0.25">
      <c r="A644" s="25" t="s">
        <v>147</v>
      </c>
      <c r="B644" s="20" t="s">
        <v>946</v>
      </c>
      <c r="C644" s="40" t="s">
        <v>280</v>
      </c>
      <c r="D644" s="40" t="s">
        <v>231</v>
      </c>
      <c r="E644" s="20" t="s">
        <v>148</v>
      </c>
      <c r="F644" s="2"/>
      <c r="G644" s="10">
        <f>G645</f>
        <v>0</v>
      </c>
      <c r="H644" s="10">
        <f>H645</f>
        <v>0</v>
      </c>
    </row>
    <row r="645" spans="1:8" ht="47.25" hidden="1" x14ac:dyDescent="0.25">
      <c r="A645" s="25" t="s">
        <v>149</v>
      </c>
      <c r="B645" s="20" t="s">
        <v>946</v>
      </c>
      <c r="C645" s="40" t="s">
        <v>280</v>
      </c>
      <c r="D645" s="40" t="s">
        <v>231</v>
      </c>
      <c r="E645" s="20" t="s">
        <v>150</v>
      </c>
      <c r="F645" s="2"/>
      <c r="G645" s="10">
        <f>'пр.5.1.ведом.21-22'!G298</f>
        <v>0</v>
      </c>
      <c r="H645" s="10">
        <f>'пр.5.1.ведом.21-22'!H298</f>
        <v>0</v>
      </c>
    </row>
    <row r="646" spans="1:8" ht="47.25" hidden="1" x14ac:dyDescent="0.25">
      <c r="A646" s="25" t="s">
        <v>1269</v>
      </c>
      <c r="B646" s="20" t="s">
        <v>946</v>
      </c>
      <c r="C646" s="40" t="s">
        <v>280</v>
      </c>
      <c r="D646" s="40" t="s">
        <v>231</v>
      </c>
      <c r="E646" s="20" t="s">
        <v>150</v>
      </c>
      <c r="F646" s="2">
        <v>903</v>
      </c>
      <c r="G646" s="10">
        <f>G645</f>
        <v>0</v>
      </c>
      <c r="H646" s="10">
        <f>H645</f>
        <v>0</v>
      </c>
    </row>
    <row r="647" spans="1:8" ht="47.25" x14ac:dyDescent="0.25">
      <c r="A647" s="23" t="s">
        <v>1076</v>
      </c>
      <c r="B647" s="24" t="s">
        <v>951</v>
      </c>
      <c r="C647" s="7"/>
      <c r="D647" s="7"/>
      <c r="E647" s="24"/>
      <c r="F647" s="3"/>
      <c r="G647" s="59">
        <f>G650</f>
        <v>336</v>
      </c>
      <c r="H647" s="59">
        <f>H650</f>
        <v>336</v>
      </c>
    </row>
    <row r="648" spans="1:8" ht="15.75" x14ac:dyDescent="0.25">
      <c r="A648" s="25" t="s">
        <v>279</v>
      </c>
      <c r="B648" s="20" t="s">
        <v>951</v>
      </c>
      <c r="C648" s="40" t="s">
        <v>280</v>
      </c>
      <c r="D648" s="40"/>
      <c r="E648" s="40"/>
      <c r="F648" s="2"/>
      <c r="G648" s="10">
        <f t="shared" ref="G648:H651" si="87">G649</f>
        <v>336</v>
      </c>
      <c r="H648" s="10">
        <f t="shared" si="87"/>
        <v>336</v>
      </c>
    </row>
    <row r="649" spans="1:8" ht="15.75" x14ac:dyDescent="0.25">
      <c r="A649" s="25" t="s">
        <v>281</v>
      </c>
      <c r="B649" s="20" t="s">
        <v>951</v>
      </c>
      <c r="C649" s="40" t="s">
        <v>280</v>
      </c>
      <c r="D649" s="40" t="s">
        <v>231</v>
      </c>
      <c r="E649" s="40"/>
      <c r="F649" s="2"/>
      <c r="G649" s="10">
        <f t="shared" si="87"/>
        <v>336</v>
      </c>
      <c r="H649" s="10">
        <f t="shared" si="87"/>
        <v>336</v>
      </c>
    </row>
    <row r="650" spans="1:8" ht="47.25" x14ac:dyDescent="0.25">
      <c r="A650" s="25" t="s">
        <v>885</v>
      </c>
      <c r="B650" s="20" t="s">
        <v>1263</v>
      </c>
      <c r="C650" s="40" t="s">
        <v>280</v>
      </c>
      <c r="D650" s="40" t="s">
        <v>231</v>
      </c>
      <c r="E650" s="20"/>
      <c r="F650" s="2"/>
      <c r="G650" s="10">
        <f t="shared" si="87"/>
        <v>336</v>
      </c>
      <c r="H650" s="10">
        <f t="shared" si="87"/>
        <v>336</v>
      </c>
    </row>
    <row r="651" spans="1:8" ht="94.5" x14ac:dyDescent="0.25">
      <c r="A651" s="25" t="s">
        <v>143</v>
      </c>
      <c r="B651" s="20" t="s">
        <v>1263</v>
      </c>
      <c r="C651" s="40" t="s">
        <v>280</v>
      </c>
      <c r="D651" s="40" t="s">
        <v>231</v>
      </c>
      <c r="E651" s="20" t="s">
        <v>144</v>
      </c>
      <c r="F651" s="2"/>
      <c r="G651" s="10">
        <f t="shared" si="87"/>
        <v>336</v>
      </c>
      <c r="H651" s="10">
        <f t="shared" si="87"/>
        <v>336</v>
      </c>
    </row>
    <row r="652" spans="1:8" ht="31.5" x14ac:dyDescent="0.25">
      <c r="A652" s="25" t="s">
        <v>145</v>
      </c>
      <c r="B652" s="20" t="s">
        <v>1263</v>
      </c>
      <c r="C652" s="40" t="s">
        <v>280</v>
      </c>
      <c r="D652" s="40" t="s">
        <v>231</v>
      </c>
      <c r="E652" s="20" t="s">
        <v>225</v>
      </c>
      <c r="F652" s="2"/>
      <c r="G652" s="10">
        <f>'пр.5.1.ведом.21-22'!G302</f>
        <v>336</v>
      </c>
      <c r="H652" s="10">
        <f>'пр.5.1.ведом.21-22'!H302</f>
        <v>336</v>
      </c>
    </row>
    <row r="653" spans="1:8" ht="47.25" x14ac:dyDescent="0.25">
      <c r="A653" s="25" t="s">
        <v>1269</v>
      </c>
      <c r="B653" s="20" t="s">
        <v>1263</v>
      </c>
      <c r="C653" s="40" t="s">
        <v>280</v>
      </c>
      <c r="D653" s="40" t="s">
        <v>231</v>
      </c>
      <c r="E653" s="20" t="s">
        <v>225</v>
      </c>
      <c r="F653" s="2">
        <v>903</v>
      </c>
      <c r="G653" s="10">
        <f>G652</f>
        <v>336</v>
      </c>
      <c r="H653" s="10">
        <f>H652</f>
        <v>336</v>
      </c>
    </row>
    <row r="654" spans="1:8" ht="47.25" x14ac:dyDescent="0.25">
      <c r="A654" s="23" t="s">
        <v>971</v>
      </c>
      <c r="B654" s="24" t="s">
        <v>1264</v>
      </c>
      <c r="C654" s="7"/>
      <c r="D654" s="7"/>
      <c r="E654" s="24"/>
      <c r="F654" s="3"/>
      <c r="G654" s="59">
        <f>G661+G665+G669+G657</f>
        <v>1001.7</v>
      </c>
      <c r="H654" s="340">
        <f>H661+H665+H669+H657</f>
        <v>1001.7</v>
      </c>
    </row>
    <row r="655" spans="1:8" ht="15.75" x14ac:dyDescent="0.25">
      <c r="A655" s="25" t="s">
        <v>279</v>
      </c>
      <c r="B655" s="20" t="s">
        <v>1264</v>
      </c>
      <c r="C655" s="40" t="s">
        <v>280</v>
      </c>
      <c r="D655" s="40"/>
      <c r="E655" s="40"/>
      <c r="F655" s="2"/>
      <c r="G655" s="10">
        <f>G656</f>
        <v>1001.7</v>
      </c>
      <c r="H655" s="10">
        <f>H656</f>
        <v>1001.7</v>
      </c>
    </row>
    <row r="656" spans="1:8" ht="15.75" x14ac:dyDescent="0.25">
      <c r="A656" s="25" t="s">
        <v>281</v>
      </c>
      <c r="B656" s="20" t="s">
        <v>1264</v>
      </c>
      <c r="C656" s="40" t="s">
        <v>280</v>
      </c>
      <c r="D656" s="40" t="s">
        <v>231</v>
      </c>
      <c r="E656" s="40"/>
      <c r="F656" s="2"/>
      <c r="G656" s="10">
        <f>G661+G665+G669+G657</f>
        <v>1001.7</v>
      </c>
      <c r="H656" s="10">
        <f>H661+H665+H669+H657</f>
        <v>1001.7</v>
      </c>
    </row>
    <row r="657" spans="1:8" s="324" customFormat="1" ht="110.25" x14ac:dyDescent="0.25">
      <c r="A657" s="31" t="s">
        <v>309</v>
      </c>
      <c r="B657" s="331" t="s">
        <v>1518</v>
      </c>
      <c r="C657" s="339" t="s">
        <v>280</v>
      </c>
      <c r="D657" s="339" t="s">
        <v>231</v>
      </c>
      <c r="E657" s="331"/>
      <c r="F657" s="2"/>
      <c r="G657" s="328">
        <f>G658</f>
        <v>602.5</v>
      </c>
      <c r="H657" s="328">
        <f>H658</f>
        <v>602.5</v>
      </c>
    </row>
    <row r="658" spans="1:8" s="324" customFormat="1" ht="94.5" x14ac:dyDescent="0.25">
      <c r="A658" s="335" t="s">
        <v>143</v>
      </c>
      <c r="B658" s="331" t="s">
        <v>1518</v>
      </c>
      <c r="C658" s="339" t="s">
        <v>280</v>
      </c>
      <c r="D658" s="339" t="s">
        <v>231</v>
      </c>
      <c r="E658" s="331" t="s">
        <v>144</v>
      </c>
      <c r="F658" s="2"/>
      <c r="G658" s="328">
        <f>G659</f>
        <v>602.5</v>
      </c>
      <c r="H658" s="328">
        <f>H659</f>
        <v>602.5</v>
      </c>
    </row>
    <row r="659" spans="1:8" s="324" customFormat="1" ht="31.5" x14ac:dyDescent="0.25">
      <c r="A659" s="46" t="s">
        <v>358</v>
      </c>
      <c r="B659" s="331" t="s">
        <v>1518</v>
      </c>
      <c r="C659" s="339" t="s">
        <v>280</v>
      </c>
      <c r="D659" s="339" t="s">
        <v>231</v>
      </c>
      <c r="E659" s="331" t="s">
        <v>225</v>
      </c>
      <c r="F659" s="2"/>
      <c r="G659" s="328">
        <f>'пр.5.1.ведом.21-22'!G306</f>
        <v>602.5</v>
      </c>
      <c r="H659" s="328">
        <f>'пр.5.1.ведом.21-22'!H306</f>
        <v>602.5</v>
      </c>
    </row>
    <row r="660" spans="1:8" s="324" customFormat="1" ht="47.25" x14ac:dyDescent="0.25">
      <c r="A660" s="335" t="s">
        <v>1269</v>
      </c>
      <c r="B660" s="331" t="s">
        <v>1518</v>
      </c>
      <c r="C660" s="339" t="s">
        <v>280</v>
      </c>
      <c r="D660" s="339" t="s">
        <v>231</v>
      </c>
      <c r="E660" s="331" t="s">
        <v>225</v>
      </c>
      <c r="F660" s="2">
        <v>903</v>
      </c>
      <c r="G660" s="328">
        <f>G657</f>
        <v>602.5</v>
      </c>
      <c r="H660" s="328">
        <f>H657</f>
        <v>602.5</v>
      </c>
    </row>
    <row r="661" spans="1:8" ht="78.75" x14ac:dyDescent="0.25">
      <c r="A661" s="31" t="s">
        <v>305</v>
      </c>
      <c r="B661" s="20" t="s">
        <v>1265</v>
      </c>
      <c r="C661" s="40" t="s">
        <v>280</v>
      </c>
      <c r="D661" s="40" t="s">
        <v>231</v>
      </c>
      <c r="E661" s="20"/>
      <c r="F661" s="2"/>
      <c r="G661" s="10">
        <f>G662</f>
        <v>100.8</v>
      </c>
      <c r="H661" s="10">
        <f>H662</f>
        <v>100.8</v>
      </c>
    </row>
    <row r="662" spans="1:8" ht="94.5" x14ac:dyDescent="0.25">
      <c r="A662" s="25" t="s">
        <v>143</v>
      </c>
      <c r="B662" s="20" t="s">
        <v>1265</v>
      </c>
      <c r="C662" s="40" t="s">
        <v>280</v>
      </c>
      <c r="D662" s="40" t="s">
        <v>231</v>
      </c>
      <c r="E662" s="20" t="s">
        <v>144</v>
      </c>
      <c r="F662" s="2"/>
      <c r="G662" s="10">
        <f>G663</f>
        <v>100.8</v>
      </c>
      <c r="H662" s="10">
        <f>H663</f>
        <v>100.8</v>
      </c>
    </row>
    <row r="663" spans="1:8" ht="31.5" x14ac:dyDescent="0.25">
      <c r="A663" s="46" t="s">
        <v>358</v>
      </c>
      <c r="B663" s="20" t="s">
        <v>1265</v>
      </c>
      <c r="C663" s="40" t="s">
        <v>280</v>
      </c>
      <c r="D663" s="40" t="s">
        <v>231</v>
      </c>
      <c r="E663" s="20" t="s">
        <v>225</v>
      </c>
      <c r="F663" s="2"/>
      <c r="G663" s="10">
        <f>'пр.5.1.ведом.21-22'!G309</f>
        <v>100.8</v>
      </c>
      <c r="H663" s="10">
        <f>'пр.5.1.ведом.21-22'!H309</f>
        <v>100.8</v>
      </c>
    </row>
    <row r="664" spans="1:8" ht="47.25" x14ac:dyDescent="0.25">
      <c r="A664" s="25" t="s">
        <v>1269</v>
      </c>
      <c r="B664" s="20" t="s">
        <v>1265</v>
      </c>
      <c r="C664" s="40" t="s">
        <v>280</v>
      </c>
      <c r="D664" s="40" t="s">
        <v>231</v>
      </c>
      <c r="E664" s="20" t="s">
        <v>225</v>
      </c>
      <c r="F664" s="2">
        <v>903</v>
      </c>
      <c r="G664" s="10">
        <f>G663</f>
        <v>100.8</v>
      </c>
      <c r="H664" s="10">
        <f>H663</f>
        <v>100.8</v>
      </c>
    </row>
    <row r="665" spans="1:8" ht="94.5" x14ac:dyDescent="0.25">
      <c r="A665" s="31" t="s">
        <v>307</v>
      </c>
      <c r="B665" s="20" t="s">
        <v>1266</v>
      </c>
      <c r="C665" s="40" t="s">
        <v>280</v>
      </c>
      <c r="D665" s="40" t="s">
        <v>231</v>
      </c>
      <c r="E665" s="20"/>
      <c r="F665" s="2"/>
      <c r="G665" s="10">
        <f>G666</f>
        <v>298.39999999999998</v>
      </c>
      <c r="H665" s="10">
        <f>H666</f>
        <v>298.39999999999998</v>
      </c>
    </row>
    <row r="666" spans="1:8" ht="94.5" x14ac:dyDescent="0.25">
      <c r="A666" s="25" t="s">
        <v>143</v>
      </c>
      <c r="B666" s="20" t="s">
        <v>1266</v>
      </c>
      <c r="C666" s="40" t="s">
        <v>280</v>
      </c>
      <c r="D666" s="40" t="s">
        <v>231</v>
      </c>
      <c r="E666" s="20" t="s">
        <v>144</v>
      </c>
      <c r="F666" s="2"/>
      <c r="G666" s="10">
        <f>G667</f>
        <v>298.39999999999998</v>
      </c>
      <c r="H666" s="10">
        <f>H667</f>
        <v>298.39999999999998</v>
      </c>
    </row>
    <row r="667" spans="1:8" ht="31.5" x14ac:dyDescent="0.25">
      <c r="A667" s="46" t="s">
        <v>358</v>
      </c>
      <c r="B667" s="20" t="s">
        <v>1266</v>
      </c>
      <c r="C667" s="40" t="s">
        <v>280</v>
      </c>
      <c r="D667" s="40" t="s">
        <v>231</v>
      </c>
      <c r="E667" s="20" t="s">
        <v>225</v>
      </c>
      <c r="F667" s="2"/>
      <c r="G667" s="10">
        <f>'пр.5.1.ведом.21-22'!G312</f>
        <v>298.39999999999998</v>
      </c>
      <c r="H667" s="10">
        <f>'пр.5.1.ведом.21-22'!H312</f>
        <v>298.39999999999998</v>
      </c>
    </row>
    <row r="668" spans="1:8" ht="47.25" x14ac:dyDescent="0.25">
      <c r="A668" s="25" t="s">
        <v>1269</v>
      </c>
      <c r="B668" s="20" t="s">
        <v>1266</v>
      </c>
      <c r="C668" s="40" t="s">
        <v>280</v>
      </c>
      <c r="D668" s="40" t="s">
        <v>231</v>
      </c>
      <c r="E668" s="20" t="s">
        <v>225</v>
      </c>
      <c r="F668" s="2">
        <v>903</v>
      </c>
      <c r="G668" s="10">
        <f>G667</f>
        <v>298.39999999999998</v>
      </c>
      <c r="H668" s="10">
        <f>H667</f>
        <v>298.39999999999998</v>
      </c>
    </row>
    <row r="669" spans="1:8" ht="110.25" hidden="1" x14ac:dyDescent="0.25">
      <c r="A669" s="31" t="s">
        <v>309</v>
      </c>
      <c r="B669" s="20" t="s">
        <v>1267</v>
      </c>
      <c r="C669" s="40" t="s">
        <v>280</v>
      </c>
      <c r="D669" s="40" t="s">
        <v>231</v>
      </c>
      <c r="E669" s="20"/>
      <c r="F669" s="2"/>
      <c r="G669" s="10">
        <f>G670</f>
        <v>0</v>
      </c>
      <c r="H669" s="10">
        <f>H670</f>
        <v>0</v>
      </c>
    </row>
    <row r="670" spans="1:8" ht="94.5" hidden="1" x14ac:dyDescent="0.25">
      <c r="A670" s="25" t="s">
        <v>143</v>
      </c>
      <c r="B670" s="20" t="s">
        <v>1267</v>
      </c>
      <c r="C670" s="40" t="s">
        <v>280</v>
      </c>
      <c r="D670" s="40" t="s">
        <v>231</v>
      </c>
      <c r="E670" s="20" t="s">
        <v>144</v>
      </c>
      <c r="F670" s="2"/>
      <c r="G670" s="10">
        <f>G671</f>
        <v>0</v>
      </c>
      <c r="H670" s="10">
        <f>H671</f>
        <v>0</v>
      </c>
    </row>
    <row r="671" spans="1:8" ht="31.5" hidden="1" x14ac:dyDescent="0.25">
      <c r="A671" s="46" t="s">
        <v>358</v>
      </c>
      <c r="B671" s="20" t="s">
        <v>1267</v>
      </c>
      <c r="C671" s="40" t="s">
        <v>280</v>
      </c>
      <c r="D671" s="40" t="s">
        <v>231</v>
      </c>
      <c r="E671" s="20" t="s">
        <v>225</v>
      </c>
      <c r="F671" s="2"/>
      <c r="G671" s="10">
        <f>'пр.5.1.ведом.21-22'!G315</f>
        <v>0</v>
      </c>
      <c r="H671" s="10">
        <f>'пр.5.1.ведом.21-22'!H315</f>
        <v>0</v>
      </c>
    </row>
    <row r="672" spans="1:8" ht="47.25" hidden="1" x14ac:dyDescent="0.25">
      <c r="A672" s="25" t="s">
        <v>1269</v>
      </c>
      <c r="B672" s="20" t="s">
        <v>1267</v>
      </c>
      <c r="C672" s="40" t="s">
        <v>280</v>
      </c>
      <c r="D672" s="40" t="s">
        <v>231</v>
      </c>
      <c r="E672" s="20" t="s">
        <v>225</v>
      </c>
      <c r="F672" s="2">
        <v>903</v>
      </c>
      <c r="G672" s="10">
        <f>G671</f>
        <v>0</v>
      </c>
      <c r="H672" s="10">
        <f>H671</f>
        <v>0</v>
      </c>
    </row>
    <row r="673" spans="1:8" ht="78.75" hidden="1" x14ac:dyDescent="0.25">
      <c r="A673" s="41" t="s">
        <v>821</v>
      </c>
      <c r="B673" s="7" t="s">
        <v>340</v>
      </c>
      <c r="C673" s="72"/>
      <c r="D673" s="72"/>
      <c r="E673" s="72"/>
      <c r="F673" s="72"/>
      <c r="G673" s="59">
        <f>G674</f>
        <v>0</v>
      </c>
      <c r="H673" s="59">
        <f>H674</f>
        <v>0</v>
      </c>
    </row>
    <row r="674" spans="1:8" ht="63" hidden="1" x14ac:dyDescent="0.25">
      <c r="A674" s="34" t="s">
        <v>1191</v>
      </c>
      <c r="B674" s="7" t="s">
        <v>1025</v>
      </c>
      <c r="C674" s="7"/>
      <c r="D674" s="7"/>
      <c r="E674" s="72"/>
      <c r="F674" s="72"/>
      <c r="G674" s="59">
        <f>G675+G681+G692+G698</f>
        <v>0</v>
      </c>
      <c r="H674" s="59">
        <f>H675+H681+H692+H698</f>
        <v>0</v>
      </c>
    </row>
    <row r="675" spans="1:8" ht="15.75" hidden="1" x14ac:dyDescent="0.25">
      <c r="A675" s="31" t="s">
        <v>406</v>
      </c>
      <c r="B675" s="40" t="s">
        <v>1025</v>
      </c>
      <c r="C675" s="40" t="s">
        <v>250</v>
      </c>
      <c r="D675" s="40"/>
      <c r="E675" s="72"/>
      <c r="F675" s="72"/>
      <c r="G675" s="10">
        <f t="shared" ref="G675:H678" si="88">G676</f>
        <v>0</v>
      </c>
      <c r="H675" s="10">
        <f t="shared" si="88"/>
        <v>0</v>
      </c>
    </row>
    <row r="676" spans="1:8" ht="31.5" hidden="1" x14ac:dyDescent="0.25">
      <c r="A676" s="31" t="s">
        <v>585</v>
      </c>
      <c r="B676" s="40" t="s">
        <v>1025</v>
      </c>
      <c r="C676" s="40" t="s">
        <v>250</v>
      </c>
      <c r="D676" s="40" t="s">
        <v>250</v>
      </c>
      <c r="E676" s="72"/>
      <c r="F676" s="72"/>
      <c r="G676" s="10">
        <f t="shared" si="88"/>
        <v>0</v>
      </c>
      <c r="H676" s="10">
        <f t="shared" si="88"/>
        <v>0</v>
      </c>
    </row>
    <row r="677" spans="1:8" ht="47.25" hidden="1" x14ac:dyDescent="0.25">
      <c r="A677" s="31" t="s">
        <v>1273</v>
      </c>
      <c r="B677" s="20" t="s">
        <v>1192</v>
      </c>
      <c r="C677" s="40" t="s">
        <v>250</v>
      </c>
      <c r="D677" s="40" t="s">
        <v>250</v>
      </c>
      <c r="E677" s="72"/>
      <c r="F677" s="72"/>
      <c r="G677" s="10">
        <f t="shared" si="88"/>
        <v>0</v>
      </c>
      <c r="H677" s="10">
        <f t="shared" si="88"/>
        <v>0</v>
      </c>
    </row>
    <row r="678" spans="1:8" ht="31.5" hidden="1" x14ac:dyDescent="0.25">
      <c r="A678" s="25" t="s">
        <v>147</v>
      </c>
      <c r="B678" s="20" t="s">
        <v>1192</v>
      </c>
      <c r="C678" s="40" t="s">
        <v>250</v>
      </c>
      <c r="D678" s="40" t="s">
        <v>250</v>
      </c>
      <c r="E678" s="2">
        <v>200</v>
      </c>
      <c r="F678" s="72"/>
      <c r="G678" s="10">
        <f t="shared" si="88"/>
        <v>0</v>
      </c>
      <c r="H678" s="10">
        <f t="shared" si="88"/>
        <v>0</v>
      </c>
    </row>
    <row r="679" spans="1:8" ht="47.25" hidden="1" x14ac:dyDescent="0.25">
      <c r="A679" s="25" t="s">
        <v>149</v>
      </c>
      <c r="B679" s="20" t="s">
        <v>1192</v>
      </c>
      <c r="C679" s="40" t="s">
        <v>250</v>
      </c>
      <c r="D679" s="40" t="s">
        <v>250</v>
      </c>
      <c r="E679" s="2">
        <v>240</v>
      </c>
      <c r="F679" s="72"/>
      <c r="G679" s="10">
        <f>'пр.5.1.ведом.21-22'!G1053</f>
        <v>0</v>
      </c>
      <c r="H679" s="10">
        <f>'пр.5.1.ведом.21-22'!H1053</f>
        <v>0</v>
      </c>
    </row>
    <row r="680" spans="1:8" ht="63" hidden="1" x14ac:dyDescent="0.25">
      <c r="A680" s="31" t="s">
        <v>1307</v>
      </c>
      <c r="B680" s="20" t="s">
        <v>1192</v>
      </c>
      <c r="C680" s="40" t="s">
        <v>250</v>
      </c>
      <c r="D680" s="40" t="s">
        <v>250</v>
      </c>
      <c r="E680" s="2">
        <v>240</v>
      </c>
      <c r="F680" s="2">
        <v>908</v>
      </c>
      <c r="G680" s="10">
        <f>G679</f>
        <v>0</v>
      </c>
      <c r="H680" s="10">
        <f>H679</f>
        <v>0</v>
      </c>
    </row>
    <row r="681" spans="1:8" ht="15.75" hidden="1" x14ac:dyDescent="0.25">
      <c r="A681" s="25" t="s">
        <v>279</v>
      </c>
      <c r="B681" s="40" t="s">
        <v>1025</v>
      </c>
      <c r="C681" s="40" t="s">
        <v>280</v>
      </c>
      <c r="D681" s="73"/>
      <c r="E681" s="73"/>
      <c r="F681" s="73"/>
      <c r="G681" s="10">
        <f>G682+G687</f>
        <v>0</v>
      </c>
      <c r="H681" s="10">
        <f>H682+H687</f>
        <v>0</v>
      </c>
    </row>
    <row r="682" spans="1:8" ht="15.75" hidden="1" x14ac:dyDescent="0.25">
      <c r="A682" s="25" t="s">
        <v>420</v>
      </c>
      <c r="B682" s="40" t="s">
        <v>1025</v>
      </c>
      <c r="C682" s="40" t="s">
        <v>280</v>
      </c>
      <c r="D682" s="40" t="s">
        <v>134</v>
      </c>
      <c r="E682" s="73"/>
      <c r="F682" s="73"/>
      <c r="G682" s="10">
        <f t="shared" ref="G682:H684" si="89">G683</f>
        <v>0</v>
      </c>
      <c r="H682" s="10">
        <f t="shared" si="89"/>
        <v>0</v>
      </c>
    </row>
    <row r="683" spans="1:8" ht="47.25" hidden="1" x14ac:dyDescent="0.25">
      <c r="A683" s="31" t="s">
        <v>1274</v>
      </c>
      <c r="B683" s="20" t="s">
        <v>1026</v>
      </c>
      <c r="C683" s="40" t="s">
        <v>280</v>
      </c>
      <c r="D683" s="40" t="s">
        <v>134</v>
      </c>
      <c r="E683" s="72"/>
      <c r="F683" s="72"/>
      <c r="G683" s="10">
        <f t="shared" si="89"/>
        <v>0</v>
      </c>
      <c r="H683" s="10">
        <f t="shared" si="89"/>
        <v>0</v>
      </c>
    </row>
    <row r="684" spans="1:8" ht="47.25" hidden="1" x14ac:dyDescent="0.25">
      <c r="A684" s="31" t="s">
        <v>288</v>
      </c>
      <c r="B684" s="20" t="s">
        <v>1026</v>
      </c>
      <c r="C684" s="40" t="s">
        <v>280</v>
      </c>
      <c r="D684" s="40" t="s">
        <v>134</v>
      </c>
      <c r="E684" s="40" t="s">
        <v>289</v>
      </c>
      <c r="F684" s="72"/>
      <c r="G684" s="10">
        <f t="shared" si="89"/>
        <v>0</v>
      </c>
      <c r="H684" s="10">
        <f t="shared" si="89"/>
        <v>0</v>
      </c>
    </row>
    <row r="685" spans="1:8" ht="15.75" hidden="1" x14ac:dyDescent="0.25">
      <c r="A685" s="31" t="s">
        <v>290</v>
      </c>
      <c r="B685" s="20" t="s">
        <v>1026</v>
      </c>
      <c r="C685" s="40" t="s">
        <v>280</v>
      </c>
      <c r="D685" s="40" t="s">
        <v>134</v>
      </c>
      <c r="E685" s="40" t="s">
        <v>291</v>
      </c>
      <c r="F685" s="72"/>
      <c r="G685" s="10">
        <f>'пр.5.1.ведом.21-22'!G605</f>
        <v>0</v>
      </c>
      <c r="H685" s="10">
        <f>'пр.5.1.ведом.21-22'!H605</f>
        <v>0</v>
      </c>
    </row>
    <row r="686" spans="1:8" ht="31.5" hidden="1" x14ac:dyDescent="0.25">
      <c r="A686" s="31" t="s">
        <v>419</v>
      </c>
      <c r="B686" s="20" t="s">
        <v>1026</v>
      </c>
      <c r="C686" s="40" t="s">
        <v>280</v>
      </c>
      <c r="D686" s="40" t="s">
        <v>134</v>
      </c>
      <c r="E686" s="40" t="s">
        <v>291</v>
      </c>
      <c r="F686" s="2">
        <v>906</v>
      </c>
      <c r="G686" s="10">
        <f>G685</f>
        <v>0</v>
      </c>
      <c r="H686" s="10">
        <f>H685</f>
        <v>0</v>
      </c>
    </row>
    <row r="687" spans="1:8" ht="15.75" hidden="1" x14ac:dyDescent="0.25">
      <c r="A687" s="29" t="s">
        <v>441</v>
      </c>
      <c r="B687" s="40" t="s">
        <v>1025</v>
      </c>
      <c r="C687" s="40" t="s">
        <v>280</v>
      </c>
      <c r="D687" s="40" t="s">
        <v>229</v>
      </c>
      <c r="E687" s="40"/>
      <c r="F687" s="73"/>
      <c r="G687" s="10">
        <f t="shared" ref="G687:H689" si="90">G688</f>
        <v>0</v>
      </c>
      <c r="H687" s="10">
        <f t="shared" si="90"/>
        <v>0</v>
      </c>
    </row>
    <row r="688" spans="1:8" ht="47.25" hidden="1" x14ac:dyDescent="0.25">
      <c r="A688" s="31" t="s">
        <v>1274</v>
      </c>
      <c r="B688" s="20" t="s">
        <v>1026</v>
      </c>
      <c r="C688" s="40" t="s">
        <v>280</v>
      </c>
      <c r="D688" s="40" t="s">
        <v>229</v>
      </c>
      <c r="E688" s="40"/>
      <c r="F688" s="72"/>
      <c r="G688" s="10">
        <f t="shared" si="90"/>
        <v>0</v>
      </c>
      <c r="H688" s="10">
        <f t="shared" si="90"/>
        <v>0</v>
      </c>
    </row>
    <row r="689" spans="1:8" ht="47.25" hidden="1" x14ac:dyDescent="0.25">
      <c r="A689" s="31" t="s">
        <v>288</v>
      </c>
      <c r="B689" s="20" t="s">
        <v>1026</v>
      </c>
      <c r="C689" s="40" t="s">
        <v>280</v>
      </c>
      <c r="D689" s="40" t="s">
        <v>229</v>
      </c>
      <c r="E689" s="40" t="s">
        <v>289</v>
      </c>
      <c r="F689" s="72"/>
      <c r="G689" s="10">
        <f t="shared" si="90"/>
        <v>0</v>
      </c>
      <c r="H689" s="10">
        <f t="shared" si="90"/>
        <v>0</v>
      </c>
    </row>
    <row r="690" spans="1:8" ht="15.75" hidden="1" x14ac:dyDescent="0.25">
      <c r="A690" s="31" t="s">
        <v>290</v>
      </c>
      <c r="B690" s="20" t="s">
        <v>1026</v>
      </c>
      <c r="C690" s="40" t="s">
        <v>280</v>
      </c>
      <c r="D690" s="40" t="s">
        <v>229</v>
      </c>
      <c r="E690" s="40" t="s">
        <v>291</v>
      </c>
      <c r="F690" s="72"/>
      <c r="G690" s="10">
        <f>'пр.5.1.ведом.21-22'!G696</f>
        <v>0</v>
      </c>
      <c r="H690" s="10">
        <f>'пр.5.1.ведом.21-22'!H696</f>
        <v>0</v>
      </c>
    </row>
    <row r="691" spans="1:8" ht="31.5" hidden="1" x14ac:dyDescent="0.25">
      <c r="A691" s="31" t="s">
        <v>419</v>
      </c>
      <c r="B691" s="20" t="s">
        <v>1026</v>
      </c>
      <c r="C691" s="40" t="s">
        <v>280</v>
      </c>
      <c r="D691" s="40" t="s">
        <v>229</v>
      </c>
      <c r="E691" s="40" t="s">
        <v>291</v>
      </c>
      <c r="F691" s="2">
        <v>906</v>
      </c>
      <c r="G691" s="10">
        <f>G690</f>
        <v>0</v>
      </c>
      <c r="H691" s="10">
        <f>H690</f>
        <v>0</v>
      </c>
    </row>
    <row r="692" spans="1:8" ht="15.75" hidden="1" x14ac:dyDescent="0.25">
      <c r="A692" s="31" t="s">
        <v>314</v>
      </c>
      <c r="B692" s="20" t="s">
        <v>1025</v>
      </c>
      <c r="C692" s="40" t="s">
        <v>315</v>
      </c>
      <c r="D692" s="40"/>
      <c r="E692" s="40"/>
      <c r="F692" s="2"/>
      <c r="G692" s="10">
        <f t="shared" ref="G692:H695" si="91">G693</f>
        <v>0</v>
      </c>
      <c r="H692" s="10">
        <f t="shared" si="91"/>
        <v>0</v>
      </c>
    </row>
    <row r="693" spans="1:8" ht="15.75" hidden="1" x14ac:dyDescent="0.25">
      <c r="A693" s="31" t="s">
        <v>316</v>
      </c>
      <c r="B693" s="20" t="s">
        <v>1025</v>
      </c>
      <c r="C693" s="40" t="s">
        <v>315</v>
      </c>
      <c r="D693" s="40" t="s">
        <v>134</v>
      </c>
      <c r="E693" s="40"/>
      <c r="F693" s="2"/>
      <c r="G693" s="10">
        <f t="shared" si="91"/>
        <v>0</v>
      </c>
      <c r="H693" s="10">
        <f t="shared" si="91"/>
        <v>0</v>
      </c>
    </row>
    <row r="694" spans="1:8" ht="47.25" hidden="1" x14ac:dyDescent="0.25">
      <c r="A694" s="31" t="s">
        <v>1273</v>
      </c>
      <c r="B694" s="20" t="s">
        <v>1192</v>
      </c>
      <c r="C694" s="40" t="s">
        <v>315</v>
      </c>
      <c r="D694" s="40" t="s">
        <v>134</v>
      </c>
      <c r="E694" s="40"/>
      <c r="F694" s="2"/>
      <c r="G694" s="10">
        <f t="shared" si="91"/>
        <v>0</v>
      </c>
      <c r="H694" s="10">
        <f t="shared" si="91"/>
        <v>0</v>
      </c>
    </row>
    <row r="695" spans="1:8" ht="31.5" hidden="1" x14ac:dyDescent="0.25">
      <c r="A695" s="25" t="s">
        <v>147</v>
      </c>
      <c r="B695" s="20" t="s">
        <v>1192</v>
      </c>
      <c r="C695" s="40" t="s">
        <v>315</v>
      </c>
      <c r="D695" s="40" t="s">
        <v>134</v>
      </c>
      <c r="E695" s="40" t="s">
        <v>148</v>
      </c>
      <c r="F695" s="2"/>
      <c r="G695" s="10">
        <f t="shared" si="91"/>
        <v>0</v>
      </c>
      <c r="H695" s="10">
        <f t="shared" si="91"/>
        <v>0</v>
      </c>
    </row>
    <row r="696" spans="1:8" ht="47.25" hidden="1" x14ac:dyDescent="0.25">
      <c r="A696" s="25" t="s">
        <v>149</v>
      </c>
      <c r="B696" s="20" t="s">
        <v>1192</v>
      </c>
      <c r="C696" s="40" t="s">
        <v>315</v>
      </c>
      <c r="D696" s="40" t="s">
        <v>134</v>
      </c>
      <c r="E696" s="40" t="s">
        <v>150</v>
      </c>
      <c r="F696" s="2"/>
      <c r="G696" s="10">
        <f>'пр.5.1.ведом.21-22'!G409</f>
        <v>0</v>
      </c>
      <c r="H696" s="10">
        <f>'пр.5.1.ведом.21-22'!H409</f>
        <v>0</v>
      </c>
    </row>
    <row r="697" spans="1:8" ht="47.25" hidden="1" x14ac:dyDescent="0.25">
      <c r="A697" s="25" t="s">
        <v>277</v>
      </c>
      <c r="B697" s="20" t="s">
        <v>1192</v>
      </c>
      <c r="C697" s="40" t="s">
        <v>315</v>
      </c>
      <c r="D697" s="40" t="s">
        <v>134</v>
      </c>
      <c r="E697" s="40" t="s">
        <v>150</v>
      </c>
      <c r="F697" s="2">
        <v>903</v>
      </c>
      <c r="G697" s="10">
        <f>G696</f>
        <v>0</v>
      </c>
      <c r="H697" s="10">
        <f>H696</f>
        <v>0</v>
      </c>
    </row>
    <row r="698" spans="1:8" ht="15.75" hidden="1" x14ac:dyDescent="0.25">
      <c r="A698" s="73" t="s">
        <v>506</v>
      </c>
      <c r="B698" s="40" t="s">
        <v>1025</v>
      </c>
      <c r="C698" s="40" t="s">
        <v>507</v>
      </c>
      <c r="D698" s="73"/>
      <c r="E698" s="73"/>
      <c r="F698" s="73"/>
      <c r="G698" s="10">
        <f t="shared" ref="G698:H699" si="92">G699</f>
        <v>0</v>
      </c>
      <c r="H698" s="10">
        <f t="shared" si="92"/>
        <v>0</v>
      </c>
    </row>
    <row r="699" spans="1:8" ht="15.75" hidden="1" x14ac:dyDescent="0.25">
      <c r="A699" s="73" t="s">
        <v>508</v>
      </c>
      <c r="B699" s="40" t="s">
        <v>1025</v>
      </c>
      <c r="C699" s="40" t="s">
        <v>507</v>
      </c>
      <c r="D699" s="40" t="s">
        <v>134</v>
      </c>
      <c r="E699" s="73"/>
      <c r="F699" s="73"/>
      <c r="G699" s="10">
        <f t="shared" si="92"/>
        <v>0</v>
      </c>
      <c r="H699" s="10">
        <f t="shared" si="92"/>
        <v>0</v>
      </c>
    </row>
    <row r="700" spans="1:8" ht="47.25" hidden="1" x14ac:dyDescent="0.25">
      <c r="A700" s="31" t="s">
        <v>1274</v>
      </c>
      <c r="B700" s="40" t="s">
        <v>1026</v>
      </c>
      <c r="C700" s="40" t="s">
        <v>507</v>
      </c>
      <c r="D700" s="40" t="s">
        <v>134</v>
      </c>
      <c r="E700" s="73"/>
      <c r="F700" s="73"/>
      <c r="G700" s="10">
        <f>G701</f>
        <v>0</v>
      </c>
      <c r="H700" s="10">
        <f>H701</f>
        <v>0</v>
      </c>
    </row>
    <row r="701" spans="1:8" ht="47.25" hidden="1" x14ac:dyDescent="0.25">
      <c r="A701" s="25" t="s">
        <v>288</v>
      </c>
      <c r="B701" s="40" t="s">
        <v>1026</v>
      </c>
      <c r="C701" s="40" t="s">
        <v>507</v>
      </c>
      <c r="D701" s="40" t="s">
        <v>134</v>
      </c>
      <c r="E701" s="40" t="s">
        <v>289</v>
      </c>
      <c r="F701" s="73"/>
      <c r="G701" s="10">
        <f>G702</f>
        <v>0</v>
      </c>
      <c r="H701" s="10">
        <f>H702</f>
        <v>0</v>
      </c>
    </row>
    <row r="702" spans="1:8" ht="15.75" hidden="1" x14ac:dyDescent="0.25">
      <c r="A702" s="25" t="s">
        <v>290</v>
      </c>
      <c r="B702" s="40" t="s">
        <v>1026</v>
      </c>
      <c r="C702" s="40" t="s">
        <v>507</v>
      </c>
      <c r="D702" s="40" t="s">
        <v>134</v>
      </c>
      <c r="E702" s="40" t="s">
        <v>291</v>
      </c>
      <c r="F702" s="73"/>
      <c r="G702" s="10">
        <v>0</v>
      </c>
      <c r="H702" s="10">
        <v>0</v>
      </c>
    </row>
    <row r="703" spans="1:8" ht="47.25" hidden="1" x14ac:dyDescent="0.25">
      <c r="A703" s="45" t="s">
        <v>496</v>
      </c>
      <c r="B703" s="40" t="s">
        <v>1026</v>
      </c>
      <c r="C703" s="40" t="s">
        <v>507</v>
      </c>
      <c r="D703" s="40" t="s">
        <v>134</v>
      </c>
      <c r="E703" s="40" t="s">
        <v>291</v>
      </c>
      <c r="F703" s="2">
        <v>907</v>
      </c>
      <c r="G703" s="10">
        <f>G702</f>
        <v>0</v>
      </c>
      <c r="H703" s="10">
        <f>H702</f>
        <v>0</v>
      </c>
    </row>
    <row r="704" spans="1:8" ht="63" x14ac:dyDescent="0.25">
      <c r="A704" s="41" t="s">
        <v>558</v>
      </c>
      <c r="B704" s="7" t="s">
        <v>559</v>
      </c>
      <c r="C704" s="2"/>
      <c r="D704" s="2"/>
      <c r="E704" s="2"/>
      <c r="F704" s="2"/>
      <c r="G704" s="59">
        <f t="shared" ref="G704:H704" si="93">G705+G727</f>
        <v>3244.5</v>
      </c>
      <c r="H704" s="59">
        <f t="shared" si="93"/>
        <v>10636.5</v>
      </c>
    </row>
    <row r="705" spans="1:8" ht="63" x14ac:dyDescent="0.25">
      <c r="A705" s="41" t="s">
        <v>560</v>
      </c>
      <c r="B705" s="7" t="s">
        <v>561</v>
      </c>
      <c r="C705" s="7"/>
      <c r="D705" s="7"/>
      <c r="E705" s="3"/>
      <c r="F705" s="3"/>
      <c r="G705" s="59">
        <f t="shared" ref="G705:H705" si="94">G707</f>
        <v>940</v>
      </c>
      <c r="H705" s="59">
        <f t="shared" si="94"/>
        <v>940</v>
      </c>
    </row>
    <row r="706" spans="1:8" ht="47.25" x14ac:dyDescent="0.25">
      <c r="A706" s="23" t="s">
        <v>1122</v>
      </c>
      <c r="B706" s="7" t="s">
        <v>1120</v>
      </c>
      <c r="C706" s="7"/>
      <c r="D706" s="7"/>
      <c r="E706" s="3"/>
      <c r="F706" s="3"/>
      <c r="G706" s="59">
        <f>G707</f>
        <v>940</v>
      </c>
      <c r="H706" s="59">
        <f>H707</f>
        <v>940</v>
      </c>
    </row>
    <row r="707" spans="1:8" ht="15.75" x14ac:dyDescent="0.25">
      <c r="A707" s="73" t="s">
        <v>406</v>
      </c>
      <c r="B707" s="40" t="s">
        <v>1120</v>
      </c>
      <c r="C707" s="40" t="s">
        <v>250</v>
      </c>
      <c r="D707" s="40"/>
      <c r="E707" s="2"/>
      <c r="F707" s="2"/>
      <c r="G707" s="10">
        <f t="shared" ref="G707:H707" si="95">G708</f>
        <v>940</v>
      </c>
      <c r="H707" s="10">
        <f t="shared" si="95"/>
        <v>940</v>
      </c>
    </row>
    <row r="708" spans="1:8" ht="15.75" x14ac:dyDescent="0.25">
      <c r="A708" s="73" t="s">
        <v>557</v>
      </c>
      <c r="B708" s="40" t="s">
        <v>1120</v>
      </c>
      <c r="C708" s="40" t="s">
        <v>250</v>
      </c>
      <c r="D708" s="40" t="s">
        <v>231</v>
      </c>
      <c r="E708" s="2"/>
      <c r="F708" s="2"/>
      <c r="G708" s="10">
        <f t="shared" ref="G708:H708" si="96">G709+G713+G723</f>
        <v>940</v>
      </c>
      <c r="H708" s="10">
        <f t="shared" si="96"/>
        <v>940</v>
      </c>
    </row>
    <row r="709" spans="1:8" ht="31.5" x14ac:dyDescent="0.25">
      <c r="A709" s="25" t="s">
        <v>562</v>
      </c>
      <c r="B709" s="20" t="s">
        <v>1121</v>
      </c>
      <c r="C709" s="40" t="s">
        <v>250</v>
      </c>
      <c r="D709" s="40" t="s">
        <v>231</v>
      </c>
      <c r="E709" s="2"/>
      <c r="F709" s="2"/>
      <c r="G709" s="10">
        <f t="shared" ref="G709:H710" si="97">G710</f>
        <v>90</v>
      </c>
      <c r="H709" s="10">
        <f t="shared" si="97"/>
        <v>90</v>
      </c>
    </row>
    <row r="710" spans="1:8" ht="31.5" x14ac:dyDescent="0.25">
      <c r="A710" s="25" t="s">
        <v>147</v>
      </c>
      <c r="B710" s="20" t="s">
        <v>1121</v>
      </c>
      <c r="C710" s="40" t="s">
        <v>250</v>
      </c>
      <c r="D710" s="40" t="s">
        <v>231</v>
      </c>
      <c r="E710" s="2">
        <v>200</v>
      </c>
      <c r="F710" s="2"/>
      <c r="G710" s="10">
        <f t="shared" si="97"/>
        <v>90</v>
      </c>
      <c r="H710" s="10">
        <f t="shared" si="97"/>
        <v>90</v>
      </c>
    </row>
    <row r="711" spans="1:8" ht="47.25" x14ac:dyDescent="0.25">
      <c r="A711" s="25" t="s">
        <v>149</v>
      </c>
      <c r="B711" s="20" t="s">
        <v>1121</v>
      </c>
      <c r="C711" s="40" t="s">
        <v>250</v>
      </c>
      <c r="D711" s="40" t="s">
        <v>231</v>
      </c>
      <c r="E711" s="2">
        <v>240</v>
      </c>
      <c r="F711" s="2"/>
      <c r="G711" s="10">
        <f>'пр.5.1.ведом.21-22'!G981</f>
        <v>90</v>
      </c>
      <c r="H711" s="10">
        <f>'пр.5.1.ведом.21-22'!H981</f>
        <v>90</v>
      </c>
    </row>
    <row r="712" spans="1:8" ht="47.25" x14ac:dyDescent="0.25">
      <c r="A712" s="45" t="s">
        <v>640</v>
      </c>
      <c r="B712" s="20" t="s">
        <v>1121</v>
      </c>
      <c r="C712" s="40" t="s">
        <v>250</v>
      </c>
      <c r="D712" s="40" t="s">
        <v>231</v>
      </c>
      <c r="E712" s="2">
        <v>240</v>
      </c>
      <c r="F712" s="2">
        <v>908</v>
      </c>
      <c r="G712" s="10">
        <f>G711</f>
        <v>90</v>
      </c>
      <c r="H712" s="10">
        <f>H711</f>
        <v>90</v>
      </c>
    </row>
    <row r="713" spans="1:8" ht="15.75" x14ac:dyDescent="0.25">
      <c r="A713" s="25" t="s">
        <v>564</v>
      </c>
      <c r="B713" s="20" t="s">
        <v>1123</v>
      </c>
      <c r="C713" s="40" t="s">
        <v>250</v>
      </c>
      <c r="D713" s="40" t="s">
        <v>231</v>
      </c>
      <c r="E713" s="2"/>
      <c r="F713" s="2"/>
      <c r="G713" s="10">
        <f>G714+G717+G720</f>
        <v>650</v>
      </c>
      <c r="H713" s="10">
        <f>H714+H717+H720</f>
        <v>650</v>
      </c>
    </row>
    <row r="714" spans="1:8" ht="31.5" x14ac:dyDescent="0.25">
      <c r="A714" s="25" t="s">
        <v>147</v>
      </c>
      <c r="B714" s="20" t="s">
        <v>1123</v>
      </c>
      <c r="C714" s="40" t="s">
        <v>250</v>
      </c>
      <c r="D714" s="40" t="s">
        <v>231</v>
      </c>
      <c r="E714" s="2">
        <v>200</v>
      </c>
      <c r="F714" s="2"/>
      <c r="G714" s="10">
        <f t="shared" ref="G714:H714" si="98">G715</f>
        <v>650</v>
      </c>
      <c r="H714" s="10">
        <f t="shared" si="98"/>
        <v>650</v>
      </c>
    </row>
    <row r="715" spans="1:8" ht="47.25" x14ac:dyDescent="0.25">
      <c r="A715" s="25" t="s">
        <v>149</v>
      </c>
      <c r="B715" s="20" t="s">
        <v>1123</v>
      </c>
      <c r="C715" s="40" t="s">
        <v>250</v>
      </c>
      <c r="D715" s="40" t="s">
        <v>231</v>
      </c>
      <c r="E715" s="2">
        <v>240</v>
      </c>
      <c r="F715" s="2"/>
      <c r="G715" s="10">
        <f>'пр.5.1.ведом.21-22'!G984</f>
        <v>650</v>
      </c>
      <c r="H715" s="10">
        <f>'пр.5.1.ведом.21-22'!H984</f>
        <v>650</v>
      </c>
    </row>
    <row r="716" spans="1:8" ht="47.25" x14ac:dyDescent="0.25">
      <c r="A716" s="45" t="s">
        <v>640</v>
      </c>
      <c r="B716" s="20" t="s">
        <v>1123</v>
      </c>
      <c r="C716" s="40" t="s">
        <v>250</v>
      </c>
      <c r="D716" s="40" t="s">
        <v>231</v>
      </c>
      <c r="E716" s="2">
        <v>240</v>
      </c>
      <c r="F716" s="2">
        <v>908</v>
      </c>
      <c r="G716" s="10">
        <f>G715</f>
        <v>650</v>
      </c>
      <c r="H716" s="10">
        <f>H715</f>
        <v>650</v>
      </c>
    </row>
    <row r="717" spans="1:8" ht="15.75" hidden="1" x14ac:dyDescent="0.25">
      <c r="A717" s="25" t="s">
        <v>151</v>
      </c>
      <c r="B717" s="20" t="s">
        <v>1123</v>
      </c>
      <c r="C717" s="40" t="s">
        <v>250</v>
      </c>
      <c r="D717" s="40" t="s">
        <v>231</v>
      </c>
      <c r="E717" s="2">
        <v>800</v>
      </c>
      <c r="F717" s="2"/>
      <c r="G717" s="10">
        <f>G718</f>
        <v>0</v>
      </c>
      <c r="H717" s="10">
        <f>H718</f>
        <v>0</v>
      </c>
    </row>
    <row r="718" spans="1:8" ht="47.25" hidden="1" x14ac:dyDescent="0.25">
      <c r="A718" s="25" t="s">
        <v>882</v>
      </c>
      <c r="B718" s="20" t="s">
        <v>1123</v>
      </c>
      <c r="C718" s="40" t="s">
        <v>250</v>
      </c>
      <c r="D718" s="40" t="s">
        <v>231</v>
      </c>
      <c r="E718" s="2">
        <v>830</v>
      </c>
      <c r="F718" s="2"/>
      <c r="G718" s="10">
        <f>'пр.5.1.ведом.21-22'!G986</f>
        <v>0</v>
      </c>
      <c r="H718" s="10">
        <f>'пр.5.1.ведом.21-22'!H986</f>
        <v>0</v>
      </c>
    </row>
    <row r="719" spans="1:8" ht="47.25" hidden="1" x14ac:dyDescent="0.25">
      <c r="A719" s="45" t="s">
        <v>640</v>
      </c>
      <c r="B719" s="20" t="s">
        <v>1123</v>
      </c>
      <c r="C719" s="40" t="s">
        <v>250</v>
      </c>
      <c r="D719" s="40" t="s">
        <v>231</v>
      </c>
      <c r="E719" s="2">
        <v>830</v>
      </c>
      <c r="F719" s="2">
        <v>908</v>
      </c>
      <c r="G719" s="10">
        <f>G718</f>
        <v>0</v>
      </c>
      <c r="H719" s="10">
        <f>H718</f>
        <v>0</v>
      </c>
    </row>
    <row r="720" spans="1:8" ht="15.75" hidden="1" x14ac:dyDescent="0.25">
      <c r="A720" s="25" t="s">
        <v>151</v>
      </c>
      <c r="B720" s="20" t="s">
        <v>1123</v>
      </c>
      <c r="C720" s="40" t="s">
        <v>250</v>
      </c>
      <c r="D720" s="40" t="s">
        <v>231</v>
      </c>
      <c r="E720" s="2">
        <v>800</v>
      </c>
      <c r="F720" s="2"/>
      <c r="G720" s="10">
        <f>G721</f>
        <v>0</v>
      </c>
      <c r="H720" s="10">
        <f>H721</f>
        <v>0</v>
      </c>
    </row>
    <row r="721" spans="1:8" ht="15.75" hidden="1" x14ac:dyDescent="0.25">
      <c r="A721" s="25" t="s">
        <v>1270</v>
      </c>
      <c r="B721" s="20" t="s">
        <v>1123</v>
      </c>
      <c r="C721" s="40" t="s">
        <v>250</v>
      </c>
      <c r="D721" s="40" t="s">
        <v>231</v>
      </c>
      <c r="E721" s="2">
        <v>850</v>
      </c>
      <c r="F721" s="2"/>
      <c r="G721" s="10">
        <f>'пр.5.1.ведом.21-22'!G987</f>
        <v>0</v>
      </c>
      <c r="H721" s="10">
        <f>'пр.5.1.ведом.21-22'!H987</f>
        <v>0</v>
      </c>
    </row>
    <row r="722" spans="1:8" ht="47.25" hidden="1" x14ac:dyDescent="0.25">
      <c r="A722" s="45" t="s">
        <v>640</v>
      </c>
      <c r="B722" s="20" t="s">
        <v>1123</v>
      </c>
      <c r="C722" s="40" t="s">
        <v>250</v>
      </c>
      <c r="D722" s="40" t="s">
        <v>231</v>
      </c>
      <c r="E722" s="2">
        <v>850</v>
      </c>
      <c r="F722" s="2">
        <v>908</v>
      </c>
      <c r="G722" s="10">
        <f>G721</f>
        <v>0</v>
      </c>
      <c r="H722" s="10">
        <f>H721</f>
        <v>0</v>
      </c>
    </row>
    <row r="723" spans="1:8" ht="15.75" x14ac:dyDescent="0.25">
      <c r="A723" s="25" t="s">
        <v>566</v>
      </c>
      <c r="B723" s="20" t="s">
        <v>1124</v>
      </c>
      <c r="C723" s="40" t="s">
        <v>250</v>
      </c>
      <c r="D723" s="40" t="s">
        <v>231</v>
      </c>
      <c r="E723" s="2"/>
      <c r="F723" s="2"/>
      <c r="G723" s="10">
        <f t="shared" ref="G723:H723" si="99">G724</f>
        <v>200</v>
      </c>
      <c r="H723" s="10">
        <f t="shared" si="99"/>
        <v>200</v>
      </c>
    </row>
    <row r="724" spans="1:8" ht="31.5" x14ac:dyDescent="0.25">
      <c r="A724" s="25" t="s">
        <v>147</v>
      </c>
      <c r="B724" s="20" t="s">
        <v>1124</v>
      </c>
      <c r="C724" s="40" t="s">
        <v>250</v>
      </c>
      <c r="D724" s="40" t="s">
        <v>231</v>
      </c>
      <c r="E724" s="2">
        <v>200</v>
      </c>
      <c r="F724" s="2"/>
      <c r="G724" s="10">
        <f>G725</f>
        <v>200</v>
      </c>
      <c r="H724" s="10">
        <f>H725</f>
        <v>200</v>
      </c>
    </row>
    <row r="725" spans="1:8" ht="47.25" x14ac:dyDescent="0.25">
      <c r="A725" s="25" t="s">
        <v>149</v>
      </c>
      <c r="B725" s="20" t="s">
        <v>1124</v>
      </c>
      <c r="C725" s="40" t="s">
        <v>250</v>
      </c>
      <c r="D725" s="40" t="s">
        <v>231</v>
      </c>
      <c r="E725" s="2">
        <v>240</v>
      </c>
      <c r="F725" s="2"/>
      <c r="G725" s="10">
        <f>'пр.5.1.ведом.21-22'!G990</f>
        <v>200</v>
      </c>
      <c r="H725" s="10">
        <f>'пр.5.1.ведом.21-22'!H990</f>
        <v>200</v>
      </c>
    </row>
    <row r="726" spans="1:8" ht="47.25" x14ac:dyDescent="0.25">
      <c r="A726" s="45" t="s">
        <v>640</v>
      </c>
      <c r="B726" s="20" t="s">
        <v>1124</v>
      </c>
      <c r="C726" s="40" t="s">
        <v>250</v>
      </c>
      <c r="D726" s="40" t="s">
        <v>231</v>
      </c>
      <c r="E726" s="2">
        <v>240</v>
      </c>
      <c r="F726" s="2">
        <v>908</v>
      </c>
      <c r="G726" s="10">
        <f>G725</f>
        <v>200</v>
      </c>
      <c r="H726" s="10">
        <f>H725</f>
        <v>200</v>
      </c>
    </row>
    <row r="727" spans="1:8" ht="47.25" x14ac:dyDescent="0.25">
      <c r="A727" s="23" t="s">
        <v>568</v>
      </c>
      <c r="B727" s="7" t="s">
        <v>569</v>
      </c>
      <c r="C727" s="7"/>
      <c r="D727" s="7"/>
      <c r="E727" s="3"/>
      <c r="F727" s="3"/>
      <c r="G727" s="59">
        <f>G729+G750</f>
        <v>2304.5</v>
      </c>
      <c r="H727" s="59">
        <f>H729+H750</f>
        <v>9696.5</v>
      </c>
    </row>
    <row r="728" spans="1:8" ht="31.5" x14ac:dyDescent="0.25">
      <c r="A728" s="23" t="s">
        <v>1140</v>
      </c>
      <c r="B728" s="7" t="s">
        <v>1125</v>
      </c>
      <c r="C728" s="7"/>
      <c r="D728" s="7"/>
      <c r="E728" s="3"/>
      <c r="F728" s="3"/>
      <c r="G728" s="59">
        <f>G729</f>
        <v>390</v>
      </c>
      <c r="H728" s="59">
        <f>H729</f>
        <v>390</v>
      </c>
    </row>
    <row r="729" spans="1:8" ht="15.75" x14ac:dyDescent="0.25">
      <c r="A729" s="73" t="s">
        <v>406</v>
      </c>
      <c r="B729" s="40" t="s">
        <v>1125</v>
      </c>
      <c r="C729" s="40" t="s">
        <v>250</v>
      </c>
      <c r="D729" s="40"/>
      <c r="E729" s="2"/>
      <c r="F729" s="2"/>
      <c r="G729" s="10">
        <f t="shared" ref="G729:H729" si="100">G730</f>
        <v>390</v>
      </c>
      <c r="H729" s="10">
        <f t="shared" si="100"/>
        <v>390</v>
      </c>
    </row>
    <row r="730" spans="1:8" ht="15.75" x14ac:dyDescent="0.25">
      <c r="A730" s="73" t="s">
        <v>557</v>
      </c>
      <c r="B730" s="40" t="s">
        <v>1125</v>
      </c>
      <c r="C730" s="40" t="s">
        <v>250</v>
      </c>
      <c r="D730" s="40" t="s">
        <v>231</v>
      </c>
      <c r="E730" s="2"/>
      <c r="F730" s="2"/>
      <c r="G730" s="10">
        <f>G746+G731+G735+G742</f>
        <v>390</v>
      </c>
      <c r="H730" s="10">
        <f>H746+H731+H735+H742</f>
        <v>390</v>
      </c>
    </row>
    <row r="731" spans="1:8" ht="15.75" x14ac:dyDescent="0.25">
      <c r="A731" s="25" t="s">
        <v>571</v>
      </c>
      <c r="B731" s="20" t="s">
        <v>1127</v>
      </c>
      <c r="C731" s="40" t="s">
        <v>250</v>
      </c>
      <c r="D731" s="40" t="s">
        <v>231</v>
      </c>
      <c r="E731" s="2"/>
      <c r="F731" s="2"/>
      <c r="G731" s="10">
        <f t="shared" ref="G731:H732" si="101">G732</f>
        <v>4</v>
      </c>
      <c r="H731" s="10">
        <f t="shared" si="101"/>
        <v>4</v>
      </c>
    </row>
    <row r="732" spans="1:8" ht="31.5" x14ac:dyDescent="0.25">
      <c r="A732" s="25" t="s">
        <v>147</v>
      </c>
      <c r="B732" s="20" t="s">
        <v>1127</v>
      </c>
      <c r="C732" s="40" t="s">
        <v>250</v>
      </c>
      <c r="D732" s="40" t="s">
        <v>231</v>
      </c>
      <c r="E732" s="2">
        <v>200</v>
      </c>
      <c r="F732" s="2"/>
      <c r="G732" s="10">
        <f t="shared" si="101"/>
        <v>4</v>
      </c>
      <c r="H732" s="10">
        <f t="shared" si="101"/>
        <v>4</v>
      </c>
    </row>
    <row r="733" spans="1:8" ht="47.25" x14ac:dyDescent="0.25">
      <c r="A733" s="25" t="s">
        <v>149</v>
      </c>
      <c r="B733" s="20" t="s">
        <v>1127</v>
      </c>
      <c r="C733" s="40" t="s">
        <v>250</v>
      </c>
      <c r="D733" s="40" t="s">
        <v>231</v>
      </c>
      <c r="E733" s="2">
        <v>240</v>
      </c>
      <c r="F733" s="2"/>
      <c r="G733" s="10">
        <f>'пр.5.1.ведом.21-22'!G995</f>
        <v>4</v>
      </c>
      <c r="H733" s="10">
        <f>'пр.5.1.ведом.21-22'!H995</f>
        <v>4</v>
      </c>
    </row>
    <row r="734" spans="1:8" ht="47.25" x14ac:dyDescent="0.25">
      <c r="A734" s="45" t="s">
        <v>640</v>
      </c>
      <c r="B734" s="20" t="s">
        <v>1127</v>
      </c>
      <c r="C734" s="40" t="s">
        <v>250</v>
      </c>
      <c r="D734" s="40" t="s">
        <v>231</v>
      </c>
      <c r="E734" s="2">
        <v>240</v>
      </c>
      <c r="F734" s="2">
        <v>908</v>
      </c>
      <c r="G734" s="10">
        <f>G733</f>
        <v>4</v>
      </c>
      <c r="H734" s="10">
        <f>H733</f>
        <v>4</v>
      </c>
    </row>
    <row r="735" spans="1:8" ht="47.25" x14ac:dyDescent="0.25">
      <c r="A735" s="45" t="s">
        <v>573</v>
      </c>
      <c r="B735" s="20" t="s">
        <v>1128</v>
      </c>
      <c r="C735" s="40" t="s">
        <v>250</v>
      </c>
      <c r="D735" s="40" t="s">
        <v>231</v>
      </c>
      <c r="E735" s="2"/>
      <c r="F735" s="2"/>
      <c r="G735" s="10">
        <f>G736+G739</f>
        <v>375</v>
      </c>
      <c r="H735" s="10">
        <f>H736+H739</f>
        <v>375</v>
      </c>
    </row>
    <row r="736" spans="1:8" ht="31.5" x14ac:dyDescent="0.25">
      <c r="A736" s="25" t="s">
        <v>147</v>
      </c>
      <c r="B736" s="20" t="s">
        <v>1128</v>
      </c>
      <c r="C736" s="40" t="s">
        <v>250</v>
      </c>
      <c r="D736" s="40" t="s">
        <v>231</v>
      </c>
      <c r="E736" s="2">
        <v>200</v>
      </c>
      <c r="F736" s="2"/>
      <c r="G736" s="10">
        <f t="shared" ref="G736:H736" si="102">G737</f>
        <v>300</v>
      </c>
      <c r="H736" s="10">
        <f t="shared" si="102"/>
        <v>300</v>
      </c>
    </row>
    <row r="737" spans="1:8" ht="47.25" x14ac:dyDescent="0.25">
      <c r="A737" s="25" t="s">
        <v>149</v>
      </c>
      <c r="B737" s="20" t="s">
        <v>1128</v>
      </c>
      <c r="C737" s="40" t="s">
        <v>250</v>
      </c>
      <c r="D737" s="40" t="s">
        <v>231</v>
      </c>
      <c r="E737" s="2">
        <v>240</v>
      </c>
      <c r="F737" s="2"/>
      <c r="G737" s="10">
        <f>'пр.5.1.ведом.21-22'!G998</f>
        <v>300</v>
      </c>
      <c r="H737" s="10">
        <f>'пр.5.1.ведом.21-22'!H998</f>
        <v>300</v>
      </c>
    </row>
    <row r="738" spans="1:8" ht="47.25" x14ac:dyDescent="0.25">
      <c r="A738" s="45" t="s">
        <v>640</v>
      </c>
      <c r="B738" s="20" t="s">
        <v>1128</v>
      </c>
      <c r="C738" s="40" t="s">
        <v>250</v>
      </c>
      <c r="D738" s="40" t="s">
        <v>231</v>
      </c>
      <c r="E738" s="2">
        <v>240</v>
      </c>
      <c r="F738" s="2">
        <v>908</v>
      </c>
      <c r="G738" s="10">
        <f>G737</f>
        <v>300</v>
      </c>
      <c r="H738" s="10">
        <f>H737</f>
        <v>300</v>
      </c>
    </row>
    <row r="739" spans="1:8" ht="15.75" x14ac:dyDescent="0.25">
      <c r="A739" s="29" t="s">
        <v>151</v>
      </c>
      <c r="B739" s="20" t="s">
        <v>1128</v>
      </c>
      <c r="C739" s="40" t="s">
        <v>250</v>
      </c>
      <c r="D739" s="40" t="s">
        <v>231</v>
      </c>
      <c r="E739" s="2">
        <v>800</v>
      </c>
      <c r="F739" s="2"/>
      <c r="G739" s="10">
        <f>G740</f>
        <v>75</v>
      </c>
      <c r="H739" s="10">
        <f>H740</f>
        <v>75</v>
      </c>
    </row>
    <row r="740" spans="1:8" s="213" customFormat="1" ht="15.75" x14ac:dyDescent="0.25">
      <c r="A740" s="25" t="s">
        <v>727</v>
      </c>
      <c r="B740" s="20" t="s">
        <v>1128</v>
      </c>
      <c r="C740" s="40" t="s">
        <v>250</v>
      </c>
      <c r="D740" s="40" t="s">
        <v>231</v>
      </c>
      <c r="E740" s="2">
        <v>850</v>
      </c>
      <c r="F740" s="2"/>
      <c r="G740" s="10">
        <f>'пр.5.1.ведом.21-22'!G1000</f>
        <v>75</v>
      </c>
      <c r="H740" s="10">
        <f>'пр.5.1.ведом.21-22'!H1000</f>
        <v>75</v>
      </c>
    </row>
    <row r="741" spans="1:8" s="213" customFormat="1" ht="47.25" x14ac:dyDescent="0.25">
      <c r="A741" s="45" t="s">
        <v>640</v>
      </c>
      <c r="B741" s="20" t="s">
        <v>1128</v>
      </c>
      <c r="C741" s="40" t="s">
        <v>250</v>
      </c>
      <c r="D741" s="40" t="s">
        <v>231</v>
      </c>
      <c r="E741" s="2">
        <v>850</v>
      </c>
      <c r="F741" s="2">
        <v>908</v>
      </c>
      <c r="G741" s="10">
        <f>G740</f>
        <v>75</v>
      </c>
      <c r="H741" s="10">
        <f>H740</f>
        <v>75</v>
      </c>
    </row>
    <row r="742" spans="1:8" s="213" customFormat="1" ht="31.5" hidden="1" x14ac:dyDescent="0.25">
      <c r="A742" s="45" t="s">
        <v>575</v>
      </c>
      <c r="B742" s="20" t="s">
        <v>1129</v>
      </c>
      <c r="C742" s="40" t="s">
        <v>250</v>
      </c>
      <c r="D742" s="40" t="s">
        <v>231</v>
      </c>
      <c r="E742" s="2"/>
      <c r="F742" s="2"/>
      <c r="G742" s="10">
        <f t="shared" ref="G742:H743" si="103">G743</f>
        <v>0</v>
      </c>
      <c r="H742" s="10">
        <f t="shared" si="103"/>
        <v>0</v>
      </c>
    </row>
    <row r="743" spans="1:8" s="213" customFormat="1" ht="31.5" hidden="1" x14ac:dyDescent="0.25">
      <c r="A743" s="25" t="s">
        <v>147</v>
      </c>
      <c r="B743" s="20" t="s">
        <v>1129</v>
      </c>
      <c r="C743" s="40" t="s">
        <v>250</v>
      </c>
      <c r="D743" s="40" t="s">
        <v>231</v>
      </c>
      <c r="E743" s="2">
        <v>200</v>
      </c>
      <c r="F743" s="2"/>
      <c r="G743" s="10">
        <f t="shared" si="103"/>
        <v>0</v>
      </c>
      <c r="H743" s="10">
        <f t="shared" si="103"/>
        <v>0</v>
      </c>
    </row>
    <row r="744" spans="1:8" ht="47.25" hidden="1" x14ac:dyDescent="0.25">
      <c r="A744" s="25" t="s">
        <v>149</v>
      </c>
      <c r="B744" s="20" t="s">
        <v>1129</v>
      </c>
      <c r="C744" s="40" t="s">
        <v>250</v>
      </c>
      <c r="D744" s="40" t="s">
        <v>231</v>
      </c>
      <c r="E744" s="2">
        <v>240</v>
      </c>
      <c r="F744" s="2"/>
      <c r="G744" s="10">
        <f>'пр.5.1.ведом.21-22'!G1003</f>
        <v>0</v>
      </c>
      <c r="H744" s="10">
        <f>'пр.5.1.ведом.21-22'!H1003</f>
        <v>0</v>
      </c>
    </row>
    <row r="745" spans="1:8" ht="47.25" hidden="1" x14ac:dyDescent="0.25">
      <c r="A745" s="45" t="s">
        <v>640</v>
      </c>
      <c r="B745" s="20" t="s">
        <v>1129</v>
      </c>
      <c r="C745" s="40" t="s">
        <v>250</v>
      </c>
      <c r="D745" s="40" t="s">
        <v>231</v>
      </c>
      <c r="E745" s="2">
        <v>850</v>
      </c>
      <c r="F745" s="2">
        <v>908</v>
      </c>
      <c r="G745" s="10">
        <f>G744</f>
        <v>0</v>
      </c>
      <c r="H745" s="10">
        <f>H744</f>
        <v>0</v>
      </c>
    </row>
    <row r="746" spans="1:8" ht="31.5" x14ac:dyDescent="0.25">
      <c r="A746" s="240" t="s">
        <v>1289</v>
      </c>
      <c r="B746" s="20" t="s">
        <v>1290</v>
      </c>
      <c r="C746" s="40" t="s">
        <v>250</v>
      </c>
      <c r="D746" s="40" t="s">
        <v>231</v>
      </c>
      <c r="E746" s="2"/>
      <c r="F746" s="2"/>
      <c r="G746" s="10">
        <f>G747</f>
        <v>11</v>
      </c>
      <c r="H746" s="10">
        <f>H747</f>
        <v>11</v>
      </c>
    </row>
    <row r="747" spans="1:8" ht="31.5" x14ac:dyDescent="0.25">
      <c r="A747" s="25" t="s">
        <v>147</v>
      </c>
      <c r="B747" s="20" t="s">
        <v>1290</v>
      </c>
      <c r="C747" s="40" t="s">
        <v>250</v>
      </c>
      <c r="D747" s="40" t="s">
        <v>231</v>
      </c>
      <c r="E747" s="2">
        <v>200</v>
      </c>
      <c r="F747" s="2"/>
      <c r="G747" s="10">
        <f>G748</f>
        <v>11</v>
      </c>
      <c r="H747" s="10">
        <f>H748</f>
        <v>11</v>
      </c>
    </row>
    <row r="748" spans="1:8" ht="47.25" x14ac:dyDescent="0.25">
      <c r="A748" s="25" t="s">
        <v>149</v>
      </c>
      <c r="B748" s="20" t="s">
        <v>1290</v>
      </c>
      <c r="C748" s="40" t="s">
        <v>250</v>
      </c>
      <c r="D748" s="40" t="s">
        <v>231</v>
      </c>
      <c r="E748" s="2">
        <v>240</v>
      </c>
      <c r="F748" s="2"/>
      <c r="G748" s="10">
        <f>'пр.5.1.ведом.21-22'!G1006</f>
        <v>11</v>
      </c>
      <c r="H748" s="10">
        <f>'пр.5.1.ведом.21-22'!H1006</f>
        <v>11</v>
      </c>
    </row>
    <row r="749" spans="1:8" ht="47.25" x14ac:dyDescent="0.25">
      <c r="A749" s="45" t="s">
        <v>640</v>
      </c>
      <c r="B749" s="20" t="s">
        <v>1290</v>
      </c>
      <c r="C749" s="40" t="s">
        <v>250</v>
      </c>
      <c r="D749" s="40" t="s">
        <v>231</v>
      </c>
      <c r="E749" s="2">
        <v>240</v>
      </c>
      <c r="F749" s="2">
        <v>908</v>
      </c>
      <c r="G749" s="10">
        <f>G748</f>
        <v>11</v>
      </c>
      <c r="H749" s="10">
        <f>H748</f>
        <v>11</v>
      </c>
    </row>
    <row r="750" spans="1:8" ht="31.5" x14ac:dyDescent="0.25">
      <c r="A750" s="23" t="s">
        <v>950</v>
      </c>
      <c r="B750" s="24" t="s">
        <v>1130</v>
      </c>
      <c r="C750" s="7"/>
      <c r="D750" s="7"/>
      <c r="E750" s="3"/>
      <c r="F750" s="3"/>
      <c r="G750" s="59">
        <f>G751</f>
        <v>1914.5</v>
      </c>
      <c r="H750" s="59">
        <f>H751</f>
        <v>9306.5</v>
      </c>
    </row>
    <row r="751" spans="1:8" ht="15.75" x14ac:dyDescent="0.25">
      <c r="A751" s="73" t="s">
        <v>406</v>
      </c>
      <c r="B751" s="40" t="s">
        <v>1130</v>
      </c>
      <c r="C751" s="40" t="s">
        <v>250</v>
      </c>
      <c r="D751" s="40"/>
      <c r="E751" s="2"/>
      <c r="F751" s="2"/>
      <c r="G751" s="10">
        <f t="shared" ref="G751:H751" si="104">G752</f>
        <v>1914.5</v>
      </c>
      <c r="H751" s="10">
        <f t="shared" si="104"/>
        <v>9306.5</v>
      </c>
    </row>
    <row r="752" spans="1:8" ht="15.75" x14ac:dyDescent="0.25">
      <c r="A752" s="73" t="s">
        <v>557</v>
      </c>
      <c r="B752" s="40" t="s">
        <v>1130</v>
      </c>
      <c r="C752" s="40" t="s">
        <v>250</v>
      </c>
      <c r="D752" s="40" t="s">
        <v>231</v>
      </c>
      <c r="E752" s="2"/>
      <c r="F752" s="2"/>
      <c r="G752" s="10">
        <f>G753+G757</f>
        <v>1914.5</v>
      </c>
      <c r="H752" s="10">
        <f>H753+H757</f>
        <v>9306.5</v>
      </c>
    </row>
    <row r="753" spans="1:8" ht="47.25" hidden="1" x14ac:dyDescent="0.25">
      <c r="A753" s="25" t="s">
        <v>707</v>
      </c>
      <c r="B753" s="20" t="s">
        <v>1131</v>
      </c>
      <c r="C753" s="40" t="s">
        <v>250</v>
      </c>
      <c r="D753" s="40" t="s">
        <v>231</v>
      </c>
      <c r="E753" s="2"/>
      <c r="F753" s="2"/>
      <c r="G753" s="10">
        <f>G754</f>
        <v>0</v>
      </c>
      <c r="H753" s="10">
        <f>H754</f>
        <v>0</v>
      </c>
    </row>
    <row r="754" spans="1:8" ht="31.5" hidden="1" x14ac:dyDescent="0.25">
      <c r="A754" s="25" t="s">
        <v>147</v>
      </c>
      <c r="B754" s="20" t="s">
        <v>1131</v>
      </c>
      <c r="C754" s="40" t="s">
        <v>250</v>
      </c>
      <c r="D754" s="40" t="s">
        <v>231</v>
      </c>
      <c r="E754" s="20" t="s">
        <v>148</v>
      </c>
      <c r="F754" s="2"/>
      <c r="G754" s="10">
        <f>G755</f>
        <v>0</v>
      </c>
      <c r="H754" s="10">
        <f>H755</f>
        <v>0</v>
      </c>
    </row>
    <row r="755" spans="1:8" ht="47.25" hidden="1" x14ac:dyDescent="0.25">
      <c r="A755" s="25" t="s">
        <v>149</v>
      </c>
      <c r="B755" s="20" t="s">
        <v>1131</v>
      </c>
      <c r="C755" s="40" t="s">
        <v>250</v>
      </c>
      <c r="D755" s="40" t="s">
        <v>231</v>
      </c>
      <c r="E755" s="20" t="s">
        <v>150</v>
      </c>
      <c r="F755" s="2"/>
      <c r="G755" s="10">
        <f>'пр.5.1.ведом.21-22'!G1010</f>
        <v>0</v>
      </c>
      <c r="H755" s="10">
        <f>'пр.5.1.ведом.21-22'!H1010</f>
        <v>0</v>
      </c>
    </row>
    <row r="756" spans="1:8" ht="47.25" hidden="1" x14ac:dyDescent="0.25">
      <c r="A756" s="45" t="s">
        <v>640</v>
      </c>
      <c r="B756" s="20" t="s">
        <v>1131</v>
      </c>
      <c r="C756" s="40" t="s">
        <v>250</v>
      </c>
      <c r="D756" s="40" t="s">
        <v>231</v>
      </c>
      <c r="E756" s="20" t="s">
        <v>150</v>
      </c>
      <c r="F756" s="2">
        <v>908</v>
      </c>
      <c r="G756" s="10">
        <f>G755</f>
        <v>0</v>
      </c>
      <c r="H756" s="10">
        <f>H755</f>
        <v>0</v>
      </c>
    </row>
    <row r="757" spans="1:8" ht="63" x14ac:dyDescent="0.25">
      <c r="A757" s="25" t="s">
        <v>1249</v>
      </c>
      <c r="B757" s="20" t="s">
        <v>1250</v>
      </c>
      <c r="C757" s="40" t="s">
        <v>250</v>
      </c>
      <c r="D757" s="40" t="s">
        <v>231</v>
      </c>
      <c r="E757" s="20"/>
      <c r="F757" s="2"/>
      <c r="G757" s="10">
        <f>G758</f>
        <v>1914.5</v>
      </c>
      <c r="H757" s="10">
        <f>H758</f>
        <v>9306.5</v>
      </c>
    </row>
    <row r="758" spans="1:8" ht="31.5" x14ac:dyDescent="0.25">
      <c r="A758" s="25" t="s">
        <v>147</v>
      </c>
      <c r="B758" s="20" t="s">
        <v>1250</v>
      </c>
      <c r="C758" s="40" t="s">
        <v>250</v>
      </c>
      <c r="D758" s="40" t="s">
        <v>231</v>
      </c>
      <c r="E758" s="20" t="s">
        <v>148</v>
      </c>
      <c r="F758" s="2"/>
      <c r="G758" s="10">
        <f>G759</f>
        <v>1914.5</v>
      </c>
      <c r="H758" s="10">
        <f>H759</f>
        <v>9306.5</v>
      </c>
    </row>
    <row r="759" spans="1:8" ht="47.25" x14ac:dyDescent="0.25">
      <c r="A759" s="25" t="s">
        <v>149</v>
      </c>
      <c r="B759" s="20" t="s">
        <v>1250</v>
      </c>
      <c r="C759" s="40" t="s">
        <v>250</v>
      </c>
      <c r="D759" s="40" t="s">
        <v>231</v>
      </c>
      <c r="E759" s="20" t="s">
        <v>150</v>
      </c>
      <c r="F759" s="2"/>
      <c r="G759" s="10">
        <f>'пр.5.1.ведом.21-22'!G1013</f>
        <v>1914.5</v>
      </c>
      <c r="H759" s="10">
        <f>'пр.5.1.ведом.21-22'!H1013</f>
        <v>9306.5</v>
      </c>
    </row>
    <row r="760" spans="1:8" ht="47.25" x14ac:dyDescent="0.25">
      <c r="A760" s="45" t="s">
        <v>640</v>
      </c>
      <c r="B760" s="20" t="s">
        <v>1250</v>
      </c>
      <c r="C760" s="40" t="s">
        <v>250</v>
      </c>
      <c r="D760" s="40" t="s">
        <v>231</v>
      </c>
      <c r="E760" s="20" t="s">
        <v>150</v>
      </c>
      <c r="F760" s="2">
        <v>908</v>
      </c>
      <c r="G760" s="10">
        <f>G759</f>
        <v>1914.5</v>
      </c>
      <c r="H760" s="10">
        <f>H759</f>
        <v>9306.5</v>
      </c>
    </row>
    <row r="761" spans="1:8" ht="47.25" x14ac:dyDescent="0.25">
      <c r="A761" s="34" t="s">
        <v>197</v>
      </c>
      <c r="B761" s="206" t="s">
        <v>198</v>
      </c>
      <c r="C761" s="7"/>
      <c r="D761" s="7"/>
      <c r="E761" s="7"/>
      <c r="F761" s="3"/>
      <c r="G761" s="59">
        <f>G762+G773</f>
        <v>306</v>
      </c>
      <c r="H761" s="59">
        <f>H762+H773</f>
        <v>306</v>
      </c>
    </row>
    <row r="762" spans="1:8" ht="47.25" x14ac:dyDescent="0.25">
      <c r="A762" s="34" t="s">
        <v>1159</v>
      </c>
      <c r="B762" s="206" t="s">
        <v>923</v>
      </c>
      <c r="C762" s="7"/>
      <c r="D762" s="7"/>
      <c r="E762" s="7"/>
      <c r="F762" s="3"/>
      <c r="G762" s="59">
        <f>G763</f>
        <v>256</v>
      </c>
      <c r="H762" s="59">
        <f>H763</f>
        <v>256</v>
      </c>
    </row>
    <row r="763" spans="1:8" ht="15.75" x14ac:dyDescent="0.25">
      <c r="A763" s="29" t="s">
        <v>248</v>
      </c>
      <c r="B763" s="5" t="s">
        <v>923</v>
      </c>
      <c r="C763" s="40" t="s">
        <v>166</v>
      </c>
      <c r="D763" s="40"/>
      <c r="E763" s="40"/>
      <c r="F763" s="2"/>
      <c r="G763" s="10">
        <f t="shared" ref="G763:H766" si="105">G764</f>
        <v>256</v>
      </c>
      <c r="H763" s="10">
        <f t="shared" si="105"/>
        <v>256</v>
      </c>
    </row>
    <row r="764" spans="1:8" ht="15.75" x14ac:dyDescent="0.25">
      <c r="A764" s="29" t="s">
        <v>249</v>
      </c>
      <c r="B764" s="30" t="s">
        <v>923</v>
      </c>
      <c r="C764" s="40" t="s">
        <v>166</v>
      </c>
      <c r="D764" s="40" t="s">
        <v>250</v>
      </c>
      <c r="E764" s="40"/>
      <c r="F764" s="2"/>
      <c r="G764" s="10">
        <f>G765+G769</f>
        <v>256</v>
      </c>
      <c r="H764" s="10">
        <f>H765+H769</f>
        <v>256</v>
      </c>
    </row>
    <row r="765" spans="1:8" ht="15.75" x14ac:dyDescent="0.25">
      <c r="A765" s="25" t="s">
        <v>924</v>
      </c>
      <c r="B765" s="20" t="s">
        <v>968</v>
      </c>
      <c r="C765" s="40" t="s">
        <v>166</v>
      </c>
      <c r="D765" s="40" t="s">
        <v>250</v>
      </c>
      <c r="E765" s="40"/>
      <c r="F765" s="2"/>
      <c r="G765" s="10">
        <f t="shared" si="105"/>
        <v>1</v>
      </c>
      <c r="H765" s="10">
        <f t="shared" si="105"/>
        <v>1</v>
      </c>
    </row>
    <row r="766" spans="1:8" ht="15.75" x14ac:dyDescent="0.25">
      <c r="A766" s="29" t="s">
        <v>151</v>
      </c>
      <c r="B766" s="20" t="s">
        <v>968</v>
      </c>
      <c r="C766" s="40" t="s">
        <v>166</v>
      </c>
      <c r="D766" s="40" t="s">
        <v>250</v>
      </c>
      <c r="E766" s="40" t="s">
        <v>161</v>
      </c>
      <c r="F766" s="2"/>
      <c r="G766" s="10">
        <f t="shared" si="105"/>
        <v>1</v>
      </c>
      <c r="H766" s="10">
        <f t="shared" si="105"/>
        <v>1</v>
      </c>
    </row>
    <row r="767" spans="1:8" ht="63" x14ac:dyDescent="0.25">
      <c r="A767" s="29" t="s">
        <v>200</v>
      </c>
      <c r="B767" s="20" t="s">
        <v>968</v>
      </c>
      <c r="C767" s="40" t="s">
        <v>166</v>
      </c>
      <c r="D767" s="40" t="s">
        <v>250</v>
      </c>
      <c r="E767" s="40" t="s">
        <v>176</v>
      </c>
      <c r="F767" s="2"/>
      <c r="G767" s="10">
        <f>'пр.5.1.ведом.21-22'!G166</f>
        <v>1</v>
      </c>
      <c r="H767" s="10">
        <f>'пр.5.1.ведом.21-22'!H166</f>
        <v>1</v>
      </c>
    </row>
    <row r="768" spans="1:8" ht="31.5" x14ac:dyDescent="0.25">
      <c r="A768" s="29" t="s">
        <v>164</v>
      </c>
      <c r="B768" s="20" t="s">
        <v>968</v>
      </c>
      <c r="C768" s="40" t="s">
        <v>166</v>
      </c>
      <c r="D768" s="40" t="s">
        <v>250</v>
      </c>
      <c r="E768" s="40" t="s">
        <v>176</v>
      </c>
      <c r="F768" s="2">
        <v>902</v>
      </c>
      <c r="G768" s="10">
        <f>G767</f>
        <v>1</v>
      </c>
      <c r="H768" s="10">
        <f>H767</f>
        <v>1</v>
      </c>
    </row>
    <row r="769" spans="1:8" ht="31.5" x14ac:dyDescent="0.25">
      <c r="A769" s="25" t="s">
        <v>251</v>
      </c>
      <c r="B769" s="20" t="s">
        <v>927</v>
      </c>
      <c r="C769" s="40" t="s">
        <v>166</v>
      </c>
      <c r="D769" s="40" t="s">
        <v>250</v>
      </c>
      <c r="E769" s="40"/>
      <c r="F769" s="2"/>
      <c r="G769" s="10">
        <f>G770</f>
        <v>255</v>
      </c>
      <c r="H769" s="10">
        <f>H770</f>
        <v>255</v>
      </c>
    </row>
    <row r="770" spans="1:8" ht="15.75" x14ac:dyDescent="0.25">
      <c r="A770" s="25" t="s">
        <v>151</v>
      </c>
      <c r="B770" s="20" t="s">
        <v>927</v>
      </c>
      <c r="C770" s="40" t="s">
        <v>166</v>
      </c>
      <c r="D770" s="40" t="s">
        <v>250</v>
      </c>
      <c r="E770" s="40" t="s">
        <v>161</v>
      </c>
      <c r="F770" s="2"/>
      <c r="G770" s="10">
        <f>G771</f>
        <v>255</v>
      </c>
      <c r="H770" s="10">
        <f>H771</f>
        <v>255</v>
      </c>
    </row>
    <row r="771" spans="1:8" ht="63" x14ac:dyDescent="0.25">
      <c r="A771" s="25" t="s">
        <v>200</v>
      </c>
      <c r="B771" s="20" t="s">
        <v>927</v>
      </c>
      <c r="C771" s="40" t="s">
        <v>166</v>
      </c>
      <c r="D771" s="40" t="s">
        <v>250</v>
      </c>
      <c r="E771" s="40" t="s">
        <v>176</v>
      </c>
      <c r="F771" s="2"/>
      <c r="G771" s="10">
        <f>'пр.5.1.ведом.21-22'!G169</f>
        <v>255</v>
      </c>
      <c r="H771" s="10">
        <f>'пр.5.1.ведом.21-22'!H169</f>
        <v>255</v>
      </c>
    </row>
    <row r="772" spans="1:8" ht="31.5" x14ac:dyDescent="0.25">
      <c r="A772" s="29" t="s">
        <v>164</v>
      </c>
      <c r="B772" s="20" t="s">
        <v>927</v>
      </c>
      <c r="C772" s="40" t="s">
        <v>166</v>
      </c>
      <c r="D772" s="40" t="s">
        <v>250</v>
      </c>
      <c r="E772" s="40" t="s">
        <v>176</v>
      </c>
      <c r="F772" s="2">
        <v>902</v>
      </c>
      <c r="G772" s="10">
        <f>G771</f>
        <v>255</v>
      </c>
      <c r="H772" s="10">
        <f>H771</f>
        <v>255</v>
      </c>
    </row>
    <row r="773" spans="1:8" ht="47.25" x14ac:dyDescent="0.25">
      <c r="A773" s="222" t="s">
        <v>1160</v>
      </c>
      <c r="B773" s="24" t="s">
        <v>926</v>
      </c>
      <c r="C773" s="40"/>
      <c r="D773" s="40"/>
      <c r="E773" s="40"/>
      <c r="F773" s="2"/>
      <c r="G773" s="10">
        <f t="shared" ref="G773:H777" si="106">G774</f>
        <v>50</v>
      </c>
      <c r="H773" s="10">
        <f t="shared" si="106"/>
        <v>50</v>
      </c>
    </row>
    <row r="774" spans="1:8" ht="15.75" x14ac:dyDescent="0.25">
      <c r="A774" s="29" t="s">
        <v>248</v>
      </c>
      <c r="B774" s="5" t="s">
        <v>923</v>
      </c>
      <c r="C774" s="40" t="s">
        <v>166</v>
      </c>
      <c r="D774" s="40"/>
      <c r="E774" s="40"/>
      <c r="F774" s="2"/>
      <c r="G774" s="10">
        <f t="shared" si="106"/>
        <v>50</v>
      </c>
      <c r="H774" s="10">
        <f t="shared" si="106"/>
        <v>50</v>
      </c>
    </row>
    <row r="775" spans="1:8" ht="15.75" x14ac:dyDescent="0.25">
      <c r="A775" s="29" t="s">
        <v>249</v>
      </c>
      <c r="B775" s="30" t="s">
        <v>923</v>
      </c>
      <c r="C775" s="40" t="s">
        <v>166</v>
      </c>
      <c r="D775" s="40" t="s">
        <v>250</v>
      </c>
      <c r="E775" s="40"/>
      <c r="F775" s="2"/>
      <c r="G775" s="10">
        <f t="shared" si="106"/>
        <v>50</v>
      </c>
      <c r="H775" s="10">
        <f t="shared" si="106"/>
        <v>50</v>
      </c>
    </row>
    <row r="776" spans="1:8" ht="15.75" x14ac:dyDescent="0.25">
      <c r="A776" s="25" t="s">
        <v>925</v>
      </c>
      <c r="B776" s="5" t="s">
        <v>969</v>
      </c>
      <c r="C776" s="40" t="s">
        <v>166</v>
      </c>
      <c r="D776" s="40" t="s">
        <v>250</v>
      </c>
      <c r="E776" s="40"/>
      <c r="F776" s="2"/>
      <c r="G776" s="10">
        <f t="shared" si="106"/>
        <v>50</v>
      </c>
      <c r="H776" s="10">
        <f t="shared" si="106"/>
        <v>50</v>
      </c>
    </row>
    <row r="777" spans="1:8" ht="15.75" x14ac:dyDescent="0.25">
      <c r="A777" s="29" t="s">
        <v>151</v>
      </c>
      <c r="B777" s="5" t="s">
        <v>969</v>
      </c>
      <c r="C777" s="40" t="s">
        <v>166</v>
      </c>
      <c r="D777" s="40" t="s">
        <v>250</v>
      </c>
      <c r="E777" s="40" t="s">
        <v>161</v>
      </c>
      <c r="F777" s="2"/>
      <c r="G777" s="10">
        <f t="shared" si="106"/>
        <v>50</v>
      </c>
      <c r="H777" s="10">
        <f t="shared" si="106"/>
        <v>50</v>
      </c>
    </row>
    <row r="778" spans="1:8" ht="63" x14ac:dyDescent="0.25">
      <c r="A778" s="29" t="s">
        <v>200</v>
      </c>
      <c r="B778" s="5" t="s">
        <v>969</v>
      </c>
      <c r="C778" s="40" t="s">
        <v>166</v>
      </c>
      <c r="D778" s="40" t="s">
        <v>250</v>
      </c>
      <c r="E778" s="40" t="s">
        <v>176</v>
      </c>
      <c r="F778" s="2"/>
      <c r="G778" s="10">
        <f>'пр.5.1.ведом.21-22'!G173</f>
        <v>50</v>
      </c>
      <c r="H778" s="10">
        <f>'пр.5.1.ведом.21-22'!H173</f>
        <v>50</v>
      </c>
    </row>
    <row r="779" spans="1:8" ht="31.5" x14ac:dyDescent="0.25">
      <c r="A779" s="29" t="s">
        <v>164</v>
      </c>
      <c r="B779" s="20" t="s">
        <v>927</v>
      </c>
      <c r="C779" s="40" t="s">
        <v>166</v>
      </c>
      <c r="D779" s="40" t="s">
        <v>250</v>
      </c>
      <c r="E779" s="40" t="s">
        <v>176</v>
      </c>
      <c r="F779" s="2">
        <v>902</v>
      </c>
      <c r="G779" s="10">
        <f>G778</f>
        <v>50</v>
      </c>
      <c r="H779" s="10">
        <f>H778</f>
        <v>50</v>
      </c>
    </row>
    <row r="780" spans="1:8" ht="78.75" x14ac:dyDescent="0.25">
      <c r="A780" s="41" t="s">
        <v>1178</v>
      </c>
      <c r="B780" s="7" t="s">
        <v>534</v>
      </c>
      <c r="C780" s="7"/>
      <c r="D780" s="7"/>
      <c r="E780" s="72"/>
      <c r="F780" s="3"/>
      <c r="G780" s="59">
        <f>G781+G788+G795+G802+G809+G816+G823</f>
        <v>700</v>
      </c>
      <c r="H780" s="59">
        <f>H781+H788+H795+H802+H809+H816+H823</f>
        <v>700</v>
      </c>
    </row>
    <row r="781" spans="1:8" ht="31.5" x14ac:dyDescent="0.25">
      <c r="A781" s="23" t="s">
        <v>1099</v>
      </c>
      <c r="B781" s="24" t="s">
        <v>1101</v>
      </c>
      <c r="C781" s="40"/>
      <c r="D781" s="40"/>
      <c r="E781" s="40"/>
      <c r="F781" s="2"/>
      <c r="G781" s="59">
        <f>G782</f>
        <v>700</v>
      </c>
      <c r="H781" s="59">
        <f>H782</f>
        <v>700</v>
      </c>
    </row>
    <row r="782" spans="1:8" ht="15.75" x14ac:dyDescent="0.25">
      <c r="A782" s="29" t="s">
        <v>406</v>
      </c>
      <c r="B782" s="40" t="s">
        <v>1101</v>
      </c>
      <c r="C782" s="40" t="s">
        <v>250</v>
      </c>
      <c r="D782" s="40"/>
      <c r="E782" s="73"/>
      <c r="F782" s="2"/>
      <c r="G782" s="10">
        <f t="shared" ref="G782:H782" si="107">G783</f>
        <v>700</v>
      </c>
      <c r="H782" s="10">
        <f t="shared" si="107"/>
        <v>700</v>
      </c>
    </row>
    <row r="783" spans="1:8" ht="15.75" x14ac:dyDescent="0.25">
      <c r="A783" s="29" t="s">
        <v>533</v>
      </c>
      <c r="B783" s="40" t="s">
        <v>1101</v>
      </c>
      <c r="C783" s="40" t="s">
        <v>250</v>
      </c>
      <c r="D783" s="40" t="s">
        <v>229</v>
      </c>
      <c r="E783" s="73"/>
      <c r="F783" s="2"/>
      <c r="G783" s="10">
        <f>G784</f>
        <v>700</v>
      </c>
      <c r="H783" s="10">
        <f>H784</f>
        <v>700</v>
      </c>
    </row>
    <row r="784" spans="1:8" ht="15.75" x14ac:dyDescent="0.25">
      <c r="A784" s="45" t="s">
        <v>537</v>
      </c>
      <c r="B784" s="20" t="s">
        <v>1102</v>
      </c>
      <c r="C784" s="40" t="s">
        <v>250</v>
      </c>
      <c r="D784" s="40" t="s">
        <v>229</v>
      </c>
      <c r="E784" s="40"/>
      <c r="F784" s="2"/>
      <c r="G784" s="10">
        <f t="shared" ref="G784:H785" si="108">G785</f>
        <v>700</v>
      </c>
      <c r="H784" s="10">
        <f t="shared" si="108"/>
        <v>700</v>
      </c>
    </row>
    <row r="785" spans="1:8" ht="31.5" x14ac:dyDescent="0.25">
      <c r="A785" s="31" t="s">
        <v>147</v>
      </c>
      <c r="B785" s="20" t="s">
        <v>1102</v>
      </c>
      <c r="C785" s="40" t="s">
        <v>250</v>
      </c>
      <c r="D785" s="40" t="s">
        <v>229</v>
      </c>
      <c r="E785" s="40" t="s">
        <v>148</v>
      </c>
      <c r="F785" s="2"/>
      <c r="G785" s="10">
        <f t="shared" si="108"/>
        <v>700</v>
      </c>
      <c r="H785" s="10">
        <f t="shared" si="108"/>
        <v>700</v>
      </c>
    </row>
    <row r="786" spans="1:8" ht="47.25" x14ac:dyDescent="0.25">
      <c r="A786" s="31" t="s">
        <v>149</v>
      </c>
      <c r="B786" s="20" t="s">
        <v>1102</v>
      </c>
      <c r="C786" s="40" t="s">
        <v>250</v>
      </c>
      <c r="D786" s="40" t="s">
        <v>229</v>
      </c>
      <c r="E786" s="40" t="s">
        <v>150</v>
      </c>
      <c r="F786" s="2"/>
      <c r="G786" s="10">
        <f>'пр.5.1.ведом.21-22'!G940</f>
        <v>700</v>
      </c>
      <c r="H786" s="10">
        <f>'пр.5.1.ведом.21-22'!H940</f>
        <v>700</v>
      </c>
    </row>
    <row r="787" spans="1:8" ht="47.25" x14ac:dyDescent="0.25">
      <c r="A787" s="45" t="s">
        <v>640</v>
      </c>
      <c r="B787" s="20" t="s">
        <v>1102</v>
      </c>
      <c r="C787" s="40" t="s">
        <v>250</v>
      </c>
      <c r="D787" s="40" t="s">
        <v>229</v>
      </c>
      <c r="E787" s="40" t="s">
        <v>150</v>
      </c>
      <c r="F787" s="2">
        <v>908</v>
      </c>
      <c r="G787" s="6">
        <f>G786</f>
        <v>700</v>
      </c>
      <c r="H787" s="6">
        <f>H786</f>
        <v>700</v>
      </c>
    </row>
    <row r="788" spans="1:8" ht="31.5" hidden="1" x14ac:dyDescent="0.25">
      <c r="A788" s="34" t="s">
        <v>1103</v>
      </c>
      <c r="B788" s="24" t="s">
        <v>1104</v>
      </c>
      <c r="C788" s="40"/>
      <c r="D788" s="40"/>
      <c r="E788" s="40"/>
      <c r="F788" s="2"/>
      <c r="G788" s="59">
        <f>G789</f>
        <v>0</v>
      </c>
      <c r="H788" s="59">
        <f>H789</f>
        <v>0</v>
      </c>
    </row>
    <row r="789" spans="1:8" ht="15.75" hidden="1" x14ac:dyDescent="0.25">
      <c r="A789" s="29" t="s">
        <v>406</v>
      </c>
      <c r="B789" s="40" t="s">
        <v>1104</v>
      </c>
      <c r="C789" s="40" t="s">
        <v>250</v>
      </c>
      <c r="D789" s="40"/>
      <c r="E789" s="73"/>
      <c r="F789" s="2"/>
      <c r="G789" s="10">
        <f t="shared" ref="G789:H789" si="109">G790</f>
        <v>0</v>
      </c>
      <c r="H789" s="10">
        <f t="shared" si="109"/>
        <v>0</v>
      </c>
    </row>
    <row r="790" spans="1:8" ht="15.75" hidden="1" x14ac:dyDescent="0.25">
      <c r="A790" s="29" t="s">
        <v>533</v>
      </c>
      <c r="B790" s="40" t="s">
        <v>1104</v>
      </c>
      <c r="C790" s="40" t="s">
        <v>250</v>
      </c>
      <c r="D790" s="40" t="s">
        <v>229</v>
      </c>
      <c r="E790" s="73"/>
      <c r="F790" s="2"/>
      <c r="G790" s="10">
        <f>G791</f>
        <v>0</v>
      </c>
      <c r="H790" s="10">
        <f>H791</f>
        <v>0</v>
      </c>
    </row>
    <row r="791" spans="1:8" ht="15.75" hidden="1" x14ac:dyDescent="0.25">
      <c r="A791" s="45" t="s">
        <v>539</v>
      </c>
      <c r="B791" s="20" t="s">
        <v>1107</v>
      </c>
      <c r="C791" s="40" t="s">
        <v>250</v>
      </c>
      <c r="D791" s="40" t="s">
        <v>229</v>
      </c>
      <c r="E791" s="40"/>
      <c r="F791" s="2"/>
      <c r="G791" s="10">
        <f>G792</f>
        <v>0</v>
      </c>
      <c r="H791" s="10">
        <f>H792</f>
        <v>0</v>
      </c>
    </row>
    <row r="792" spans="1:8" ht="31.5" hidden="1" x14ac:dyDescent="0.25">
      <c r="A792" s="31" t="s">
        <v>147</v>
      </c>
      <c r="B792" s="20" t="s">
        <v>1107</v>
      </c>
      <c r="C792" s="40" t="s">
        <v>250</v>
      </c>
      <c r="D792" s="40" t="s">
        <v>229</v>
      </c>
      <c r="E792" s="40" t="s">
        <v>148</v>
      </c>
      <c r="F792" s="2"/>
      <c r="G792" s="10">
        <f t="shared" ref="G792:H792" si="110">G793</f>
        <v>0</v>
      </c>
      <c r="H792" s="10">
        <f t="shared" si="110"/>
        <v>0</v>
      </c>
    </row>
    <row r="793" spans="1:8" ht="47.25" hidden="1" x14ac:dyDescent="0.25">
      <c r="A793" s="31" t="s">
        <v>149</v>
      </c>
      <c r="B793" s="20" t="s">
        <v>1107</v>
      </c>
      <c r="C793" s="40" t="s">
        <v>250</v>
      </c>
      <c r="D793" s="40" t="s">
        <v>229</v>
      </c>
      <c r="E793" s="40" t="s">
        <v>150</v>
      </c>
      <c r="F793" s="2"/>
      <c r="G793" s="10">
        <f>'пр.5.1.ведом.21-22'!G944</f>
        <v>0</v>
      </c>
      <c r="H793" s="10">
        <f>'пр.5.1.ведом.21-22'!H944</f>
        <v>0</v>
      </c>
    </row>
    <row r="794" spans="1:8" ht="47.25" hidden="1" x14ac:dyDescent="0.25">
      <c r="A794" s="45" t="s">
        <v>640</v>
      </c>
      <c r="B794" s="20" t="s">
        <v>1107</v>
      </c>
      <c r="C794" s="40" t="s">
        <v>250</v>
      </c>
      <c r="D794" s="40" t="s">
        <v>229</v>
      </c>
      <c r="E794" s="40" t="s">
        <v>150</v>
      </c>
      <c r="F794" s="2">
        <v>908</v>
      </c>
      <c r="G794" s="6">
        <f>G793</f>
        <v>0</v>
      </c>
      <c r="H794" s="6">
        <f>H793</f>
        <v>0</v>
      </c>
    </row>
    <row r="795" spans="1:8" ht="31.5" hidden="1" x14ac:dyDescent="0.25">
      <c r="A795" s="58" t="s">
        <v>1105</v>
      </c>
      <c r="B795" s="24" t="s">
        <v>1106</v>
      </c>
      <c r="C795" s="40"/>
      <c r="D795" s="40"/>
      <c r="E795" s="40"/>
      <c r="F795" s="2"/>
      <c r="G795" s="59">
        <f>G796</f>
        <v>0</v>
      </c>
      <c r="H795" s="59">
        <f>H796</f>
        <v>0</v>
      </c>
    </row>
    <row r="796" spans="1:8" ht="15.75" hidden="1" x14ac:dyDescent="0.25">
      <c r="A796" s="29" t="s">
        <v>406</v>
      </c>
      <c r="B796" s="40" t="s">
        <v>1106</v>
      </c>
      <c r="C796" s="40" t="s">
        <v>250</v>
      </c>
      <c r="D796" s="40"/>
      <c r="E796" s="73"/>
      <c r="F796" s="2"/>
      <c r="G796" s="10">
        <f t="shared" ref="G796:H796" si="111">G797</f>
        <v>0</v>
      </c>
      <c r="H796" s="10">
        <f t="shared" si="111"/>
        <v>0</v>
      </c>
    </row>
    <row r="797" spans="1:8" ht="15.75" hidden="1" x14ac:dyDescent="0.25">
      <c r="A797" s="29" t="s">
        <v>533</v>
      </c>
      <c r="B797" s="40" t="s">
        <v>1106</v>
      </c>
      <c r="C797" s="40" t="s">
        <v>250</v>
      </c>
      <c r="D797" s="40" t="s">
        <v>229</v>
      </c>
      <c r="E797" s="73"/>
      <c r="F797" s="2"/>
      <c r="G797" s="10">
        <f>G798</f>
        <v>0</v>
      </c>
      <c r="H797" s="10">
        <f>H798</f>
        <v>0</v>
      </c>
    </row>
    <row r="798" spans="1:8" ht="15.75" hidden="1" x14ac:dyDescent="0.25">
      <c r="A798" s="45" t="s">
        <v>541</v>
      </c>
      <c r="B798" s="20" t="s">
        <v>1108</v>
      </c>
      <c r="C798" s="40" t="s">
        <v>250</v>
      </c>
      <c r="D798" s="40" t="s">
        <v>229</v>
      </c>
      <c r="E798" s="40"/>
      <c r="F798" s="2"/>
      <c r="G798" s="10">
        <f>G799</f>
        <v>0</v>
      </c>
      <c r="H798" s="10">
        <f>H799</f>
        <v>0</v>
      </c>
    </row>
    <row r="799" spans="1:8" ht="31.5" hidden="1" x14ac:dyDescent="0.25">
      <c r="A799" s="31" t="s">
        <v>147</v>
      </c>
      <c r="B799" s="20" t="s">
        <v>1108</v>
      </c>
      <c r="C799" s="40" t="s">
        <v>250</v>
      </c>
      <c r="D799" s="40" t="s">
        <v>229</v>
      </c>
      <c r="E799" s="40" t="s">
        <v>148</v>
      </c>
      <c r="F799" s="2"/>
      <c r="G799" s="10">
        <f t="shared" ref="G799:H799" si="112">G800</f>
        <v>0</v>
      </c>
      <c r="H799" s="10">
        <f t="shared" si="112"/>
        <v>0</v>
      </c>
    </row>
    <row r="800" spans="1:8" ht="47.25" hidden="1" x14ac:dyDescent="0.25">
      <c r="A800" s="31" t="s">
        <v>149</v>
      </c>
      <c r="B800" s="20" t="s">
        <v>1108</v>
      </c>
      <c r="C800" s="40" t="s">
        <v>250</v>
      </c>
      <c r="D800" s="40" t="s">
        <v>229</v>
      </c>
      <c r="E800" s="40" t="s">
        <v>150</v>
      </c>
      <c r="F800" s="2"/>
      <c r="G800" s="10">
        <f>'пр.5.1.ведом.21-22'!G948</f>
        <v>0</v>
      </c>
      <c r="H800" s="10">
        <f>'пр.5.1.ведом.21-22'!H948</f>
        <v>0</v>
      </c>
    </row>
    <row r="801" spans="1:8" ht="47.25" hidden="1" x14ac:dyDescent="0.25">
      <c r="A801" s="45" t="s">
        <v>640</v>
      </c>
      <c r="B801" s="20" t="s">
        <v>1108</v>
      </c>
      <c r="C801" s="40" t="s">
        <v>250</v>
      </c>
      <c r="D801" s="40" t="s">
        <v>229</v>
      </c>
      <c r="E801" s="40" t="s">
        <v>150</v>
      </c>
      <c r="F801" s="2">
        <v>908</v>
      </c>
      <c r="G801" s="6">
        <f>G800</f>
        <v>0</v>
      </c>
      <c r="H801" s="6">
        <f>H800</f>
        <v>0</v>
      </c>
    </row>
    <row r="802" spans="1:8" ht="31.5" hidden="1" x14ac:dyDescent="0.25">
      <c r="A802" s="58" t="s">
        <v>1109</v>
      </c>
      <c r="B802" s="24" t="s">
        <v>1110</v>
      </c>
      <c r="C802" s="40"/>
      <c r="D802" s="40"/>
      <c r="E802" s="40"/>
      <c r="F802" s="2"/>
      <c r="G802" s="59">
        <f t="shared" ref="G802:H804" si="113">G803</f>
        <v>0</v>
      </c>
      <c r="H802" s="59">
        <f t="shared" si="113"/>
        <v>0</v>
      </c>
    </row>
    <row r="803" spans="1:8" ht="15.75" hidden="1" x14ac:dyDescent="0.25">
      <c r="A803" s="29" t="s">
        <v>406</v>
      </c>
      <c r="B803" s="40" t="s">
        <v>1110</v>
      </c>
      <c r="C803" s="40" t="s">
        <v>250</v>
      </c>
      <c r="D803" s="40"/>
      <c r="E803" s="73"/>
      <c r="F803" s="2"/>
      <c r="G803" s="10">
        <f t="shared" si="113"/>
        <v>0</v>
      </c>
      <c r="H803" s="10">
        <f t="shared" si="113"/>
        <v>0</v>
      </c>
    </row>
    <row r="804" spans="1:8" ht="15.75" hidden="1" x14ac:dyDescent="0.25">
      <c r="A804" s="29" t="s">
        <v>533</v>
      </c>
      <c r="B804" s="40" t="s">
        <v>1110</v>
      </c>
      <c r="C804" s="40" t="s">
        <v>250</v>
      </c>
      <c r="D804" s="40" t="s">
        <v>229</v>
      </c>
      <c r="E804" s="73"/>
      <c r="F804" s="2"/>
      <c r="G804" s="10">
        <f t="shared" si="113"/>
        <v>0</v>
      </c>
      <c r="H804" s="10">
        <f t="shared" si="113"/>
        <v>0</v>
      </c>
    </row>
    <row r="805" spans="1:8" ht="31.5" hidden="1" x14ac:dyDescent="0.25">
      <c r="A805" s="45" t="s">
        <v>543</v>
      </c>
      <c r="B805" s="20" t="s">
        <v>1111</v>
      </c>
      <c r="C805" s="40" t="s">
        <v>250</v>
      </c>
      <c r="D805" s="40" t="s">
        <v>229</v>
      </c>
      <c r="E805" s="40"/>
      <c r="F805" s="2"/>
      <c r="G805" s="10">
        <f t="shared" ref="G805:H806" si="114">G806</f>
        <v>0</v>
      </c>
      <c r="H805" s="10">
        <f t="shared" si="114"/>
        <v>0</v>
      </c>
    </row>
    <row r="806" spans="1:8" ht="31.5" hidden="1" x14ac:dyDescent="0.25">
      <c r="A806" s="31" t="s">
        <v>147</v>
      </c>
      <c r="B806" s="20" t="s">
        <v>1111</v>
      </c>
      <c r="C806" s="40" t="s">
        <v>250</v>
      </c>
      <c r="D806" s="40" t="s">
        <v>229</v>
      </c>
      <c r="E806" s="40" t="s">
        <v>148</v>
      </c>
      <c r="F806" s="2"/>
      <c r="G806" s="10">
        <f t="shared" si="114"/>
        <v>0</v>
      </c>
      <c r="H806" s="10">
        <f t="shared" si="114"/>
        <v>0</v>
      </c>
    </row>
    <row r="807" spans="1:8" ht="47.25" hidden="1" x14ac:dyDescent="0.25">
      <c r="A807" s="31" t="s">
        <v>149</v>
      </c>
      <c r="B807" s="20" t="s">
        <v>1111</v>
      </c>
      <c r="C807" s="40" t="s">
        <v>250</v>
      </c>
      <c r="D807" s="40" t="s">
        <v>229</v>
      </c>
      <c r="E807" s="40" t="s">
        <v>150</v>
      </c>
      <c r="F807" s="2"/>
      <c r="G807" s="10">
        <f>'пр.5.1.ведом.21-22'!G952</f>
        <v>0</v>
      </c>
      <c r="H807" s="10">
        <f>'пр.5.1.ведом.21-22'!H952</f>
        <v>0</v>
      </c>
    </row>
    <row r="808" spans="1:8" ht="47.25" hidden="1" x14ac:dyDescent="0.25">
      <c r="A808" s="45" t="s">
        <v>640</v>
      </c>
      <c r="B808" s="20" t="s">
        <v>1111</v>
      </c>
      <c r="C808" s="40" t="s">
        <v>250</v>
      </c>
      <c r="D808" s="40" t="s">
        <v>229</v>
      </c>
      <c r="E808" s="40" t="s">
        <v>150</v>
      </c>
      <c r="F808" s="2">
        <v>908</v>
      </c>
      <c r="G808" s="6">
        <f>G807</f>
        <v>0</v>
      </c>
      <c r="H808" s="6">
        <f>H807</f>
        <v>0</v>
      </c>
    </row>
    <row r="809" spans="1:8" ht="31.5" hidden="1" x14ac:dyDescent="0.25">
      <c r="A809" s="34" t="s">
        <v>1172</v>
      </c>
      <c r="B809" s="24" t="s">
        <v>1173</v>
      </c>
      <c r="C809" s="40"/>
      <c r="D809" s="40"/>
      <c r="E809" s="40"/>
      <c r="F809" s="2"/>
      <c r="G809" s="59">
        <f>G810</f>
        <v>0</v>
      </c>
      <c r="H809" s="59">
        <f>H810</f>
        <v>0</v>
      </c>
    </row>
    <row r="810" spans="1:8" ht="15.75" hidden="1" x14ac:dyDescent="0.25">
      <c r="A810" s="29" t="s">
        <v>406</v>
      </c>
      <c r="B810" s="40" t="s">
        <v>534</v>
      </c>
      <c r="C810" s="40" t="s">
        <v>250</v>
      </c>
      <c r="D810" s="40"/>
      <c r="E810" s="73"/>
      <c r="F810" s="2"/>
      <c r="G810" s="10">
        <f t="shared" ref="G810:H810" si="115">G811</f>
        <v>0</v>
      </c>
      <c r="H810" s="10">
        <f t="shared" si="115"/>
        <v>0</v>
      </c>
    </row>
    <row r="811" spans="1:8" ht="15.75" hidden="1" x14ac:dyDescent="0.25">
      <c r="A811" s="29" t="s">
        <v>533</v>
      </c>
      <c r="B811" s="40" t="s">
        <v>534</v>
      </c>
      <c r="C811" s="40" t="s">
        <v>250</v>
      </c>
      <c r="D811" s="40" t="s">
        <v>229</v>
      </c>
      <c r="E811" s="73"/>
      <c r="F811" s="2"/>
      <c r="G811" s="10">
        <f>G812</f>
        <v>0</v>
      </c>
      <c r="H811" s="10">
        <f>H812</f>
        <v>0</v>
      </c>
    </row>
    <row r="812" spans="1:8" ht="15.75" hidden="1" x14ac:dyDescent="0.25">
      <c r="A812" s="45" t="s">
        <v>545</v>
      </c>
      <c r="B812" s="20" t="s">
        <v>1176</v>
      </c>
      <c r="C812" s="40" t="s">
        <v>250</v>
      </c>
      <c r="D812" s="40" t="s">
        <v>229</v>
      </c>
      <c r="E812" s="40"/>
      <c r="F812" s="2"/>
      <c r="G812" s="10">
        <f t="shared" ref="G812:H813" si="116">G813</f>
        <v>0</v>
      </c>
      <c r="H812" s="10">
        <f t="shared" si="116"/>
        <v>0</v>
      </c>
    </row>
    <row r="813" spans="1:8" ht="31.5" hidden="1" x14ac:dyDescent="0.25">
      <c r="A813" s="31" t="s">
        <v>147</v>
      </c>
      <c r="B813" s="20" t="s">
        <v>1176</v>
      </c>
      <c r="C813" s="40" t="s">
        <v>250</v>
      </c>
      <c r="D813" s="40" t="s">
        <v>229</v>
      </c>
      <c r="E813" s="40" t="s">
        <v>148</v>
      </c>
      <c r="F813" s="2"/>
      <c r="G813" s="10">
        <f t="shared" si="116"/>
        <v>0</v>
      </c>
      <c r="H813" s="10">
        <f t="shared" si="116"/>
        <v>0</v>
      </c>
    </row>
    <row r="814" spans="1:8" ht="47.25" hidden="1" x14ac:dyDescent="0.25">
      <c r="A814" s="31" t="s">
        <v>149</v>
      </c>
      <c r="B814" s="20" t="s">
        <v>1176</v>
      </c>
      <c r="C814" s="40" t="s">
        <v>250</v>
      </c>
      <c r="D814" s="40" t="s">
        <v>229</v>
      </c>
      <c r="E814" s="40" t="s">
        <v>150</v>
      </c>
      <c r="F814" s="2"/>
      <c r="G814" s="10">
        <f>'пр.5.1.ведом.21-22'!G956</f>
        <v>0</v>
      </c>
      <c r="H814" s="10">
        <f>'пр.5.1.ведом.21-22'!H956</f>
        <v>0</v>
      </c>
    </row>
    <row r="815" spans="1:8" ht="47.25" hidden="1" x14ac:dyDescent="0.25">
      <c r="A815" s="45" t="s">
        <v>640</v>
      </c>
      <c r="B815" s="20" t="s">
        <v>1176</v>
      </c>
      <c r="C815" s="40" t="s">
        <v>250</v>
      </c>
      <c r="D815" s="40" t="s">
        <v>229</v>
      </c>
      <c r="E815" s="40" t="s">
        <v>150</v>
      </c>
      <c r="F815" s="2">
        <v>908</v>
      </c>
      <c r="G815" s="6">
        <f>G814</f>
        <v>0</v>
      </c>
      <c r="H815" s="6">
        <f>H814</f>
        <v>0</v>
      </c>
    </row>
    <row r="816" spans="1:8" ht="47.25" hidden="1" x14ac:dyDescent="0.25">
      <c r="A816" s="228" t="s">
        <v>1174</v>
      </c>
      <c r="B816" s="24" t="s">
        <v>1175</v>
      </c>
      <c r="C816" s="40"/>
      <c r="D816" s="40"/>
      <c r="E816" s="40"/>
      <c r="F816" s="2"/>
      <c r="G816" s="59">
        <f>G817</f>
        <v>0</v>
      </c>
      <c r="H816" s="59">
        <f>H817</f>
        <v>0</v>
      </c>
    </row>
    <row r="817" spans="1:8" ht="15.75" hidden="1" x14ac:dyDescent="0.25">
      <c r="A817" s="29" t="s">
        <v>406</v>
      </c>
      <c r="B817" s="40" t="s">
        <v>534</v>
      </c>
      <c r="C817" s="40" t="s">
        <v>250</v>
      </c>
      <c r="D817" s="40"/>
      <c r="E817" s="73"/>
      <c r="F817" s="2"/>
      <c r="G817" s="10">
        <f t="shared" ref="G817:H817" si="117">G818</f>
        <v>0</v>
      </c>
      <c r="H817" s="10">
        <f t="shared" si="117"/>
        <v>0</v>
      </c>
    </row>
    <row r="818" spans="1:8" ht="15.75" hidden="1" x14ac:dyDescent="0.25">
      <c r="A818" s="29" t="s">
        <v>533</v>
      </c>
      <c r="B818" s="40" t="s">
        <v>534</v>
      </c>
      <c r="C818" s="40" t="s">
        <v>250</v>
      </c>
      <c r="D818" s="40" t="s">
        <v>229</v>
      </c>
      <c r="E818" s="73"/>
      <c r="F818" s="2"/>
      <c r="G818" s="10">
        <f>G819</f>
        <v>0</v>
      </c>
      <c r="H818" s="10">
        <f>H819</f>
        <v>0</v>
      </c>
    </row>
    <row r="819" spans="1:8" ht="31.5" hidden="1" x14ac:dyDescent="0.25">
      <c r="A819" s="178" t="s">
        <v>547</v>
      </c>
      <c r="B819" s="20" t="s">
        <v>1177</v>
      </c>
      <c r="C819" s="40" t="s">
        <v>250</v>
      </c>
      <c r="D819" s="40" t="s">
        <v>229</v>
      </c>
      <c r="E819" s="40"/>
      <c r="F819" s="2"/>
      <c r="G819" s="10">
        <f t="shared" ref="G819:H820" si="118">G820</f>
        <v>0</v>
      </c>
      <c r="H819" s="10">
        <f t="shared" si="118"/>
        <v>0</v>
      </c>
    </row>
    <row r="820" spans="1:8" ht="31.5" hidden="1" x14ac:dyDescent="0.25">
      <c r="A820" s="31" t="s">
        <v>147</v>
      </c>
      <c r="B820" s="20" t="s">
        <v>1177</v>
      </c>
      <c r="C820" s="40" t="s">
        <v>250</v>
      </c>
      <c r="D820" s="40" t="s">
        <v>229</v>
      </c>
      <c r="E820" s="40" t="s">
        <v>148</v>
      </c>
      <c r="F820" s="2"/>
      <c r="G820" s="10">
        <f t="shared" si="118"/>
        <v>0</v>
      </c>
      <c r="H820" s="10">
        <f t="shared" si="118"/>
        <v>0</v>
      </c>
    </row>
    <row r="821" spans="1:8" ht="47.25" hidden="1" x14ac:dyDescent="0.25">
      <c r="A821" s="31" t="s">
        <v>149</v>
      </c>
      <c r="B821" s="20" t="s">
        <v>1177</v>
      </c>
      <c r="C821" s="40" t="s">
        <v>250</v>
      </c>
      <c r="D821" s="40" t="s">
        <v>229</v>
      </c>
      <c r="E821" s="40" t="s">
        <v>150</v>
      </c>
      <c r="F821" s="2"/>
      <c r="G821" s="10">
        <f>'пр.5.1.ведом.21-22'!G960</f>
        <v>0</v>
      </c>
      <c r="H821" s="10">
        <f>'пр.5.1.ведом.21-22'!H960</f>
        <v>0</v>
      </c>
    </row>
    <row r="822" spans="1:8" ht="47.25" hidden="1" x14ac:dyDescent="0.25">
      <c r="A822" s="45" t="s">
        <v>640</v>
      </c>
      <c r="B822" s="20" t="s">
        <v>1177</v>
      </c>
      <c r="C822" s="40" t="s">
        <v>250</v>
      </c>
      <c r="D822" s="40" t="s">
        <v>229</v>
      </c>
      <c r="E822" s="40" t="s">
        <v>150</v>
      </c>
      <c r="F822" s="2">
        <v>908</v>
      </c>
      <c r="G822" s="6">
        <f>G821</f>
        <v>0</v>
      </c>
      <c r="H822" s="6">
        <f>H821</f>
        <v>0</v>
      </c>
    </row>
    <row r="823" spans="1:8" ht="31.5" hidden="1" x14ac:dyDescent="0.25">
      <c r="A823" s="228" t="s">
        <v>1113</v>
      </c>
      <c r="B823" s="24" t="s">
        <v>1114</v>
      </c>
      <c r="C823" s="40"/>
      <c r="D823" s="40"/>
      <c r="E823" s="40"/>
      <c r="F823" s="2"/>
      <c r="G823" s="59">
        <f t="shared" ref="G823:H825" si="119">G824</f>
        <v>0</v>
      </c>
      <c r="H823" s="59">
        <f t="shared" si="119"/>
        <v>0</v>
      </c>
    </row>
    <row r="824" spans="1:8" ht="15.75" hidden="1" x14ac:dyDescent="0.25">
      <c r="A824" s="29" t="s">
        <v>406</v>
      </c>
      <c r="B824" s="40" t="s">
        <v>534</v>
      </c>
      <c r="C824" s="40" t="s">
        <v>250</v>
      </c>
      <c r="D824" s="40"/>
      <c r="E824" s="73"/>
      <c r="F824" s="2"/>
      <c r="G824" s="10">
        <f t="shared" si="119"/>
        <v>0</v>
      </c>
      <c r="H824" s="10">
        <f t="shared" si="119"/>
        <v>0</v>
      </c>
    </row>
    <row r="825" spans="1:8" ht="15.75" hidden="1" x14ac:dyDescent="0.25">
      <c r="A825" s="29" t="s">
        <v>533</v>
      </c>
      <c r="B825" s="40" t="s">
        <v>534</v>
      </c>
      <c r="C825" s="40" t="s">
        <v>250</v>
      </c>
      <c r="D825" s="40" t="s">
        <v>229</v>
      </c>
      <c r="E825" s="73"/>
      <c r="F825" s="2"/>
      <c r="G825" s="10">
        <f t="shared" si="119"/>
        <v>0</v>
      </c>
      <c r="H825" s="10">
        <f t="shared" si="119"/>
        <v>0</v>
      </c>
    </row>
    <row r="826" spans="1:8" ht="15.75" hidden="1" x14ac:dyDescent="0.25">
      <c r="A826" s="178" t="s">
        <v>549</v>
      </c>
      <c r="B826" s="20" t="s">
        <v>1112</v>
      </c>
      <c r="C826" s="40" t="s">
        <v>250</v>
      </c>
      <c r="D826" s="40" t="s">
        <v>229</v>
      </c>
      <c r="E826" s="40"/>
      <c r="F826" s="2"/>
      <c r="G826" s="10">
        <f t="shared" ref="G826:H827" si="120">G827</f>
        <v>0</v>
      </c>
      <c r="H826" s="10">
        <f t="shared" si="120"/>
        <v>0</v>
      </c>
    </row>
    <row r="827" spans="1:8" ht="31.5" hidden="1" x14ac:dyDescent="0.3">
      <c r="A827" s="25" t="s">
        <v>147</v>
      </c>
      <c r="B827" s="20" t="s">
        <v>1112</v>
      </c>
      <c r="C827" s="40" t="s">
        <v>250</v>
      </c>
      <c r="D827" s="40" t="s">
        <v>229</v>
      </c>
      <c r="E827" s="2">
        <v>200</v>
      </c>
      <c r="F827" s="77"/>
      <c r="G827" s="6">
        <f t="shared" si="120"/>
        <v>0</v>
      </c>
      <c r="H827" s="6">
        <f t="shared" si="120"/>
        <v>0</v>
      </c>
    </row>
    <row r="828" spans="1:8" ht="47.25" hidden="1" x14ac:dyDescent="0.3">
      <c r="A828" s="25" t="s">
        <v>149</v>
      </c>
      <c r="B828" s="20" t="s">
        <v>1112</v>
      </c>
      <c r="C828" s="40" t="s">
        <v>250</v>
      </c>
      <c r="D828" s="40" t="s">
        <v>229</v>
      </c>
      <c r="E828" s="2">
        <v>240</v>
      </c>
      <c r="F828" s="77"/>
      <c r="G828" s="6">
        <f>'пр.5.1.ведом.21-22'!G964</f>
        <v>0</v>
      </c>
      <c r="H828" s="6">
        <f>'пр.5.1.ведом.21-22'!H964</f>
        <v>0</v>
      </c>
    </row>
    <row r="829" spans="1:8" ht="47.25" hidden="1" x14ac:dyDescent="0.25">
      <c r="A829" s="45" t="s">
        <v>640</v>
      </c>
      <c r="B829" s="20" t="s">
        <v>1112</v>
      </c>
      <c r="C829" s="40" t="s">
        <v>250</v>
      </c>
      <c r="D829" s="40" t="s">
        <v>229</v>
      </c>
      <c r="E829" s="2">
        <v>240</v>
      </c>
      <c r="F829" s="2">
        <v>908</v>
      </c>
      <c r="G829" s="6">
        <f>G828</f>
        <v>0</v>
      </c>
      <c r="H829" s="6">
        <f>H828</f>
        <v>0</v>
      </c>
    </row>
    <row r="830" spans="1:8" ht="63" x14ac:dyDescent="0.25">
      <c r="A830" s="23" t="s">
        <v>350</v>
      </c>
      <c r="B830" s="24" t="s">
        <v>351</v>
      </c>
      <c r="C830" s="7"/>
      <c r="D830" s="7"/>
      <c r="E830" s="3"/>
      <c r="F830" s="3"/>
      <c r="G830" s="4">
        <f t="shared" ref="G830:H832" si="121">G831</f>
        <v>175</v>
      </c>
      <c r="H830" s="4">
        <f t="shared" si="121"/>
        <v>175</v>
      </c>
    </row>
    <row r="831" spans="1:8" ht="31.5" x14ac:dyDescent="0.25">
      <c r="A831" s="23" t="s">
        <v>1225</v>
      </c>
      <c r="B831" s="24" t="s">
        <v>1226</v>
      </c>
      <c r="C831" s="7"/>
      <c r="D831" s="7"/>
      <c r="E831" s="3"/>
      <c r="F831" s="3"/>
      <c r="G831" s="4">
        <f t="shared" si="121"/>
        <v>175</v>
      </c>
      <c r="H831" s="4">
        <f t="shared" si="121"/>
        <v>175</v>
      </c>
    </row>
    <row r="832" spans="1:8" ht="15.75" x14ac:dyDescent="0.25">
      <c r="A832" s="29" t="s">
        <v>133</v>
      </c>
      <c r="B832" s="20" t="s">
        <v>1226</v>
      </c>
      <c r="C832" s="40" t="s">
        <v>134</v>
      </c>
      <c r="D832" s="40"/>
      <c r="E832" s="2"/>
      <c r="F832" s="2"/>
      <c r="G832" s="6">
        <f t="shared" si="121"/>
        <v>175</v>
      </c>
      <c r="H832" s="6">
        <f t="shared" si="121"/>
        <v>175</v>
      </c>
    </row>
    <row r="833" spans="1:8" ht="15.75" x14ac:dyDescent="0.25">
      <c r="A833" s="29" t="s">
        <v>155</v>
      </c>
      <c r="B833" s="20" t="s">
        <v>1226</v>
      </c>
      <c r="C833" s="40" t="s">
        <v>134</v>
      </c>
      <c r="D833" s="40" t="s">
        <v>156</v>
      </c>
      <c r="E833" s="2"/>
      <c r="F833" s="2"/>
      <c r="G833" s="6">
        <f>G834+G841+G845+G849+G853+G857+G861</f>
        <v>175</v>
      </c>
      <c r="H833" s="6">
        <f>H834+H841+H845+H849+H853+H857+H861</f>
        <v>175</v>
      </c>
    </row>
    <row r="834" spans="1:8" ht="31.5" x14ac:dyDescent="0.25">
      <c r="A834" s="25" t="s">
        <v>352</v>
      </c>
      <c r="B834" s="20" t="s">
        <v>1227</v>
      </c>
      <c r="C834" s="40" t="s">
        <v>134</v>
      </c>
      <c r="D834" s="40" t="s">
        <v>156</v>
      </c>
      <c r="E834" s="2"/>
      <c r="F834" s="2"/>
      <c r="G834" s="6">
        <f>G835+G838</f>
        <v>120</v>
      </c>
      <c r="H834" s="6">
        <f>H835+H838</f>
        <v>120</v>
      </c>
    </row>
    <row r="835" spans="1:8" ht="31.5" x14ac:dyDescent="0.25">
      <c r="A835" s="25" t="s">
        <v>147</v>
      </c>
      <c r="B835" s="20" t="s">
        <v>1227</v>
      </c>
      <c r="C835" s="40" t="s">
        <v>134</v>
      </c>
      <c r="D835" s="40" t="s">
        <v>156</v>
      </c>
      <c r="E835" s="2">
        <v>200</v>
      </c>
      <c r="F835" s="2"/>
      <c r="G835" s="6">
        <f t="shared" ref="G835:H835" si="122">G836</f>
        <v>50</v>
      </c>
      <c r="H835" s="6">
        <f t="shared" si="122"/>
        <v>50</v>
      </c>
    </row>
    <row r="836" spans="1:8" ht="47.25" x14ac:dyDescent="0.25">
      <c r="A836" s="25" t="s">
        <v>149</v>
      </c>
      <c r="B836" s="20" t="s">
        <v>1227</v>
      </c>
      <c r="C836" s="40" t="s">
        <v>134</v>
      </c>
      <c r="D836" s="40" t="s">
        <v>156</v>
      </c>
      <c r="E836" s="2">
        <v>240</v>
      </c>
      <c r="F836" s="2"/>
      <c r="G836" s="6">
        <f>'пр.5.1.ведом.21-22'!G542</f>
        <v>50</v>
      </c>
      <c r="H836" s="6">
        <f>'пр.5.1.ведом.21-22'!H542</f>
        <v>50</v>
      </c>
    </row>
    <row r="837" spans="1:8" ht="31.5" x14ac:dyDescent="0.25">
      <c r="A837" s="45" t="s">
        <v>419</v>
      </c>
      <c r="B837" s="20" t="s">
        <v>1227</v>
      </c>
      <c r="C837" s="40" t="s">
        <v>134</v>
      </c>
      <c r="D837" s="40" t="s">
        <v>156</v>
      </c>
      <c r="E837" s="2">
        <v>240</v>
      </c>
      <c r="F837" s="2">
        <v>906</v>
      </c>
      <c r="G837" s="6">
        <f>G836</f>
        <v>50</v>
      </c>
      <c r="H837" s="6">
        <f>H836</f>
        <v>50</v>
      </c>
    </row>
    <row r="838" spans="1:8" ht="31.5" x14ac:dyDescent="0.25">
      <c r="A838" s="25" t="s">
        <v>147</v>
      </c>
      <c r="B838" s="20" t="s">
        <v>1227</v>
      </c>
      <c r="C838" s="40" t="s">
        <v>134</v>
      </c>
      <c r="D838" s="40" t="s">
        <v>156</v>
      </c>
      <c r="E838" s="2">
        <v>200</v>
      </c>
      <c r="F838" s="2"/>
      <c r="G838" s="6">
        <f t="shared" ref="G838:H838" si="123">G839</f>
        <v>70</v>
      </c>
      <c r="H838" s="6">
        <f t="shared" si="123"/>
        <v>70</v>
      </c>
    </row>
    <row r="839" spans="1:8" ht="47.25" x14ac:dyDescent="0.25">
      <c r="A839" s="25" t="s">
        <v>149</v>
      </c>
      <c r="B839" s="20" t="s">
        <v>1227</v>
      </c>
      <c r="C839" s="40" t="s">
        <v>134</v>
      </c>
      <c r="D839" s="40" t="s">
        <v>156</v>
      </c>
      <c r="E839" s="2">
        <v>240</v>
      </c>
      <c r="F839" s="2"/>
      <c r="G839" s="6">
        <f>'пр.5.1.ведом.21-22'!G780</f>
        <v>70</v>
      </c>
      <c r="H839" s="6">
        <f>'пр.5.1.ведом.21-22'!H780</f>
        <v>70</v>
      </c>
    </row>
    <row r="840" spans="1:8" ht="47.25" x14ac:dyDescent="0.25">
      <c r="A840" s="45" t="s">
        <v>496</v>
      </c>
      <c r="B840" s="20" t="s">
        <v>1227</v>
      </c>
      <c r="C840" s="40" t="s">
        <v>134</v>
      </c>
      <c r="D840" s="40" t="s">
        <v>156</v>
      </c>
      <c r="E840" s="2">
        <v>240</v>
      </c>
      <c r="F840" s="2">
        <v>907</v>
      </c>
      <c r="G840" s="6">
        <f>G839</f>
        <v>70</v>
      </c>
      <c r="H840" s="6">
        <f>H839</f>
        <v>70</v>
      </c>
    </row>
    <row r="841" spans="1:8" ht="31.5" hidden="1" x14ac:dyDescent="0.25">
      <c r="A841" s="25" t="s">
        <v>352</v>
      </c>
      <c r="B841" s="20" t="s">
        <v>1232</v>
      </c>
      <c r="C841" s="40" t="s">
        <v>134</v>
      </c>
      <c r="D841" s="40" t="s">
        <v>156</v>
      </c>
      <c r="E841" s="2"/>
      <c r="F841" s="2"/>
      <c r="G841" s="6">
        <f>G842</f>
        <v>0</v>
      </c>
      <c r="H841" s="6">
        <f>H842</f>
        <v>0</v>
      </c>
    </row>
    <row r="842" spans="1:8" ht="31.5" hidden="1" x14ac:dyDescent="0.25">
      <c r="A842" s="25" t="s">
        <v>147</v>
      </c>
      <c r="B842" s="20" t="s">
        <v>1232</v>
      </c>
      <c r="C842" s="40" t="s">
        <v>134</v>
      </c>
      <c r="D842" s="40" t="s">
        <v>156</v>
      </c>
      <c r="E842" s="2">
        <v>200</v>
      </c>
      <c r="F842" s="2"/>
      <c r="G842" s="6">
        <f t="shared" ref="G842:H842" si="124">G843</f>
        <v>0</v>
      </c>
      <c r="H842" s="6">
        <f t="shared" si="124"/>
        <v>0</v>
      </c>
    </row>
    <row r="843" spans="1:8" ht="47.25" hidden="1" x14ac:dyDescent="0.25">
      <c r="A843" s="25" t="s">
        <v>149</v>
      </c>
      <c r="B843" s="20" t="s">
        <v>1232</v>
      </c>
      <c r="C843" s="40" t="s">
        <v>134</v>
      </c>
      <c r="D843" s="40" t="s">
        <v>156</v>
      </c>
      <c r="E843" s="2">
        <v>240</v>
      </c>
      <c r="F843" s="2"/>
      <c r="G843" s="6">
        <v>0</v>
      </c>
      <c r="H843" s="6">
        <v>0</v>
      </c>
    </row>
    <row r="844" spans="1:8" ht="31.5" hidden="1" x14ac:dyDescent="0.25">
      <c r="A844" s="45" t="s">
        <v>419</v>
      </c>
      <c r="B844" s="20" t="s">
        <v>1232</v>
      </c>
      <c r="C844" s="40" t="s">
        <v>134</v>
      </c>
      <c r="D844" s="40" t="s">
        <v>156</v>
      </c>
      <c r="E844" s="2">
        <v>240</v>
      </c>
      <c r="F844" s="2">
        <v>906</v>
      </c>
      <c r="G844" s="6">
        <f>G843</f>
        <v>0</v>
      </c>
      <c r="H844" s="6">
        <f>H843</f>
        <v>0</v>
      </c>
    </row>
    <row r="845" spans="1:8" ht="31.5" x14ac:dyDescent="0.25">
      <c r="A845" s="25" t="s">
        <v>354</v>
      </c>
      <c r="B845" s="20" t="s">
        <v>1228</v>
      </c>
      <c r="C845" s="40" t="s">
        <v>134</v>
      </c>
      <c r="D845" s="40" t="s">
        <v>156</v>
      </c>
      <c r="E845" s="2"/>
      <c r="F845" s="2"/>
      <c r="G845" s="6">
        <f t="shared" ref="G845:H846" si="125">G846</f>
        <v>25</v>
      </c>
      <c r="H845" s="6">
        <f t="shared" si="125"/>
        <v>25</v>
      </c>
    </row>
    <row r="846" spans="1:8" ht="31.5" x14ac:dyDescent="0.25">
      <c r="A846" s="25" t="s">
        <v>147</v>
      </c>
      <c r="B846" s="20" t="s">
        <v>1228</v>
      </c>
      <c r="C846" s="40" t="s">
        <v>134</v>
      </c>
      <c r="D846" s="40" t="s">
        <v>156</v>
      </c>
      <c r="E846" s="2">
        <v>200</v>
      </c>
      <c r="F846" s="2"/>
      <c r="G846" s="6">
        <f t="shared" si="125"/>
        <v>25</v>
      </c>
      <c r="H846" s="6">
        <f t="shared" si="125"/>
        <v>25</v>
      </c>
    </row>
    <row r="847" spans="1:8" ht="47.25" x14ac:dyDescent="0.25">
      <c r="A847" s="25" t="s">
        <v>149</v>
      </c>
      <c r="B847" s="20" t="s">
        <v>1228</v>
      </c>
      <c r="C847" s="40" t="s">
        <v>134</v>
      </c>
      <c r="D847" s="40" t="s">
        <v>156</v>
      </c>
      <c r="E847" s="2">
        <v>240</v>
      </c>
      <c r="F847" s="2"/>
      <c r="G847" s="6">
        <f>'пр.5.1.ведом.21-22'!G233</f>
        <v>25</v>
      </c>
      <c r="H847" s="6">
        <f>'пр.5.1.ведом.21-22'!H233</f>
        <v>25</v>
      </c>
    </row>
    <row r="848" spans="1:8" ht="47.25" x14ac:dyDescent="0.25">
      <c r="A848" s="45" t="s">
        <v>277</v>
      </c>
      <c r="B848" s="20" t="s">
        <v>1228</v>
      </c>
      <c r="C848" s="40" t="s">
        <v>134</v>
      </c>
      <c r="D848" s="40" t="s">
        <v>156</v>
      </c>
      <c r="E848" s="2">
        <v>240</v>
      </c>
      <c r="F848" s="2">
        <v>903</v>
      </c>
      <c r="G848" s="6">
        <f>G847</f>
        <v>25</v>
      </c>
      <c r="H848" s="6">
        <f>H847</f>
        <v>25</v>
      </c>
    </row>
    <row r="849" spans="1:8" ht="63" x14ac:dyDescent="0.25">
      <c r="A849" s="31" t="s">
        <v>794</v>
      </c>
      <c r="B849" s="20" t="s">
        <v>1229</v>
      </c>
      <c r="C849" s="40" t="s">
        <v>134</v>
      </c>
      <c r="D849" s="40" t="s">
        <v>156</v>
      </c>
      <c r="E849" s="2"/>
      <c r="F849" s="2"/>
      <c r="G849" s="6">
        <f t="shared" ref="G849:H850" si="126">G850</f>
        <v>10</v>
      </c>
      <c r="H849" s="6">
        <f t="shared" si="126"/>
        <v>10</v>
      </c>
    </row>
    <row r="850" spans="1:8" ht="31.5" x14ac:dyDescent="0.25">
      <c r="A850" s="25" t="s">
        <v>147</v>
      </c>
      <c r="B850" s="20" t="s">
        <v>1229</v>
      </c>
      <c r="C850" s="20" t="s">
        <v>134</v>
      </c>
      <c r="D850" s="20" t="s">
        <v>156</v>
      </c>
      <c r="E850" s="20" t="s">
        <v>148</v>
      </c>
      <c r="F850" s="182"/>
      <c r="G850" s="6">
        <f t="shared" si="126"/>
        <v>10</v>
      </c>
      <c r="H850" s="6">
        <f t="shared" si="126"/>
        <v>10</v>
      </c>
    </row>
    <row r="851" spans="1:8" ht="47.25" x14ac:dyDescent="0.25">
      <c r="A851" s="25" t="s">
        <v>149</v>
      </c>
      <c r="B851" s="20" t="s">
        <v>1229</v>
      </c>
      <c r="C851" s="20" t="s">
        <v>134</v>
      </c>
      <c r="D851" s="20" t="s">
        <v>156</v>
      </c>
      <c r="E851" s="20" t="s">
        <v>150</v>
      </c>
      <c r="F851" s="182"/>
      <c r="G851" s="6">
        <f>'пр.5.1.ведом.21-22'!G236</f>
        <v>10</v>
      </c>
      <c r="H851" s="6">
        <f>'пр.5.1.ведом.21-22'!H236</f>
        <v>10</v>
      </c>
    </row>
    <row r="852" spans="1:8" ht="47.25" x14ac:dyDescent="0.25">
      <c r="A852" s="45" t="s">
        <v>277</v>
      </c>
      <c r="B852" s="20" t="s">
        <v>1229</v>
      </c>
      <c r="C852" s="40" t="s">
        <v>134</v>
      </c>
      <c r="D852" s="40" t="s">
        <v>156</v>
      </c>
      <c r="E852" s="2">
        <v>240</v>
      </c>
      <c r="F852" s="2">
        <v>903</v>
      </c>
      <c r="G852" s="6">
        <f>G851</f>
        <v>10</v>
      </c>
      <c r="H852" s="6">
        <f>H851</f>
        <v>10</v>
      </c>
    </row>
    <row r="853" spans="1:8" ht="47.25" hidden="1" x14ac:dyDescent="0.25">
      <c r="A853" s="25" t="s">
        <v>696</v>
      </c>
      <c r="B853" s="20" t="s">
        <v>1230</v>
      </c>
      <c r="C853" s="40" t="s">
        <v>134</v>
      </c>
      <c r="D853" s="40" t="s">
        <v>156</v>
      </c>
      <c r="E853" s="2"/>
      <c r="F853" s="182"/>
      <c r="G853" s="6">
        <f t="shared" ref="G853:H854" si="127">G854</f>
        <v>0</v>
      </c>
      <c r="H853" s="6">
        <f t="shared" si="127"/>
        <v>0</v>
      </c>
    </row>
    <row r="854" spans="1:8" ht="31.5" hidden="1" x14ac:dyDescent="0.25">
      <c r="A854" s="25" t="s">
        <v>147</v>
      </c>
      <c r="B854" s="20" t="s">
        <v>1230</v>
      </c>
      <c r="C854" s="40" t="s">
        <v>134</v>
      </c>
      <c r="D854" s="40" t="s">
        <v>156</v>
      </c>
      <c r="E854" s="2">
        <v>200</v>
      </c>
      <c r="F854" s="182"/>
      <c r="G854" s="6">
        <f t="shared" si="127"/>
        <v>0</v>
      </c>
      <c r="H854" s="6">
        <f t="shared" si="127"/>
        <v>0</v>
      </c>
    </row>
    <row r="855" spans="1:8" ht="47.25" hidden="1" x14ac:dyDescent="0.25">
      <c r="A855" s="25" t="s">
        <v>149</v>
      </c>
      <c r="B855" s="20" t="s">
        <v>1230</v>
      </c>
      <c r="C855" s="40" t="s">
        <v>134</v>
      </c>
      <c r="D855" s="40" t="s">
        <v>156</v>
      </c>
      <c r="E855" s="2">
        <v>240</v>
      </c>
      <c r="F855" s="182"/>
      <c r="G855" s="6">
        <f>'пр.5.1.ведом.21-22'!G239</f>
        <v>0</v>
      </c>
      <c r="H855" s="6">
        <f>'пр.5.1.ведом.21-22'!H239</f>
        <v>0</v>
      </c>
    </row>
    <row r="856" spans="1:8" ht="47.25" hidden="1" x14ac:dyDescent="0.25">
      <c r="A856" s="45" t="s">
        <v>277</v>
      </c>
      <c r="B856" s="20" t="s">
        <v>1230</v>
      </c>
      <c r="C856" s="40" t="s">
        <v>134</v>
      </c>
      <c r="D856" s="40" t="s">
        <v>156</v>
      </c>
      <c r="E856" s="2">
        <v>240</v>
      </c>
      <c r="F856" s="2">
        <v>903</v>
      </c>
      <c r="G856" s="6">
        <f>G855</f>
        <v>0</v>
      </c>
      <c r="H856" s="6">
        <f>H855</f>
        <v>0</v>
      </c>
    </row>
    <row r="857" spans="1:8" ht="31.5" hidden="1" x14ac:dyDescent="0.25">
      <c r="A857" s="31" t="s">
        <v>796</v>
      </c>
      <c r="B857" s="20" t="s">
        <v>1260</v>
      </c>
      <c r="C857" s="40" t="s">
        <v>134</v>
      </c>
      <c r="D857" s="40" t="s">
        <v>156</v>
      </c>
      <c r="E857" s="2"/>
      <c r="F857" s="2"/>
      <c r="G857" s="6">
        <f t="shared" ref="G857:H858" si="128">G858</f>
        <v>0</v>
      </c>
      <c r="H857" s="6">
        <f t="shared" si="128"/>
        <v>0</v>
      </c>
    </row>
    <row r="858" spans="1:8" ht="31.5" hidden="1" x14ac:dyDescent="0.25">
      <c r="A858" s="25" t="s">
        <v>147</v>
      </c>
      <c r="B858" s="20" t="s">
        <v>1260</v>
      </c>
      <c r="C858" s="40" t="s">
        <v>134</v>
      </c>
      <c r="D858" s="40" t="s">
        <v>156</v>
      </c>
      <c r="E858" s="2">
        <v>200</v>
      </c>
      <c r="F858" s="2"/>
      <c r="G858" s="6">
        <f t="shared" si="128"/>
        <v>0</v>
      </c>
      <c r="H858" s="6">
        <f t="shared" si="128"/>
        <v>0</v>
      </c>
    </row>
    <row r="859" spans="1:8" ht="47.25" hidden="1" x14ac:dyDescent="0.25">
      <c r="A859" s="25" t="s">
        <v>149</v>
      </c>
      <c r="B859" s="20" t="s">
        <v>1260</v>
      </c>
      <c r="C859" s="40" t="s">
        <v>134</v>
      </c>
      <c r="D859" s="40" t="s">
        <v>156</v>
      </c>
      <c r="E859" s="2">
        <v>240</v>
      </c>
      <c r="F859" s="2"/>
      <c r="G859" s="6">
        <f>'пр.5.1.ведом.21-22'!G545</f>
        <v>0</v>
      </c>
      <c r="H859" s="6">
        <f>'пр.5.1.ведом.21-22'!H545</f>
        <v>0</v>
      </c>
    </row>
    <row r="860" spans="1:8" ht="31.5" hidden="1" x14ac:dyDescent="0.25">
      <c r="A860" s="45" t="s">
        <v>419</v>
      </c>
      <c r="B860" s="20" t="s">
        <v>1260</v>
      </c>
      <c r="C860" s="40" t="s">
        <v>134</v>
      </c>
      <c r="D860" s="40" t="s">
        <v>156</v>
      </c>
      <c r="E860" s="2">
        <v>240</v>
      </c>
      <c r="F860" s="2">
        <v>906</v>
      </c>
      <c r="G860" s="6">
        <f>G859</f>
        <v>0</v>
      </c>
      <c r="H860" s="6">
        <f>H859</f>
        <v>0</v>
      </c>
    </row>
    <row r="861" spans="1:8" ht="31.5" x14ac:dyDescent="0.25">
      <c r="A861" s="31" t="s">
        <v>795</v>
      </c>
      <c r="B861" s="20" t="s">
        <v>1231</v>
      </c>
      <c r="C861" s="20" t="s">
        <v>134</v>
      </c>
      <c r="D861" s="20" t="s">
        <v>156</v>
      </c>
      <c r="E861" s="20"/>
      <c r="F861" s="182"/>
      <c r="G861" s="6">
        <f t="shared" ref="G861:H862" si="129">G862</f>
        <v>20</v>
      </c>
      <c r="H861" s="6">
        <f t="shared" si="129"/>
        <v>20</v>
      </c>
    </row>
    <row r="862" spans="1:8" ht="31.5" x14ac:dyDescent="0.25">
      <c r="A862" s="25" t="s">
        <v>147</v>
      </c>
      <c r="B862" s="20" t="s">
        <v>1231</v>
      </c>
      <c r="C862" s="20" t="s">
        <v>134</v>
      </c>
      <c r="D862" s="20" t="s">
        <v>156</v>
      </c>
      <c r="E862" s="20" t="s">
        <v>148</v>
      </c>
      <c r="F862" s="182"/>
      <c r="G862" s="6">
        <f t="shared" si="129"/>
        <v>20</v>
      </c>
      <c r="H862" s="6">
        <f t="shared" si="129"/>
        <v>20</v>
      </c>
    </row>
    <row r="863" spans="1:8" ht="47.25" x14ac:dyDescent="0.25">
      <c r="A863" s="25" t="s">
        <v>149</v>
      </c>
      <c r="B863" s="20" t="s">
        <v>1231</v>
      </c>
      <c r="C863" s="20" t="s">
        <v>134</v>
      </c>
      <c r="D863" s="20" t="s">
        <v>156</v>
      </c>
      <c r="E863" s="20" t="s">
        <v>150</v>
      </c>
      <c r="F863" s="182"/>
      <c r="G863" s="6">
        <f>'пр.5.1.ведом.21-22'!G242</f>
        <v>20</v>
      </c>
      <c r="H863" s="6">
        <f>'пр.5.1.ведом.21-22'!H242</f>
        <v>20</v>
      </c>
    </row>
    <row r="864" spans="1:8" ht="47.25" x14ac:dyDescent="0.25">
      <c r="A864" s="45" t="s">
        <v>277</v>
      </c>
      <c r="B864" s="20" t="s">
        <v>1231</v>
      </c>
      <c r="C864" s="20" t="s">
        <v>134</v>
      </c>
      <c r="D864" s="20" t="s">
        <v>156</v>
      </c>
      <c r="E864" s="20" t="s">
        <v>150</v>
      </c>
      <c r="F864" s="2">
        <v>903</v>
      </c>
      <c r="G864" s="6">
        <f>G863</f>
        <v>20</v>
      </c>
      <c r="H864" s="6">
        <f>H863</f>
        <v>20</v>
      </c>
    </row>
    <row r="865" spans="1:8" ht="78.75" x14ac:dyDescent="0.25">
      <c r="A865" s="41" t="s">
        <v>1179</v>
      </c>
      <c r="B865" s="24" t="s">
        <v>728</v>
      </c>
      <c r="C865" s="7"/>
      <c r="D865" s="7"/>
      <c r="E865" s="3"/>
      <c r="F865" s="3"/>
      <c r="G865" s="4">
        <f>G866+G877+G916</f>
        <v>3147.6</v>
      </c>
      <c r="H865" s="4">
        <f>H866+H877+H916</f>
        <v>3164.2099999999996</v>
      </c>
    </row>
    <row r="866" spans="1:8" ht="63" x14ac:dyDescent="0.25">
      <c r="A866" s="219" t="s">
        <v>892</v>
      </c>
      <c r="B866" s="24" t="s">
        <v>898</v>
      </c>
      <c r="C866" s="7"/>
      <c r="D866" s="7"/>
      <c r="E866" s="3"/>
      <c r="F866" s="3"/>
      <c r="G866" s="4">
        <f>G867</f>
        <v>30</v>
      </c>
      <c r="H866" s="4">
        <f>H867</f>
        <v>30</v>
      </c>
    </row>
    <row r="867" spans="1:8" ht="15.75" x14ac:dyDescent="0.25">
      <c r="A867" s="29" t="s">
        <v>133</v>
      </c>
      <c r="B867" s="20" t="s">
        <v>898</v>
      </c>
      <c r="C867" s="40" t="s">
        <v>134</v>
      </c>
      <c r="D867" s="40"/>
      <c r="E867" s="2"/>
      <c r="F867" s="2"/>
      <c r="G867" s="6">
        <f t="shared" ref="G867:H867" si="130">G868</f>
        <v>30</v>
      </c>
      <c r="H867" s="6">
        <f t="shared" si="130"/>
        <v>30</v>
      </c>
    </row>
    <row r="868" spans="1:8" ht="15.75" x14ac:dyDescent="0.25">
      <c r="A868" s="29" t="s">
        <v>155</v>
      </c>
      <c r="B868" s="20" t="s">
        <v>898</v>
      </c>
      <c r="C868" s="40" t="s">
        <v>134</v>
      </c>
      <c r="D868" s="40" t="s">
        <v>156</v>
      </c>
      <c r="E868" s="2"/>
      <c r="F868" s="2"/>
      <c r="G868" s="6">
        <f>G869+G873</f>
        <v>30</v>
      </c>
      <c r="H868" s="6">
        <f>H869+H873</f>
        <v>30</v>
      </c>
    </row>
    <row r="869" spans="1:8" ht="47.25" x14ac:dyDescent="0.25">
      <c r="A869" s="99" t="s">
        <v>799</v>
      </c>
      <c r="B869" s="20" t="s">
        <v>893</v>
      </c>
      <c r="C869" s="40" t="s">
        <v>134</v>
      </c>
      <c r="D869" s="40" t="s">
        <v>156</v>
      </c>
      <c r="E869" s="2"/>
      <c r="F869" s="2"/>
      <c r="G869" s="6">
        <f t="shared" ref="G869:H870" si="131">G870</f>
        <v>25</v>
      </c>
      <c r="H869" s="6">
        <f t="shared" si="131"/>
        <v>25</v>
      </c>
    </row>
    <row r="870" spans="1:8" ht="31.5" x14ac:dyDescent="0.25">
      <c r="A870" s="25" t="s">
        <v>147</v>
      </c>
      <c r="B870" s="20" t="s">
        <v>893</v>
      </c>
      <c r="C870" s="40" t="s">
        <v>134</v>
      </c>
      <c r="D870" s="40" t="s">
        <v>156</v>
      </c>
      <c r="E870" s="2">
        <v>200</v>
      </c>
      <c r="F870" s="2"/>
      <c r="G870" s="6">
        <f t="shared" si="131"/>
        <v>25</v>
      </c>
      <c r="H870" s="6">
        <f t="shared" si="131"/>
        <v>25</v>
      </c>
    </row>
    <row r="871" spans="1:8" ht="47.25" x14ac:dyDescent="0.25">
      <c r="A871" s="25" t="s">
        <v>149</v>
      </c>
      <c r="B871" s="20" t="s">
        <v>893</v>
      </c>
      <c r="C871" s="40" t="s">
        <v>134</v>
      </c>
      <c r="D871" s="40" t="s">
        <v>156</v>
      </c>
      <c r="E871" s="2">
        <v>240</v>
      </c>
      <c r="F871" s="2"/>
      <c r="G871" s="6">
        <f>'пр.5.1.ведом.21-22'!G119</f>
        <v>25</v>
      </c>
      <c r="H871" s="6">
        <f>'пр.5.1.ведом.21-22'!H119</f>
        <v>25</v>
      </c>
    </row>
    <row r="872" spans="1:8" ht="31.5" x14ac:dyDescent="0.25">
      <c r="A872" s="29" t="s">
        <v>164</v>
      </c>
      <c r="B872" s="20" t="s">
        <v>893</v>
      </c>
      <c r="C872" s="40" t="s">
        <v>134</v>
      </c>
      <c r="D872" s="40" t="s">
        <v>156</v>
      </c>
      <c r="E872" s="2">
        <v>240</v>
      </c>
      <c r="F872" s="2">
        <v>902</v>
      </c>
      <c r="G872" s="6">
        <f>G871</f>
        <v>25</v>
      </c>
      <c r="H872" s="6">
        <f>H871</f>
        <v>25</v>
      </c>
    </row>
    <row r="873" spans="1:8" ht="47.25" x14ac:dyDescent="0.25">
      <c r="A873" s="99" t="s">
        <v>799</v>
      </c>
      <c r="B873" s="20" t="s">
        <v>893</v>
      </c>
      <c r="C873" s="40" t="s">
        <v>134</v>
      </c>
      <c r="D873" s="40" t="s">
        <v>156</v>
      </c>
      <c r="E873" s="2"/>
      <c r="F873" s="2"/>
      <c r="G873" s="6">
        <f>G874</f>
        <v>5</v>
      </c>
      <c r="H873" s="6">
        <f>H874</f>
        <v>5</v>
      </c>
    </row>
    <row r="874" spans="1:8" ht="31.5" x14ac:dyDescent="0.25">
      <c r="A874" s="25" t="s">
        <v>147</v>
      </c>
      <c r="B874" s="20" t="s">
        <v>893</v>
      </c>
      <c r="C874" s="40" t="s">
        <v>134</v>
      </c>
      <c r="D874" s="40" t="s">
        <v>156</v>
      </c>
      <c r="E874" s="2">
        <v>200</v>
      </c>
      <c r="F874" s="2"/>
      <c r="G874" s="6">
        <f>G875</f>
        <v>5</v>
      </c>
      <c r="H874" s="6">
        <f>H875</f>
        <v>5</v>
      </c>
    </row>
    <row r="875" spans="1:8" ht="47.25" x14ac:dyDescent="0.25">
      <c r="A875" s="25" t="s">
        <v>149</v>
      </c>
      <c r="B875" s="20" t="s">
        <v>893</v>
      </c>
      <c r="C875" s="40" t="s">
        <v>134</v>
      </c>
      <c r="D875" s="40" t="s">
        <v>156</v>
      </c>
      <c r="E875" s="2">
        <v>240</v>
      </c>
      <c r="F875" s="2"/>
      <c r="G875" s="6">
        <f>'пр.5.1.ведом.21-22'!G247</f>
        <v>5</v>
      </c>
      <c r="H875" s="6">
        <f>'пр.5.1.ведом.21-22'!H247</f>
        <v>5</v>
      </c>
    </row>
    <row r="876" spans="1:8" ht="47.25" x14ac:dyDescent="0.25">
      <c r="A876" s="25" t="s">
        <v>277</v>
      </c>
      <c r="B876" s="20" t="s">
        <v>893</v>
      </c>
      <c r="C876" s="40" t="s">
        <v>134</v>
      </c>
      <c r="D876" s="40" t="s">
        <v>156</v>
      </c>
      <c r="E876" s="2">
        <v>240</v>
      </c>
      <c r="F876" s="2">
        <v>903</v>
      </c>
      <c r="G876" s="6">
        <f>G875</f>
        <v>5</v>
      </c>
      <c r="H876" s="6">
        <f>H875</f>
        <v>5</v>
      </c>
    </row>
    <row r="877" spans="1:8" ht="63" x14ac:dyDescent="0.25">
      <c r="A877" s="41" t="s">
        <v>949</v>
      </c>
      <c r="B877" s="24" t="s">
        <v>947</v>
      </c>
      <c r="C877" s="40"/>
      <c r="D877" s="40"/>
      <c r="E877" s="2"/>
      <c r="F877" s="2"/>
      <c r="G877" s="4">
        <f>G878+G898+G904+G910</f>
        <v>3102.6</v>
      </c>
      <c r="H877" s="4">
        <f>H878+H898+H904+H910</f>
        <v>3119.2099999999996</v>
      </c>
    </row>
    <row r="878" spans="1:8" ht="15.75" x14ac:dyDescent="0.25">
      <c r="A878" s="29" t="s">
        <v>279</v>
      </c>
      <c r="B878" s="20" t="s">
        <v>947</v>
      </c>
      <c r="C878" s="40" t="s">
        <v>280</v>
      </c>
      <c r="D878" s="40"/>
      <c r="E878" s="2"/>
      <c r="F878" s="2"/>
      <c r="G878" s="6">
        <f>G879+G885+G889</f>
        <v>1709.3</v>
      </c>
      <c r="H878" s="6">
        <f>H879+H885+H889</f>
        <v>1725.9099999999999</v>
      </c>
    </row>
    <row r="879" spans="1:8" ht="15.75" x14ac:dyDescent="0.25">
      <c r="A879" s="29" t="s">
        <v>420</v>
      </c>
      <c r="B879" s="20" t="s">
        <v>947</v>
      </c>
      <c r="C879" s="40" t="s">
        <v>280</v>
      </c>
      <c r="D879" s="40" t="s">
        <v>134</v>
      </c>
      <c r="E879" s="2"/>
      <c r="F879" s="2"/>
      <c r="G879" s="6">
        <f t="shared" ref="G879:H881" si="132">G880</f>
        <v>464.3</v>
      </c>
      <c r="H879" s="6">
        <f t="shared" si="132"/>
        <v>464.3</v>
      </c>
    </row>
    <row r="880" spans="1:8" ht="47.25" x14ac:dyDescent="0.25">
      <c r="A880" s="45" t="s">
        <v>803</v>
      </c>
      <c r="B880" s="20" t="s">
        <v>1027</v>
      </c>
      <c r="C880" s="40" t="s">
        <v>280</v>
      </c>
      <c r="D880" s="40" t="s">
        <v>134</v>
      </c>
      <c r="E880" s="2"/>
      <c r="F880" s="2"/>
      <c r="G880" s="6">
        <f t="shared" si="132"/>
        <v>464.3</v>
      </c>
      <c r="H880" s="6">
        <f t="shared" si="132"/>
        <v>464.3</v>
      </c>
    </row>
    <row r="881" spans="1:8" ht="47.25" x14ac:dyDescent="0.25">
      <c r="A881" s="29" t="s">
        <v>288</v>
      </c>
      <c r="B881" s="20" t="s">
        <v>1027</v>
      </c>
      <c r="C881" s="40" t="s">
        <v>280</v>
      </c>
      <c r="D881" s="40" t="s">
        <v>134</v>
      </c>
      <c r="E881" s="2">
        <v>600</v>
      </c>
      <c r="F881" s="2"/>
      <c r="G881" s="6">
        <f t="shared" si="132"/>
        <v>464.3</v>
      </c>
      <c r="H881" s="6">
        <f t="shared" si="132"/>
        <v>464.3</v>
      </c>
    </row>
    <row r="882" spans="1:8" ht="15.75" x14ac:dyDescent="0.25">
      <c r="A882" s="192" t="s">
        <v>290</v>
      </c>
      <c r="B882" s="20" t="s">
        <v>1027</v>
      </c>
      <c r="C882" s="40" t="s">
        <v>280</v>
      </c>
      <c r="D882" s="40" t="s">
        <v>134</v>
      </c>
      <c r="E882" s="2">
        <v>610</v>
      </c>
      <c r="F882" s="2"/>
      <c r="G882" s="6">
        <f>'пр.5.1.ведом.21-22'!G617</f>
        <v>464.3</v>
      </c>
      <c r="H882" s="6">
        <f>'пр.5.1.ведом.21-22'!H617</f>
        <v>464.3</v>
      </c>
    </row>
    <row r="883" spans="1:8" ht="31.5" x14ac:dyDescent="0.25">
      <c r="A883" s="45" t="s">
        <v>419</v>
      </c>
      <c r="B883" s="20" t="s">
        <v>1027</v>
      </c>
      <c r="C883" s="40" t="s">
        <v>280</v>
      </c>
      <c r="D883" s="40" t="s">
        <v>134</v>
      </c>
      <c r="E883" s="2">
        <v>610</v>
      </c>
      <c r="F883" s="2">
        <v>906</v>
      </c>
      <c r="G883" s="6">
        <f>G882</f>
        <v>464.3</v>
      </c>
      <c r="H883" s="6">
        <f>H882</f>
        <v>464.3</v>
      </c>
    </row>
    <row r="884" spans="1:8" ht="15.75" x14ac:dyDescent="0.25">
      <c r="A884" s="45" t="s">
        <v>441</v>
      </c>
      <c r="B884" s="20" t="s">
        <v>947</v>
      </c>
      <c r="C884" s="40" t="s">
        <v>280</v>
      </c>
      <c r="D884" s="40" t="s">
        <v>229</v>
      </c>
      <c r="E884" s="2"/>
      <c r="F884" s="2"/>
      <c r="G884" s="6">
        <f t="shared" ref="G884:H886" si="133">G885</f>
        <v>723.3</v>
      </c>
      <c r="H884" s="6">
        <f t="shared" si="133"/>
        <v>723.3</v>
      </c>
    </row>
    <row r="885" spans="1:8" ht="47.25" x14ac:dyDescent="0.25">
      <c r="A885" s="45" t="s">
        <v>803</v>
      </c>
      <c r="B885" s="20" t="s">
        <v>1027</v>
      </c>
      <c r="C885" s="40" t="s">
        <v>280</v>
      </c>
      <c r="D885" s="40" t="s">
        <v>229</v>
      </c>
      <c r="E885" s="2"/>
      <c r="F885" s="2"/>
      <c r="G885" s="6">
        <f t="shared" si="133"/>
        <v>723.3</v>
      </c>
      <c r="H885" s="6">
        <f t="shared" si="133"/>
        <v>723.3</v>
      </c>
    </row>
    <row r="886" spans="1:8" ht="47.25" x14ac:dyDescent="0.25">
      <c r="A886" s="29" t="s">
        <v>288</v>
      </c>
      <c r="B886" s="20" t="s">
        <v>1027</v>
      </c>
      <c r="C886" s="40" t="s">
        <v>280</v>
      </c>
      <c r="D886" s="40" t="s">
        <v>229</v>
      </c>
      <c r="E886" s="2">
        <v>600</v>
      </c>
      <c r="F886" s="2"/>
      <c r="G886" s="6">
        <f t="shared" si="133"/>
        <v>723.3</v>
      </c>
      <c r="H886" s="6">
        <f t="shared" si="133"/>
        <v>723.3</v>
      </c>
    </row>
    <row r="887" spans="1:8" ht="15.75" x14ac:dyDescent="0.25">
      <c r="A887" s="192" t="s">
        <v>290</v>
      </c>
      <c r="B887" s="20" t="s">
        <v>1027</v>
      </c>
      <c r="C887" s="40" t="s">
        <v>280</v>
      </c>
      <c r="D887" s="40" t="s">
        <v>229</v>
      </c>
      <c r="E887" s="2">
        <v>610</v>
      </c>
      <c r="F887" s="2"/>
      <c r="G887" s="6">
        <f>'пр.5.1.ведом.21-22'!G701</f>
        <v>723.3</v>
      </c>
      <c r="H887" s="6">
        <f>'пр.5.1.ведом.21-22'!H701</f>
        <v>723.3</v>
      </c>
    </row>
    <row r="888" spans="1:8" ht="31.5" x14ac:dyDescent="0.25">
      <c r="A888" s="45" t="s">
        <v>419</v>
      </c>
      <c r="B888" s="20" t="s">
        <v>1027</v>
      </c>
      <c r="C888" s="40" t="s">
        <v>280</v>
      </c>
      <c r="D888" s="40" t="s">
        <v>229</v>
      </c>
      <c r="E888" s="2">
        <v>610</v>
      </c>
      <c r="F888" s="2">
        <v>906</v>
      </c>
      <c r="G888" s="6">
        <f>G887</f>
        <v>723.3</v>
      </c>
      <c r="H888" s="6">
        <f>H887</f>
        <v>723.3</v>
      </c>
    </row>
    <row r="889" spans="1:8" ht="15.75" x14ac:dyDescent="0.25">
      <c r="A889" s="45" t="s">
        <v>281</v>
      </c>
      <c r="B889" s="20" t="s">
        <v>947</v>
      </c>
      <c r="C889" s="40" t="s">
        <v>280</v>
      </c>
      <c r="D889" s="40" t="s">
        <v>231</v>
      </c>
      <c r="E889" s="2"/>
      <c r="F889" s="2"/>
      <c r="G889" s="6">
        <f>G890+G894</f>
        <v>521.70000000000005</v>
      </c>
      <c r="H889" s="6">
        <f>H890+H894</f>
        <v>538.30999999999995</v>
      </c>
    </row>
    <row r="890" spans="1:8" ht="47.25" x14ac:dyDescent="0.25">
      <c r="A890" s="45" t="s">
        <v>803</v>
      </c>
      <c r="B890" s="20" t="s">
        <v>1027</v>
      </c>
      <c r="C890" s="40" t="s">
        <v>280</v>
      </c>
      <c r="D890" s="40" t="s">
        <v>231</v>
      </c>
      <c r="E890" s="2"/>
      <c r="F890" s="2"/>
      <c r="G890" s="6">
        <f>G891</f>
        <v>300.7</v>
      </c>
      <c r="H890" s="6">
        <f>H891</f>
        <v>300.7</v>
      </c>
    </row>
    <row r="891" spans="1:8" ht="47.25" x14ac:dyDescent="0.25">
      <c r="A891" s="29" t="s">
        <v>288</v>
      </c>
      <c r="B891" s="20" t="s">
        <v>1027</v>
      </c>
      <c r="C891" s="40" t="s">
        <v>280</v>
      </c>
      <c r="D891" s="40" t="s">
        <v>231</v>
      </c>
      <c r="E891" s="2">
        <v>600</v>
      </c>
      <c r="F891" s="2"/>
      <c r="G891" s="6">
        <f>G892</f>
        <v>300.7</v>
      </c>
      <c r="H891" s="6">
        <f>H892</f>
        <v>300.7</v>
      </c>
    </row>
    <row r="892" spans="1:8" ht="15.75" x14ac:dyDescent="0.25">
      <c r="A892" s="192" t="s">
        <v>290</v>
      </c>
      <c r="B892" s="20" t="s">
        <v>1027</v>
      </c>
      <c r="C892" s="40" t="s">
        <v>280</v>
      </c>
      <c r="D892" s="40" t="s">
        <v>231</v>
      </c>
      <c r="E892" s="2">
        <v>610</v>
      </c>
      <c r="F892" s="2"/>
      <c r="G892" s="6">
        <f>'пр.5.1.ведом.21-22'!G735</f>
        <v>300.7</v>
      </c>
      <c r="H892" s="6">
        <f>'пр.5.1.ведом.21-22'!H735</f>
        <v>300.7</v>
      </c>
    </row>
    <row r="893" spans="1:8" ht="31.5" x14ac:dyDescent="0.25">
      <c r="A893" s="45" t="s">
        <v>419</v>
      </c>
      <c r="B893" s="20" t="s">
        <v>1027</v>
      </c>
      <c r="C893" s="40" t="s">
        <v>280</v>
      </c>
      <c r="D893" s="40" t="s">
        <v>231</v>
      </c>
      <c r="E893" s="2">
        <v>610</v>
      </c>
      <c r="F893" s="2">
        <v>906</v>
      </c>
      <c r="G893" s="6">
        <f>G892</f>
        <v>300.7</v>
      </c>
      <c r="H893" s="6">
        <f>H892</f>
        <v>300.7</v>
      </c>
    </row>
    <row r="894" spans="1:8" ht="47.25" x14ac:dyDescent="0.25">
      <c r="A894" s="99" t="s">
        <v>1157</v>
      </c>
      <c r="B894" s="20" t="s">
        <v>948</v>
      </c>
      <c r="C894" s="40" t="s">
        <v>280</v>
      </c>
      <c r="D894" s="40" t="s">
        <v>231</v>
      </c>
      <c r="E894" s="2"/>
      <c r="F894" s="2"/>
      <c r="G894" s="6">
        <f>G895</f>
        <v>221</v>
      </c>
      <c r="H894" s="6">
        <f>H895</f>
        <v>237.61</v>
      </c>
    </row>
    <row r="895" spans="1:8" ht="31.5" x14ac:dyDescent="0.25">
      <c r="A895" s="25" t="s">
        <v>147</v>
      </c>
      <c r="B895" s="20" t="s">
        <v>948</v>
      </c>
      <c r="C895" s="40" t="s">
        <v>280</v>
      </c>
      <c r="D895" s="40" t="s">
        <v>231</v>
      </c>
      <c r="E895" s="2">
        <v>200</v>
      </c>
      <c r="F895" s="2"/>
      <c r="G895" s="6">
        <f>G896</f>
        <v>221</v>
      </c>
      <c r="H895" s="6">
        <f>H896</f>
        <v>237.61</v>
      </c>
    </row>
    <row r="896" spans="1:8" ht="47.25" x14ac:dyDescent="0.25">
      <c r="A896" s="25" t="s">
        <v>149</v>
      </c>
      <c r="B896" s="20" t="s">
        <v>948</v>
      </c>
      <c r="C896" s="40" t="s">
        <v>280</v>
      </c>
      <c r="D896" s="40" t="s">
        <v>231</v>
      </c>
      <c r="E896" s="2">
        <v>240</v>
      </c>
      <c r="F896" s="2"/>
      <c r="G896" s="6">
        <f>'пр.5.1.ведом.21-22'!G320</f>
        <v>221</v>
      </c>
      <c r="H896" s="6">
        <f>'Пр.4 ведом.20'!H320</f>
        <v>237.61</v>
      </c>
    </row>
    <row r="897" spans="1:8" ht="47.25" x14ac:dyDescent="0.25">
      <c r="A897" s="25" t="s">
        <v>277</v>
      </c>
      <c r="B897" s="20" t="s">
        <v>948</v>
      </c>
      <c r="C897" s="40" t="s">
        <v>280</v>
      </c>
      <c r="D897" s="40" t="s">
        <v>231</v>
      </c>
      <c r="E897" s="2">
        <v>240</v>
      </c>
      <c r="F897" s="2">
        <v>903</v>
      </c>
      <c r="G897" s="6">
        <f>'пр.5.1.ведом.21-22'!G320</f>
        <v>221</v>
      </c>
      <c r="H897" s="6">
        <f>'пр.5.1.ведом.21-22'!H320</f>
        <v>221</v>
      </c>
    </row>
    <row r="898" spans="1:8" ht="15.75" x14ac:dyDescent="0.25">
      <c r="A898" s="25" t="s">
        <v>314</v>
      </c>
      <c r="B898" s="20" t="s">
        <v>947</v>
      </c>
      <c r="C898" s="40" t="s">
        <v>315</v>
      </c>
      <c r="D898" s="40"/>
      <c r="E898" s="2"/>
      <c r="F898" s="2"/>
      <c r="G898" s="6">
        <f t="shared" ref="G898:H901" si="134">G899</f>
        <v>793.2</v>
      </c>
      <c r="H898" s="6">
        <f t="shared" si="134"/>
        <v>793.2</v>
      </c>
    </row>
    <row r="899" spans="1:8" ht="15.75" x14ac:dyDescent="0.25">
      <c r="A899" s="25" t="s">
        <v>316</v>
      </c>
      <c r="B899" s="20" t="s">
        <v>947</v>
      </c>
      <c r="C899" s="40" t="s">
        <v>315</v>
      </c>
      <c r="D899" s="40" t="s">
        <v>134</v>
      </c>
      <c r="E899" s="2"/>
      <c r="F899" s="2"/>
      <c r="G899" s="6">
        <f t="shared" si="134"/>
        <v>793.2</v>
      </c>
      <c r="H899" s="6">
        <f t="shared" si="134"/>
        <v>793.2</v>
      </c>
    </row>
    <row r="900" spans="1:8" ht="32.25" customHeight="1" x14ac:dyDescent="0.25">
      <c r="A900" s="45" t="s">
        <v>801</v>
      </c>
      <c r="B900" s="20" t="s">
        <v>948</v>
      </c>
      <c r="C900" s="40" t="s">
        <v>315</v>
      </c>
      <c r="D900" s="40" t="s">
        <v>134</v>
      </c>
      <c r="E900" s="2"/>
      <c r="F900" s="2"/>
      <c r="G900" s="6">
        <f t="shared" si="134"/>
        <v>793.2</v>
      </c>
      <c r="H900" s="6">
        <f t="shared" si="134"/>
        <v>793.2</v>
      </c>
    </row>
    <row r="901" spans="1:8" ht="31.5" x14ac:dyDescent="0.25">
      <c r="A901" s="25" t="s">
        <v>147</v>
      </c>
      <c r="B901" s="20" t="s">
        <v>948</v>
      </c>
      <c r="C901" s="40" t="s">
        <v>315</v>
      </c>
      <c r="D901" s="40" t="s">
        <v>134</v>
      </c>
      <c r="E901" s="2">
        <v>200</v>
      </c>
      <c r="F901" s="2"/>
      <c r="G901" s="6">
        <f t="shared" si="134"/>
        <v>793.2</v>
      </c>
      <c r="H901" s="6">
        <f t="shared" si="134"/>
        <v>793.2</v>
      </c>
    </row>
    <row r="902" spans="1:8" ht="47.25" x14ac:dyDescent="0.25">
      <c r="A902" s="25" t="s">
        <v>149</v>
      </c>
      <c r="B902" s="20" t="s">
        <v>948</v>
      </c>
      <c r="C902" s="40" t="s">
        <v>315</v>
      </c>
      <c r="D902" s="40" t="s">
        <v>134</v>
      </c>
      <c r="E902" s="2">
        <v>240</v>
      </c>
      <c r="F902" s="2"/>
      <c r="G902" s="6">
        <f>'пр.5.1.ведом.21-22'!G414</f>
        <v>793.2</v>
      </c>
      <c r="H902" s="6">
        <f>'пр.5.1.ведом.21-22'!H414</f>
        <v>793.2</v>
      </c>
    </row>
    <row r="903" spans="1:8" ht="47.25" x14ac:dyDescent="0.25">
      <c r="A903" s="25" t="s">
        <v>277</v>
      </c>
      <c r="B903" s="20" t="s">
        <v>948</v>
      </c>
      <c r="C903" s="40" t="s">
        <v>315</v>
      </c>
      <c r="D903" s="40" t="s">
        <v>134</v>
      </c>
      <c r="E903" s="2">
        <v>240</v>
      </c>
      <c r="F903" s="2">
        <v>903</v>
      </c>
      <c r="G903" s="6">
        <f>G902</f>
        <v>793.2</v>
      </c>
      <c r="H903" s="6">
        <f>H902</f>
        <v>793.2</v>
      </c>
    </row>
    <row r="904" spans="1:8" ht="15.75" x14ac:dyDescent="0.25">
      <c r="A904" s="25" t="s">
        <v>506</v>
      </c>
      <c r="B904" s="20" t="s">
        <v>947</v>
      </c>
      <c r="C904" s="40" t="s">
        <v>507</v>
      </c>
      <c r="D904" s="40"/>
      <c r="E904" s="2"/>
      <c r="F904" s="2"/>
      <c r="G904" s="6">
        <f t="shared" ref="G904:H907" si="135">G905</f>
        <v>540.1</v>
      </c>
      <c r="H904" s="6">
        <f t="shared" si="135"/>
        <v>540.1</v>
      </c>
    </row>
    <row r="905" spans="1:8" ht="15.75" x14ac:dyDescent="0.25">
      <c r="A905" s="25" t="s">
        <v>1271</v>
      </c>
      <c r="B905" s="20" t="s">
        <v>947</v>
      </c>
      <c r="C905" s="40" t="s">
        <v>507</v>
      </c>
      <c r="D905" s="40" t="s">
        <v>134</v>
      </c>
      <c r="E905" s="2"/>
      <c r="F905" s="2"/>
      <c r="G905" s="6">
        <f t="shared" si="135"/>
        <v>540.1</v>
      </c>
      <c r="H905" s="6">
        <f t="shared" si="135"/>
        <v>540.1</v>
      </c>
    </row>
    <row r="906" spans="1:8" ht="47.25" x14ac:dyDescent="0.25">
      <c r="A906" s="45" t="s">
        <v>803</v>
      </c>
      <c r="B906" s="20" t="s">
        <v>1027</v>
      </c>
      <c r="C906" s="40" t="s">
        <v>507</v>
      </c>
      <c r="D906" s="40" t="s">
        <v>134</v>
      </c>
      <c r="E906" s="2"/>
      <c r="F906" s="2"/>
      <c r="G906" s="6">
        <f t="shared" si="135"/>
        <v>540.1</v>
      </c>
      <c r="H906" s="6">
        <f t="shared" si="135"/>
        <v>540.1</v>
      </c>
    </row>
    <row r="907" spans="1:8" ht="47.25" x14ac:dyDescent="0.25">
      <c r="A907" s="29" t="s">
        <v>288</v>
      </c>
      <c r="B907" s="20" t="s">
        <v>1027</v>
      </c>
      <c r="C907" s="40" t="s">
        <v>507</v>
      </c>
      <c r="D907" s="40" t="s">
        <v>134</v>
      </c>
      <c r="E907" s="2">
        <v>600</v>
      </c>
      <c r="F907" s="2"/>
      <c r="G907" s="6">
        <f t="shared" si="135"/>
        <v>540.1</v>
      </c>
      <c r="H907" s="6">
        <f t="shared" si="135"/>
        <v>540.1</v>
      </c>
    </row>
    <row r="908" spans="1:8" ht="15.75" x14ac:dyDescent="0.25">
      <c r="A908" s="192" t="s">
        <v>290</v>
      </c>
      <c r="B908" s="20" t="s">
        <v>1027</v>
      </c>
      <c r="C908" s="40" t="s">
        <v>507</v>
      </c>
      <c r="D908" s="40" t="s">
        <v>134</v>
      </c>
      <c r="E908" s="2">
        <v>610</v>
      </c>
      <c r="F908" s="2"/>
      <c r="G908" s="6">
        <f>'пр.5.1.ведом.21-22'!G820</f>
        <v>540.1</v>
      </c>
      <c r="H908" s="6">
        <f>'пр.5.1.ведом.21-22'!H820</f>
        <v>540.1</v>
      </c>
    </row>
    <row r="909" spans="1:8" ht="47.25" x14ac:dyDescent="0.25">
      <c r="A909" s="45" t="s">
        <v>496</v>
      </c>
      <c r="B909" s="20" t="s">
        <v>1027</v>
      </c>
      <c r="C909" s="40" t="s">
        <v>507</v>
      </c>
      <c r="D909" s="40" t="s">
        <v>134</v>
      </c>
      <c r="E909" s="2">
        <v>610</v>
      </c>
      <c r="F909" s="2">
        <v>907</v>
      </c>
      <c r="G909" s="6">
        <f>G908</f>
        <v>540.1</v>
      </c>
      <c r="H909" s="6">
        <f>H908</f>
        <v>540.1</v>
      </c>
    </row>
    <row r="910" spans="1:8" ht="15.75" x14ac:dyDescent="0.25">
      <c r="A910" s="29" t="s">
        <v>598</v>
      </c>
      <c r="B910" s="20" t="s">
        <v>947</v>
      </c>
      <c r="C910" s="40" t="s">
        <v>254</v>
      </c>
      <c r="D910" s="40"/>
      <c r="E910" s="2"/>
      <c r="F910" s="2"/>
      <c r="G910" s="6">
        <f t="shared" ref="G910:H913" si="136">G911</f>
        <v>60</v>
      </c>
      <c r="H910" s="6">
        <f t="shared" si="136"/>
        <v>60</v>
      </c>
    </row>
    <row r="911" spans="1:8" ht="15.75" x14ac:dyDescent="0.25">
      <c r="A911" s="29" t="s">
        <v>599</v>
      </c>
      <c r="B911" s="20" t="s">
        <v>947</v>
      </c>
      <c r="C911" s="40" t="s">
        <v>254</v>
      </c>
      <c r="D911" s="40" t="s">
        <v>229</v>
      </c>
      <c r="E911" s="2"/>
      <c r="F911" s="2"/>
      <c r="G911" s="6">
        <f t="shared" si="136"/>
        <v>60</v>
      </c>
      <c r="H911" s="6">
        <f t="shared" si="136"/>
        <v>60</v>
      </c>
    </row>
    <row r="912" spans="1:8" ht="47.25" x14ac:dyDescent="0.25">
      <c r="A912" s="45" t="s">
        <v>801</v>
      </c>
      <c r="B912" s="20" t="s">
        <v>948</v>
      </c>
      <c r="C912" s="40" t="s">
        <v>254</v>
      </c>
      <c r="D912" s="40" t="s">
        <v>229</v>
      </c>
      <c r="E912" s="2"/>
      <c r="F912" s="2"/>
      <c r="G912" s="6">
        <f t="shared" si="136"/>
        <v>60</v>
      </c>
      <c r="H912" s="6">
        <f t="shared" si="136"/>
        <v>60</v>
      </c>
    </row>
    <row r="913" spans="1:8" ht="31.5" x14ac:dyDescent="0.25">
      <c r="A913" s="25" t="s">
        <v>147</v>
      </c>
      <c r="B913" s="20" t="s">
        <v>948</v>
      </c>
      <c r="C913" s="40" t="s">
        <v>254</v>
      </c>
      <c r="D913" s="40" t="s">
        <v>229</v>
      </c>
      <c r="E913" s="2">
        <v>200</v>
      </c>
      <c r="F913" s="2"/>
      <c r="G913" s="6">
        <f t="shared" si="136"/>
        <v>60</v>
      </c>
      <c r="H913" s="6">
        <f t="shared" si="136"/>
        <v>60</v>
      </c>
    </row>
    <row r="914" spans="1:8" ht="47.25" x14ac:dyDescent="0.25">
      <c r="A914" s="25" t="s">
        <v>149</v>
      </c>
      <c r="B914" s="20" t="s">
        <v>948</v>
      </c>
      <c r="C914" s="40" t="s">
        <v>254</v>
      </c>
      <c r="D914" s="40" t="s">
        <v>229</v>
      </c>
      <c r="E914" s="2">
        <v>240</v>
      </c>
      <c r="F914" s="2"/>
      <c r="G914" s="6">
        <f>'пр.5.1.ведом.21-22'!G491</f>
        <v>60</v>
      </c>
      <c r="H914" s="6">
        <f>'пр.5.1.ведом.21-22'!H491</f>
        <v>60</v>
      </c>
    </row>
    <row r="915" spans="1:8" ht="47.25" x14ac:dyDescent="0.25">
      <c r="A915" s="25" t="s">
        <v>277</v>
      </c>
      <c r="B915" s="20" t="s">
        <v>948</v>
      </c>
      <c r="C915" s="40" t="s">
        <v>254</v>
      </c>
      <c r="D915" s="40" t="s">
        <v>229</v>
      </c>
      <c r="E915" s="2">
        <v>240</v>
      </c>
      <c r="F915" s="2">
        <v>903</v>
      </c>
      <c r="G915" s="6">
        <f>G910</f>
        <v>60</v>
      </c>
      <c r="H915" s="6">
        <f>H910</f>
        <v>60</v>
      </c>
    </row>
    <row r="916" spans="1:8" ht="47.25" x14ac:dyDescent="0.25">
      <c r="A916" s="220" t="s">
        <v>1188</v>
      </c>
      <c r="B916" s="24" t="s">
        <v>899</v>
      </c>
      <c r="C916" s="7"/>
      <c r="D916" s="7"/>
      <c r="E916" s="3"/>
      <c r="F916" s="3"/>
      <c r="G916" s="4">
        <f t="shared" ref="G916:H918" si="137">G917</f>
        <v>15</v>
      </c>
      <c r="H916" s="4">
        <f t="shared" si="137"/>
        <v>15</v>
      </c>
    </row>
    <row r="917" spans="1:8" ht="15.75" x14ac:dyDescent="0.25">
      <c r="A917" s="233" t="s">
        <v>133</v>
      </c>
      <c r="B917" s="20" t="s">
        <v>899</v>
      </c>
      <c r="C917" s="40" t="s">
        <v>134</v>
      </c>
      <c r="D917" s="40"/>
      <c r="E917" s="2"/>
      <c r="F917" s="2"/>
      <c r="G917" s="6">
        <f t="shared" si="137"/>
        <v>15</v>
      </c>
      <c r="H917" s="6">
        <f t="shared" si="137"/>
        <v>15</v>
      </c>
    </row>
    <row r="918" spans="1:8" ht="15.75" x14ac:dyDescent="0.25">
      <c r="A918" s="233" t="s">
        <v>155</v>
      </c>
      <c r="B918" s="20" t="s">
        <v>899</v>
      </c>
      <c r="C918" s="40" t="s">
        <v>134</v>
      </c>
      <c r="D918" s="40" t="s">
        <v>156</v>
      </c>
      <c r="E918" s="2"/>
      <c r="F918" s="2"/>
      <c r="G918" s="6">
        <f t="shared" si="137"/>
        <v>15</v>
      </c>
      <c r="H918" s="6">
        <f t="shared" si="137"/>
        <v>15</v>
      </c>
    </row>
    <row r="919" spans="1:8" ht="56.25" customHeight="1" x14ac:dyDescent="0.25">
      <c r="A919" s="273" t="s">
        <v>1158</v>
      </c>
      <c r="B919" s="20" t="s">
        <v>894</v>
      </c>
      <c r="C919" s="40" t="s">
        <v>134</v>
      </c>
      <c r="D919" s="40" t="s">
        <v>156</v>
      </c>
      <c r="E919" s="2"/>
      <c r="F919" s="2"/>
      <c r="G919" s="6">
        <f t="shared" ref="G919:H920" si="138">G920</f>
        <v>15</v>
      </c>
      <c r="H919" s="6">
        <f t="shared" si="138"/>
        <v>15</v>
      </c>
    </row>
    <row r="920" spans="1:8" ht="31.5" x14ac:dyDescent="0.25">
      <c r="A920" s="25" t="s">
        <v>147</v>
      </c>
      <c r="B920" s="20" t="s">
        <v>894</v>
      </c>
      <c r="C920" s="40" t="s">
        <v>134</v>
      </c>
      <c r="D920" s="40" t="s">
        <v>156</v>
      </c>
      <c r="E920" s="2">
        <v>200</v>
      </c>
      <c r="F920" s="2"/>
      <c r="G920" s="6">
        <f t="shared" si="138"/>
        <v>15</v>
      </c>
      <c r="H920" s="6">
        <f t="shared" si="138"/>
        <v>15</v>
      </c>
    </row>
    <row r="921" spans="1:8" ht="47.25" x14ac:dyDescent="0.25">
      <c r="A921" s="25" t="s">
        <v>149</v>
      </c>
      <c r="B921" s="20" t="s">
        <v>894</v>
      </c>
      <c r="C921" s="40" t="s">
        <v>134</v>
      </c>
      <c r="D921" s="40" t="s">
        <v>156</v>
      </c>
      <c r="E921" s="2">
        <v>240</v>
      </c>
      <c r="F921" s="2"/>
      <c r="G921" s="6">
        <f>'пр.5.1.ведом.21-22'!G123</f>
        <v>15</v>
      </c>
      <c r="H921" s="6">
        <f>'пр.5.1.ведом.21-22'!H123</f>
        <v>15</v>
      </c>
    </row>
    <row r="922" spans="1:8" ht="31.5" x14ac:dyDescent="0.25">
      <c r="A922" s="29" t="s">
        <v>164</v>
      </c>
      <c r="B922" s="20" t="s">
        <v>894</v>
      </c>
      <c r="C922" s="40" t="s">
        <v>134</v>
      </c>
      <c r="D922" s="40" t="s">
        <v>156</v>
      </c>
      <c r="E922" s="2">
        <v>240</v>
      </c>
      <c r="F922" s="2">
        <v>902</v>
      </c>
      <c r="G922" s="6">
        <f>G921</f>
        <v>15</v>
      </c>
      <c r="H922" s="6">
        <f>H921</f>
        <v>15</v>
      </c>
    </row>
    <row r="923" spans="1:8" ht="78.75" x14ac:dyDescent="0.25">
      <c r="A923" s="23" t="s">
        <v>822</v>
      </c>
      <c r="B923" s="24" t="s">
        <v>734</v>
      </c>
      <c r="C923" s="7"/>
      <c r="D923" s="7"/>
      <c r="E923" s="3"/>
      <c r="F923" s="3"/>
      <c r="G923" s="4">
        <f>G924</f>
        <v>500</v>
      </c>
      <c r="H923" s="4">
        <f>H924</f>
        <v>500</v>
      </c>
    </row>
    <row r="924" spans="1:8" ht="31.5" x14ac:dyDescent="0.25">
      <c r="A924" s="23" t="s">
        <v>1245</v>
      </c>
      <c r="B924" s="24" t="s">
        <v>1288</v>
      </c>
      <c r="C924" s="7"/>
      <c r="D924" s="7"/>
      <c r="E924" s="3"/>
      <c r="F924" s="3"/>
      <c r="G924" s="4">
        <f>G925</f>
        <v>500</v>
      </c>
      <c r="H924" s="4">
        <f>H925</f>
        <v>500</v>
      </c>
    </row>
    <row r="925" spans="1:8" ht="15.75" x14ac:dyDescent="0.25">
      <c r="A925" s="25" t="s">
        <v>406</v>
      </c>
      <c r="B925" s="20" t="s">
        <v>881</v>
      </c>
      <c r="C925" s="40" t="s">
        <v>250</v>
      </c>
      <c r="D925" s="40"/>
      <c r="E925" s="2"/>
      <c r="F925" s="2"/>
      <c r="G925" s="6">
        <f t="shared" ref="G925:H928" si="139">G926</f>
        <v>500</v>
      </c>
      <c r="H925" s="6">
        <f t="shared" si="139"/>
        <v>500</v>
      </c>
    </row>
    <row r="926" spans="1:8" ht="15.75" x14ac:dyDescent="0.25">
      <c r="A926" s="25" t="s">
        <v>557</v>
      </c>
      <c r="B926" s="20" t="s">
        <v>881</v>
      </c>
      <c r="C926" s="40" t="s">
        <v>250</v>
      </c>
      <c r="D926" s="40" t="s">
        <v>231</v>
      </c>
      <c r="E926" s="2"/>
      <c r="F926" s="2"/>
      <c r="G926" s="6">
        <f t="shared" si="139"/>
        <v>500</v>
      </c>
      <c r="H926" s="6">
        <f t="shared" si="139"/>
        <v>500</v>
      </c>
    </row>
    <row r="927" spans="1:8" ht="63" x14ac:dyDescent="0.25">
      <c r="A927" s="80" t="s">
        <v>710</v>
      </c>
      <c r="B927" s="20" t="s">
        <v>881</v>
      </c>
      <c r="C927" s="40" t="s">
        <v>250</v>
      </c>
      <c r="D927" s="40" t="s">
        <v>231</v>
      </c>
      <c r="E927" s="2"/>
      <c r="F927" s="2"/>
      <c r="G927" s="6">
        <f t="shared" si="139"/>
        <v>500</v>
      </c>
      <c r="H927" s="6">
        <f t="shared" si="139"/>
        <v>500</v>
      </c>
    </row>
    <row r="928" spans="1:8" ht="31.5" x14ac:dyDescent="0.25">
      <c r="A928" s="25" t="s">
        <v>147</v>
      </c>
      <c r="B928" s="20" t="s">
        <v>881</v>
      </c>
      <c r="C928" s="40" t="s">
        <v>250</v>
      </c>
      <c r="D928" s="40" t="s">
        <v>231</v>
      </c>
      <c r="E928" s="2">
        <v>200</v>
      </c>
      <c r="F928" s="2"/>
      <c r="G928" s="6">
        <f t="shared" si="139"/>
        <v>500</v>
      </c>
      <c r="H928" s="6">
        <f t="shared" si="139"/>
        <v>500</v>
      </c>
    </row>
    <row r="929" spans="1:8" ht="47.25" x14ac:dyDescent="0.25">
      <c r="A929" s="25" t="s">
        <v>149</v>
      </c>
      <c r="B929" s="20" t="s">
        <v>881</v>
      </c>
      <c r="C929" s="40" t="s">
        <v>250</v>
      </c>
      <c r="D929" s="40" t="s">
        <v>231</v>
      </c>
      <c r="E929" s="2">
        <v>240</v>
      </c>
      <c r="F929" s="2"/>
      <c r="G929" s="6">
        <f>'пр.5.1.ведом.21-22'!G1018</f>
        <v>500</v>
      </c>
      <c r="H929" s="6">
        <f>'пр.5.1.ведом.21-22'!H1018</f>
        <v>500</v>
      </c>
    </row>
    <row r="930" spans="1:8" ht="47.25" x14ac:dyDescent="0.25">
      <c r="A930" s="45" t="s">
        <v>640</v>
      </c>
      <c r="B930" s="20" t="s">
        <v>881</v>
      </c>
      <c r="C930" s="40" t="s">
        <v>250</v>
      </c>
      <c r="D930" s="40" t="s">
        <v>231</v>
      </c>
      <c r="E930" s="2">
        <v>240</v>
      </c>
      <c r="F930" s="2">
        <v>908</v>
      </c>
      <c r="G930" s="6">
        <f>G929</f>
        <v>500</v>
      </c>
      <c r="H930" s="6">
        <f>H929</f>
        <v>500</v>
      </c>
    </row>
    <row r="931" spans="1:8" ht="78.75" x14ac:dyDescent="0.25">
      <c r="A931" s="58" t="s">
        <v>1181</v>
      </c>
      <c r="B931" s="24" t="s">
        <v>806</v>
      </c>
      <c r="C931" s="7"/>
      <c r="D931" s="7"/>
      <c r="E931" s="3"/>
      <c r="F931" s="3"/>
      <c r="G931" s="4">
        <f>G933</f>
        <v>3266.2200000000003</v>
      </c>
      <c r="H931" s="4">
        <f>H933</f>
        <v>239.82000000000016</v>
      </c>
    </row>
    <row r="932" spans="1:8" ht="31.5" x14ac:dyDescent="0.25">
      <c r="A932" s="23" t="s">
        <v>1003</v>
      </c>
      <c r="B932" s="24" t="s">
        <v>1182</v>
      </c>
      <c r="C932" s="7"/>
      <c r="D932" s="7"/>
      <c r="E932" s="3"/>
      <c r="F932" s="3"/>
      <c r="G932" s="4">
        <f t="shared" ref="G932:H936" si="140">G933</f>
        <v>3266.2200000000003</v>
      </c>
      <c r="H932" s="4">
        <f t="shared" si="140"/>
        <v>239.82000000000016</v>
      </c>
    </row>
    <row r="933" spans="1:8" ht="15.75" x14ac:dyDescent="0.25">
      <c r="A933" s="45" t="s">
        <v>133</v>
      </c>
      <c r="B933" s="20" t="s">
        <v>1182</v>
      </c>
      <c r="C933" s="40" t="s">
        <v>134</v>
      </c>
      <c r="D933" s="40"/>
      <c r="E933" s="2"/>
      <c r="F933" s="2"/>
      <c r="G933" s="6">
        <f t="shared" si="140"/>
        <v>3266.2200000000003</v>
      </c>
      <c r="H933" s="6">
        <f t="shared" si="140"/>
        <v>239.82000000000016</v>
      </c>
    </row>
    <row r="934" spans="1:8" ht="15.75" x14ac:dyDescent="0.25">
      <c r="A934" s="45" t="s">
        <v>155</v>
      </c>
      <c r="B934" s="20" t="s">
        <v>1182</v>
      </c>
      <c r="C934" s="40" t="s">
        <v>134</v>
      </c>
      <c r="D934" s="40" t="s">
        <v>156</v>
      </c>
      <c r="E934" s="2"/>
      <c r="F934" s="2"/>
      <c r="G934" s="6">
        <f t="shared" si="140"/>
        <v>3266.2200000000003</v>
      </c>
      <c r="H934" s="6">
        <f t="shared" si="140"/>
        <v>239.82000000000016</v>
      </c>
    </row>
    <row r="935" spans="1:8" ht="31.5" x14ac:dyDescent="0.25">
      <c r="A935" s="45" t="s">
        <v>816</v>
      </c>
      <c r="B935" s="20" t="s">
        <v>1183</v>
      </c>
      <c r="C935" s="40" t="s">
        <v>134</v>
      </c>
      <c r="D935" s="40" t="s">
        <v>156</v>
      </c>
      <c r="E935" s="2"/>
      <c r="F935" s="2"/>
      <c r="G935" s="6">
        <f t="shared" si="140"/>
        <v>3266.2200000000003</v>
      </c>
      <c r="H935" s="6">
        <f t="shared" si="140"/>
        <v>239.82000000000016</v>
      </c>
    </row>
    <row r="936" spans="1:8" ht="31.5" x14ac:dyDescent="0.25">
      <c r="A936" s="45" t="s">
        <v>147</v>
      </c>
      <c r="B936" s="20" t="s">
        <v>1183</v>
      </c>
      <c r="C936" s="40" t="s">
        <v>134</v>
      </c>
      <c r="D936" s="40" t="s">
        <v>156</v>
      </c>
      <c r="E936" s="2">
        <v>200</v>
      </c>
      <c r="F936" s="2"/>
      <c r="G936" s="6">
        <f t="shared" si="140"/>
        <v>3266.2200000000003</v>
      </c>
      <c r="H936" s="6">
        <f t="shared" si="140"/>
        <v>239.82000000000016</v>
      </c>
    </row>
    <row r="937" spans="1:8" ht="47.25" x14ac:dyDescent="0.25">
      <c r="A937" s="45" t="s">
        <v>149</v>
      </c>
      <c r="B937" s="20" t="s">
        <v>1183</v>
      </c>
      <c r="C937" s="40" t="s">
        <v>134</v>
      </c>
      <c r="D937" s="40" t="s">
        <v>156</v>
      </c>
      <c r="E937" s="2">
        <v>240</v>
      </c>
      <c r="F937" s="2"/>
      <c r="G937" s="6">
        <f>'пр.5.1.ведом.21-22'!G524</f>
        <v>3266.2200000000003</v>
      </c>
      <c r="H937" s="6">
        <f>'пр.5.1.ведом.21-22'!H524</f>
        <v>239.82000000000016</v>
      </c>
    </row>
    <row r="938" spans="1:8" ht="47.25" x14ac:dyDescent="0.25">
      <c r="A938" s="45" t="s">
        <v>403</v>
      </c>
      <c r="B938" s="20" t="s">
        <v>1183</v>
      </c>
      <c r="C938" s="40" t="s">
        <v>134</v>
      </c>
      <c r="D938" s="40" t="s">
        <v>156</v>
      </c>
      <c r="E938" s="2">
        <v>240</v>
      </c>
      <c r="F938" s="2">
        <v>905</v>
      </c>
      <c r="G938" s="6">
        <f>G937</f>
        <v>3266.2200000000003</v>
      </c>
      <c r="H938" s="6">
        <f>H937</f>
        <v>239.82000000000016</v>
      </c>
    </row>
    <row r="939" spans="1:8" ht="94.5" x14ac:dyDescent="0.25">
      <c r="A939" s="41" t="s">
        <v>1184</v>
      </c>
      <c r="B939" s="24" t="s">
        <v>861</v>
      </c>
      <c r="C939" s="7"/>
      <c r="D939" s="7"/>
      <c r="E939" s="3"/>
      <c r="F939" s="3"/>
      <c r="G939" s="4">
        <f>G941</f>
        <v>40</v>
      </c>
      <c r="H939" s="4">
        <f>H941</f>
        <v>40</v>
      </c>
    </row>
    <row r="940" spans="1:8" ht="47.25" x14ac:dyDescent="0.25">
      <c r="A940" s="221" t="s">
        <v>900</v>
      </c>
      <c r="B940" s="24" t="s">
        <v>1262</v>
      </c>
      <c r="C940" s="7"/>
      <c r="D940" s="7"/>
      <c r="E940" s="3"/>
      <c r="F940" s="3"/>
      <c r="G940" s="4">
        <f t="shared" ref="G940:H944" si="141">G941</f>
        <v>40</v>
      </c>
      <c r="H940" s="4">
        <f t="shared" si="141"/>
        <v>40</v>
      </c>
    </row>
    <row r="941" spans="1:8" ht="15.75" x14ac:dyDescent="0.25">
      <c r="A941" s="45" t="s">
        <v>133</v>
      </c>
      <c r="B941" s="20" t="s">
        <v>1262</v>
      </c>
      <c r="C941" s="40" t="s">
        <v>134</v>
      </c>
      <c r="D941" s="40"/>
      <c r="E941" s="2"/>
      <c r="F941" s="2"/>
      <c r="G941" s="6">
        <f t="shared" si="141"/>
        <v>40</v>
      </c>
      <c r="H941" s="6">
        <f t="shared" si="141"/>
        <v>40</v>
      </c>
    </row>
    <row r="942" spans="1:8" ht="15.75" x14ac:dyDescent="0.25">
      <c r="A942" s="45" t="s">
        <v>155</v>
      </c>
      <c r="B942" s="20" t="s">
        <v>1262</v>
      </c>
      <c r="C942" s="40" t="s">
        <v>134</v>
      </c>
      <c r="D942" s="40" t="s">
        <v>156</v>
      </c>
      <c r="E942" s="2"/>
      <c r="F942" s="2"/>
      <c r="G942" s="6">
        <f t="shared" si="141"/>
        <v>40</v>
      </c>
      <c r="H942" s="6">
        <f t="shared" si="141"/>
        <v>40</v>
      </c>
    </row>
    <row r="943" spans="1:8" ht="47.25" x14ac:dyDescent="0.25">
      <c r="A943" s="98" t="s">
        <v>187</v>
      </c>
      <c r="B943" s="20" t="s">
        <v>901</v>
      </c>
      <c r="C943" s="40" t="s">
        <v>134</v>
      </c>
      <c r="D943" s="40" t="s">
        <v>156</v>
      </c>
      <c r="E943" s="2"/>
      <c r="F943" s="2"/>
      <c r="G943" s="6">
        <f t="shared" si="141"/>
        <v>40</v>
      </c>
      <c r="H943" s="6">
        <f t="shared" si="141"/>
        <v>40</v>
      </c>
    </row>
    <row r="944" spans="1:8" ht="31.5" x14ac:dyDescent="0.25">
      <c r="A944" s="45" t="s">
        <v>147</v>
      </c>
      <c r="B944" s="20" t="s">
        <v>901</v>
      </c>
      <c r="C944" s="40" t="s">
        <v>134</v>
      </c>
      <c r="D944" s="40" t="s">
        <v>156</v>
      </c>
      <c r="E944" s="2">
        <v>200</v>
      </c>
      <c r="F944" s="2"/>
      <c r="G944" s="6">
        <f t="shared" si="141"/>
        <v>40</v>
      </c>
      <c r="H944" s="6">
        <f t="shared" si="141"/>
        <v>40</v>
      </c>
    </row>
    <row r="945" spans="1:10" ht="47.25" x14ac:dyDescent="0.25">
      <c r="A945" s="45" t="s">
        <v>149</v>
      </c>
      <c r="B945" s="20" t="s">
        <v>901</v>
      </c>
      <c r="C945" s="40" t="s">
        <v>134</v>
      </c>
      <c r="D945" s="40" t="s">
        <v>156</v>
      </c>
      <c r="E945" s="2">
        <v>240</v>
      </c>
      <c r="F945" s="2"/>
      <c r="G945" s="6">
        <f>'пр.5.1.ведом.21-22'!G128</f>
        <v>40</v>
      </c>
      <c r="H945" s="6">
        <f>'пр.5.1.ведом.21-22'!H128</f>
        <v>40</v>
      </c>
    </row>
    <row r="946" spans="1:10" ht="31.5" x14ac:dyDescent="0.25">
      <c r="A946" s="29" t="s">
        <v>164</v>
      </c>
      <c r="B946" s="20" t="s">
        <v>901</v>
      </c>
      <c r="C946" s="40" t="s">
        <v>134</v>
      </c>
      <c r="D946" s="40" t="s">
        <v>156</v>
      </c>
      <c r="E946" s="2">
        <v>240</v>
      </c>
      <c r="F946" s="2">
        <v>902</v>
      </c>
      <c r="G946" s="6">
        <f>G939</f>
        <v>40</v>
      </c>
      <c r="H946" s="6">
        <f>H939</f>
        <v>40</v>
      </c>
      <c r="J946" s="22"/>
    </row>
    <row r="947" spans="1:10" ht="78.75" x14ac:dyDescent="0.25">
      <c r="A947" s="41" t="s">
        <v>1186</v>
      </c>
      <c r="B947" s="24" t="s">
        <v>862</v>
      </c>
      <c r="C947" s="7"/>
      <c r="D947" s="7"/>
      <c r="E947" s="3"/>
      <c r="F947" s="3"/>
      <c r="G947" s="4">
        <f>G949</f>
        <v>100</v>
      </c>
      <c r="H947" s="4">
        <f>H949</f>
        <v>100</v>
      </c>
    </row>
    <row r="948" spans="1:10" ht="31.5" x14ac:dyDescent="0.25">
      <c r="A948" s="58" t="s">
        <v>902</v>
      </c>
      <c r="B948" s="24" t="s">
        <v>910</v>
      </c>
      <c r="C948" s="7"/>
      <c r="D948" s="7"/>
      <c r="E948" s="3"/>
      <c r="F948" s="3"/>
      <c r="G948" s="4">
        <f t="shared" ref="G948:H952" si="142">G949</f>
        <v>100</v>
      </c>
      <c r="H948" s="4">
        <f t="shared" si="142"/>
        <v>100</v>
      </c>
    </row>
    <row r="949" spans="1:10" ht="15.75" x14ac:dyDescent="0.25">
      <c r="A949" s="45" t="s">
        <v>133</v>
      </c>
      <c r="B949" s="20" t="s">
        <v>910</v>
      </c>
      <c r="C949" s="40" t="s">
        <v>134</v>
      </c>
      <c r="D949" s="40"/>
      <c r="E949" s="2"/>
      <c r="F949" s="2"/>
      <c r="G949" s="6">
        <f t="shared" si="142"/>
        <v>100</v>
      </c>
      <c r="H949" s="6">
        <f t="shared" si="142"/>
        <v>100</v>
      </c>
    </row>
    <row r="950" spans="1:10" ht="15.75" x14ac:dyDescent="0.25">
      <c r="A950" s="45" t="s">
        <v>155</v>
      </c>
      <c r="B950" s="20" t="s">
        <v>910</v>
      </c>
      <c r="C950" s="40" t="s">
        <v>134</v>
      </c>
      <c r="D950" s="40" t="s">
        <v>156</v>
      </c>
      <c r="E950" s="2"/>
      <c r="F950" s="2"/>
      <c r="G950" s="6">
        <f t="shared" si="142"/>
        <v>100</v>
      </c>
      <c r="H950" s="6">
        <f t="shared" si="142"/>
        <v>100</v>
      </c>
    </row>
    <row r="951" spans="1:10" ht="31.5" x14ac:dyDescent="0.25">
      <c r="A951" s="45" t="s">
        <v>191</v>
      </c>
      <c r="B951" s="20" t="s">
        <v>903</v>
      </c>
      <c r="C951" s="40" t="s">
        <v>134</v>
      </c>
      <c r="D951" s="40" t="s">
        <v>156</v>
      </c>
      <c r="E951" s="2"/>
      <c r="F951" s="2"/>
      <c r="G951" s="6">
        <f t="shared" si="142"/>
        <v>100</v>
      </c>
      <c r="H951" s="6">
        <f t="shared" si="142"/>
        <v>100</v>
      </c>
    </row>
    <row r="952" spans="1:10" ht="31.5" x14ac:dyDescent="0.25">
      <c r="A952" s="45" t="s">
        <v>147</v>
      </c>
      <c r="B952" s="20" t="s">
        <v>903</v>
      </c>
      <c r="C952" s="40" t="s">
        <v>134</v>
      </c>
      <c r="D952" s="40" t="s">
        <v>156</v>
      </c>
      <c r="E952" s="2">
        <v>200</v>
      </c>
      <c r="F952" s="2"/>
      <c r="G952" s="6">
        <f t="shared" si="142"/>
        <v>100</v>
      </c>
      <c r="H952" s="6">
        <f t="shared" si="142"/>
        <v>100</v>
      </c>
    </row>
    <row r="953" spans="1:10" ht="47.25" x14ac:dyDescent="0.25">
      <c r="A953" s="45" t="s">
        <v>149</v>
      </c>
      <c r="B953" s="20" t="s">
        <v>903</v>
      </c>
      <c r="C953" s="40" t="s">
        <v>134</v>
      </c>
      <c r="D953" s="40" t="s">
        <v>156</v>
      </c>
      <c r="E953" s="2">
        <v>240</v>
      </c>
      <c r="F953" s="2"/>
      <c r="G953" s="6">
        <f>'пр.5.1.ведом.21-22'!G133</f>
        <v>100</v>
      </c>
      <c r="H953" s="6">
        <f>'пр.5.1.ведом.21-22'!H133</f>
        <v>100</v>
      </c>
    </row>
    <row r="954" spans="1:10" ht="31.5" x14ac:dyDescent="0.25">
      <c r="A954" s="29" t="s">
        <v>164</v>
      </c>
      <c r="B954" s="20" t="s">
        <v>903</v>
      </c>
      <c r="C954" s="40" t="s">
        <v>134</v>
      </c>
      <c r="D954" s="40" t="s">
        <v>156</v>
      </c>
      <c r="E954" s="2">
        <v>240</v>
      </c>
      <c r="F954" s="2">
        <v>902</v>
      </c>
      <c r="G954" s="6">
        <f>G947</f>
        <v>100</v>
      </c>
      <c r="H954" s="6">
        <f>H947</f>
        <v>100</v>
      </c>
    </row>
    <row r="955" spans="1:10" s="213" customFormat="1" ht="47.25" x14ac:dyDescent="0.25">
      <c r="A955" s="23" t="s">
        <v>1362</v>
      </c>
      <c r="B955" s="24" t="s">
        <v>1361</v>
      </c>
      <c r="C955" s="40"/>
      <c r="D955" s="40"/>
      <c r="E955" s="2"/>
      <c r="F955" s="2"/>
      <c r="G955" s="4">
        <f t="shared" ref="G955:H961" si="143">G956</f>
        <v>235</v>
      </c>
      <c r="H955" s="4">
        <f t="shared" si="143"/>
        <v>204</v>
      </c>
    </row>
    <row r="956" spans="1:10" s="213" customFormat="1" ht="31.5" x14ac:dyDescent="0.25">
      <c r="A956" s="23" t="s">
        <v>1363</v>
      </c>
      <c r="B956" s="24" t="s">
        <v>1364</v>
      </c>
      <c r="C956" s="40"/>
      <c r="D956" s="40"/>
      <c r="E956" s="2"/>
      <c r="F956" s="2"/>
      <c r="G956" s="4">
        <f t="shared" si="143"/>
        <v>235</v>
      </c>
      <c r="H956" s="4">
        <f t="shared" si="143"/>
        <v>204</v>
      </c>
    </row>
    <row r="957" spans="1:10" s="213" customFormat="1" ht="15.75" x14ac:dyDescent="0.25">
      <c r="A957" s="29" t="s">
        <v>406</v>
      </c>
      <c r="B957" s="20" t="s">
        <v>1364</v>
      </c>
      <c r="C957" s="40" t="s">
        <v>250</v>
      </c>
      <c r="D957" s="40"/>
      <c r="E957" s="2"/>
      <c r="F957" s="2"/>
      <c r="G957" s="6">
        <f t="shared" si="143"/>
        <v>235</v>
      </c>
      <c r="H957" s="6">
        <f t="shared" si="143"/>
        <v>204</v>
      </c>
    </row>
    <row r="958" spans="1:10" s="213" customFormat="1" ht="15.75" x14ac:dyDescent="0.25">
      <c r="A958" s="29" t="s">
        <v>533</v>
      </c>
      <c r="B958" s="20" t="s">
        <v>1364</v>
      </c>
      <c r="C958" s="40" t="s">
        <v>250</v>
      </c>
      <c r="D958" s="40" t="s">
        <v>229</v>
      </c>
      <c r="E958" s="2"/>
      <c r="F958" s="2"/>
      <c r="G958" s="6">
        <f t="shared" si="143"/>
        <v>235</v>
      </c>
      <c r="H958" s="6">
        <f t="shared" si="143"/>
        <v>204</v>
      </c>
    </row>
    <row r="959" spans="1:10" s="213" customFormat="1" ht="31.5" x14ac:dyDescent="0.25">
      <c r="A959" s="29" t="s">
        <v>1366</v>
      </c>
      <c r="B959" s="20" t="s">
        <v>1365</v>
      </c>
      <c r="C959" s="40" t="s">
        <v>250</v>
      </c>
      <c r="D959" s="40" t="s">
        <v>229</v>
      </c>
      <c r="E959" s="2"/>
      <c r="F959" s="2"/>
      <c r="G959" s="6">
        <f t="shared" si="143"/>
        <v>235</v>
      </c>
      <c r="H959" s="6">
        <f t="shared" si="143"/>
        <v>204</v>
      </c>
    </row>
    <row r="960" spans="1:10" s="213" customFormat="1" ht="31.5" x14ac:dyDescent="0.25">
      <c r="A960" s="45" t="s">
        <v>147</v>
      </c>
      <c r="B960" s="20" t="s">
        <v>1365</v>
      </c>
      <c r="C960" s="40" t="s">
        <v>250</v>
      </c>
      <c r="D960" s="40" t="s">
        <v>229</v>
      </c>
      <c r="E960" s="2">
        <v>200</v>
      </c>
      <c r="F960" s="2"/>
      <c r="G960" s="6">
        <f t="shared" si="143"/>
        <v>235</v>
      </c>
      <c r="H960" s="6">
        <f t="shared" si="143"/>
        <v>204</v>
      </c>
    </row>
    <row r="961" spans="1:8" s="213" customFormat="1" ht="47.25" x14ac:dyDescent="0.25">
      <c r="A961" s="45" t="s">
        <v>149</v>
      </c>
      <c r="B961" s="20" t="s">
        <v>1365</v>
      </c>
      <c r="C961" s="40" t="s">
        <v>250</v>
      </c>
      <c r="D961" s="40" t="s">
        <v>229</v>
      </c>
      <c r="E961" s="2">
        <v>240</v>
      </c>
      <c r="F961" s="2"/>
      <c r="G961" s="6">
        <f t="shared" si="143"/>
        <v>235</v>
      </c>
      <c r="H961" s="6">
        <f t="shared" si="143"/>
        <v>204</v>
      </c>
    </row>
    <row r="962" spans="1:8" s="213" customFormat="1" ht="63" x14ac:dyDescent="0.25">
      <c r="A962" s="29" t="s">
        <v>1307</v>
      </c>
      <c r="B962" s="20" t="s">
        <v>1365</v>
      </c>
      <c r="C962" s="40" t="s">
        <v>250</v>
      </c>
      <c r="D962" s="40" t="s">
        <v>229</v>
      </c>
      <c r="E962" s="2">
        <v>240</v>
      </c>
      <c r="F962" s="2">
        <v>908</v>
      </c>
      <c r="G962" s="6">
        <f>'пр.5.1.ведом.21-22'!G969</f>
        <v>235</v>
      </c>
      <c r="H962" s="6">
        <f>'пр.5.1.ведом.21-22'!H969</f>
        <v>204</v>
      </c>
    </row>
    <row r="963" spans="1:8" ht="15.75" x14ac:dyDescent="0.25">
      <c r="A963" s="72" t="s">
        <v>674</v>
      </c>
      <c r="B963" s="72"/>
      <c r="C963" s="72"/>
      <c r="D963" s="72"/>
      <c r="E963" s="72"/>
      <c r="F963" s="72"/>
      <c r="G963" s="121">
        <f>G947+G939+G931+G923+G865+G830+G761+G704+G673+G516+G455+G443+G405+G393+G160+G27+G9+G780+G955</f>
        <v>485635.93199999997</v>
      </c>
      <c r="H963" s="121">
        <f>H947+H939+H931+H923+H865+H830+H761+H704+H673+H516+H455+H443+H405+H393+H160+H27+H9+H780+H955</f>
        <v>482520.99699999997</v>
      </c>
    </row>
    <row r="965" spans="1:8" hidden="1" x14ac:dyDescent="0.25">
      <c r="G965" s="234">
        <f>'пр.5.1.ведом.21-22'!G1160</f>
        <v>485685.93199999997</v>
      </c>
      <c r="H965" s="234">
        <f>'пр.5.1.ведом.21-22'!H1160</f>
        <v>482732.42000000004</v>
      </c>
    </row>
    <row r="966" spans="1:8" hidden="1" x14ac:dyDescent="0.25"/>
    <row r="967" spans="1:8" hidden="1" x14ac:dyDescent="0.25">
      <c r="G967" s="234">
        <f>G965-G963</f>
        <v>50</v>
      </c>
      <c r="H967" s="234">
        <f>H965-H963</f>
        <v>211.42300000006799</v>
      </c>
    </row>
  </sheetData>
  <mergeCells count="1">
    <mergeCell ref="A5:H5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2" zoomScaleNormal="100" workbookViewId="0">
      <selection activeCell="G11" sqref="G11"/>
    </sheetView>
  </sheetViews>
  <sheetFormatPr defaultRowHeight="15" x14ac:dyDescent="0.25"/>
  <cols>
    <col min="1" max="1" width="33.28515625" customWidth="1"/>
    <col min="2" max="2" width="15.5703125" style="213" customWidth="1"/>
    <col min="4" max="4" width="8" customWidth="1"/>
    <col min="5" max="5" width="8.85546875" style="213" customWidth="1"/>
    <col min="6" max="6" width="13.7109375" customWidth="1"/>
    <col min="7" max="7" width="11.85546875" customWidth="1"/>
    <col min="8" max="8" width="13.85546875" style="357" customWidth="1"/>
    <col min="9" max="9" width="11.7109375" style="357" customWidth="1"/>
  </cols>
  <sheetData>
    <row r="1" spans="1:9" ht="18.75" customHeight="1" x14ac:dyDescent="0.3">
      <c r="A1" s="409"/>
      <c r="B1" s="409"/>
      <c r="C1" s="409"/>
      <c r="D1" s="62"/>
      <c r="E1" s="62"/>
      <c r="F1" s="214"/>
      <c r="G1" s="210"/>
      <c r="H1" s="374" t="s">
        <v>633</v>
      </c>
      <c r="I1" s="210"/>
    </row>
    <row r="2" spans="1:9" ht="18.75" customHeight="1" x14ac:dyDescent="0.3">
      <c r="A2" s="409"/>
      <c r="B2" s="409"/>
      <c r="C2" s="409"/>
      <c r="D2" s="62"/>
      <c r="E2" s="62"/>
      <c r="F2" s="214"/>
      <c r="G2" s="210"/>
      <c r="H2" s="374" t="s">
        <v>1585</v>
      </c>
      <c r="I2" s="210"/>
    </row>
    <row r="3" spans="1:9" ht="15.75" x14ac:dyDescent="0.25">
      <c r="A3" s="62"/>
      <c r="B3" s="62"/>
      <c r="C3" s="62"/>
      <c r="D3" s="62"/>
      <c r="E3" s="62"/>
      <c r="F3" s="62"/>
      <c r="G3" s="130"/>
      <c r="H3" s="375" t="s">
        <v>1586</v>
      </c>
      <c r="I3" s="130"/>
    </row>
    <row r="4" spans="1:9" s="213" customFormat="1" ht="15.75" x14ac:dyDescent="0.25">
      <c r="A4" s="62"/>
      <c r="B4" s="62"/>
      <c r="C4" s="62"/>
      <c r="D4" s="62"/>
      <c r="E4" s="62"/>
      <c r="F4" s="62"/>
      <c r="G4" s="130"/>
      <c r="H4" s="375" t="s">
        <v>1587</v>
      </c>
      <c r="I4" s="130"/>
    </row>
    <row r="5" spans="1:9" s="213" customFormat="1" ht="15.75" x14ac:dyDescent="0.25">
      <c r="A5" s="62"/>
      <c r="B5" s="62"/>
      <c r="C5" s="62"/>
      <c r="D5" s="62"/>
      <c r="E5" s="62"/>
      <c r="F5" s="62"/>
      <c r="G5" s="130"/>
      <c r="H5" s="375" t="s">
        <v>1626</v>
      </c>
      <c r="I5" s="130"/>
    </row>
    <row r="6" spans="1:9" s="357" customFormat="1" ht="15.75" x14ac:dyDescent="0.25">
      <c r="A6" s="62"/>
      <c r="B6" s="62"/>
      <c r="C6" s="62"/>
      <c r="D6" s="62"/>
      <c r="E6" s="62"/>
      <c r="F6" s="62"/>
      <c r="G6" s="130"/>
      <c r="H6" s="375"/>
      <c r="I6" s="130"/>
    </row>
    <row r="7" spans="1:9" ht="15" customHeight="1" x14ac:dyDescent="0.25">
      <c r="A7" s="404" t="s">
        <v>1595</v>
      </c>
      <c r="B7" s="404"/>
      <c r="C7" s="404"/>
      <c r="D7" s="404"/>
      <c r="E7" s="404"/>
      <c r="F7" s="404"/>
      <c r="G7" s="404"/>
      <c r="H7" s="404"/>
      <c r="I7" s="404"/>
    </row>
    <row r="8" spans="1:9" ht="15" customHeight="1" x14ac:dyDescent="0.25">
      <c r="A8" s="404"/>
      <c r="B8" s="404"/>
      <c r="C8" s="404"/>
      <c r="D8" s="404"/>
      <c r="E8" s="404"/>
      <c r="F8" s="404"/>
      <c r="G8" s="404"/>
      <c r="H8" s="404"/>
      <c r="I8" s="404"/>
    </row>
    <row r="9" spans="1:9" ht="15.75" x14ac:dyDescent="0.25">
      <c r="A9" s="62"/>
      <c r="B9" s="62"/>
      <c r="C9" s="62"/>
      <c r="D9" s="62"/>
      <c r="E9" s="62"/>
      <c r="F9" s="64"/>
      <c r="G9" s="65"/>
      <c r="H9" s="65"/>
      <c r="I9" s="65"/>
    </row>
    <row r="10" spans="1:9" ht="60" x14ac:dyDescent="0.25">
      <c r="A10" s="66" t="s">
        <v>609</v>
      </c>
      <c r="B10" s="66" t="s">
        <v>1294</v>
      </c>
      <c r="C10" s="66" t="s">
        <v>1292</v>
      </c>
      <c r="D10" s="66" t="s">
        <v>129</v>
      </c>
      <c r="E10" s="66" t="s">
        <v>1293</v>
      </c>
      <c r="F10" s="66" t="s">
        <v>127</v>
      </c>
      <c r="G10" s="180" t="s">
        <v>1584</v>
      </c>
      <c r="H10" s="180" t="s">
        <v>1582</v>
      </c>
      <c r="I10" s="180" t="s">
        <v>1583</v>
      </c>
    </row>
    <row r="11" spans="1:9" s="213" customFormat="1" ht="78.75" x14ac:dyDescent="0.25">
      <c r="A11" s="245" t="s">
        <v>1201</v>
      </c>
      <c r="B11" s="20" t="s">
        <v>1222</v>
      </c>
      <c r="C11" s="40"/>
      <c r="D11" s="40"/>
      <c r="E11" s="40"/>
      <c r="F11" s="5"/>
      <c r="G11" s="6">
        <f>G12</f>
        <v>25</v>
      </c>
      <c r="H11" s="358">
        <f t="shared" ref="H11:H15" si="0">H12</f>
        <v>25</v>
      </c>
      <c r="I11" s="358">
        <f>H11/G11*100</f>
        <v>100</v>
      </c>
    </row>
    <row r="12" spans="1:9" s="213" customFormat="1" ht="15.75" x14ac:dyDescent="0.25">
      <c r="A12" s="45" t="s">
        <v>279</v>
      </c>
      <c r="B12" s="20" t="s">
        <v>1222</v>
      </c>
      <c r="C12" s="40" t="s">
        <v>280</v>
      </c>
      <c r="D12" s="40"/>
      <c r="E12" s="206"/>
      <c r="F12" s="5"/>
      <c r="G12" s="6">
        <f>G13</f>
        <v>25</v>
      </c>
      <c r="H12" s="358">
        <f t="shared" si="0"/>
        <v>25</v>
      </c>
      <c r="I12" s="358">
        <f t="shared" ref="I12:I41" si="1">H12/G12*100</f>
        <v>100</v>
      </c>
    </row>
    <row r="13" spans="1:9" s="213" customFormat="1" ht="31.5" x14ac:dyDescent="0.25">
      <c r="A13" s="45" t="s">
        <v>482</v>
      </c>
      <c r="B13" s="20" t="s">
        <v>1222</v>
      </c>
      <c r="C13" s="40" t="s">
        <v>280</v>
      </c>
      <c r="D13" s="40" t="s">
        <v>280</v>
      </c>
      <c r="E13" s="206"/>
      <c r="F13" s="5"/>
      <c r="G13" s="6">
        <f>G14</f>
        <v>25</v>
      </c>
      <c r="H13" s="358">
        <f t="shared" si="0"/>
        <v>25</v>
      </c>
      <c r="I13" s="358">
        <f t="shared" si="1"/>
        <v>100</v>
      </c>
    </row>
    <row r="14" spans="1:9" ht="31.5" x14ac:dyDescent="0.25">
      <c r="A14" s="29" t="s">
        <v>264</v>
      </c>
      <c r="B14" s="20" t="s">
        <v>1222</v>
      </c>
      <c r="C14" s="40" t="s">
        <v>280</v>
      </c>
      <c r="D14" s="40" t="s">
        <v>280</v>
      </c>
      <c r="E14" s="40" t="s">
        <v>265</v>
      </c>
      <c r="F14" s="5"/>
      <c r="G14" s="6">
        <f>G15</f>
        <v>25</v>
      </c>
      <c r="H14" s="358">
        <f t="shared" si="0"/>
        <v>25</v>
      </c>
      <c r="I14" s="358">
        <f t="shared" si="1"/>
        <v>100</v>
      </c>
    </row>
    <row r="15" spans="1:9" ht="39.200000000000003" customHeight="1" x14ac:dyDescent="0.25">
      <c r="A15" s="29" t="s">
        <v>364</v>
      </c>
      <c r="B15" s="20" t="s">
        <v>1222</v>
      </c>
      <c r="C15" s="40" t="s">
        <v>280</v>
      </c>
      <c r="D15" s="40" t="s">
        <v>280</v>
      </c>
      <c r="E15" s="40" t="s">
        <v>365</v>
      </c>
      <c r="F15" s="5"/>
      <c r="G15" s="6">
        <f>G16</f>
        <v>25</v>
      </c>
      <c r="H15" s="358">
        <f t="shared" si="0"/>
        <v>25</v>
      </c>
      <c r="I15" s="358">
        <f t="shared" si="1"/>
        <v>100</v>
      </c>
    </row>
    <row r="16" spans="1:9" s="213" customFormat="1" ht="66.2" customHeight="1" x14ac:dyDescent="0.25">
      <c r="A16" s="45" t="s">
        <v>675</v>
      </c>
      <c r="B16" s="20" t="s">
        <v>1222</v>
      </c>
      <c r="C16" s="40" t="s">
        <v>280</v>
      </c>
      <c r="D16" s="40" t="s">
        <v>280</v>
      </c>
      <c r="E16" s="40" t="s">
        <v>365</v>
      </c>
      <c r="F16" s="5">
        <v>903</v>
      </c>
      <c r="G16" s="6">
        <f>'Пр.4 ведом.20'!G340</f>
        <v>25</v>
      </c>
      <c r="H16" s="358">
        <f>'Пр.4 ведом.20'!H340</f>
        <v>25</v>
      </c>
      <c r="I16" s="358">
        <f t="shared" si="1"/>
        <v>100</v>
      </c>
    </row>
    <row r="17" spans="1:9" s="213" customFormat="1" ht="42.75" customHeight="1" x14ac:dyDescent="0.25">
      <c r="A17" s="25" t="s">
        <v>1203</v>
      </c>
      <c r="B17" s="20" t="s">
        <v>979</v>
      </c>
      <c r="C17" s="40"/>
      <c r="D17" s="40"/>
      <c r="E17" s="40"/>
      <c r="F17" s="5"/>
      <c r="G17" s="6">
        <f>G18</f>
        <v>420</v>
      </c>
      <c r="H17" s="358">
        <f t="shared" ref="H17:H21" si="2">H18</f>
        <v>190</v>
      </c>
      <c r="I17" s="358">
        <f t="shared" si="1"/>
        <v>45.238095238095241</v>
      </c>
    </row>
    <row r="18" spans="1:9" s="213" customFormat="1" ht="20.25" customHeight="1" x14ac:dyDescent="0.25">
      <c r="A18" s="25" t="s">
        <v>1281</v>
      </c>
      <c r="B18" s="20" t="s">
        <v>979</v>
      </c>
      <c r="C18" s="40" t="s">
        <v>260</v>
      </c>
      <c r="D18" s="40"/>
      <c r="E18" s="40"/>
      <c r="F18" s="5"/>
      <c r="G18" s="6">
        <f>G19</f>
        <v>420</v>
      </c>
      <c r="H18" s="358">
        <f t="shared" si="2"/>
        <v>190</v>
      </c>
      <c r="I18" s="358">
        <f t="shared" si="1"/>
        <v>45.238095238095241</v>
      </c>
    </row>
    <row r="19" spans="1:9" s="213" customFormat="1" ht="37.5" customHeight="1" x14ac:dyDescent="0.25">
      <c r="A19" s="29" t="s">
        <v>268</v>
      </c>
      <c r="B19" s="20" t="s">
        <v>979</v>
      </c>
      <c r="C19" s="40" t="s">
        <v>260</v>
      </c>
      <c r="D19" s="40" t="s">
        <v>231</v>
      </c>
      <c r="E19" s="40"/>
      <c r="F19" s="5"/>
      <c r="G19" s="6">
        <f>G20</f>
        <v>420</v>
      </c>
      <c r="H19" s="358">
        <f t="shared" si="2"/>
        <v>190</v>
      </c>
      <c r="I19" s="358">
        <f t="shared" si="1"/>
        <v>45.238095238095241</v>
      </c>
    </row>
    <row r="20" spans="1:9" s="213" customFormat="1" ht="33.75" customHeight="1" x14ac:dyDescent="0.25">
      <c r="A20" s="25" t="s">
        <v>264</v>
      </c>
      <c r="B20" s="20" t="s">
        <v>979</v>
      </c>
      <c r="C20" s="40" t="s">
        <v>260</v>
      </c>
      <c r="D20" s="40" t="s">
        <v>231</v>
      </c>
      <c r="E20" s="40" t="s">
        <v>265</v>
      </c>
      <c r="F20" s="5"/>
      <c r="G20" s="6">
        <f>G21</f>
        <v>420</v>
      </c>
      <c r="H20" s="358">
        <f t="shared" si="2"/>
        <v>190</v>
      </c>
      <c r="I20" s="358">
        <f t="shared" si="1"/>
        <v>45.238095238095241</v>
      </c>
    </row>
    <row r="21" spans="1:9" s="213" customFormat="1" ht="37.5" customHeight="1" x14ac:dyDescent="0.25">
      <c r="A21" s="25" t="s">
        <v>364</v>
      </c>
      <c r="B21" s="20" t="s">
        <v>979</v>
      </c>
      <c r="C21" s="40" t="s">
        <v>260</v>
      </c>
      <c r="D21" s="40" t="s">
        <v>231</v>
      </c>
      <c r="E21" s="40" t="s">
        <v>365</v>
      </c>
      <c r="F21" s="5"/>
      <c r="G21" s="6">
        <f>G22</f>
        <v>420</v>
      </c>
      <c r="H21" s="358">
        <f t="shared" si="2"/>
        <v>190</v>
      </c>
      <c r="I21" s="358">
        <f t="shared" si="1"/>
        <v>45.238095238095241</v>
      </c>
    </row>
    <row r="22" spans="1:9" s="213" customFormat="1" ht="66.2" customHeight="1" x14ac:dyDescent="0.25">
      <c r="A22" s="45" t="s">
        <v>675</v>
      </c>
      <c r="B22" s="20" t="s">
        <v>979</v>
      </c>
      <c r="C22" s="40" t="s">
        <v>260</v>
      </c>
      <c r="D22" s="40" t="s">
        <v>231</v>
      </c>
      <c r="E22" s="40" t="s">
        <v>365</v>
      </c>
      <c r="F22" s="5">
        <v>903</v>
      </c>
      <c r="G22" s="6">
        <f>'Пр.4 ведом.20'!G459</f>
        <v>420</v>
      </c>
      <c r="H22" s="358">
        <f>'Пр.4 ведом.20'!H459</f>
        <v>190</v>
      </c>
      <c r="I22" s="358">
        <f t="shared" si="1"/>
        <v>45.238095238095241</v>
      </c>
    </row>
    <row r="23" spans="1:9" s="213" customFormat="1" ht="91.5" customHeight="1" x14ac:dyDescent="0.25">
      <c r="A23" s="99" t="s">
        <v>1206</v>
      </c>
      <c r="B23" s="20" t="s">
        <v>982</v>
      </c>
      <c r="C23" s="40"/>
      <c r="D23" s="40"/>
      <c r="E23" s="40"/>
      <c r="F23" s="5"/>
      <c r="G23" s="6">
        <f>G24</f>
        <v>630</v>
      </c>
      <c r="H23" s="358">
        <f t="shared" ref="H23:H27" si="3">H24</f>
        <v>348.45</v>
      </c>
      <c r="I23" s="358">
        <f t="shared" si="1"/>
        <v>55.30952380952381</v>
      </c>
    </row>
    <row r="24" spans="1:9" ht="15.75" x14ac:dyDescent="0.25">
      <c r="A24" s="80" t="s">
        <v>259</v>
      </c>
      <c r="B24" s="20" t="s">
        <v>982</v>
      </c>
      <c r="C24" s="9" t="s">
        <v>260</v>
      </c>
      <c r="D24" s="9"/>
      <c r="E24" s="9"/>
      <c r="F24" s="9"/>
      <c r="G24" s="10">
        <f>G25</f>
        <v>630</v>
      </c>
      <c r="H24" s="328">
        <f t="shared" si="3"/>
        <v>348.45</v>
      </c>
      <c r="I24" s="358">
        <f t="shared" si="1"/>
        <v>55.30952380952381</v>
      </c>
    </row>
    <row r="25" spans="1:9" ht="31.5" x14ac:dyDescent="0.25">
      <c r="A25" s="29" t="s">
        <v>268</v>
      </c>
      <c r="B25" s="20" t="s">
        <v>982</v>
      </c>
      <c r="C25" s="40" t="s">
        <v>260</v>
      </c>
      <c r="D25" s="40" t="s">
        <v>231</v>
      </c>
      <c r="E25" s="40"/>
      <c r="F25" s="5"/>
      <c r="G25" s="6">
        <f>G26</f>
        <v>630</v>
      </c>
      <c r="H25" s="358">
        <f t="shared" si="3"/>
        <v>348.45</v>
      </c>
      <c r="I25" s="358">
        <f t="shared" si="1"/>
        <v>55.30952380952381</v>
      </c>
    </row>
    <row r="26" spans="1:9" ht="31.5" x14ac:dyDescent="0.25">
      <c r="A26" s="29" t="s">
        <v>264</v>
      </c>
      <c r="B26" s="20" t="s">
        <v>982</v>
      </c>
      <c r="C26" s="40" t="s">
        <v>260</v>
      </c>
      <c r="D26" s="40" t="s">
        <v>231</v>
      </c>
      <c r="E26" s="40" t="s">
        <v>265</v>
      </c>
      <c r="F26" s="5"/>
      <c r="G26" s="6">
        <f>G27</f>
        <v>630</v>
      </c>
      <c r="H26" s="358">
        <f t="shared" si="3"/>
        <v>348.45</v>
      </c>
      <c r="I26" s="358">
        <f t="shared" si="1"/>
        <v>55.30952380952381</v>
      </c>
    </row>
    <row r="27" spans="1:9" ht="47.25" x14ac:dyDescent="0.25">
      <c r="A27" s="29" t="s">
        <v>364</v>
      </c>
      <c r="B27" s="20" t="s">
        <v>982</v>
      </c>
      <c r="C27" s="40" t="s">
        <v>260</v>
      </c>
      <c r="D27" s="40" t="s">
        <v>231</v>
      </c>
      <c r="E27" s="81" t="s">
        <v>365</v>
      </c>
      <c r="F27" s="5"/>
      <c r="G27" s="6">
        <f>G28</f>
        <v>630</v>
      </c>
      <c r="H27" s="358">
        <f t="shared" si="3"/>
        <v>348.45</v>
      </c>
      <c r="I27" s="358">
        <f t="shared" si="1"/>
        <v>55.30952380952381</v>
      </c>
    </row>
    <row r="28" spans="1:9" s="213" customFormat="1" ht="78.75" x14ac:dyDescent="0.25">
      <c r="A28" s="45" t="s">
        <v>675</v>
      </c>
      <c r="B28" s="20" t="s">
        <v>982</v>
      </c>
      <c r="C28" s="40" t="s">
        <v>260</v>
      </c>
      <c r="D28" s="40" t="s">
        <v>231</v>
      </c>
      <c r="E28" s="81" t="s">
        <v>365</v>
      </c>
      <c r="F28" s="5">
        <v>903</v>
      </c>
      <c r="G28" s="6">
        <f>'Пр.4 ведом.20'!G464</f>
        <v>630</v>
      </c>
      <c r="H28" s="358">
        <f>'Пр.4 ведом.20'!H464</f>
        <v>348.45</v>
      </c>
      <c r="I28" s="358">
        <f t="shared" si="1"/>
        <v>55.30952380952381</v>
      </c>
    </row>
    <row r="29" spans="1:9" ht="31.5" x14ac:dyDescent="0.25">
      <c r="A29" s="25" t="s">
        <v>1149</v>
      </c>
      <c r="B29" s="20" t="s">
        <v>984</v>
      </c>
      <c r="C29" s="40"/>
      <c r="D29" s="40"/>
      <c r="E29" s="40"/>
      <c r="F29" s="5"/>
      <c r="G29" s="6">
        <f>G30</f>
        <v>210</v>
      </c>
      <c r="H29" s="358">
        <f t="shared" ref="H29:H33" si="4">H30</f>
        <v>0</v>
      </c>
      <c r="I29" s="358">
        <f t="shared" si="1"/>
        <v>0</v>
      </c>
    </row>
    <row r="30" spans="1:9" s="213" customFormat="1" ht="15.75" x14ac:dyDescent="0.25">
      <c r="A30" s="80" t="s">
        <v>259</v>
      </c>
      <c r="B30" s="20" t="s">
        <v>984</v>
      </c>
      <c r="C30" s="40" t="s">
        <v>260</v>
      </c>
      <c r="D30" s="40"/>
      <c r="E30" s="40"/>
      <c r="F30" s="5"/>
      <c r="G30" s="6">
        <f>G31</f>
        <v>210</v>
      </c>
      <c r="H30" s="358">
        <f t="shared" si="4"/>
        <v>0</v>
      </c>
      <c r="I30" s="358">
        <f t="shared" si="1"/>
        <v>0</v>
      </c>
    </row>
    <row r="31" spans="1:9" ht="31.5" x14ac:dyDescent="0.25">
      <c r="A31" s="29" t="s">
        <v>268</v>
      </c>
      <c r="B31" s="20" t="s">
        <v>984</v>
      </c>
      <c r="C31" s="40" t="s">
        <v>260</v>
      </c>
      <c r="D31" s="40" t="s">
        <v>231</v>
      </c>
      <c r="E31" s="40"/>
      <c r="F31" s="5"/>
      <c r="G31" s="6">
        <f>G32</f>
        <v>210</v>
      </c>
      <c r="H31" s="358">
        <f t="shared" si="4"/>
        <v>0</v>
      </c>
      <c r="I31" s="358">
        <f t="shared" si="1"/>
        <v>0</v>
      </c>
    </row>
    <row r="32" spans="1:9" ht="31.5" x14ac:dyDescent="0.25">
      <c r="A32" s="29" t="s">
        <v>264</v>
      </c>
      <c r="B32" s="20" t="s">
        <v>984</v>
      </c>
      <c r="C32" s="40" t="s">
        <v>260</v>
      </c>
      <c r="D32" s="40" t="s">
        <v>231</v>
      </c>
      <c r="E32" s="40" t="s">
        <v>265</v>
      </c>
      <c r="F32" s="5"/>
      <c r="G32" s="6">
        <f>G33</f>
        <v>210</v>
      </c>
      <c r="H32" s="358">
        <f t="shared" si="4"/>
        <v>0</v>
      </c>
      <c r="I32" s="358">
        <f t="shared" si="1"/>
        <v>0</v>
      </c>
    </row>
    <row r="33" spans="1:9" ht="47.25" x14ac:dyDescent="0.25">
      <c r="A33" s="29" t="s">
        <v>364</v>
      </c>
      <c r="B33" s="20" t="s">
        <v>984</v>
      </c>
      <c r="C33" s="40" t="s">
        <v>260</v>
      </c>
      <c r="D33" s="40" t="s">
        <v>231</v>
      </c>
      <c r="E33" s="40" t="s">
        <v>365</v>
      </c>
      <c r="F33" s="5"/>
      <c r="G33" s="6">
        <f>G34</f>
        <v>210</v>
      </c>
      <c r="H33" s="358">
        <f t="shared" si="4"/>
        <v>0</v>
      </c>
      <c r="I33" s="358">
        <f t="shared" si="1"/>
        <v>0</v>
      </c>
    </row>
    <row r="34" spans="1:9" s="213" customFormat="1" ht="78.75" x14ac:dyDescent="0.25">
      <c r="A34" s="45" t="s">
        <v>675</v>
      </c>
      <c r="B34" s="20" t="s">
        <v>984</v>
      </c>
      <c r="C34" s="40" t="s">
        <v>260</v>
      </c>
      <c r="D34" s="40" t="s">
        <v>231</v>
      </c>
      <c r="E34" s="40" t="s">
        <v>365</v>
      </c>
      <c r="F34" s="5">
        <v>903</v>
      </c>
      <c r="G34" s="6">
        <f>'Пр.4 ведом.20'!G470</f>
        <v>210</v>
      </c>
      <c r="H34" s="358">
        <f>'Пр.4 ведом.20'!H470</f>
        <v>0</v>
      </c>
      <c r="I34" s="358">
        <f t="shared" si="1"/>
        <v>0</v>
      </c>
    </row>
    <row r="35" spans="1:9" s="213" customFormat="1" ht="63" x14ac:dyDescent="0.25">
      <c r="A35" s="25" t="s">
        <v>1207</v>
      </c>
      <c r="B35" s="20" t="s">
        <v>985</v>
      </c>
      <c r="C35" s="40"/>
      <c r="D35" s="40"/>
      <c r="E35" s="40"/>
      <c r="F35" s="5"/>
      <c r="G35" s="6">
        <f>G36</f>
        <v>250</v>
      </c>
      <c r="H35" s="358">
        <f t="shared" ref="H35:H38" si="5">H36</f>
        <v>114</v>
      </c>
      <c r="I35" s="358">
        <f t="shared" si="1"/>
        <v>45.6</v>
      </c>
    </row>
    <row r="36" spans="1:9" s="213" customFormat="1" ht="15.75" x14ac:dyDescent="0.25">
      <c r="A36" s="80" t="s">
        <v>259</v>
      </c>
      <c r="B36" s="20" t="s">
        <v>985</v>
      </c>
      <c r="C36" s="40" t="s">
        <v>260</v>
      </c>
      <c r="D36" s="40"/>
      <c r="E36" s="40"/>
      <c r="F36" s="5"/>
      <c r="G36" s="6">
        <f>G37</f>
        <v>250</v>
      </c>
      <c r="H36" s="358">
        <f t="shared" si="5"/>
        <v>114</v>
      </c>
      <c r="I36" s="358">
        <f t="shared" si="1"/>
        <v>45.6</v>
      </c>
    </row>
    <row r="37" spans="1:9" ht="31.5" x14ac:dyDescent="0.25">
      <c r="A37" s="29" t="s">
        <v>268</v>
      </c>
      <c r="B37" s="20" t="s">
        <v>985</v>
      </c>
      <c r="C37" s="40" t="s">
        <v>260</v>
      </c>
      <c r="D37" s="40" t="s">
        <v>231</v>
      </c>
      <c r="E37" s="40"/>
      <c r="F37" s="5">
        <v>903</v>
      </c>
      <c r="G37" s="6">
        <f>G38</f>
        <v>250</v>
      </c>
      <c r="H37" s="358">
        <f t="shared" si="5"/>
        <v>114</v>
      </c>
      <c r="I37" s="358">
        <f t="shared" si="1"/>
        <v>45.6</v>
      </c>
    </row>
    <row r="38" spans="1:9" ht="31.5" x14ac:dyDescent="0.25">
      <c r="A38" s="29" t="s">
        <v>264</v>
      </c>
      <c r="B38" s="20" t="s">
        <v>985</v>
      </c>
      <c r="C38" s="40" t="s">
        <v>260</v>
      </c>
      <c r="D38" s="40" t="s">
        <v>231</v>
      </c>
      <c r="E38" s="40" t="s">
        <v>265</v>
      </c>
      <c r="F38" s="5">
        <v>903</v>
      </c>
      <c r="G38" s="6">
        <f>G39</f>
        <v>250</v>
      </c>
      <c r="H38" s="358">
        <f t="shared" si="5"/>
        <v>114</v>
      </c>
      <c r="I38" s="358">
        <f t="shared" si="1"/>
        <v>45.6</v>
      </c>
    </row>
    <row r="39" spans="1:9" ht="47.25" x14ac:dyDescent="0.25">
      <c r="A39" s="29" t="s">
        <v>364</v>
      </c>
      <c r="B39" s="20" t="s">
        <v>985</v>
      </c>
      <c r="C39" s="40" t="s">
        <v>260</v>
      </c>
      <c r="D39" s="40" t="s">
        <v>231</v>
      </c>
      <c r="E39" s="40" t="s">
        <v>365</v>
      </c>
      <c r="F39" s="5">
        <v>903</v>
      </c>
      <c r="G39" s="6">
        <f>'Пр.4 ведом.20'!G475</f>
        <v>250</v>
      </c>
      <c r="H39" s="358">
        <f>'Пр.4 ведом.20'!H475</f>
        <v>114</v>
      </c>
      <c r="I39" s="358">
        <f t="shared" si="1"/>
        <v>45.6</v>
      </c>
    </row>
    <row r="40" spans="1:9" s="213" customFormat="1" ht="78.75" x14ac:dyDescent="0.25">
      <c r="A40" s="45" t="s">
        <v>675</v>
      </c>
      <c r="B40" s="20" t="s">
        <v>985</v>
      </c>
      <c r="C40" s="40" t="s">
        <v>260</v>
      </c>
      <c r="D40" s="40" t="s">
        <v>231</v>
      </c>
      <c r="E40" s="40" t="s">
        <v>365</v>
      </c>
      <c r="F40" s="5">
        <v>903</v>
      </c>
      <c r="G40" s="6">
        <f>'Пр.4 ведом.20'!G475</f>
        <v>250</v>
      </c>
      <c r="H40" s="358">
        <f>'Пр.4 ведом.20'!H475</f>
        <v>114</v>
      </c>
      <c r="I40" s="358">
        <f t="shared" si="1"/>
        <v>45.6</v>
      </c>
    </row>
    <row r="41" spans="1:9" ht="15.75" x14ac:dyDescent="0.25">
      <c r="A41" s="41" t="s">
        <v>674</v>
      </c>
      <c r="B41" s="253"/>
      <c r="C41" s="253"/>
      <c r="D41" s="253"/>
      <c r="E41" s="253"/>
      <c r="F41" s="41"/>
      <c r="G41" s="59">
        <f>G11+G17+G23+G29+G35</f>
        <v>1535</v>
      </c>
      <c r="H41" s="340">
        <f t="shared" ref="H41" si="6">H11+H17+H23+H29+H35</f>
        <v>677.45</v>
      </c>
      <c r="I41" s="4">
        <f t="shared" si="1"/>
        <v>44.133550488599347</v>
      </c>
    </row>
  </sheetData>
  <mergeCells count="2">
    <mergeCell ref="A1:C2"/>
    <mergeCell ref="A7:I8"/>
  </mergeCells>
  <pageMargins left="0.23622047244094491" right="0.23622047244094491" top="0.74803149606299213" bottom="0.74803149606299213" header="0.31496062992125984" footer="0.31496062992125984"/>
  <pageSetup paperSize="9" scale="7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5" workbookViewId="0">
      <selection activeCell="G9" sqref="G9:H39"/>
    </sheetView>
  </sheetViews>
  <sheetFormatPr defaultRowHeight="15" x14ac:dyDescent="0.25"/>
  <cols>
    <col min="1" max="1" width="40.7109375" customWidth="1"/>
    <col min="2" max="2" width="16.85546875" customWidth="1"/>
    <col min="3" max="3" width="7.28515625" customWidth="1"/>
    <col min="4" max="4" width="7.7109375" customWidth="1"/>
    <col min="6" max="6" width="8.28515625" customWidth="1"/>
    <col min="7" max="7" width="10.7109375" customWidth="1"/>
    <col min="8" max="8" width="11" customWidth="1"/>
  </cols>
  <sheetData>
    <row r="1" spans="1:9" ht="15.75" x14ac:dyDescent="0.25">
      <c r="A1" s="409"/>
      <c r="B1" s="409"/>
      <c r="C1" s="409"/>
      <c r="D1" s="62"/>
      <c r="E1" s="62"/>
      <c r="F1" s="214"/>
      <c r="G1" s="214"/>
      <c r="H1" s="242" t="s">
        <v>1282</v>
      </c>
      <c r="I1" s="214"/>
    </row>
    <row r="2" spans="1:9" ht="15.75" x14ac:dyDescent="0.25">
      <c r="A2" s="409"/>
      <c r="B2" s="409"/>
      <c r="C2" s="409"/>
      <c r="D2" s="62"/>
      <c r="E2" s="62"/>
      <c r="F2" s="214"/>
      <c r="G2" s="214"/>
      <c r="H2" s="242" t="s">
        <v>1</v>
      </c>
      <c r="I2" s="214"/>
    </row>
    <row r="3" spans="1:9" ht="15.75" x14ac:dyDescent="0.25">
      <c r="A3" s="62"/>
      <c r="B3" s="62"/>
      <c r="C3" s="62"/>
      <c r="D3" s="62"/>
      <c r="E3" s="62"/>
      <c r="F3" s="62"/>
      <c r="G3" s="62"/>
      <c r="H3" s="130" t="s">
        <v>1466</v>
      </c>
      <c r="I3" s="214"/>
    </row>
    <row r="4" spans="1:9" s="213" customFormat="1" ht="15.75" x14ac:dyDescent="0.25">
      <c r="A4" s="62"/>
      <c r="B4" s="62"/>
      <c r="C4" s="62"/>
      <c r="D4" s="62"/>
      <c r="E4" s="62"/>
      <c r="F4" s="62"/>
      <c r="G4" s="62"/>
      <c r="H4" s="130"/>
      <c r="I4" s="214"/>
    </row>
    <row r="5" spans="1:9" ht="39.200000000000003" customHeight="1" x14ac:dyDescent="0.25">
      <c r="A5" s="404" t="s">
        <v>1354</v>
      </c>
      <c r="B5" s="404"/>
      <c r="C5" s="404"/>
      <c r="D5" s="404"/>
      <c r="E5" s="404"/>
      <c r="F5" s="404"/>
      <c r="G5" s="404"/>
      <c r="H5" s="404"/>
      <c r="I5" s="214"/>
    </row>
    <row r="6" spans="1:9" ht="16.5" x14ac:dyDescent="0.25">
      <c r="A6" s="252"/>
      <c r="B6" s="252"/>
      <c r="C6" s="252"/>
      <c r="D6" s="252"/>
      <c r="E6" s="252"/>
      <c r="F6" s="252"/>
      <c r="G6" s="252"/>
      <c r="H6" s="214"/>
      <c r="I6" s="214"/>
    </row>
    <row r="7" spans="1:9" ht="15.75" x14ac:dyDescent="0.25">
      <c r="A7" s="62"/>
      <c r="B7" s="62"/>
      <c r="C7" s="62"/>
      <c r="D7" s="62"/>
      <c r="E7" s="62"/>
      <c r="F7" s="64"/>
      <c r="G7" s="214"/>
      <c r="H7" s="65" t="s">
        <v>2</v>
      </c>
      <c r="I7" s="214"/>
    </row>
    <row r="8" spans="1:9" ht="47.25" x14ac:dyDescent="0.25">
      <c r="A8" s="66" t="s">
        <v>609</v>
      </c>
      <c r="B8" s="66" t="s">
        <v>1294</v>
      </c>
      <c r="C8" s="66" t="s">
        <v>1292</v>
      </c>
      <c r="D8" s="66" t="s">
        <v>129</v>
      </c>
      <c r="E8" s="66" t="s">
        <v>1293</v>
      </c>
      <c r="F8" s="66" t="s">
        <v>127</v>
      </c>
      <c r="G8" s="66" t="s">
        <v>1193</v>
      </c>
      <c r="H8" s="66" t="s">
        <v>1194</v>
      </c>
      <c r="I8" s="214"/>
    </row>
    <row r="9" spans="1:9" ht="68.25" customHeight="1" x14ac:dyDescent="0.25">
      <c r="A9" s="245" t="s">
        <v>1201</v>
      </c>
      <c r="B9" s="20" t="s">
        <v>1222</v>
      </c>
      <c r="C9" s="40"/>
      <c r="D9" s="40"/>
      <c r="E9" s="40"/>
      <c r="F9" s="5"/>
      <c r="G9" s="6">
        <f t="shared" ref="G9:H13" si="0">G10</f>
        <v>25</v>
      </c>
      <c r="H9" s="6">
        <f t="shared" si="0"/>
        <v>25</v>
      </c>
      <c r="I9" s="214"/>
    </row>
    <row r="10" spans="1:9" ht="15.75" x14ac:dyDescent="0.25">
      <c r="A10" s="45" t="s">
        <v>279</v>
      </c>
      <c r="B10" s="20" t="s">
        <v>1222</v>
      </c>
      <c r="C10" s="40" t="s">
        <v>280</v>
      </c>
      <c r="D10" s="40"/>
      <c r="E10" s="206"/>
      <c r="F10" s="5"/>
      <c r="G10" s="6">
        <f t="shared" si="0"/>
        <v>25</v>
      </c>
      <c r="H10" s="6">
        <f t="shared" si="0"/>
        <v>25</v>
      </c>
      <c r="I10" s="214"/>
    </row>
    <row r="11" spans="1:9" ht="31.5" x14ac:dyDescent="0.25">
      <c r="A11" s="45" t="s">
        <v>482</v>
      </c>
      <c r="B11" s="20" t="s">
        <v>1222</v>
      </c>
      <c r="C11" s="40" t="s">
        <v>280</v>
      </c>
      <c r="D11" s="40" t="s">
        <v>280</v>
      </c>
      <c r="E11" s="206"/>
      <c r="F11" s="5"/>
      <c r="G11" s="6">
        <f t="shared" si="0"/>
        <v>25</v>
      </c>
      <c r="H11" s="6">
        <f t="shared" si="0"/>
        <v>25</v>
      </c>
      <c r="I11" s="214"/>
    </row>
    <row r="12" spans="1:9" ht="31.5" x14ac:dyDescent="0.25">
      <c r="A12" s="29" t="s">
        <v>264</v>
      </c>
      <c r="B12" s="20" t="s">
        <v>1222</v>
      </c>
      <c r="C12" s="40" t="s">
        <v>280</v>
      </c>
      <c r="D12" s="40" t="s">
        <v>280</v>
      </c>
      <c r="E12" s="40" t="s">
        <v>265</v>
      </c>
      <c r="F12" s="5"/>
      <c r="G12" s="6">
        <f t="shared" si="0"/>
        <v>25</v>
      </c>
      <c r="H12" s="6">
        <f t="shared" si="0"/>
        <v>25</v>
      </c>
      <c r="I12" s="214"/>
    </row>
    <row r="13" spans="1:9" ht="31.5" x14ac:dyDescent="0.25">
      <c r="A13" s="29" t="s">
        <v>364</v>
      </c>
      <c r="B13" s="20" t="s">
        <v>1222</v>
      </c>
      <c r="C13" s="40" t="s">
        <v>280</v>
      </c>
      <c r="D13" s="40" t="s">
        <v>280</v>
      </c>
      <c r="E13" s="40" t="s">
        <v>365</v>
      </c>
      <c r="F13" s="5"/>
      <c r="G13" s="6">
        <f t="shared" si="0"/>
        <v>25</v>
      </c>
      <c r="H13" s="6">
        <f t="shared" si="0"/>
        <v>25</v>
      </c>
      <c r="I13" s="214"/>
    </row>
    <row r="14" spans="1:9" ht="47.25" x14ac:dyDescent="0.25">
      <c r="A14" s="45" t="s">
        <v>675</v>
      </c>
      <c r="B14" s="20" t="s">
        <v>1222</v>
      </c>
      <c r="C14" s="40" t="s">
        <v>280</v>
      </c>
      <c r="D14" s="40" t="s">
        <v>280</v>
      </c>
      <c r="E14" s="40" t="s">
        <v>365</v>
      </c>
      <c r="F14" s="5">
        <v>903</v>
      </c>
      <c r="G14" s="6">
        <f>'пр.5.1.ведом.21-22'!G340</f>
        <v>25</v>
      </c>
      <c r="H14" s="6">
        <f>'пр.5.1.ведом.21-22'!H340</f>
        <v>25</v>
      </c>
      <c r="I14" s="214"/>
    </row>
    <row r="15" spans="1:9" ht="31.5" x14ac:dyDescent="0.25">
      <c r="A15" s="25" t="s">
        <v>1203</v>
      </c>
      <c r="B15" s="20" t="s">
        <v>979</v>
      </c>
      <c r="C15" s="40"/>
      <c r="D15" s="40"/>
      <c r="E15" s="40"/>
      <c r="F15" s="5"/>
      <c r="G15" s="6">
        <f t="shared" ref="G15:H19" si="1">G16</f>
        <v>420</v>
      </c>
      <c r="H15" s="6">
        <f t="shared" si="1"/>
        <v>420</v>
      </c>
      <c r="I15" s="214"/>
    </row>
    <row r="16" spans="1:9" ht="15.75" x14ac:dyDescent="0.25">
      <c r="A16" s="25" t="s">
        <v>1281</v>
      </c>
      <c r="B16" s="20" t="s">
        <v>979</v>
      </c>
      <c r="C16" s="40" t="s">
        <v>260</v>
      </c>
      <c r="D16" s="40"/>
      <c r="E16" s="40"/>
      <c r="F16" s="5"/>
      <c r="G16" s="6">
        <f t="shared" si="1"/>
        <v>420</v>
      </c>
      <c r="H16" s="6">
        <f t="shared" si="1"/>
        <v>420</v>
      </c>
      <c r="I16" s="214"/>
    </row>
    <row r="17" spans="1:9" ht="15.75" x14ac:dyDescent="0.25">
      <c r="A17" s="29" t="s">
        <v>268</v>
      </c>
      <c r="B17" s="20" t="s">
        <v>979</v>
      </c>
      <c r="C17" s="40" t="s">
        <v>260</v>
      </c>
      <c r="D17" s="40" t="s">
        <v>231</v>
      </c>
      <c r="E17" s="40"/>
      <c r="F17" s="5"/>
      <c r="G17" s="6">
        <f t="shared" si="1"/>
        <v>420</v>
      </c>
      <c r="H17" s="6">
        <f t="shared" si="1"/>
        <v>420</v>
      </c>
      <c r="I17" s="214"/>
    </row>
    <row r="18" spans="1:9" ht="31.5" x14ac:dyDescent="0.25">
      <c r="A18" s="25" t="s">
        <v>264</v>
      </c>
      <c r="B18" s="20" t="s">
        <v>979</v>
      </c>
      <c r="C18" s="40" t="s">
        <v>260</v>
      </c>
      <c r="D18" s="40" t="s">
        <v>231</v>
      </c>
      <c r="E18" s="40" t="s">
        <v>265</v>
      </c>
      <c r="F18" s="5"/>
      <c r="G18" s="6">
        <f t="shared" si="1"/>
        <v>420</v>
      </c>
      <c r="H18" s="6">
        <f t="shared" si="1"/>
        <v>420</v>
      </c>
      <c r="I18" s="214"/>
    </row>
    <row r="19" spans="1:9" ht="31.5" x14ac:dyDescent="0.25">
      <c r="A19" s="25" t="s">
        <v>364</v>
      </c>
      <c r="B19" s="20" t="s">
        <v>979</v>
      </c>
      <c r="C19" s="40" t="s">
        <v>260</v>
      </c>
      <c r="D19" s="40" t="s">
        <v>231</v>
      </c>
      <c r="E19" s="40" t="s">
        <v>365</v>
      </c>
      <c r="F19" s="5"/>
      <c r="G19" s="6">
        <f t="shared" si="1"/>
        <v>420</v>
      </c>
      <c r="H19" s="6">
        <f t="shared" si="1"/>
        <v>420</v>
      </c>
      <c r="I19" s="214"/>
    </row>
    <row r="20" spans="1:9" ht="47.25" x14ac:dyDescent="0.25">
      <c r="A20" s="45" t="s">
        <v>675</v>
      </c>
      <c r="B20" s="20" t="s">
        <v>979</v>
      </c>
      <c r="C20" s="40" t="s">
        <v>260</v>
      </c>
      <c r="D20" s="40" t="s">
        <v>231</v>
      </c>
      <c r="E20" s="40" t="s">
        <v>365</v>
      </c>
      <c r="F20" s="5">
        <v>903</v>
      </c>
      <c r="G20" s="6">
        <f>'пр.5.1.ведом.21-22'!G456</f>
        <v>420</v>
      </c>
      <c r="H20" s="6">
        <f>'пр.5.1.ведом.21-22'!H456</f>
        <v>420</v>
      </c>
      <c r="I20" s="214"/>
    </row>
    <row r="21" spans="1:9" ht="63" x14ac:dyDescent="0.25">
      <c r="A21" s="99" t="s">
        <v>1206</v>
      </c>
      <c r="B21" s="20" t="s">
        <v>982</v>
      </c>
      <c r="C21" s="40"/>
      <c r="D21" s="40"/>
      <c r="E21" s="40"/>
      <c r="F21" s="5"/>
      <c r="G21" s="6">
        <f t="shared" ref="G21:H25" si="2">G22</f>
        <v>630</v>
      </c>
      <c r="H21" s="6">
        <f t="shared" si="2"/>
        <v>630</v>
      </c>
      <c r="I21" s="214"/>
    </row>
    <row r="22" spans="1:9" ht="15.75" x14ac:dyDescent="0.25">
      <c r="A22" s="80" t="s">
        <v>259</v>
      </c>
      <c r="B22" s="20" t="s">
        <v>982</v>
      </c>
      <c r="C22" s="9" t="s">
        <v>260</v>
      </c>
      <c r="D22" s="9"/>
      <c r="E22" s="9"/>
      <c r="F22" s="9"/>
      <c r="G22" s="10">
        <f t="shared" si="2"/>
        <v>630</v>
      </c>
      <c r="H22" s="10">
        <f t="shared" si="2"/>
        <v>630</v>
      </c>
      <c r="I22" s="214"/>
    </row>
    <row r="23" spans="1:9" ht="15.75" x14ac:dyDescent="0.25">
      <c r="A23" s="29" t="s">
        <v>268</v>
      </c>
      <c r="B23" s="20" t="s">
        <v>982</v>
      </c>
      <c r="C23" s="40" t="s">
        <v>260</v>
      </c>
      <c r="D23" s="40" t="s">
        <v>231</v>
      </c>
      <c r="E23" s="40"/>
      <c r="F23" s="5"/>
      <c r="G23" s="6">
        <f t="shared" si="2"/>
        <v>630</v>
      </c>
      <c r="H23" s="6">
        <f t="shared" si="2"/>
        <v>630</v>
      </c>
      <c r="I23" s="214"/>
    </row>
    <row r="24" spans="1:9" ht="31.5" x14ac:dyDescent="0.25">
      <c r="A24" s="29" t="s">
        <v>264</v>
      </c>
      <c r="B24" s="20" t="s">
        <v>982</v>
      </c>
      <c r="C24" s="40" t="s">
        <v>260</v>
      </c>
      <c r="D24" s="40" t="s">
        <v>231</v>
      </c>
      <c r="E24" s="40" t="s">
        <v>265</v>
      </c>
      <c r="F24" s="5"/>
      <c r="G24" s="6">
        <f t="shared" si="2"/>
        <v>630</v>
      </c>
      <c r="H24" s="6">
        <f t="shared" si="2"/>
        <v>630</v>
      </c>
      <c r="I24" s="214"/>
    </row>
    <row r="25" spans="1:9" ht="31.5" x14ac:dyDescent="0.25">
      <c r="A25" s="29" t="s">
        <v>364</v>
      </c>
      <c r="B25" s="20" t="s">
        <v>982</v>
      </c>
      <c r="C25" s="40" t="s">
        <v>260</v>
      </c>
      <c r="D25" s="40" t="s">
        <v>231</v>
      </c>
      <c r="E25" s="81" t="s">
        <v>365</v>
      </c>
      <c r="F25" s="5"/>
      <c r="G25" s="6">
        <f t="shared" si="2"/>
        <v>630</v>
      </c>
      <c r="H25" s="6">
        <f t="shared" si="2"/>
        <v>630</v>
      </c>
      <c r="I25" s="214"/>
    </row>
    <row r="26" spans="1:9" ht="47.25" x14ac:dyDescent="0.25">
      <c r="A26" s="45" t="s">
        <v>675</v>
      </c>
      <c r="B26" s="20" t="s">
        <v>982</v>
      </c>
      <c r="C26" s="40" t="s">
        <v>260</v>
      </c>
      <c r="D26" s="40" t="s">
        <v>231</v>
      </c>
      <c r="E26" s="81" t="s">
        <v>365</v>
      </c>
      <c r="F26" s="5">
        <v>903</v>
      </c>
      <c r="G26" s="6">
        <f>'пр.5.1.ведом.21-22'!G461</f>
        <v>630</v>
      </c>
      <c r="H26" s="6">
        <f>'пр.5.1.ведом.21-22'!H461</f>
        <v>630</v>
      </c>
      <c r="I26" s="214"/>
    </row>
    <row r="27" spans="1:9" ht="31.5" x14ac:dyDescent="0.25">
      <c r="A27" s="25" t="s">
        <v>1149</v>
      </c>
      <c r="B27" s="20" t="s">
        <v>984</v>
      </c>
      <c r="C27" s="40"/>
      <c r="D27" s="40"/>
      <c r="E27" s="40"/>
      <c r="F27" s="5"/>
      <c r="G27" s="6">
        <f t="shared" ref="G27:H31" si="3">G28</f>
        <v>210</v>
      </c>
      <c r="H27" s="6">
        <f t="shared" si="3"/>
        <v>210</v>
      </c>
      <c r="I27" s="214"/>
    </row>
    <row r="28" spans="1:9" ht="15.75" x14ac:dyDescent="0.25">
      <c r="A28" s="80" t="s">
        <v>259</v>
      </c>
      <c r="B28" s="20" t="s">
        <v>984</v>
      </c>
      <c r="C28" s="40" t="s">
        <v>260</v>
      </c>
      <c r="D28" s="40"/>
      <c r="E28" s="40"/>
      <c r="F28" s="5"/>
      <c r="G28" s="6">
        <f t="shared" si="3"/>
        <v>210</v>
      </c>
      <c r="H28" s="6">
        <f t="shared" si="3"/>
        <v>210</v>
      </c>
      <c r="I28" s="214"/>
    </row>
    <row r="29" spans="1:9" ht="15.75" x14ac:dyDescent="0.25">
      <c r="A29" s="29" t="s">
        <v>268</v>
      </c>
      <c r="B29" s="20" t="s">
        <v>984</v>
      </c>
      <c r="C29" s="40" t="s">
        <v>260</v>
      </c>
      <c r="D29" s="40" t="s">
        <v>231</v>
      </c>
      <c r="E29" s="40"/>
      <c r="F29" s="5"/>
      <c r="G29" s="6">
        <f t="shared" si="3"/>
        <v>210</v>
      </c>
      <c r="H29" s="6">
        <f t="shared" si="3"/>
        <v>210</v>
      </c>
      <c r="I29" s="214"/>
    </row>
    <row r="30" spans="1:9" ht="31.5" x14ac:dyDescent="0.25">
      <c r="A30" s="29" t="s">
        <v>264</v>
      </c>
      <c r="B30" s="20" t="s">
        <v>984</v>
      </c>
      <c r="C30" s="40" t="s">
        <v>260</v>
      </c>
      <c r="D30" s="40" t="s">
        <v>231</v>
      </c>
      <c r="E30" s="40" t="s">
        <v>265</v>
      </c>
      <c r="F30" s="5"/>
      <c r="G30" s="6">
        <f t="shared" si="3"/>
        <v>210</v>
      </c>
      <c r="H30" s="6">
        <f t="shared" si="3"/>
        <v>210</v>
      </c>
      <c r="I30" s="214"/>
    </row>
    <row r="31" spans="1:9" ht="31.5" x14ac:dyDescent="0.25">
      <c r="A31" s="29" t="s">
        <v>364</v>
      </c>
      <c r="B31" s="20" t="s">
        <v>984</v>
      </c>
      <c r="C31" s="40" t="s">
        <v>260</v>
      </c>
      <c r="D31" s="40" t="s">
        <v>231</v>
      </c>
      <c r="E31" s="40" t="s">
        <v>365</v>
      </c>
      <c r="F31" s="5"/>
      <c r="G31" s="6">
        <f t="shared" si="3"/>
        <v>210</v>
      </c>
      <c r="H31" s="6">
        <f t="shared" si="3"/>
        <v>210</v>
      </c>
      <c r="I31" s="214"/>
    </row>
    <row r="32" spans="1:9" ht="47.25" x14ac:dyDescent="0.25">
      <c r="A32" s="45" t="s">
        <v>675</v>
      </c>
      <c r="B32" s="20" t="s">
        <v>984</v>
      </c>
      <c r="C32" s="40" t="s">
        <v>260</v>
      </c>
      <c r="D32" s="40" t="s">
        <v>231</v>
      </c>
      <c r="E32" s="40" t="s">
        <v>365</v>
      </c>
      <c r="F32" s="5">
        <v>903</v>
      </c>
      <c r="G32" s="6">
        <f>'пр.5.1.ведом.21-22'!G467</f>
        <v>210</v>
      </c>
      <c r="H32" s="6">
        <f>'пр.5.1.ведом.21-22'!H467</f>
        <v>210</v>
      </c>
      <c r="I32" s="214"/>
    </row>
    <row r="33" spans="1:9" ht="63" x14ac:dyDescent="0.25">
      <c r="A33" s="25" t="s">
        <v>1207</v>
      </c>
      <c r="B33" s="20" t="s">
        <v>985</v>
      </c>
      <c r="C33" s="40"/>
      <c r="D33" s="40"/>
      <c r="E33" s="40"/>
      <c r="F33" s="5"/>
      <c r="G33" s="6">
        <f t="shared" ref="G33:H36" si="4">G34</f>
        <v>114</v>
      </c>
      <c r="H33" s="6">
        <f t="shared" si="4"/>
        <v>45.6</v>
      </c>
      <c r="I33" s="214"/>
    </row>
    <row r="34" spans="1:9" ht="15.75" x14ac:dyDescent="0.25">
      <c r="A34" s="80" t="s">
        <v>259</v>
      </c>
      <c r="B34" s="20" t="s">
        <v>985</v>
      </c>
      <c r="C34" s="40" t="s">
        <v>260</v>
      </c>
      <c r="D34" s="40"/>
      <c r="E34" s="40"/>
      <c r="F34" s="5"/>
      <c r="G34" s="6">
        <f t="shared" si="4"/>
        <v>114</v>
      </c>
      <c r="H34" s="6">
        <f t="shared" si="4"/>
        <v>45.6</v>
      </c>
      <c r="I34" s="214"/>
    </row>
    <row r="35" spans="1:9" ht="15.75" x14ac:dyDescent="0.25">
      <c r="A35" s="29" t="s">
        <v>268</v>
      </c>
      <c r="B35" s="20" t="s">
        <v>985</v>
      </c>
      <c r="C35" s="40" t="s">
        <v>260</v>
      </c>
      <c r="D35" s="40" t="s">
        <v>231</v>
      </c>
      <c r="E35" s="40"/>
      <c r="F35" s="5">
        <v>903</v>
      </c>
      <c r="G35" s="6">
        <f t="shared" si="4"/>
        <v>114</v>
      </c>
      <c r="H35" s="6">
        <f t="shared" si="4"/>
        <v>45.6</v>
      </c>
      <c r="I35" s="214"/>
    </row>
    <row r="36" spans="1:9" ht="31.5" x14ac:dyDescent="0.25">
      <c r="A36" s="29" t="s">
        <v>264</v>
      </c>
      <c r="B36" s="20" t="s">
        <v>985</v>
      </c>
      <c r="C36" s="40" t="s">
        <v>260</v>
      </c>
      <c r="D36" s="40" t="s">
        <v>231</v>
      </c>
      <c r="E36" s="40" t="s">
        <v>265</v>
      </c>
      <c r="F36" s="5">
        <v>903</v>
      </c>
      <c r="G36" s="6">
        <f t="shared" si="4"/>
        <v>114</v>
      </c>
      <c r="H36" s="6">
        <f t="shared" si="4"/>
        <v>45.6</v>
      </c>
      <c r="I36" s="214"/>
    </row>
    <row r="37" spans="1:9" ht="31.5" x14ac:dyDescent="0.25">
      <c r="A37" s="29" t="s">
        <v>364</v>
      </c>
      <c r="B37" s="20" t="s">
        <v>985</v>
      </c>
      <c r="C37" s="40" t="s">
        <v>260</v>
      </c>
      <c r="D37" s="40" t="s">
        <v>231</v>
      </c>
      <c r="E37" s="40" t="s">
        <v>365</v>
      </c>
      <c r="F37" s="5">
        <v>903</v>
      </c>
      <c r="G37" s="6">
        <f>'Пр.4 ведом.20'!H475</f>
        <v>114</v>
      </c>
      <c r="H37" s="6">
        <f>'Пр.4 ведом.20'!I475</f>
        <v>45.6</v>
      </c>
      <c r="I37" s="214"/>
    </row>
    <row r="38" spans="1:9" ht="47.25" x14ac:dyDescent="0.25">
      <c r="A38" s="45" t="s">
        <v>675</v>
      </c>
      <c r="B38" s="20" t="s">
        <v>985</v>
      </c>
      <c r="C38" s="40" t="s">
        <v>260</v>
      </c>
      <c r="D38" s="40" t="s">
        <v>231</v>
      </c>
      <c r="E38" s="40" t="s">
        <v>365</v>
      </c>
      <c r="F38" s="5">
        <v>903</v>
      </c>
      <c r="G38" s="6">
        <f>'пр.5.1.ведом.21-22'!G472</f>
        <v>250</v>
      </c>
      <c r="H38" s="6">
        <f>'пр.5.1.ведом.21-22'!H472</f>
        <v>250</v>
      </c>
      <c r="I38" s="214"/>
    </row>
    <row r="39" spans="1:9" ht="15.75" x14ac:dyDescent="0.25">
      <c r="A39" s="41" t="s">
        <v>674</v>
      </c>
      <c r="B39" s="253"/>
      <c r="C39" s="253"/>
      <c r="D39" s="253"/>
      <c r="E39" s="253"/>
      <c r="F39" s="41"/>
      <c r="G39" s="59">
        <f>G9+G15+G21+G27+G33</f>
        <v>1399</v>
      </c>
      <c r="H39" s="59">
        <f>H9+H15+H21+H27+H33</f>
        <v>1330.6</v>
      </c>
      <c r="I39" s="214"/>
    </row>
  </sheetData>
  <mergeCells count="2">
    <mergeCell ref="A1:C2"/>
    <mergeCell ref="A5:H5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zoomScale="93" zoomScaleNormal="100" zoomScaleSheetLayoutView="93" workbookViewId="0">
      <selection activeCell="B26" sqref="B26"/>
    </sheetView>
  </sheetViews>
  <sheetFormatPr defaultRowHeight="15" x14ac:dyDescent="0.25"/>
  <cols>
    <col min="1" max="1" width="34" customWidth="1"/>
    <col min="2" max="2" width="51.7109375" customWidth="1"/>
    <col min="3" max="3" width="16.140625" customWidth="1"/>
    <col min="4" max="4" width="13.42578125" style="357" customWidth="1"/>
    <col min="5" max="5" width="12.42578125" style="357" customWidth="1"/>
  </cols>
  <sheetData>
    <row r="1" spans="1:5" ht="15.75" x14ac:dyDescent="0.25">
      <c r="A1" s="12"/>
      <c r="C1" s="211"/>
      <c r="D1" s="374" t="s">
        <v>1542</v>
      </c>
      <c r="E1" s="211"/>
    </row>
    <row r="2" spans="1:5" ht="15.75" x14ac:dyDescent="0.25">
      <c r="A2" s="12"/>
      <c r="B2" s="12"/>
      <c r="C2" s="211"/>
      <c r="D2" s="374" t="s">
        <v>1585</v>
      </c>
      <c r="E2" s="211"/>
    </row>
    <row r="3" spans="1:5" ht="15.75" x14ac:dyDescent="0.25">
      <c r="A3" s="12"/>
      <c r="B3" s="12"/>
      <c r="C3" s="352"/>
      <c r="D3" s="375" t="s">
        <v>1586</v>
      </c>
      <c r="E3" s="352"/>
    </row>
    <row r="4" spans="1:5" s="324" customFormat="1" ht="15.75" x14ac:dyDescent="0.25">
      <c r="A4" s="12"/>
      <c r="B4" s="12"/>
      <c r="C4" s="352"/>
      <c r="D4" s="375" t="s">
        <v>1587</v>
      </c>
      <c r="E4" s="352"/>
    </row>
    <row r="5" spans="1:5" ht="16.5" x14ac:dyDescent="0.25">
      <c r="A5" s="410"/>
      <c r="B5" s="410"/>
      <c r="C5" s="410"/>
      <c r="D5" s="375" t="s">
        <v>1626</v>
      </c>
      <c r="E5"/>
    </row>
    <row r="6" spans="1:5" ht="16.5" x14ac:dyDescent="0.25">
      <c r="A6" s="410"/>
      <c r="B6" s="410"/>
      <c r="C6" s="410"/>
      <c r="D6"/>
      <c r="E6"/>
    </row>
    <row r="7" spans="1:5" s="357" customFormat="1" ht="16.5" x14ac:dyDescent="0.25">
      <c r="A7" s="410" t="s">
        <v>1596</v>
      </c>
      <c r="B7" s="410"/>
      <c r="C7" s="410"/>
      <c r="D7" s="410"/>
      <c r="E7" s="410"/>
    </row>
    <row r="8" spans="1:5" ht="16.5" x14ac:dyDescent="0.25">
      <c r="A8" s="410" t="s">
        <v>1597</v>
      </c>
      <c r="B8" s="410"/>
      <c r="C8" s="410"/>
      <c r="D8" s="410"/>
      <c r="E8" s="410"/>
    </row>
    <row r="9" spans="1:5" ht="15.75" x14ac:dyDescent="0.25">
      <c r="A9" s="12"/>
      <c r="B9" s="12"/>
      <c r="C9" s="83"/>
      <c r="D9" s="83"/>
      <c r="E9" s="83"/>
    </row>
    <row r="10" spans="1:5" ht="69.75" customHeight="1" x14ac:dyDescent="0.25">
      <c r="A10" s="79" t="s">
        <v>677</v>
      </c>
      <c r="B10" s="79" t="s">
        <v>678</v>
      </c>
      <c r="C10" s="180" t="s">
        <v>1584</v>
      </c>
      <c r="D10" s="180" t="s">
        <v>1582</v>
      </c>
      <c r="E10" s="180" t="s">
        <v>1583</v>
      </c>
    </row>
    <row r="11" spans="1:5" ht="33" x14ac:dyDescent="0.25">
      <c r="A11" s="84" t="s">
        <v>679</v>
      </c>
      <c r="B11" s="85" t="s">
        <v>680</v>
      </c>
      <c r="C11" s="308">
        <f>C12-C14</f>
        <v>24627.898970000097</v>
      </c>
      <c r="D11" s="308">
        <f t="shared" ref="D11" si="0">D12-D14</f>
        <v>-6155.0824599999469</v>
      </c>
      <c r="E11" s="308"/>
    </row>
    <row r="12" spans="1:5" ht="31.5" x14ac:dyDescent="0.25">
      <c r="A12" s="86" t="s">
        <v>681</v>
      </c>
      <c r="B12" s="87" t="s">
        <v>682</v>
      </c>
      <c r="C12" s="309">
        <f>C13</f>
        <v>24627.9</v>
      </c>
      <c r="D12" s="309">
        <f t="shared" ref="D12" si="1">D13</f>
        <v>24627.9</v>
      </c>
      <c r="E12" s="309"/>
    </row>
    <row r="13" spans="1:5" ht="31.5" x14ac:dyDescent="0.25">
      <c r="A13" s="88" t="s">
        <v>683</v>
      </c>
      <c r="B13" s="89" t="s">
        <v>684</v>
      </c>
      <c r="C13" s="310">
        <v>24627.9</v>
      </c>
      <c r="D13" s="310">
        <v>24627.9</v>
      </c>
      <c r="E13" s="310"/>
    </row>
    <row r="14" spans="1:5" ht="31.5" x14ac:dyDescent="0.25">
      <c r="A14" s="86" t="s">
        <v>685</v>
      </c>
      <c r="B14" s="87" t="s">
        <v>686</v>
      </c>
      <c r="C14" s="308">
        <f>C15</f>
        <v>1.0299999048584141E-3</v>
      </c>
      <c r="D14" s="308">
        <f t="shared" ref="D14" si="2">D15</f>
        <v>30782.982459999948</v>
      </c>
      <c r="E14" s="308"/>
    </row>
    <row r="15" spans="1:5" ht="31.5" x14ac:dyDescent="0.25">
      <c r="A15" s="88" t="s">
        <v>687</v>
      </c>
      <c r="B15" s="89" t="s">
        <v>688</v>
      </c>
      <c r="C15" s="310">
        <f>C13+C24</f>
        <v>1.0299999048584141E-3</v>
      </c>
      <c r="D15" s="310">
        <f>D13+D24</f>
        <v>30782.982459999948</v>
      </c>
      <c r="E15" s="310"/>
    </row>
    <row r="16" spans="1:5" ht="16.5" x14ac:dyDescent="0.25">
      <c r="A16" s="86" t="s">
        <v>674</v>
      </c>
      <c r="B16" s="89"/>
      <c r="C16" s="311">
        <f>C13-C15</f>
        <v>24627.898970000097</v>
      </c>
      <c r="D16" s="311">
        <f>D13-D15</f>
        <v>-6155.0824599999469</v>
      </c>
      <c r="E16" s="311" t="s">
        <v>1600</v>
      </c>
    </row>
    <row r="17" spans="1:5" x14ac:dyDescent="0.25">
      <c r="D17"/>
      <c r="E17"/>
    </row>
    <row r="18" spans="1:5" s="357" customFormat="1" ht="16.5" x14ac:dyDescent="0.25">
      <c r="A18" s="411"/>
      <c r="B18" s="412"/>
      <c r="C18" s="413"/>
      <c r="D18" s="413"/>
      <c r="E18" s="413"/>
    </row>
    <row r="19" spans="1:5" s="357" customFormat="1" ht="16.5" x14ac:dyDescent="0.25">
      <c r="A19" s="411"/>
      <c r="B19" s="414" t="s">
        <v>1627</v>
      </c>
      <c r="C19" s="413"/>
      <c r="D19" s="413"/>
      <c r="E19" s="413"/>
    </row>
    <row r="22" spans="1:5" x14ac:dyDescent="0.25">
      <c r="B22" t="s">
        <v>689</v>
      </c>
      <c r="C22">
        <f>пр.1дох.20!C176</f>
        <v>741784.67200000002</v>
      </c>
      <c r="D22" s="357">
        <f>пр.1дох.20!D176</f>
        <v>502766.43205999996</v>
      </c>
      <c r="E22" s="357">
        <f>пр.1дох.20!E176</f>
        <v>67.777948377450429</v>
      </c>
    </row>
    <row r="23" spans="1:5" x14ac:dyDescent="0.25">
      <c r="B23" t="s">
        <v>690</v>
      </c>
      <c r="C23" s="22">
        <f>'пр.2 Рд,пр 20'!D51</f>
        <v>766412.57097000012</v>
      </c>
      <c r="D23" s="22">
        <f>'пр.2 Рд,пр 20'!E51</f>
        <v>496611.34960000002</v>
      </c>
      <c r="E23" s="22">
        <f>'пр.2 Рд,пр 20'!F51</f>
        <v>64.796868998569565</v>
      </c>
    </row>
    <row r="24" spans="1:5" x14ac:dyDescent="0.25">
      <c r="B24" t="s">
        <v>691</v>
      </c>
      <c r="C24" s="22">
        <f t="shared" ref="C24:E24" si="3">C22-C23</f>
        <v>-24627.898970000097</v>
      </c>
      <c r="D24" s="22">
        <f t="shared" si="3"/>
        <v>6155.0824599999469</v>
      </c>
      <c r="E24" s="22">
        <f t="shared" si="3"/>
        <v>2.9810793788808638</v>
      </c>
    </row>
  </sheetData>
  <mergeCells count="4">
    <mergeCell ref="A5:C5"/>
    <mergeCell ref="A6:C6"/>
    <mergeCell ref="A7:E7"/>
    <mergeCell ref="A8:E8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J20" sqref="J20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2"/>
      <c r="B1" s="213"/>
      <c r="D1" s="211" t="s">
        <v>1286</v>
      </c>
    </row>
    <row r="2" spans="1:4" ht="15.75" x14ac:dyDescent="0.25">
      <c r="A2" s="12"/>
      <c r="B2" s="12"/>
      <c r="D2" s="211" t="s">
        <v>1</v>
      </c>
    </row>
    <row r="3" spans="1:4" ht="15.75" x14ac:dyDescent="0.25">
      <c r="A3" s="12"/>
      <c r="B3" s="12"/>
      <c r="C3" s="213"/>
    </row>
    <row r="4" spans="1:4" ht="16.5" x14ac:dyDescent="0.25">
      <c r="A4" s="410" t="s">
        <v>676</v>
      </c>
      <c r="B4" s="410"/>
      <c r="C4" s="410"/>
      <c r="D4" s="410"/>
    </row>
    <row r="5" spans="1:4" ht="16.5" x14ac:dyDescent="0.25">
      <c r="A5" s="410" t="s">
        <v>1285</v>
      </c>
      <c r="B5" s="410"/>
      <c r="C5" s="410"/>
      <c r="D5" s="410"/>
    </row>
    <row r="6" spans="1:4" ht="15.75" x14ac:dyDescent="0.25">
      <c r="A6" s="82"/>
      <c r="B6" s="82"/>
      <c r="C6" s="213"/>
    </row>
    <row r="7" spans="1:4" ht="15.75" x14ac:dyDescent="0.25">
      <c r="A7" s="12"/>
      <c r="B7" s="12"/>
      <c r="D7" s="83" t="s">
        <v>2</v>
      </c>
    </row>
    <row r="8" spans="1:4" ht="30" x14ac:dyDescent="0.25">
      <c r="A8" s="79" t="s">
        <v>677</v>
      </c>
      <c r="B8" s="79" t="s">
        <v>678</v>
      </c>
      <c r="C8" s="180" t="s">
        <v>1193</v>
      </c>
      <c r="D8" s="180" t="s">
        <v>1194</v>
      </c>
    </row>
    <row r="9" spans="1:4" ht="44.45" customHeight="1" x14ac:dyDescent="0.25">
      <c r="A9" s="84" t="s">
        <v>679</v>
      </c>
      <c r="B9" s="85" t="s">
        <v>680</v>
      </c>
      <c r="C9" s="308">
        <f>C10-C12</f>
        <v>25696.294600000023</v>
      </c>
      <c r="D9" s="247">
        <f>C9</f>
        <v>25696.294600000023</v>
      </c>
    </row>
    <row r="10" spans="1:4" ht="33.75" customHeight="1" x14ac:dyDescent="0.25">
      <c r="A10" s="86" t="s">
        <v>681</v>
      </c>
      <c r="B10" s="87" t="s">
        <v>682</v>
      </c>
      <c r="C10" s="309">
        <f>C11</f>
        <v>25696.294600000023</v>
      </c>
      <c r="D10" s="247">
        <f t="shared" ref="D10:D14" si="0">C10</f>
        <v>25696.294600000023</v>
      </c>
    </row>
    <row r="11" spans="1:4" ht="36.75" customHeight="1" x14ac:dyDescent="0.25">
      <c r="A11" s="88" t="s">
        <v>683</v>
      </c>
      <c r="B11" s="89" t="s">
        <v>684</v>
      </c>
      <c r="C11" s="310">
        <f>C19*(-1)</f>
        <v>25696.294600000023</v>
      </c>
      <c r="D11" s="248">
        <f>D19*(-1)</f>
        <v>25696.294599999906</v>
      </c>
    </row>
    <row r="12" spans="1:4" ht="33" customHeight="1" x14ac:dyDescent="0.25">
      <c r="A12" s="86" t="s">
        <v>685</v>
      </c>
      <c r="B12" s="87" t="s">
        <v>686</v>
      </c>
      <c r="C12" s="308">
        <f>C13</f>
        <v>0</v>
      </c>
      <c r="D12" s="247">
        <f t="shared" si="0"/>
        <v>0</v>
      </c>
    </row>
    <row r="13" spans="1:4" ht="30.75" customHeight="1" x14ac:dyDescent="0.25">
      <c r="A13" s="88" t="s">
        <v>687</v>
      </c>
      <c r="B13" s="89" t="s">
        <v>688</v>
      </c>
      <c r="C13" s="310">
        <f>C11+C19</f>
        <v>0</v>
      </c>
      <c r="D13" s="248">
        <f t="shared" si="0"/>
        <v>0</v>
      </c>
    </row>
    <row r="14" spans="1:4" ht="16.5" x14ac:dyDescent="0.25">
      <c r="A14" s="86" t="s">
        <v>674</v>
      </c>
      <c r="B14" s="89"/>
      <c r="C14" s="311">
        <f>C11-C13</f>
        <v>25696.294600000023</v>
      </c>
      <c r="D14" s="247">
        <f t="shared" si="0"/>
        <v>25696.294600000023</v>
      </c>
    </row>
    <row r="15" spans="1:4" x14ac:dyDescent="0.25">
      <c r="A15" s="213"/>
      <c r="B15" s="213"/>
      <c r="C15" s="213"/>
    </row>
    <row r="16" spans="1:4" x14ac:dyDescent="0.25">
      <c r="A16" s="213"/>
      <c r="B16" s="213"/>
      <c r="C16" s="213"/>
    </row>
    <row r="17" spans="1:4" x14ac:dyDescent="0.25">
      <c r="A17" s="213"/>
      <c r="B17" s="213" t="s">
        <v>689</v>
      </c>
      <c r="C17" s="213">
        <f>'Пр.1.1. дох.21-22'!C149</f>
        <v>717267.50399999996</v>
      </c>
      <c r="D17" s="213">
        <f>'Пр.1.1. дох.21-22'!D149</f>
        <v>721014.69200000004</v>
      </c>
    </row>
    <row r="18" spans="1:4" x14ac:dyDescent="0.25">
      <c r="A18" s="213"/>
      <c r="B18" s="213" t="s">
        <v>690</v>
      </c>
      <c r="C18" s="246">
        <f>'пр.5.1.ведом.21-22'!G1105</f>
        <v>742963.79859999998</v>
      </c>
      <c r="D18" s="246">
        <f>'пр.5.1.ведом.21-22'!H1105</f>
        <v>746710.98659999995</v>
      </c>
    </row>
    <row r="19" spans="1:4" x14ac:dyDescent="0.25">
      <c r="A19" s="213"/>
      <c r="B19" s="213" t="s">
        <v>691</v>
      </c>
      <c r="C19" s="213">
        <f t="shared" ref="C19:D19" si="1">C17-C18</f>
        <v>-25696.294600000023</v>
      </c>
      <c r="D19" s="213">
        <f t="shared" si="1"/>
        <v>-25696.294599999906</v>
      </c>
    </row>
  </sheetData>
  <mergeCells count="2"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view="pageBreakPreview" topLeftCell="A70" zoomScaleNormal="100" zoomScaleSheetLayoutView="100" workbookViewId="0">
      <selection activeCell="A4" sqref="A4:D4"/>
    </sheetView>
  </sheetViews>
  <sheetFormatPr defaultRowHeight="15" x14ac:dyDescent="0.25"/>
  <cols>
    <col min="1" max="1" width="25" customWidth="1"/>
    <col min="2" max="2" width="71.7109375" style="325" customWidth="1"/>
    <col min="3" max="3" width="16" style="325" customWidth="1"/>
    <col min="4" max="4" width="17.28515625" style="325" customWidth="1"/>
    <col min="5" max="7" width="0" hidden="1" customWidth="1"/>
  </cols>
  <sheetData>
    <row r="1" spans="1:6" ht="15.75" x14ac:dyDescent="0.25">
      <c r="A1" s="129"/>
      <c r="B1" s="129"/>
      <c r="C1" s="129"/>
      <c r="D1" s="130" t="s">
        <v>1275</v>
      </c>
    </row>
    <row r="2" spans="1:6" ht="15.75" x14ac:dyDescent="0.25">
      <c r="A2" s="129"/>
      <c r="B2" s="129"/>
      <c r="C2" s="129"/>
      <c r="D2" s="130" t="s">
        <v>1</v>
      </c>
    </row>
    <row r="3" spans="1:6" ht="15.75" x14ac:dyDescent="0.25">
      <c r="A3" s="129"/>
      <c r="B3" s="131"/>
      <c r="C3" s="131"/>
      <c r="D3" s="130" t="s">
        <v>1537</v>
      </c>
    </row>
    <row r="4" spans="1:6" s="324" customFormat="1" ht="15.75" x14ac:dyDescent="0.25">
      <c r="A4" s="129"/>
      <c r="B4" s="131"/>
      <c r="C4" s="131"/>
      <c r="D4" s="130"/>
    </row>
    <row r="5" spans="1:6" ht="15.75" x14ac:dyDescent="0.25">
      <c r="A5" s="397" t="s">
        <v>1345</v>
      </c>
      <c r="B5" s="397"/>
      <c r="C5" s="397"/>
      <c r="D5" s="397"/>
    </row>
    <row r="6" spans="1:6" ht="15.75" x14ac:dyDescent="0.25">
      <c r="A6" s="397" t="s">
        <v>1346</v>
      </c>
      <c r="B6" s="397"/>
      <c r="C6" s="397"/>
      <c r="D6" s="397"/>
    </row>
    <row r="7" spans="1:6" ht="15.75" x14ac:dyDescent="0.25">
      <c r="A7" s="397" t="s">
        <v>1347</v>
      </c>
      <c r="B7" s="397"/>
      <c r="C7" s="397"/>
      <c r="D7" s="397"/>
    </row>
    <row r="8" spans="1:6" ht="15.75" x14ac:dyDescent="0.25">
      <c r="A8" s="132"/>
      <c r="B8" s="132"/>
      <c r="C8" s="183"/>
      <c r="D8" s="130" t="s">
        <v>715</v>
      </c>
    </row>
    <row r="9" spans="1:6" ht="33" customHeight="1" x14ac:dyDescent="0.25">
      <c r="A9" s="133" t="s">
        <v>3</v>
      </c>
      <c r="B9" s="134" t="s">
        <v>4</v>
      </c>
      <c r="C9" s="184" t="s">
        <v>1193</v>
      </c>
      <c r="D9" s="212" t="s">
        <v>1194</v>
      </c>
    </row>
    <row r="10" spans="1:6" ht="18.75" x14ac:dyDescent="0.25">
      <c r="A10" s="135" t="s">
        <v>6</v>
      </c>
      <c r="B10" s="136" t="s">
        <v>7</v>
      </c>
      <c r="C10" s="189">
        <f>C11+C17+C22+C32+C40+C43+C49+C55+C58+C63+C71</f>
        <v>300851.23200000002</v>
      </c>
      <c r="D10" s="189">
        <f>D11+D17+D22+D32+D40+D43+D49+D55+D58+D63+D71</f>
        <v>307481.32</v>
      </c>
      <c r="E10" s="22">
        <f>C11+C17+C22+C32+C40</f>
        <v>255057.43200000003</v>
      </c>
      <c r="F10" s="22">
        <f>D11+D17+D22+D32+D40</f>
        <v>261687.52</v>
      </c>
    </row>
    <row r="11" spans="1:6" ht="18.75" x14ac:dyDescent="0.25">
      <c r="A11" s="137" t="s">
        <v>8</v>
      </c>
      <c r="B11" s="136" t="s">
        <v>9</v>
      </c>
      <c r="C11" s="189">
        <f t="shared" ref="C11:D11" si="0">C12</f>
        <v>230821.13200000004</v>
      </c>
      <c r="D11" s="189">
        <f t="shared" si="0"/>
        <v>238476.52000000002</v>
      </c>
    </row>
    <row r="12" spans="1:6" ht="18.75" x14ac:dyDescent="0.25">
      <c r="A12" s="138" t="s">
        <v>10</v>
      </c>
      <c r="B12" s="139" t="s">
        <v>11</v>
      </c>
      <c r="C12" s="189">
        <f t="shared" ref="C12:D12" si="1">SUM(C13:C16)</f>
        <v>230821.13200000004</v>
      </c>
      <c r="D12" s="189">
        <f t="shared" si="1"/>
        <v>238476.52000000002</v>
      </c>
    </row>
    <row r="13" spans="1:6" ht="64.5" customHeight="1" x14ac:dyDescent="0.25">
      <c r="A13" s="212" t="s">
        <v>12</v>
      </c>
      <c r="B13" s="140" t="s">
        <v>13</v>
      </c>
      <c r="C13" s="190">
        <f>217000+14111.72-1043.9+71.912</f>
        <v>230139.73200000002</v>
      </c>
      <c r="D13" s="190">
        <f>217000+21791.32-1043.9</f>
        <v>237747.42</v>
      </c>
    </row>
    <row r="14" spans="1:6" ht="110.25" x14ac:dyDescent="0.25">
      <c r="A14" s="212" t="s">
        <v>14</v>
      </c>
      <c r="B14" s="141" t="s">
        <v>15</v>
      </c>
      <c r="C14" s="190">
        <v>19.600000000000001</v>
      </c>
      <c r="D14" s="190">
        <v>21</v>
      </c>
    </row>
    <row r="15" spans="1:6" ht="47.25" x14ac:dyDescent="0.25">
      <c r="A15" s="212" t="s">
        <v>16</v>
      </c>
      <c r="B15" s="141" t="s">
        <v>17</v>
      </c>
      <c r="C15" s="190">
        <v>637.6</v>
      </c>
      <c r="D15" s="190">
        <v>682.2</v>
      </c>
    </row>
    <row r="16" spans="1:6" ht="78.75" x14ac:dyDescent="0.25">
      <c r="A16" s="212" t="s">
        <v>18</v>
      </c>
      <c r="B16" s="141" t="s">
        <v>19</v>
      </c>
      <c r="C16" s="190">
        <v>24.2</v>
      </c>
      <c r="D16" s="190">
        <v>25.9</v>
      </c>
    </row>
    <row r="17" spans="1:4" ht="31.5" x14ac:dyDescent="0.25">
      <c r="A17" s="142" t="s">
        <v>20</v>
      </c>
      <c r="B17" s="143" t="s">
        <v>21</v>
      </c>
      <c r="C17" s="189">
        <f t="shared" ref="C17:D17" si="2">C18</f>
        <v>3189</v>
      </c>
      <c r="D17" s="189">
        <f t="shared" si="2"/>
        <v>3278</v>
      </c>
    </row>
    <row r="18" spans="1:4" ht="31.5" x14ac:dyDescent="0.25">
      <c r="A18" s="187" t="s">
        <v>22</v>
      </c>
      <c r="B18" s="188" t="s">
        <v>23</v>
      </c>
      <c r="C18" s="189">
        <f t="shared" ref="C18:D18" si="3">SUM(C19:C21)</f>
        <v>3189</v>
      </c>
      <c r="D18" s="189">
        <f t="shared" si="3"/>
        <v>3278</v>
      </c>
    </row>
    <row r="19" spans="1:4" ht="63" x14ac:dyDescent="0.25">
      <c r="A19" s="144" t="s">
        <v>24</v>
      </c>
      <c r="B19" s="141" t="s">
        <v>25</v>
      </c>
      <c r="C19" s="190">
        <v>1470</v>
      </c>
      <c r="D19" s="190">
        <v>1509</v>
      </c>
    </row>
    <row r="20" spans="1:4" ht="78.75" x14ac:dyDescent="0.25">
      <c r="A20" s="255" t="s">
        <v>26</v>
      </c>
      <c r="B20" s="141" t="s">
        <v>27</v>
      </c>
      <c r="C20" s="190">
        <v>7</v>
      </c>
      <c r="D20" s="190">
        <v>7</v>
      </c>
    </row>
    <row r="21" spans="1:4" ht="63" x14ac:dyDescent="0.25">
      <c r="A21" s="255" t="s">
        <v>28</v>
      </c>
      <c r="B21" s="141" t="s">
        <v>29</v>
      </c>
      <c r="C21" s="190">
        <v>1712</v>
      </c>
      <c r="D21" s="190">
        <v>1762</v>
      </c>
    </row>
    <row r="22" spans="1:4" ht="18.75" x14ac:dyDescent="0.25">
      <c r="A22" s="138" t="s">
        <v>30</v>
      </c>
      <c r="B22" s="139" t="s">
        <v>31</v>
      </c>
      <c r="C22" s="189">
        <f>SUM(C23+C28+C30)</f>
        <v>18275.900000000001</v>
      </c>
      <c r="D22" s="189">
        <f>SUM(D23+D28+D30)</f>
        <v>16997.3</v>
      </c>
    </row>
    <row r="23" spans="1:4" ht="31.5" x14ac:dyDescent="0.25">
      <c r="A23" s="135" t="s">
        <v>32</v>
      </c>
      <c r="B23" s="139" t="s">
        <v>33</v>
      </c>
      <c r="C23" s="189">
        <f>C24+C26</f>
        <v>15455</v>
      </c>
      <c r="D23" s="189">
        <f>D24+D26</f>
        <v>16622</v>
      </c>
    </row>
    <row r="24" spans="1:4" s="213" customFormat="1" ht="31.5" x14ac:dyDescent="0.25">
      <c r="A24" s="135" t="s">
        <v>1322</v>
      </c>
      <c r="B24" s="219" t="s">
        <v>35</v>
      </c>
      <c r="C24" s="189">
        <f>C25</f>
        <v>7727.5</v>
      </c>
      <c r="D24" s="189">
        <f>D25</f>
        <v>8311</v>
      </c>
    </row>
    <row r="25" spans="1:4" ht="31.5" x14ac:dyDescent="0.25">
      <c r="A25" s="133" t="s">
        <v>34</v>
      </c>
      <c r="B25" s="145" t="s">
        <v>35</v>
      </c>
      <c r="C25" s="190">
        <f>15455/2</f>
        <v>7727.5</v>
      </c>
      <c r="D25" s="190">
        <f>16622/2</f>
        <v>8311</v>
      </c>
    </row>
    <row r="26" spans="1:4" s="213" customFormat="1" ht="47.25" x14ac:dyDescent="0.25">
      <c r="A26" s="135" t="s">
        <v>1321</v>
      </c>
      <c r="B26" s="259" t="s">
        <v>1320</v>
      </c>
      <c r="C26" s="189">
        <f>C27</f>
        <v>7727.5</v>
      </c>
      <c r="D26" s="189">
        <f>D27</f>
        <v>8311</v>
      </c>
    </row>
    <row r="27" spans="1:4" ht="63" x14ac:dyDescent="0.25">
      <c r="A27" s="133" t="s">
        <v>36</v>
      </c>
      <c r="B27" s="145" t="s">
        <v>37</v>
      </c>
      <c r="C27" s="190">
        <f>C25</f>
        <v>7727.5</v>
      </c>
      <c r="D27" s="190">
        <f>D25</f>
        <v>8311</v>
      </c>
    </row>
    <row r="28" spans="1:4" ht="31.5" x14ac:dyDescent="0.25">
      <c r="A28" s="135" t="s">
        <v>38</v>
      </c>
      <c r="B28" s="139" t="s">
        <v>39</v>
      </c>
      <c r="C28" s="189">
        <f t="shared" ref="C28:D28" si="4">SUM(C29:C29)</f>
        <v>2460</v>
      </c>
      <c r="D28" s="189">
        <f t="shared" si="4"/>
        <v>0</v>
      </c>
    </row>
    <row r="29" spans="1:4" ht="21.75" customHeight="1" x14ac:dyDescent="0.25">
      <c r="A29" s="212" t="s">
        <v>40</v>
      </c>
      <c r="B29" s="238" t="s">
        <v>39</v>
      </c>
      <c r="C29" s="190">
        <v>2460</v>
      </c>
      <c r="D29" s="190">
        <v>0</v>
      </c>
    </row>
    <row r="30" spans="1:4" s="213" customFormat="1" ht="36" customHeight="1" x14ac:dyDescent="0.25">
      <c r="A30" s="135" t="s">
        <v>1335</v>
      </c>
      <c r="B30" s="146" t="s">
        <v>1323</v>
      </c>
      <c r="C30" s="189">
        <f>C31</f>
        <v>360.9</v>
      </c>
      <c r="D30" s="190">
        <f>D31</f>
        <v>375.3</v>
      </c>
    </row>
    <row r="31" spans="1:4" ht="31.5" x14ac:dyDescent="0.25">
      <c r="A31" s="133" t="s">
        <v>41</v>
      </c>
      <c r="B31" s="250" t="s">
        <v>42</v>
      </c>
      <c r="C31" s="190">
        <v>360.9</v>
      </c>
      <c r="D31" s="190">
        <v>375.3</v>
      </c>
    </row>
    <row r="32" spans="1:4" ht="18.75" x14ac:dyDescent="0.25">
      <c r="A32" s="138" t="s">
        <v>43</v>
      </c>
      <c r="B32" s="139" t="s">
        <v>44</v>
      </c>
      <c r="C32" s="189">
        <f>C33+C35</f>
        <v>1238.4000000000001</v>
      </c>
      <c r="D32" s="189">
        <f t="shared" ref="D32" si="5">D33+D35</f>
        <v>1341.4</v>
      </c>
    </row>
    <row r="33" spans="1:6" ht="18.75" x14ac:dyDescent="0.25">
      <c r="A33" s="138" t="s">
        <v>45</v>
      </c>
      <c r="B33" s="139" t="s">
        <v>46</v>
      </c>
      <c r="C33" s="189">
        <f t="shared" ref="C33:D33" si="6">C34</f>
        <v>892.1</v>
      </c>
      <c r="D33" s="189">
        <f t="shared" si="6"/>
        <v>981.3</v>
      </c>
    </row>
    <row r="34" spans="1:6" ht="47.25" x14ac:dyDescent="0.25">
      <c r="A34" s="212" t="s">
        <v>47</v>
      </c>
      <c r="B34" s="145" t="s">
        <v>48</v>
      </c>
      <c r="C34" s="190">
        <v>892.1</v>
      </c>
      <c r="D34" s="190">
        <v>981.3</v>
      </c>
    </row>
    <row r="35" spans="1:6" ht="18.75" x14ac:dyDescent="0.25">
      <c r="A35" s="138" t="s">
        <v>49</v>
      </c>
      <c r="B35" s="139" t="s">
        <v>50</v>
      </c>
      <c r="C35" s="189">
        <f>C36+C38</f>
        <v>346.29999999999995</v>
      </c>
      <c r="D35" s="189">
        <f>D36+D38</f>
        <v>360.1</v>
      </c>
    </row>
    <row r="36" spans="1:6" s="213" customFormat="1" ht="18.75" x14ac:dyDescent="0.25">
      <c r="A36" s="138" t="s">
        <v>1337</v>
      </c>
      <c r="B36" s="139" t="s">
        <v>1336</v>
      </c>
      <c r="C36" s="189">
        <f>C37</f>
        <v>185.1</v>
      </c>
      <c r="D36" s="189">
        <f>D37</f>
        <v>192.5</v>
      </c>
    </row>
    <row r="37" spans="1:6" ht="31.5" x14ac:dyDescent="0.25">
      <c r="A37" s="212" t="s">
        <v>51</v>
      </c>
      <c r="B37" s="145" t="s">
        <v>52</v>
      </c>
      <c r="C37" s="190">
        <v>185.1</v>
      </c>
      <c r="D37" s="190">
        <v>192.5</v>
      </c>
    </row>
    <row r="38" spans="1:6" s="213" customFormat="1" ht="18.75" x14ac:dyDescent="0.25">
      <c r="A38" s="138" t="s">
        <v>1339</v>
      </c>
      <c r="B38" s="139" t="s">
        <v>1338</v>
      </c>
      <c r="C38" s="189">
        <f>C39</f>
        <v>161.19999999999999</v>
      </c>
      <c r="D38" s="189">
        <f>D39</f>
        <v>167.6</v>
      </c>
    </row>
    <row r="39" spans="1:6" ht="31.5" x14ac:dyDescent="0.25">
      <c r="A39" s="212" t="s">
        <v>53</v>
      </c>
      <c r="B39" s="145" t="s">
        <v>54</v>
      </c>
      <c r="C39" s="190">
        <v>161.19999999999999</v>
      </c>
      <c r="D39" s="190">
        <v>167.6</v>
      </c>
    </row>
    <row r="40" spans="1:6" ht="18.75" x14ac:dyDescent="0.25">
      <c r="A40" s="138" t="s">
        <v>55</v>
      </c>
      <c r="B40" s="139" t="s">
        <v>56</v>
      </c>
      <c r="C40" s="189">
        <f t="shared" ref="C40:D41" si="7">C41</f>
        <v>1533</v>
      </c>
      <c r="D40" s="189">
        <f t="shared" si="7"/>
        <v>1594.3</v>
      </c>
    </row>
    <row r="41" spans="1:6" ht="31.5" x14ac:dyDescent="0.25">
      <c r="A41" s="138" t="s">
        <v>57</v>
      </c>
      <c r="B41" s="139" t="s">
        <v>58</v>
      </c>
      <c r="C41" s="189">
        <f t="shared" si="7"/>
        <v>1533</v>
      </c>
      <c r="D41" s="189">
        <f t="shared" si="7"/>
        <v>1594.3</v>
      </c>
    </row>
    <row r="42" spans="1:6" ht="47.25" x14ac:dyDescent="0.25">
      <c r="A42" s="212" t="s">
        <v>59</v>
      </c>
      <c r="B42" s="140" t="s">
        <v>60</v>
      </c>
      <c r="C42" s="190">
        <v>1533</v>
      </c>
      <c r="D42" s="190">
        <v>1594.3</v>
      </c>
    </row>
    <row r="43" spans="1:6" ht="47.25" x14ac:dyDescent="0.25">
      <c r="A43" s="138" t="s">
        <v>61</v>
      </c>
      <c r="B43" s="147" t="s">
        <v>62</v>
      </c>
      <c r="C43" s="189">
        <f t="shared" ref="C43:D43" si="8">C44</f>
        <v>43000</v>
      </c>
      <c r="D43" s="189">
        <f t="shared" si="8"/>
        <v>43000</v>
      </c>
      <c r="E43" s="22">
        <f>C43+C49+C55+C58+C63</f>
        <v>45793.8</v>
      </c>
      <c r="F43" s="22">
        <f>D43+D49+D55+D58+D63</f>
        <v>45793.8</v>
      </c>
    </row>
    <row r="44" spans="1:6" ht="78.75" x14ac:dyDescent="0.25">
      <c r="A44" s="138" t="s">
        <v>63</v>
      </c>
      <c r="B44" s="147" t="s">
        <v>64</v>
      </c>
      <c r="C44" s="189">
        <f t="shared" ref="C44:D44" si="9">C45+C47</f>
        <v>43000</v>
      </c>
      <c r="D44" s="189">
        <f t="shared" si="9"/>
        <v>43000</v>
      </c>
    </row>
    <row r="45" spans="1:6" ht="63" x14ac:dyDescent="0.25">
      <c r="A45" s="138" t="s">
        <v>65</v>
      </c>
      <c r="B45" s="139" t="s">
        <v>66</v>
      </c>
      <c r="C45" s="189">
        <f t="shared" ref="C45:D45" si="10">C46</f>
        <v>38000</v>
      </c>
      <c r="D45" s="189">
        <f t="shared" si="10"/>
        <v>38000</v>
      </c>
    </row>
    <row r="46" spans="1:6" ht="78.75" x14ac:dyDescent="0.25">
      <c r="A46" s="212" t="s">
        <v>67</v>
      </c>
      <c r="B46" s="145" t="s">
        <v>68</v>
      </c>
      <c r="C46" s="190">
        <v>38000</v>
      </c>
      <c r="D46" s="190">
        <v>38000</v>
      </c>
    </row>
    <row r="47" spans="1:6" ht="47.25" x14ac:dyDescent="0.25">
      <c r="A47" s="138" t="s">
        <v>69</v>
      </c>
      <c r="B47" s="139" t="s">
        <v>70</v>
      </c>
      <c r="C47" s="189">
        <f t="shared" ref="C47:D47" si="11">C48</f>
        <v>5000</v>
      </c>
      <c r="D47" s="189">
        <f t="shared" si="11"/>
        <v>5000</v>
      </c>
    </row>
    <row r="48" spans="1:6" ht="31.5" x14ac:dyDescent="0.25">
      <c r="A48" s="212" t="s">
        <v>71</v>
      </c>
      <c r="B48" s="145" t="s">
        <v>72</v>
      </c>
      <c r="C48" s="190">
        <v>5000</v>
      </c>
      <c r="D48" s="190">
        <v>5000</v>
      </c>
    </row>
    <row r="49" spans="1:4" ht="18.75" x14ac:dyDescent="0.25">
      <c r="A49" s="138" t="s">
        <v>73</v>
      </c>
      <c r="B49" s="147" t="s">
        <v>74</v>
      </c>
      <c r="C49" s="189">
        <f t="shared" ref="C49:D49" si="12">SUM(C50)</f>
        <v>1735.8</v>
      </c>
      <c r="D49" s="189">
        <f t="shared" si="12"/>
        <v>1735.8</v>
      </c>
    </row>
    <row r="50" spans="1:4" ht="18.75" x14ac:dyDescent="0.25">
      <c r="A50" s="138" t="s">
        <v>75</v>
      </c>
      <c r="B50" s="147" t="s">
        <v>76</v>
      </c>
      <c r="C50" s="189">
        <f>SUM(C51:C54)</f>
        <v>1735.8</v>
      </c>
      <c r="D50" s="189">
        <f>SUM(D51:D54)</f>
        <v>1735.8</v>
      </c>
    </row>
    <row r="51" spans="1:4" ht="31.5" x14ac:dyDescent="0.25">
      <c r="A51" s="212" t="s">
        <v>77</v>
      </c>
      <c r="B51" s="140" t="s">
        <v>78</v>
      </c>
      <c r="C51" s="190">
        <v>517.9</v>
      </c>
      <c r="D51" s="190">
        <v>517.9</v>
      </c>
    </row>
    <row r="52" spans="1:4" ht="18.75" x14ac:dyDescent="0.25">
      <c r="A52" s="212" t="s">
        <v>79</v>
      </c>
      <c r="B52" s="140" t="s">
        <v>80</v>
      </c>
      <c r="C52" s="190">
        <v>1.1000000000000001</v>
      </c>
      <c r="D52" s="190">
        <v>1.1000000000000001</v>
      </c>
    </row>
    <row r="53" spans="1:4" ht="18.75" x14ac:dyDescent="0.25">
      <c r="A53" s="212" t="s">
        <v>826</v>
      </c>
      <c r="B53" s="140" t="s">
        <v>827</v>
      </c>
      <c r="C53" s="190">
        <v>1060.8</v>
      </c>
      <c r="D53" s="190">
        <v>1060.8</v>
      </c>
    </row>
    <row r="54" spans="1:4" ht="18.75" x14ac:dyDescent="0.25">
      <c r="A54" s="212" t="s">
        <v>828</v>
      </c>
      <c r="B54" s="140" t="s">
        <v>829</v>
      </c>
      <c r="C54" s="190">
        <v>156</v>
      </c>
      <c r="D54" s="190">
        <v>156</v>
      </c>
    </row>
    <row r="55" spans="1:4" ht="31.5" x14ac:dyDescent="0.25">
      <c r="A55" s="138" t="s">
        <v>81</v>
      </c>
      <c r="B55" s="147" t="s">
        <v>82</v>
      </c>
      <c r="C55" s="189">
        <f>C57</f>
        <v>792</v>
      </c>
      <c r="D55" s="189">
        <f>D57</f>
        <v>792</v>
      </c>
    </row>
    <row r="56" spans="1:4" ht="18.75" x14ac:dyDescent="0.25">
      <c r="A56" s="138" t="s">
        <v>83</v>
      </c>
      <c r="B56" s="147" t="s">
        <v>84</v>
      </c>
      <c r="C56" s="189">
        <f>C57</f>
        <v>792</v>
      </c>
      <c r="D56" s="189">
        <f>D57</f>
        <v>792</v>
      </c>
    </row>
    <row r="57" spans="1:4" ht="31.5" x14ac:dyDescent="0.25">
      <c r="A57" s="212" t="s">
        <v>85</v>
      </c>
      <c r="B57" s="140" t="s">
        <v>86</v>
      </c>
      <c r="C57" s="190">
        <v>792</v>
      </c>
      <c r="D57" s="190">
        <f t="shared" ref="D57" si="13">C57</f>
        <v>792</v>
      </c>
    </row>
    <row r="58" spans="1:4" ht="31.5" x14ac:dyDescent="0.25">
      <c r="A58" s="138" t="s">
        <v>87</v>
      </c>
      <c r="B58" s="147" t="s">
        <v>88</v>
      </c>
      <c r="C58" s="189">
        <f t="shared" ref="C58:D58" si="14">SUM(C59+C61)</f>
        <v>236</v>
      </c>
      <c r="D58" s="189">
        <f t="shared" si="14"/>
        <v>236</v>
      </c>
    </row>
    <row r="59" spans="1:4" ht="78.75" x14ac:dyDescent="0.25">
      <c r="A59" s="138" t="s">
        <v>89</v>
      </c>
      <c r="B59" s="147" t="s">
        <v>90</v>
      </c>
      <c r="C59" s="189">
        <f t="shared" ref="C59:D59" si="15">C60</f>
        <v>235</v>
      </c>
      <c r="D59" s="189">
        <f t="shared" si="15"/>
        <v>235</v>
      </c>
    </row>
    <row r="60" spans="1:4" ht="94.5" x14ac:dyDescent="0.25">
      <c r="A60" s="212" t="s">
        <v>91</v>
      </c>
      <c r="B60" s="140" t="s">
        <v>716</v>
      </c>
      <c r="C60" s="190">
        <v>235</v>
      </c>
      <c r="D60" s="190">
        <v>235</v>
      </c>
    </row>
    <row r="61" spans="1:4" ht="31.5" x14ac:dyDescent="0.25">
      <c r="A61" s="138" t="s">
        <v>92</v>
      </c>
      <c r="B61" s="147" t="s">
        <v>93</v>
      </c>
      <c r="C61" s="189">
        <f t="shared" ref="C61:D61" si="16">SUM(C62)</f>
        <v>1</v>
      </c>
      <c r="D61" s="189">
        <f t="shared" si="16"/>
        <v>1</v>
      </c>
    </row>
    <row r="62" spans="1:4" ht="47.25" x14ac:dyDescent="0.25">
      <c r="A62" s="212" t="s">
        <v>94</v>
      </c>
      <c r="B62" s="140" t="s">
        <v>95</v>
      </c>
      <c r="C62" s="190">
        <v>1</v>
      </c>
      <c r="D62" s="190">
        <v>1</v>
      </c>
    </row>
    <row r="63" spans="1:4" ht="18.75" x14ac:dyDescent="0.25">
      <c r="A63" s="138" t="s">
        <v>96</v>
      </c>
      <c r="B63" s="147" t="s">
        <v>97</v>
      </c>
      <c r="C63" s="189">
        <f>C64</f>
        <v>30</v>
      </c>
      <c r="D63" s="189">
        <f>D64</f>
        <v>30</v>
      </c>
    </row>
    <row r="64" spans="1:4" ht="31.5" x14ac:dyDescent="0.25">
      <c r="A64" s="138" t="s">
        <v>1300</v>
      </c>
      <c r="B64" s="249" t="s">
        <v>98</v>
      </c>
      <c r="C64" s="340">
        <f>C65+C67+C69</f>
        <v>30</v>
      </c>
      <c r="D64" s="340">
        <f>D65+D67+D69</f>
        <v>30</v>
      </c>
    </row>
    <row r="65" spans="1:6" s="213" customFormat="1" ht="63" x14ac:dyDescent="0.25">
      <c r="A65" s="138" t="s">
        <v>1317</v>
      </c>
      <c r="B65" s="260" t="s">
        <v>1316</v>
      </c>
      <c r="C65" s="340">
        <f>C66</f>
        <v>10</v>
      </c>
      <c r="D65" s="340">
        <f>D66</f>
        <v>10</v>
      </c>
    </row>
    <row r="66" spans="1:6" s="213" customFormat="1" ht="78.75" x14ac:dyDescent="0.25">
      <c r="A66" s="212" t="s">
        <v>1302</v>
      </c>
      <c r="B66" s="261" t="s">
        <v>1311</v>
      </c>
      <c r="C66" s="328">
        <v>10</v>
      </c>
      <c r="D66" s="328">
        <v>10</v>
      </c>
    </row>
    <row r="67" spans="1:6" s="213" customFormat="1" ht="78.75" x14ac:dyDescent="0.25">
      <c r="A67" s="138" t="s">
        <v>1319</v>
      </c>
      <c r="B67" s="260" t="s">
        <v>1318</v>
      </c>
      <c r="C67" s="340">
        <f>C68</f>
        <v>10</v>
      </c>
      <c r="D67" s="340">
        <f>D68</f>
        <v>10</v>
      </c>
    </row>
    <row r="68" spans="1:6" ht="96" customHeight="1" x14ac:dyDescent="0.25">
      <c r="A68" s="212" t="s">
        <v>1301</v>
      </c>
      <c r="B68" s="261" t="s">
        <v>1312</v>
      </c>
      <c r="C68" s="328">
        <v>10</v>
      </c>
      <c r="D68" s="328">
        <v>10</v>
      </c>
    </row>
    <row r="69" spans="1:6" s="213" customFormat="1" ht="75.2" customHeight="1" x14ac:dyDescent="0.25">
      <c r="A69" s="138" t="s">
        <v>1315</v>
      </c>
      <c r="B69" s="262" t="s">
        <v>1314</v>
      </c>
      <c r="C69" s="340">
        <f>C70</f>
        <v>10</v>
      </c>
      <c r="D69" s="340">
        <f>D70</f>
        <v>10</v>
      </c>
    </row>
    <row r="70" spans="1:6" ht="87.75" customHeight="1" x14ac:dyDescent="0.25">
      <c r="A70" s="212" t="s">
        <v>1305</v>
      </c>
      <c r="B70" s="263" t="s">
        <v>1313</v>
      </c>
      <c r="C70" s="190">
        <v>10</v>
      </c>
      <c r="D70" s="190">
        <v>10</v>
      </c>
    </row>
    <row r="71" spans="1:6" ht="18.75" hidden="1" x14ac:dyDescent="0.25">
      <c r="A71" s="3" t="s">
        <v>1303</v>
      </c>
      <c r="B71" s="186" t="s">
        <v>790</v>
      </c>
      <c r="C71" s="189">
        <f>C72</f>
        <v>0</v>
      </c>
      <c r="D71" s="189">
        <f>D72</f>
        <v>0</v>
      </c>
    </row>
    <row r="72" spans="1:6" ht="18.75" hidden="1" x14ac:dyDescent="0.25">
      <c r="A72" s="3" t="s">
        <v>1304</v>
      </c>
      <c r="B72" s="186" t="s">
        <v>791</v>
      </c>
      <c r="C72" s="189">
        <f t="shared" ref="C72:D72" si="17">SUM(C73)</f>
        <v>0</v>
      </c>
      <c r="D72" s="189">
        <f t="shared" si="17"/>
        <v>0</v>
      </c>
    </row>
    <row r="73" spans="1:6" ht="18.75" hidden="1" x14ac:dyDescent="0.25">
      <c r="A73" s="2" t="s">
        <v>792</v>
      </c>
      <c r="B73" s="185" t="s">
        <v>793</v>
      </c>
      <c r="C73" s="190">
        <v>0</v>
      </c>
      <c r="D73" s="190">
        <v>0</v>
      </c>
    </row>
    <row r="74" spans="1:6" ht="18.75" x14ac:dyDescent="0.25">
      <c r="A74" s="138" t="s">
        <v>99</v>
      </c>
      <c r="B74" s="139" t="s">
        <v>100</v>
      </c>
      <c r="C74" s="189">
        <f>SUM(C75+C143)</f>
        <v>416416.27199999988</v>
      </c>
      <c r="D74" s="189">
        <f>SUM(D75+D143)</f>
        <v>413533.37199999997</v>
      </c>
      <c r="E74" s="22">
        <f>C74-C76</f>
        <v>258291.27199999988</v>
      </c>
      <c r="F74" s="22">
        <f>D74-D76</f>
        <v>255408.37199999997</v>
      </c>
    </row>
    <row r="75" spans="1:6" ht="31.5" x14ac:dyDescent="0.25">
      <c r="A75" s="138" t="s">
        <v>101</v>
      </c>
      <c r="B75" s="139" t="s">
        <v>102</v>
      </c>
      <c r="C75" s="189">
        <f>SUM(C76+C83+C111+C136)</f>
        <v>416416.27199999988</v>
      </c>
      <c r="D75" s="189">
        <f>SUM(D76+D83+D111+D136)</f>
        <v>413533.37199999997</v>
      </c>
      <c r="E75">
        <v>265225.5</v>
      </c>
    </row>
    <row r="76" spans="1:6" ht="18.75" x14ac:dyDescent="0.25">
      <c r="A76" s="138" t="s">
        <v>856</v>
      </c>
      <c r="B76" s="148" t="s">
        <v>103</v>
      </c>
      <c r="C76" s="189">
        <f>C78+C81</f>
        <v>158125</v>
      </c>
      <c r="D76" s="189">
        <f>D78+D81</f>
        <v>158125</v>
      </c>
      <c r="E76" s="22">
        <f>E74-E75</f>
        <v>-6934.2280000001192</v>
      </c>
    </row>
    <row r="77" spans="1:6" s="213" customFormat="1" ht="19.5" customHeight="1" x14ac:dyDescent="0.25">
      <c r="A77" s="138" t="s">
        <v>1343</v>
      </c>
      <c r="B77" s="148" t="s">
        <v>1340</v>
      </c>
      <c r="C77" s="189">
        <f>C78</f>
        <v>158125</v>
      </c>
      <c r="D77" s="189">
        <f>D78</f>
        <v>158125</v>
      </c>
    </row>
    <row r="78" spans="1:6" ht="36.75" customHeight="1" x14ac:dyDescent="0.25">
      <c r="A78" s="138" t="s">
        <v>855</v>
      </c>
      <c r="B78" s="139" t="s">
        <v>1360</v>
      </c>
      <c r="C78" s="189">
        <f t="shared" ref="C78:D78" si="18">SUM(C79+C80)</f>
        <v>158125</v>
      </c>
      <c r="D78" s="189">
        <f t="shared" si="18"/>
        <v>158125</v>
      </c>
    </row>
    <row r="79" spans="1:6" ht="110.25" x14ac:dyDescent="0.25">
      <c r="A79" s="133" t="s">
        <v>855</v>
      </c>
      <c r="B79" s="145" t="s">
        <v>104</v>
      </c>
      <c r="C79" s="190">
        <v>158125</v>
      </c>
      <c r="D79" s="190">
        <v>158125</v>
      </c>
    </row>
    <row r="80" spans="1:6" ht="94.7" hidden="1" customHeight="1" x14ac:dyDescent="0.25">
      <c r="A80" s="133" t="s">
        <v>855</v>
      </c>
      <c r="B80" s="145" t="s">
        <v>105</v>
      </c>
      <c r="C80" s="190">
        <v>0</v>
      </c>
      <c r="D80" s="190">
        <v>0</v>
      </c>
    </row>
    <row r="81" spans="1:4" s="213" customFormat="1" ht="31.5" hidden="1" x14ac:dyDescent="0.25">
      <c r="A81" s="135" t="s">
        <v>1341</v>
      </c>
      <c r="B81" s="139" t="s">
        <v>1284</v>
      </c>
      <c r="C81" s="189">
        <f>C82</f>
        <v>0</v>
      </c>
      <c r="D81" s="189">
        <f>D82</f>
        <v>0</v>
      </c>
    </row>
    <row r="82" spans="1:4" s="213" customFormat="1" ht="31.5" hidden="1" x14ac:dyDescent="0.25">
      <c r="A82" s="133" t="s">
        <v>1283</v>
      </c>
      <c r="B82" s="145" t="s">
        <v>1284</v>
      </c>
      <c r="C82" s="190">
        <v>0</v>
      </c>
      <c r="D82" s="190">
        <v>0</v>
      </c>
    </row>
    <row r="83" spans="1:4" ht="31.5" x14ac:dyDescent="0.25">
      <c r="A83" s="138" t="s">
        <v>854</v>
      </c>
      <c r="B83" s="139" t="s">
        <v>106</v>
      </c>
      <c r="C83" s="189">
        <f>C89+C94+C97+C90+C92</f>
        <v>17368.3</v>
      </c>
      <c r="D83" s="189">
        <f>D89+D94+D97+D90+D92</f>
        <v>7026.6999999999989</v>
      </c>
    </row>
    <row r="84" spans="1:4" s="213" customFormat="1" ht="47.25" hidden="1" x14ac:dyDescent="0.25">
      <c r="A84" s="275" t="s">
        <v>1381</v>
      </c>
      <c r="B84" s="259" t="s">
        <v>1383</v>
      </c>
      <c r="C84" s="281">
        <f>C85</f>
        <v>0</v>
      </c>
      <c r="D84" s="189"/>
    </row>
    <row r="85" spans="1:4" s="213" customFormat="1" ht="47.25" hidden="1" x14ac:dyDescent="0.25">
      <c r="A85" s="212" t="s">
        <v>1380</v>
      </c>
      <c r="B85" s="99" t="s">
        <v>1382</v>
      </c>
      <c r="C85" s="190">
        <v>0</v>
      </c>
      <c r="D85" s="189"/>
    </row>
    <row r="86" spans="1:4" s="213" customFormat="1" ht="47.25" hidden="1" x14ac:dyDescent="0.25">
      <c r="A86" s="138" t="s">
        <v>1384</v>
      </c>
      <c r="B86" s="219" t="s">
        <v>1387</v>
      </c>
      <c r="C86" s="189">
        <f>C87</f>
        <v>0</v>
      </c>
      <c r="D86" s="189"/>
    </row>
    <row r="87" spans="1:4" s="213" customFormat="1" ht="47.25" hidden="1" x14ac:dyDescent="0.25">
      <c r="A87" s="212" t="s">
        <v>1385</v>
      </c>
      <c r="B87" s="99" t="s">
        <v>1386</v>
      </c>
      <c r="C87" s="190">
        <v>0</v>
      </c>
      <c r="D87" s="189"/>
    </row>
    <row r="88" spans="1:4" ht="31.5" hidden="1" x14ac:dyDescent="0.25">
      <c r="A88" s="254" t="s">
        <v>1326</v>
      </c>
      <c r="B88" s="139" t="s">
        <v>1344</v>
      </c>
      <c r="C88" s="189">
        <f>C89</f>
        <v>0</v>
      </c>
      <c r="D88" s="189">
        <f>D89</f>
        <v>0</v>
      </c>
    </row>
    <row r="89" spans="1:4" s="213" customFormat="1" ht="31.5" hidden="1" x14ac:dyDescent="0.25">
      <c r="A89" s="255" t="s">
        <v>818</v>
      </c>
      <c r="B89" s="145" t="s">
        <v>825</v>
      </c>
      <c r="C89" s="190">
        <v>0</v>
      </c>
      <c r="D89" s="190">
        <v>0</v>
      </c>
    </row>
    <row r="90" spans="1:4" ht="40.700000000000003" hidden="1" customHeight="1" x14ac:dyDescent="0.25">
      <c r="A90" s="254" t="s">
        <v>1328</v>
      </c>
      <c r="B90" s="147" t="s">
        <v>871</v>
      </c>
      <c r="C90" s="189">
        <f>C91</f>
        <v>0</v>
      </c>
      <c r="D90" s="189">
        <f>D91</f>
        <v>0</v>
      </c>
    </row>
    <row r="91" spans="1:4" ht="39.75" hidden="1" customHeight="1" x14ac:dyDescent="0.25">
      <c r="A91" s="255" t="s">
        <v>870</v>
      </c>
      <c r="B91" s="140" t="s">
        <v>871</v>
      </c>
      <c r="C91" s="190">
        <v>0</v>
      </c>
      <c r="D91" s="190">
        <v>0</v>
      </c>
    </row>
    <row r="92" spans="1:4" s="213" customFormat="1" ht="19.5" customHeight="1" x14ac:dyDescent="0.25">
      <c r="A92" s="282" t="s">
        <v>1374</v>
      </c>
      <c r="B92" s="285" t="s">
        <v>1377</v>
      </c>
      <c r="C92" s="189">
        <f>C93</f>
        <v>2202.4</v>
      </c>
      <c r="D92" s="189">
        <f>D93</f>
        <v>0</v>
      </c>
    </row>
    <row r="93" spans="1:4" s="213" customFormat="1" ht="87.75" customHeight="1" x14ac:dyDescent="0.25">
      <c r="A93" s="283" t="s">
        <v>1372</v>
      </c>
      <c r="B93" s="267" t="s">
        <v>1475</v>
      </c>
      <c r="C93" s="190">
        <v>2202.4</v>
      </c>
      <c r="D93" s="190">
        <v>0</v>
      </c>
    </row>
    <row r="94" spans="1:4" ht="31.5" x14ac:dyDescent="0.25">
      <c r="A94" s="254" t="s">
        <v>1329</v>
      </c>
      <c r="B94" s="139" t="s">
        <v>1330</v>
      </c>
      <c r="C94" s="189">
        <f t="shared" ref="C94:D96" si="19">SUM(C95)</f>
        <v>3026.4</v>
      </c>
      <c r="D94" s="189">
        <f t="shared" si="19"/>
        <v>0</v>
      </c>
    </row>
    <row r="95" spans="1:4" ht="129.19999999999999" customHeight="1" x14ac:dyDescent="0.25">
      <c r="A95" s="314" t="s">
        <v>1472</v>
      </c>
      <c r="B95" s="145" t="s">
        <v>1473</v>
      </c>
      <c r="C95" s="190">
        <v>3026.4</v>
      </c>
      <c r="D95" s="190">
        <v>0</v>
      </c>
    </row>
    <row r="96" spans="1:4" ht="18.75" x14ac:dyDescent="0.25">
      <c r="A96" s="254" t="s">
        <v>1333</v>
      </c>
      <c r="B96" s="139" t="s">
        <v>1332</v>
      </c>
      <c r="C96" s="189">
        <f t="shared" si="19"/>
        <v>12139.5</v>
      </c>
      <c r="D96" s="189">
        <f t="shared" si="19"/>
        <v>7026.6999999999989</v>
      </c>
    </row>
    <row r="97" spans="1:4" ht="18.75" x14ac:dyDescent="0.25">
      <c r="A97" s="212" t="s">
        <v>852</v>
      </c>
      <c r="B97" s="145" t="s">
        <v>107</v>
      </c>
      <c r="C97" s="291">
        <f>C99+C100+C101+C102+C103+C106+C107+C108+C109+C110</f>
        <v>12139.5</v>
      </c>
      <c r="D97" s="291">
        <f>D99+D100+D101+D102+D103+D106+D107+D108+D109+D110</f>
        <v>7026.6999999999989</v>
      </c>
    </row>
    <row r="98" spans="1:4" ht="157.5" hidden="1" x14ac:dyDescent="0.25">
      <c r="A98" s="398"/>
      <c r="B98" s="145" t="s">
        <v>839</v>
      </c>
      <c r="C98" s="190">
        <v>0</v>
      </c>
      <c r="D98" s="190">
        <v>0</v>
      </c>
    </row>
    <row r="99" spans="1:4" ht="63" customHeight="1" x14ac:dyDescent="0.25">
      <c r="A99" s="399"/>
      <c r="B99" s="140" t="s">
        <v>840</v>
      </c>
      <c r="C99" s="190">
        <v>65.2</v>
      </c>
      <c r="D99" s="190">
        <v>65.2</v>
      </c>
    </row>
    <row r="100" spans="1:4" s="213" customFormat="1" ht="129.19999999999999" customHeight="1" x14ac:dyDescent="0.25">
      <c r="A100" s="399"/>
      <c r="B100" s="151" t="s">
        <v>1378</v>
      </c>
      <c r="C100" s="288">
        <v>1666.6</v>
      </c>
      <c r="D100" s="288">
        <f>C100</f>
        <v>1666.6</v>
      </c>
    </row>
    <row r="101" spans="1:4" s="213" customFormat="1" ht="143.44999999999999" customHeight="1" x14ac:dyDescent="0.25">
      <c r="A101" s="399"/>
      <c r="B101" s="279" t="s">
        <v>1379</v>
      </c>
      <c r="C101" s="288">
        <v>500</v>
      </c>
      <c r="D101" s="288">
        <f>500-121.3</f>
        <v>378.7</v>
      </c>
    </row>
    <row r="102" spans="1:4" ht="94.5" x14ac:dyDescent="0.25">
      <c r="A102" s="399"/>
      <c r="B102" s="150" t="s">
        <v>725</v>
      </c>
      <c r="C102" s="292">
        <v>2220.9</v>
      </c>
      <c r="D102" s="292">
        <v>2220.9</v>
      </c>
    </row>
    <row r="103" spans="1:4" ht="67.7" customHeight="1" x14ac:dyDescent="0.25">
      <c r="A103" s="399"/>
      <c r="B103" s="151" t="s">
        <v>841</v>
      </c>
      <c r="C103" s="293">
        <f t="shared" ref="C103:D103" si="20">SUM(C104:C105)</f>
        <v>25</v>
      </c>
      <c r="D103" s="293">
        <f t="shared" si="20"/>
        <v>25</v>
      </c>
    </row>
    <row r="104" spans="1:4" ht="116.45" customHeight="1" x14ac:dyDescent="0.25">
      <c r="A104" s="399"/>
      <c r="B104" s="264" t="s">
        <v>838</v>
      </c>
      <c r="C104" s="294">
        <v>0</v>
      </c>
      <c r="D104" s="294">
        <v>0</v>
      </c>
    </row>
    <row r="105" spans="1:4" ht="110.25" x14ac:dyDescent="0.25">
      <c r="A105" s="399"/>
      <c r="B105" s="168" t="s">
        <v>872</v>
      </c>
      <c r="C105" s="295">
        <v>25</v>
      </c>
      <c r="D105" s="295">
        <v>25</v>
      </c>
    </row>
    <row r="106" spans="1:4" ht="94.5" x14ac:dyDescent="0.25">
      <c r="A106" s="399"/>
      <c r="B106" s="140" t="s">
        <v>109</v>
      </c>
      <c r="C106" s="190">
        <v>1743.4</v>
      </c>
      <c r="D106" s="190">
        <v>1751.9</v>
      </c>
    </row>
    <row r="107" spans="1:4" ht="87.75" customHeight="1" x14ac:dyDescent="0.25">
      <c r="A107" s="399"/>
      <c r="B107" s="140" t="s">
        <v>842</v>
      </c>
      <c r="C107" s="190">
        <v>255</v>
      </c>
      <c r="D107" s="190">
        <v>255</v>
      </c>
    </row>
    <row r="108" spans="1:4" ht="94.5" x14ac:dyDescent="0.25">
      <c r="A108" s="399"/>
      <c r="B108" s="140" t="s">
        <v>843</v>
      </c>
      <c r="C108" s="190">
        <f>488.7+8</f>
        <v>496.7</v>
      </c>
      <c r="D108" s="190">
        <f>488.7+8</f>
        <v>496.7</v>
      </c>
    </row>
    <row r="109" spans="1:4" s="213" customFormat="1" ht="95.25" customHeight="1" x14ac:dyDescent="0.25">
      <c r="A109" s="399"/>
      <c r="B109" s="267" t="s">
        <v>1394</v>
      </c>
      <c r="C109" s="296">
        <v>5000</v>
      </c>
      <c r="D109" s="190">
        <v>0</v>
      </c>
    </row>
    <row r="110" spans="1:4" ht="157.5" x14ac:dyDescent="0.25">
      <c r="A110" s="400"/>
      <c r="B110" s="198" t="s">
        <v>830</v>
      </c>
      <c r="C110" s="291">
        <v>166.7</v>
      </c>
      <c r="D110" s="291">
        <v>166.7</v>
      </c>
    </row>
    <row r="111" spans="1:4" ht="24.75" customHeight="1" x14ac:dyDescent="0.25">
      <c r="A111" s="138" t="s">
        <v>851</v>
      </c>
      <c r="B111" s="249" t="s">
        <v>110</v>
      </c>
      <c r="C111" s="189">
        <f>C134+C112+C132</f>
        <v>238286.37199999994</v>
      </c>
      <c r="D111" s="189">
        <f>D134+D112+D132</f>
        <v>245745.07199999996</v>
      </c>
    </row>
    <row r="112" spans="1:4" ht="31.5" x14ac:dyDescent="0.25">
      <c r="A112" s="138" t="s">
        <v>850</v>
      </c>
      <c r="B112" s="147" t="s">
        <v>111</v>
      </c>
      <c r="C112" s="189">
        <f t="shared" ref="C112:D112" si="21">C113</f>
        <v>237712.67199999996</v>
      </c>
      <c r="D112" s="189">
        <f t="shared" si="21"/>
        <v>245104.67199999996</v>
      </c>
    </row>
    <row r="113" spans="1:4" ht="31.5" x14ac:dyDescent="0.25">
      <c r="A113" s="212" t="s">
        <v>849</v>
      </c>
      <c r="B113" s="140" t="s">
        <v>112</v>
      </c>
      <c r="C113" s="190">
        <f>SUM(C114+C115+C116+C117+C118+C119+C120+C123+C124+C125+C126+C128+C129+C130+C131)</f>
        <v>237712.67199999996</v>
      </c>
      <c r="D113" s="190">
        <f>SUM(D114+D115+D116+D117+D118+D119+D120+D123+D124+D125+D126+D128+D129+D130+D131)</f>
        <v>245104.67199999996</v>
      </c>
    </row>
    <row r="114" spans="1:4" ht="110.25" x14ac:dyDescent="0.25">
      <c r="A114" s="398"/>
      <c r="B114" s="150" t="s">
        <v>726</v>
      </c>
      <c r="C114" s="293">
        <f>пр.1дох.20!C136</f>
        <v>128341.872</v>
      </c>
      <c r="D114" s="293">
        <f>C114</f>
        <v>128341.872</v>
      </c>
    </row>
    <row r="115" spans="1:4" ht="82.5" customHeight="1" x14ac:dyDescent="0.25">
      <c r="A115" s="399"/>
      <c r="B115" s="140" t="s">
        <v>113</v>
      </c>
      <c r="C115" s="293">
        <f>пр.1дох.20!C137</f>
        <v>80735.399999999994</v>
      </c>
      <c r="D115" s="293">
        <f t="shared" ref="D115:D126" si="22">C115</f>
        <v>80735.399999999994</v>
      </c>
    </row>
    <row r="116" spans="1:4" ht="112.7" customHeight="1" x14ac:dyDescent="0.25">
      <c r="A116" s="399"/>
      <c r="B116" s="140" t="s">
        <v>717</v>
      </c>
      <c r="C116" s="293">
        <f>пр.1дох.20!C138</f>
        <v>4743.8999999999996</v>
      </c>
      <c r="D116" s="293">
        <f t="shared" si="22"/>
        <v>4743.8999999999996</v>
      </c>
    </row>
    <row r="117" spans="1:4" ht="110.25" x14ac:dyDescent="0.25">
      <c r="A117" s="399"/>
      <c r="B117" s="140" t="s">
        <v>718</v>
      </c>
      <c r="C117" s="293">
        <f>пр.1дох.20!C139</f>
        <v>2075.4</v>
      </c>
      <c r="D117" s="293">
        <f t="shared" si="22"/>
        <v>2075.4</v>
      </c>
    </row>
    <row r="118" spans="1:4" ht="110.25" x14ac:dyDescent="0.25">
      <c r="A118" s="399"/>
      <c r="B118" s="140" t="s">
        <v>114</v>
      </c>
      <c r="C118" s="293">
        <f>пр.1дох.20!C140</f>
        <v>1433.3</v>
      </c>
      <c r="D118" s="293">
        <f t="shared" si="22"/>
        <v>1433.3</v>
      </c>
    </row>
    <row r="119" spans="1:4" ht="110.25" x14ac:dyDescent="0.25">
      <c r="A119" s="399"/>
      <c r="B119" s="140" t="s">
        <v>115</v>
      </c>
      <c r="C119" s="293">
        <f>пр.1дох.20!C141</f>
        <v>288.8</v>
      </c>
      <c r="D119" s="293">
        <f t="shared" si="22"/>
        <v>288.8</v>
      </c>
    </row>
    <row r="120" spans="1:4" ht="47.25" x14ac:dyDescent="0.25">
      <c r="A120" s="399"/>
      <c r="B120" s="140" t="s">
        <v>116</v>
      </c>
      <c r="C120" s="293">
        <f>пр.1дох.20!C142</f>
        <v>3621.3999999999996</v>
      </c>
      <c r="D120" s="293">
        <f t="shared" si="22"/>
        <v>3621.3999999999996</v>
      </c>
    </row>
    <row r="121" spans="1:4" ht="31.5" x14ac:dyDescent="0.25">
      <c r="A121" s="399"/>
      <c r="B121" s="153" t="s">
        <v>719</v>
      </c>
      <c r="C121" s="293">
        <f>пр.1дох.20!C143</f>
        <v>2829.1</v>
      </c>
      <c r="D121" s="293">
        <f t="shared" si="22"/>
        <v>2829.1</v>
      </c>
    </row>
    <row r="122" spans="1:4" ht="31.5" x14ac:dyDescent="0.25">
      <c r="A122" s="399"/>
      <c r="B122" s="153" t="s">
        <v>720</v>
      </c>
      <c r="C122" s="293">
        <f>пр.1дох.20!C144</f>
        <v>792.3</v>
      </c>
      <c r="D122" s="293">
        <f t="shared" si="22"/>
        <v>792.3</v>
      </c>
    </row>
    <row r="123" spans="1:4" ht="126" x14ac:dyDescent="0.25">
      <c r="A123" s="399"/>
      <c r="B123" s="140" t="s">
        <v>844</v>
      </c>
      <c r="C123" s="293">
        <f>пр.1дох.20!C145</f>
        <v>319.7</v>
      </c>
      <c r="D123" s="293">
        <f t="shared" si="22"/>
        <v>319.7</v>
      </c>
    </row>
    <row r="124" spans="1:4" ht="126" x14ac:dyDescent="0.25">
      <c r="A124" s="399"/>
      <c r="B124" s="140" t="s">
        <v>117</v>
      </c>
      <c r="C124" s="293">
        <f>пр.1дох.20!C146</f>
        <v>923.4</v>
      </c>
      <c r="D124" s="293">
        <f t="shared" si="22"/>
        <v>923.4</v>
      </c>
    </row>
    <row r="125" spans="1:4" ht="47.25" x14ac:dyDescent="0.25">
      <c r="A125" s="399"/>
      <c r="B125" s="140" t="s">
        <v>118</v>
      </c>
      <c r="C125" s="293">
        <f>пр.1дох.20!C147</f>
        <v>1115.9000000000001</v>
      </c>
      <c r="D125" s="293">
        <f t="shared" si="22"/>
        <v>1115.9000000000001</v>
      </c>
    </row>
    <row r="126" spans="1:4" ht="157.5" x14ac:dyDescent="0.25">
      <c r="A126" s="399"/>
      <c r="B126" s="338" t="s">
        <v>1388</v>
      </c>
      <c r="C126" s="293">
        <v>22</v>
      </c>
      <c r="D126" s="293">
        <f t="shared" si="22"/>
        <v>22</v>
      </c>
    </row>
    <row r="127" spans="1:4" s="213" customFormat="1" ht="115.5" hidden="1" customHeight="1" x14ac:dyDescent="0.25">
      <c r="A127" s="399"/>
      <c r="B127" s="278" t="s">
        <v>1393</v>
      </c>
      <c r="C127" s="293"/>
      <c r="D127" s="293"/>
    </row>
    <row r="128" spans="1:4" s="213" customFormat="1" ht="48.2" customHeight="1" x14ac:dyDescent="0.25">
      <c r="A128" s="400"/>
      <c r="B128" s="140" t="s">
        <v>1306</v>
      </c>
      <c r="C128" s="293">
        <f>пр.1дох.20!C150</f>
        <v>1914.5</v>
      </c>
      <c r="D128" s="293">
        <f>1914.5+7392</f>
        <v>9306.5</v>
      </c>
    </row>
    <row r="129" spans="1:8" s="324" customFormat="1" ht="120.75" customHeight="1" x14ac:dyDescent="0.25">
      <c r="A129" s="342"/>
      <c r="B129" s="154" t="s">
        <v>1499</v>
      </c>
      <c r="C129" s="293">
        <v>9263</v>
      </c>
      <c r="D129" s="293">
        <f>C129</f>
        <v>9263</v>
      </c>
    </row>
    <row r="130" spans="1:8" s="324" customFormat="1" ht="129.19999999999999" customHeight="1" x14ac:dyDescent="0.25">
      <c r="A130" s="342"/>
      <c r="B130" s="154" t="s">
        <v>1500</v>
      </c>
      <c r="C130" s="293">
        <v>2100.6</v>
      </c>
      <c r="D130" s="293">
        <f t="shared" ref="D130:D131" si="23">C130</f>
        <v>2100.6</v>
      </c>
    </row>
    <row r="131" spans="1:8" s="324" customFormat="1" ht="132" customHeight="1" x14ac:dyDescent="0.25">
      <c r="A131" s="342"/>
      <c r="B131" s="154" t="s">
        <v>1501</v>
      </c>
      <c r="C131" s="293">
        <v>813.5</v>
      </c>
      <c r="D131" s="293">
        <f t="shared" si="23"/>
        <v>813.5</v>
      </c>
    </row>
    <row r="132" spans="1:8" s="213" customFormat="1" ht="63" x14ac:dyDescent="0.25">
      <c r="A132" s="138" t="s">
        <v>1395</v>
      </c>
      <c r="B132" s="219" t="s">
        <v>1397</v>
      </c>
      <c r="C132" s="297">
        <f>C133</f>
        <v>6.3</v>
      </c>
      <c r="D132" s="297">
        <f>D133</f>
        <v>51</v>
      </c>
    </row>
    <row r="133" spans="1:8" s="213" customFormat="1" ht="63" x14ac:dyDescent="0.25">
      <c r="A133" s="212" t="s">
        <v>1396</v>
      </c>
      <c r="B133" s="99" t="s">
        <v>1397</v>
      </c>
      <c r="C133" s="293">
        <v>6.3</v>
      </c>
      <c r="D133" s="293">
        <v>51</v>
      </c>
    </row>
    <row r="134" spans="1:8" ht="31.5" x14ac:dyDescent="0.25">
      <c r="A134" s="138" t="s">
        <v>848</v>
      </c>
      <c r="B134" s="147" t="s">
        <v>119</v>
      </c>
      <c r="C134" s="189">
        <f t="shared" ref="C134:D134" si="24">C135</f>
        <v>567.4</v>
      </c>
      <c r="D134" s="189">
        <f t="shared" si="24"/>
        <v>589.4</v>
      </c>
    </row>
    <row r="135" spans="1:8" ht="31.5" x14ac:dyDescent="0.25">
      <c r="A135" s="212" t="s">
        <v>847</v>
      </c>
      <c r="B135" s="140" t="s">
        <v>120</v>
      </c>
      <c r="C135" s="190">
        <v>567.4</v>
      </c>
      <c r="D135" s="190">
        <v>589.4</v>
      </c>
    </row>
    <row r="136" spans="1:8" ht="18.75" x14ac:dyDescent="0.25">
      <c r="A136" s="138" t="s">
        <v>846</v>
      </c>
      <c r="B136" s="147" t="s">
        <v>121</v>
      </c>
      <c r="C136" s="189">
        <f>SUM(C138)</f>
        <v>2636.6</v>
      </c>
      <c r="D136" s="189">
        <f>SUM(D138)</f>
        <v>2636.6</v>
      </c>
    </row>
    <row r="137" spans="1:8" ht="18.75" x14ac:dyDescent="0.25">
      <c r="A137" s="138" t="s">
        <v>845</v>
      </c>
      <c r="B137" s="147" t="s">
        <v>122</v>
      </c>
      <c r="C137" s="189">
        <f t="shared" ref="C137:D137" si="25">C138</f>
        <v>2636.6</v>
      </c>
      <c r="D137" s="189">
        <f t="shared" si="25"/>
        <v>2636.6</v>
      </c>
    </row>
    <row r="138" spans="1:8" s="213" customFormat="1" ht="31.5" x14ac:dyDescent="0.25">
      <c r="A138" s="212" t="s">
        <v>857</v>
      </c>
      <c r="B138" s="140" t="s">
        <v>1334</v>
      </c>
      <c r="C138" s="190">
        <f>SUM(C139:C142)</f>
        <v>2636.6</v>
      </c>
      <c r="D138" s="190">
        <f>SUM(D139:D142)</f>
        <v>2636.6</v>
      </c>
    </row>
    <row r="139" spans="1:8" ht="126" hidden="1" x14ac:dyDescent="0.25">
      <c r="A139" s="398"/>
      <c r="B139" s="154" t="s">
        <v>811</v>
      </c>
      <c r="C139" s="191">
        <v>0</v>
      </c>
      <c r="D139" s="191">
        <f>C139</f>
        <v>0</v>
      </c>
    </row>
    <row r="140" spans="1:8" ht="141.75" hidden="1" x14ac:dyDescent="0.25">
      <c r="A140" s="399"/>
      <c r="B140" s="154" t="s">
        <v>812</v>
      </c>
      <c r="C140" s="191">
        <v>0</v>
      </c>
      <c r="D140" s="191">
        <f t="shared" ref="D140:D141" si="26">C140</f>
        <v>0</v>
      </c>
    </row>
    <row r="141" spans="1:8" ht="126" hidden="1" x14ac:dyDescent="0.25">
      <c r="A141" s="400"/>
      <c r="B141" s="154" t="s">
        <v>875</v>
      </c>
      <c r="C141" s="191">
        <v>0</v>
      </c>
      <c r="D141" s="191">
        <f t="shared" si="26"/>
        <v>0</v>
      </c>
    </row>
    <row r="142" spans="1:8" s="324" customFormat="1" ht="78.75" x14ac:dyDescent="0.25">
      <c r="A142" s="349" t="s">
        <v>1529</v>
      </c>
      <c r="B142" s="350" t="s">
        <v>1531</v>
      </c>
      <c r="C142" s="323">
        <v>2636.6</v>
      </c>
      <c r="D142" s="323">
        <v>2636.6</v>
      </c>
      <c r="H142" s="324" t="s">
        <v>1527</v>
      </c>
    </row>
    <row r="143" spans="1:8" ht="18.75" hidden="1" x14ac:dyDescent="0.25">
      <c r="A143" s="19" t="s">
        <v>807</v>
      </c>
      <c r="B143" s="199" t="s">
        <v>808</v>
      </c>
      <c r="C143" s="200">
        <f>SUM(C144)</f>
        <v>0</v>
      </c>
      <c r="D143" s="200">
        <f>SUM(D144)</f>
        <v>0</v>
      </c>
    </row>
    <row r="144" spans="1:8" ht="31.5" hidden="1" x14ac:dyDescent="0.25">
      <c r="A144" s="19" t="s">
        <v>809</v>
      </c>
      <c r="B144" s="199" t="s">
        <v>810</v>
      </c>
      <c r="C144" s="200">
        <f>SUM(C145)</f>
        <v>0</v>
      </c>
      <c r="D144" s="200">
        <f>SUM(D145)</f>
        <v>0</v>
      </c>
    </row>
    <row r="145" spans="1:4" ht="18.75" hidden="1" x14ac:dyDescent="0.25">
      <c r="A145" s="395" t="s">
        <v>880</v>
      </c>
      <c r="B145" s="203" t="s">
        <v>810</v>
      </c>
      <c r="C145" s="200">
        <f>SUM(C147:C148)</f>
        <v>0</v>
      </c>
      <c r="D145" s="200">
        <f>SUM(D147:D148)</f>
        <v>0</v>
      </c>
    </row>
    <row r="146" spans="1:4" ht="18.75" hidden="1" x14ac:dyDescent="0.25">
      <c r="A146" s="396"/>
      <c r="B146" s="203" t="s">
        <v>108</v>
      </c>
      <c r="C146" s="200"/>
      <c r="D146" s="200"/>
    </row>
    <row r="147" spans="1:4" ht="94.5" hidden="1" x14ac:dyDescent="0.25">
      <c r="A147" s="396"/>
      <c r="B147" s="201" t="s">
        <v>877</v>
      </c>
      <c r="C147" s="191">
        <v>0</v>
      </c>
      <c r="D147" s="191">
        <v>0</v>
      </c>
    </row>
    <row r="148" spans="1:4" ht="78.75" hidden="1" x14ac:dyDescent="0.25">
      <c r="A148" s="401"/>
      <c r="B148" s="201" t="s">
        <v>878</v>
      </c>
      <c r="C148" s="191">
        <v>0</v>
      </c>
      <c r="D148" s="191">
        <v>0</v>
      </c>
    </row>
    <row r="149" spans="1:4" ht="18.75" x14ac:dyDescent="0.25">
      <c r="A149" s="212"/>
      <c r="B149" s="195" t="s">
        <v>123</v>
      </c>
      <c r="C149" s="189">
        <f>SUM(C10+C74)</f>
        <v>717267.50399999996</v>
      </c>
      <c r="D149" s="189">
        <f>SUM(D10+D74)</f>
        <v>721014.69200000004</v>
      </c>
    </row>
    <row r="151" spans="1:4" x14ac:dyDescent="0.25">
      <c r="C151" s="325">
        <v>729449.03200000001</v>
      </c>
      <c r="D151" s="325">
        <v>733196.22</v>
      </c>
    </row>
    <row r="152" spans="1:4" x14ac:dyDescent="0.25">
      <c r="C152" s="116">
        <f>C151-C149</f>
        <v>12181.528000000049</v>
      </c>
      <c r="D152" s="116">
        <f>D151-D149</f>
        <v>12181.527999999933</v>
      </c>
    </row>
  </sheetData>
  <mergeCells count="7">
    <mergeCell ref="A145:A148"/>
    <mergeCell ref="A5:D5"/>
    <mergeCell ref="A6:D6"/>
    <mergeCell ref="A7:D7"/>
    <mergeCell ref="A98:A110"/>
    <mergeCell ref="A114:A128"/>
    <mergeCell ref="A139:A141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0" r:id="rId3" display="consultantplus://offline/ref=90DD075742B43C415054D7C57EEE35341F87E5BC1D9D1BDE3A747C0D881C15D50B24F795703CF7A64B588B73F9A8AC3C8A6AC02CDB9A5E68c4m2F"/>
    <hyperlink ref="B69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1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Normal="100" zoomScaleSheetLayoutView="100" workbookViewId="0">
      <selection activeCell="H32" sqref="H32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4.42578125" customWidth="1"/>
    <col min="5" max="6" width="14.42578125" style="357" customWidth="1"/>
  </cols>
  <sheetData>
    <row r="1" spans="1:6" ht="15.75" x14ac:dyDescent="0.25">
      <c r="A1" s="11"/>
      <c r="C1" s="11"/>
      <c r="D1" s="130"/>
      <c r="E1" s="374" t="s">
        <v>1589</v>
      </c>
      <c r="F1" s="130"/>
    </row>
    <row r="2" spans="1:6" ht="15.75" x14ac:dyDescent="0.25">
      <c r="A2" s="11"/>
      <c r="C2" s="11"/>
      <c r="D2" s="130"/>
      <c r="E2" s="374" t="s">
        <v>1585</v>
      </c>
      <c r="F2" s="130"/>
    </row>
    <row r="3" spans="1:6" ht="18.75" x14ac:dyDescent="0.3">
      <c r="A3" s="11"/>
      <c r="B3" s="155"/>
      <c r="C3" s="11"/>
      <c r="D3" s="130"/>
      <c r="E3" s="375" t="s">
        <v>1586</v>
      </c>
      <c r="F3" s="130"/>
    </row>
    <row r="4" spans="1:6" s="324" customFormat="1" ht="18.75" x14ac:dyDescent="0.3">
      <c r="A4" s="11"/>
      <c r="B4" s="155"/>
      <c r="C4" s="11"/>
      <c r="D4" s="130"/>
      <c r="E4" s="375" t="s">
        <v>1587</v>
      </c>
      <c r="F4" s="130"/>
    </row>
    <row r="5" spans="1:6" ht="15.75" x14ac:dyDescent="0.25">
      <c r="A5" s="402"/>
      <c r="B5" s="402"/>
      <c r="C5" s="402"/>
      <c r="D5" s="402"/>
      <c r="E5" s="375" t="s">
        <v>1626</v>
      </c>
      <c r="F5"/>
    </row>
    <row r="6" spans="1:6" s="357" customFormat="1" ht="15.75" x14ac:dyDescent="0.25">
      <c r="A6" s="394"/>
      <c r="B6" s="394"/>
      <c r="C6" s="394"/>
      <c r="D6" s="394"/>
      <c r="E6" s="375"/>
    </row>
    <row r="7" spans="1:6" ht="15.75" x14ac:dyDescent="0.25">
      <c r="A7" s="402" t="s">
        <v>1590</v>
      </c>
      <c r="B7" s="402"/>
      <c r="C7" s="402"/>
      <c r="D7" s="402"/>
      <c r="E7" s="402"/>
      <c r="F7" s="402"/>
    </row>
    <row r="8" spans="1:6" ht="15.75" x14ac:dyDescent="0.25">
      <c r="A8" s="402" t="s">
        <v>1591</v>
      </c>
      <c r="B8" s="402"/>
      <c r="C8" s="402"/>
      <c r="D8" s="402"/>
      <c r="E8" s="402"/>
      <c r="F8" s="402"/>
    </row>
    <row r="9" spans="1:6" x14ac:dyDescent="0.25">
      <c r="B9" s="90"/>
      <c r="C9" s="90"/>
      <c r="D9" s="193"/>
      <c r="E9" s="193"/>
      <c r="F9" s="193"/>
    </row>
    <row r="10" spans="1:6" ht="66.2" customHeight="1" x14ac:dyDescent="0.25">
      <c r="A10" s="91" t="s">
        <v>692</v>
      </c>
      <c r="B10" s="91" t="s">
        <v>693</v>
      </c>
      <c r="C10" s="91" t="s">
        <v>694</v>
      </c>
      <c r="D10" s="180" t="s">
        <v>1584</v>
      </c>
      <c r="E10" s="180" t="s">
        <v>1582</v>
      </c>
      <c r="F10" s="180" t="s">
        <v>1583</v>
      </c>
    </row>
    <row r="11" spans="1:6" ht="15.75" x14ac:dyDescent="0.25">
      <c r="A11" s="47" t="s">
        <v>133</v>
      </c>
      <c r="B11" s="24" t="s">
        <v>134</v>
      </c>
      <c r="C11" s="92"/>
      <c r="D11" s="93">
        <f>SUM(D12:D17)</f>
        <v>143823.29999999999</v>
      </c>
      <c r="E11" s="93">
        <f t="shared" ref="E11" si="0">SUM(E12:E17)</f>
        <v>99711.822000000015</v>
      </c>
      <c r="F11" s="93">
        <f>E11/D11*100</f>
        <v>69.329393776947143</v>
      </c>
    </row>
    <row r="12" spans="1:6" ht="31.5" x14ac:dyDescent="0.25">
      <c r="A12" s="31" t="s">
        <v>591</v>
      </c>
      <c r="B12" s="20" t="s">
        <v>134</v>
      </c>
      <c r="C12" s="20" t="s">
        <v>229</v>
      </c>
      <c r="D12" s="27">
        <f>'Пр.3 Рд,пр, ЦС,ВР 20'!F11</f>
        <v>4398.7</v>
      </c>
      <c r="E12" s="362">
        <f>'Пр.3 Рд,пр, ЦС,ВР 20'!G11</f>
        <v>3549.1729999999998</v>
      </c>
      <c r="F12" s="239">
        <f t="shared" ref="F12:F51" si="1">E12/D12*100</f>
        <v>80.686862027417192</v>
      </c>
    </row>
    <row r="13" spans="1:6" ht="47.25" x14ac:dyDescent="0.25">
      <c r="A13" s="31" t="s">
        <v>594</v>
      </c>
      <c r="B13" s="20" t="s">
        <v>134</v>
      </c>
      <c r="C13" s="20" t="s">
        <v>231</v>
      </c>
      <c r="D13" s="27">
        <f>'Пр.3 Рд,пр, ЦС,ВР 20'!F30</f>
        <v>1203</v>
      </c>
      <c r="E13" s="362">
        <f>'Пр.3 Рд,пр, ЦС,ВР 20'!G30</f>
        <v>878.67499999999995</v>
      </c>
      <c r="F13" s="239">
        <f t="shared" si="1"/>
        <v>73.040315876974233</v>
      </c>
    </row>
    <row r="14" spans="1:6" ht="47.25" x14ac:dyDescent="0.25">
      <c r="A14" s="25" t="s">
        <v>165</v>
      </c>
      <c r="B14" s="20" t="s">
        <v>134</v>
      </c>
      <c r="C14" s="20" t="s">
        <v>166</v>
      </c>
      <c r="D14" s="27">
        <f>'Пр.3 Рд,пр, ЦС,ВР 20'!F41</f>
        <v>66149.100000000006</v>
      </c>
      <c r="E14" s="362">
        <f>'Пр.3 Рд,пр, ЦС,ВР 20'!G41</f>
        <v>47721.130000000005</v>
      </c>
      <c r="F14" s="239">
        <f t="shared" si="1"/>
        <v>72.141767612862466</v>
      </c>
    </row>
    <row r="15" spans="1:6" ht="31.5" x14ac:dyDescent="0.25">
      <c r="A15" s="25" t="s">
        <v>135</v>
      </c>
      <c r="B15" s="20" t="s">
        <v>134</v>
      </c>
      <c r="C15" s="20" t="s">
        <v>136</v>
      </c>
      <c r="D15" s="27">
        <f>'Пр.3 Рд,пр, ЦС,ВР 20'!F104</f>
        <v>16353.2</v>
      </c>
      <c r="E15" s="362">
        <f>'Пр.3 Рд,пр, ЦС,ВР 20'!G104</f>
        <v>10993.793000000001</v>
      </c>
      <c r="F15" s="239">
        <f t="shared" si="1"/>
        <v>67.227166548443122</v>
      </c>
    </row>
    <row r="16" spans="1:6" s="213" customFormat="1" ht="15.75" x14ac:dyDescent="0.25">
      <c r="A16" s="25" t="s">
        <v>1368</v>
      </c>
      <c r="B16" s="20" t="s">
        <v>134</v>
      </c>
      <c r="C16" s="20" t="s">
        <v>280</v>
      </c>
      <c r="D16" s="27">
        <f>'Пр.3 Рд,пр, ЦС,ВР 20'!F126</f>
        <v>1001.5</v>
      </c>
      <c r="E16" s="362">
        <f>'Пр.3 Рд,пр, ЦС,ВР 20'!G126</f>
        <v>1001.5</v>
      </c>
      <c r="F16" s="239">
        <f t="shared" si="1"/>
        <v>100</v>
      </c>
    </row>
    <row r="17" spans="1:6" ht="15.75" x14ac:dyDescent="0.25">
      <c r="A17" s="94" t="s">
        <v>155</v>
      </c>
      <c r="B17" s="20" t="s">
        <v>134</v>
      </c>
      <c r="C17" s="20" t="s">
        <v>156</v>
      </c>
      <c r="D17" s="27">
        <f>'Пр.3 Рд,пр, ЦС,ВР 20'!F137</f>
        <v>54717.799999999996</v>
      </c>
      <c r="E17" s="362">
        <f>'Пр.3 Рд,пр, ЦС,ВР 20'!G137</f>
        <v>35567.550999999999</v>
      </c>
      <c r="F17" s="239">
        <f t="shared" si="1"/>
        <v>65.001792835238263</v>
      </c>
    </row>
    <row r="18" spans="1:6" ht="15.75" hidden="1" x14ac:dyDescent="0.25">
      <c r="A18" s="19" t="s">
        <v>228</v>
      </c>
      <c r="B18" s="24" t="s">
        <v>229</v>
      </c>
      <c r="C18" s="20"/>
      <c r="D18" s="44">
        <f t="shared" ref="D18:E18" si="2">D19</f>
        <v>0</v>
      </c>
      <c r="E18" s="44">
        <f t="shared" si="2"/>
        <v>0</v>
      </c>
      <c r="F18" s="239" t="e">
        <f t="shared" si="1"/>
        <v>#DIV/0!</v>
      </c>
    </row>
    <row r="19" spans="1:6" ht="15.75" hidden="1" x14ac:dyDescent="0.25">
      <c r="A19" s="25" t="s">
        <v>234</v>
      </c>
      <c r="B19" s="20" t="s">
        <v>229</v>
      </c>
      <c r="C19" s="20" t="s">
        <v>235</v>
      </c>
      <c r="D19" s="27"/>
      <c r="E19" s="362"/>
      <c r="F19" s="239" t="e">
        <f t="shared" si="1"/>
        <v>#DIV/0!</v>
      </c>
    </row>
    <row r="20" spans="1:6" ht="18" customHeight="1" x14ac:dyDescent="0.25">
      <c r="A20" s="34" t="s">
        <v>238</v>
      </c>
      <c r="B20" s="24" t="s">
        <v>231</v>
      </c>
      <c r="C20" s="24"/>
      <c r="D20" s="44">
        <f t="shared" ref="D20:E20" si="3">D21</f>
        <v>7764.9</v>
      </c>
      <c r="E20" s="44">
        <f t="shared" si="3"/>
        <v>4417.8899999999994</v>
      </c>
      <c r="F20" s="93">
        <f t="shared" si="1"/>
        <v>56.895645790673413</v>
      </c>
    </row>
    <row r="21" spans="1:6" ht="31.5" x14ac:dyDescent="0.25">
      <c r="A21" s="31" t="s">
        <v>239</v>
      </c>
      <c r="B21" s="20" t="s">
        <v>231</v>
      </c>
      <c r="C21" s="20" t="s">
        <v>235</v>
      </c>
      <c r="D21" s="27">
        <f>'Пр.3 Рд,пр, ЦС,ВР 20'!F233</f>
        <v>7764.9</v>
      </c>
      <c r="E21" s="362">
        <f>'Пр.3 Рд,пр, ЦС,ВР 20'!G233</f>
        <v>4417.8899999999994</v>
      </c>
      <c r="F21" s="239">
        <f t="shared" si="1"/>
        <v>56.895645790673413</v>
      </c>
    </row>
    <row r="22" spans="1:6" ht="15.75" x14ac:dyDescent="0.25">
      <c r="A22" s="47" t="s">
        <v>248</v>
      </c>
      <c r="B22" s="24" t="s">
        <v>166</v>
      </c>
      <c r="C22" s="24"/>
      <c r="D22" s="44">
        <f t="shared" ref="D22:E22" si="4">D23+D24+D25+D26</f>
        <v>8334.1</v>
      </c>
      <c r="E22" s="44">
        <f t="shared" si="4"/>
        <v>4645.0360000000001</v>
      </c>
      <c r="F22" s="93">
        <f t="shared" si="1"/>
        <v>55.735304351999616</v>
      </c>
    </row>
    <row r="23" spans="1:6" ht="15.75" x14ac:dyDescent="0.25">
      <c r="A23" s="95" t="s">
        <v>249</v>
      </c>
      <c r="B23" s="20" t="s">
        <v>166</v>
      </c>
      <c r="C23" s="20" t="s">
        <v>250</v>
      </c>
      <c r="D23" s="27">
        <f>'Пр.3 Рд,пр, ЦС,ВР 20'!F252</f>
        <v>306</v>
      </c>
      <c r="E23" s="362">
        <f>'Пр.3 Рд,пр, ЦС,ВР 20'!G252</f>
        <v>91.009999999999991</v>
      </c>
      <c r="F23" s="239">
        <f t="shared" si="1"/>
        <v>29.741830065359476</v>
      </c>
    </row>
    <row r="24" spans="1:6" ht="15.75" x14ac:dyDescent="0.25">
      <c r="A24" s="94" t="s">
        <v>521</v>
      </c>
      <c r="B24" s="20" t="s">
        <v>166</v>
      </c>
      <c r="C24" s="20" t="s">
        <v>315</v>
      </c>
      <c r="D24" s="27">
        <f>'Пр.3 Рд,пр, ЦС,ВР 20'!F265</f>
        <v>3258</v>
      </c>
      <c r="E24" s="362">
        <f>'Пр.3 Рд,пр, ЦС,ВР 20'!G265</f>
        <v>2116.4079999999999</v>
      </c>
      <c r="F24" s="239">
        <f t="shared" si="1"/>
        <v>64.960343769183552</v>
      </c>
    </row>
    <row r="25" spans="1:6" ht="15.75" x14ac:dyDescent="0.25">
      <c r="A25" s="94" t="s">
        <v>524</v>
      </c>
      <c r="B25" s="20" t="s">
        <v>166</v>
      </c>
      <c r="C25" s="20" t="s">
        <v>235</v>
      </c>
      <c r="D25" s="27">
        <f>'Пр.3 Рд,пр, ЦС,ВР 20'!F271</f>
        <v>3611.3</v>
      </c>
      <c r="E25" s="362">
        <f>'Пр.3 Рд,пр, ЦС,ВР 20'!G271</f>
        <v>2344.0680000000002</v>
      </c>
      <c r="F25" s="239">
        <f t="shared" si="1"/>
        <v>64.909257054246396</v>
      </c>
    </row>
    <row r="26" spans="1:6" ht="15.75" x14ac:dyDescent="0.25">
      <c r="A26" s="96" t="s">
        <v>253</v>
      </c>
      <c r="B26" s="20" t="s">
        <v>166</v>
      </c>
      <c r="C26" s="20" t="s">
        <v>254</v>
      </c>
      <c r="D26" s="27">
        <f>'Пр.3 Рд,пр, ЦС,ВР 20'!F285</f>
        <v>1158.8</v>
      </c>
      <c r="E26" s="362">
        <f>'Пр.3 Рд,пр, ЦС,ВР 20'!G285</f>
        <v>93.55</v>
      </c>
      <c r="F26" s="239">
        <f t="shared" si="1"/>
        <v>8.0730065585088031</v>
      </c>
    </row>
    <row r="27" spans="1:6" ht="15.75" x14ac:dyDescent="0.25">
      <c r="A27" s="47" t="s">
        <v>406</v>
      </c>
      <c r="B27" s="24" t="s">
        <v>250</v>
      </c>
      <c r="C27" s="24"/>
      <c r="D27" s="44">
        <f t="shared" ref="D27:E27" si="5">SUM(D28:D31)</f>
        <v>69066.720000000001</v>
      </c>
      <c r="E27" s="44">
        <f t="shared" si="5"/>
        <v>33575.248</v>
      </c>
      <c r="F27" s="93">
        <f t="shared" si="1"/>
        <v>48.612773271989752</v>
      </c>
    </row>
    <row r="28" spans="1:6" ht="15.75" x14ac:dyDescent="0.25">
      <c r="A28" s="95" t="s">
        <v>407</v>
      </c>
      <c r="B28" s="20" t="s">
        <v>250</v>
      </c>
      <c r="C28" s="20" t="s">
        <v>134</v>
      </c>
      <c r="D28" s="27">
        <f>'Пр.3 Рд,пр, ЦС,ВР 20'!F334</f>
        <v>7797.62</v>
      </c>
      <c r="E28" s="362">
        <f>'Пр.3 Рд,пр, ЦС,ВР 20'!G334</f>
        <v>4590.9400000000005</v>
      </c>
      <c r="F28" s="239">
        <f t="shared" si="1"/>
        <v>58.876169908254063</v>
      </c>
    </row>
    <row r="29" spans="1:6" ht="15.75" x14ac:dyDescent="0.25">
      <c r="A29" s="95" t="s">
        <v>533</v>
      </c>
      <c r="B29" s="20" t="s">
        <v>250</v>
      </c>
      <c r="C29" s="20" t="s">
        <v>229</v>
      </c>
      <c r="D29" s="27">
        <f>'Пр.3 Рд,пр, ЦС,ВР 20'!F351</f>
        <v>33276.800000000003</v>
      </c>
      <c r="E29" s="362">
        <f>'Пр.3 Рд,пр, ЦС,ВР 20'!G351</f>
        <v>11030.970000000001</v>
      </c>
      <c r="F29" s="239">
        <f t="shared" si="1"/>
        <v>33.149130926050589</v>
      </c>
    </row>
    <row r="30" spans="1:6" ht="15.75" x14ac:dyDescent="0.25">
      <c r="A30" s="94" t="s">
        <v>557</v>
      </c>
      <c r="B30" s="20" t="s">
        <v>250</v>
      </c>
      <c r="C30" s="20" t="s">
        <v>231</v>
      </c>
      <c r="D30" s="27">
        <f>'Пр.3 Рд,пр, ЦС,ВР 20'!F418</f>
        <v>4563.8</v>
      </c>
      <c r="E30" s="362">
        <f>'Пр.3 Рд,пр, ЦС,ВР 20'!G418</f>
        <v>1810.2570000000003</v>
      </c>
      <c r="F30" s="239">
        <f t="shared" si="1"/>
        <v>39.665563784565499</v>
      </c>
    </row>
    <row r="31" spans="1:6" ht="15.75" x14ac:dyDescent="0.25">
      <c r="A31" s="25" t="s">
        <v>585</v>
      </c>
      <c r="B31" s="20" t="s">
        <v>250</v>
      </c>
      <c r="C31" s="20" t="s">
        <v>250</v>
      </c>
      <c r="D31" s="27">
        <f>'Пр.3 Рд,пр, ЦС,ВР 20'!F469</f>
        <v>23428.5</v>
      </c>
      <c r="E31" s="362">
        <f>'Пр.3 Рд,пр, ЦС,ВР 20'!G469</f>
        <v>16143.080999999998</v>
      </c>
      <c r="F31" s="239">
        <f t="shared" si="1"/>
        <v>68.903604584160306</v>
      </c>
    </row>
    <row r="32" spans="1:6" ht="15.75" x14ac:dyDescent="0.25">
      <c r="A32" s="47" t="s">
        <v>279</v>
      </c>
      <c r="B32" s="24" t="s">
        <v>280</v>
      </c>
      <c r="C32" s="24"/>
      <c r="D32" s="44">
        <f t="shared" ref="D32:E32" si="6">SUM(D33:D37)</f>
        <v>375807.03757000004</v>
      </c>
      <c r="E32" s="44">
        <f t="shared" si="6"/>
        <v>243840.8996</v>
      </c>
      <c r="F32" s="93">
        <f t="shared" si="1"/>
        <v>64.884601729838749</v>
      </c>
    </row>
    <row r="33" spans="1:6" ht="15.75" x14ac:dyDescent="0.25">
      <c r="A33" s="94" t="s">
        <v>420</v>
      </c>
      <c r="B33" s="20" t="s">
        <v>280</v>
      </c>
      <c r="C33" s="20" t="s">
        <v>134</v>
      </c>
      <c r="D33" s="27">
        <f>'Пр.3 Рд,пр, ЦС,ВР 20'!F507</f>
        <v>111081.2</v>
      </c>
      <c r="E33" s="362">
        <f>'Пр.3 Рд,пр, ЦС,ВР 20'!G507</f>
        <v>69592.958599999998</v>
      </c>
      <c r="F33" s="239">
        <f t="shared" si="1"/>
        <v>62.650528262208184</v>
      </c>
    </row>
    <row r="34" spans="1:6" ht="15.75" x14ac:dyDescent="0.25">
      <c r="A34" s="94" t="s">
        <v>441</v>
      </c>
      <c r="B34" s="20" t="s">
        <v>280</v>
      </c>
      <c r="C34" s="20" t="s">
        <v>229</v>
      </c>
      <c r="D34" s="27">
        <f>'Пр.3 Рд,пр, ЦС,ВР 20'!F578</f>
        <v>183999.23757</v>
      </c>
      <c r="E34" s="362">
        <f>'Пр.3 Рд,пр, ЦС,ВР 20'!G578</f>
        <v>119573.52</v>
      </c>
      <c r="F34" s="239">
        <f t="shared" si="1"/>
        <v>64.985877973820351</v>
      </c>
    </row>
    <row r="35" spans="1:6" ht="15.75" x14ac:dyDescent="0.25">
      <c r="A35" s="94" t="s">
        <v>281</v>
      </c>
      <c r="B35" s="20" t="s">
        <v>280</v>
      </c>
      <c r="C35" s="20" t="s">
        <v>231</v>
      </c>
      <c r="D35" s="27">
        <f>'Пр.3 Рд,пр, ЦС,ВР 20'!F693</f>
        <v>52941.19999999999</v>
      </c>
      <c r="E35" s="362">
        <f>'Пр.3 Рд,пр, ЦС,ВР 20'!G693</f>
        <v>36822.002999999997</v>
      </c>
      <c r="F35" s="239">
        <f t="shared" si="1"/>
        <v>69.552641421048264</v>
      </c>
    </row>
    <row r="36" spans="1:6" ht="15.75" x14ac:dyDescent="0.25">
      <c r="A36" s="94" t="s">
        <v>482</v>
      </c>
      <c r="B36" s="20" t="s">
        <v>280</v>
      </c>
      <c r="C36" s="20" t="s">
        <v>280</v>
      </c>
      <c r="D36" s="27">
        <f>'Пр.3 Рд,пр, ЦС,ВР 20'!F770</f>
        <v>7138</v>
      </c>
      <c r="E36" s="362">
        <f>'Пр.3 Рд,пр, ЦС,ВР 20'!G770</f>
        <v>3909.627</v>
      </c>
      <c r="F36" s="239">
        <f t="shared" si="1"/>
        <v>54.772022975623422</v>
      </c>
    </row>
    <row r="37" spans="1:6" ht="15.75" x14ac:dyDescent="0.25">
      <c r="A37" s="94" t="s">
        <v>311</v>
      </c>
      <c r="B37" s="20" t="s">
        <v>280</v>
      </c>
      <c r="C37" s="20" t="s">
        <v>235</v>
      </c>
      <c r="D37" s="27">
        <f>'Пр.3 Рд,пр, ЦС,ВР 20'!F799</f>
        <v>20647.399999999998</v>
      </c>
      <c r="E37" s="362">
        <f>'Пр.3 Рд,пр, ЦС,ВР 20'!G799</f>
        <v>13942.790999999997</v>
      </c>
      <c r="F37" s="239">
        <f t="shared" si="1"/>
        <v>67.528071331015042</v>
      </c>
    </row>
    <row r="38" spans="1:6" ht="15.75" x14ac:dyDescent="0.25">
      <c r="A38" s="97" t="s">
        <v>314</v>
      </c>
      <c r="B38" s="24" t="s">
        <v>315</v>
      </c>
      <c r="C38" s="20"/>
      <c r="D38" s="44">
        <f t="shared" ref="D38:E38" si="7">D39+D40</f>
        <v>72207.323000000004</v>
      </c>
      <c r="E38" s="44">
        <f t="shared" si="7"/>
        <v>49312.207999999999</v>
      </c>
      <c r="F38" s="93">
        <f t="shared" si="1"/>
        <v>68.292530385041417</v>
      </c>
    </row>
    <row r="39" spans="1:6" ht="15.75" x14ac:dyDescent="0.25">
      <c r="A39" s="96" t="s">
        <v>316</v>
      </c>
      <c r="B39" s="20" t="s">
        <v>315</v>
      </c>
      <c r="C39" s="20" t="s">
        <v>134</v>
      </c>
      <c r="D39" s="27">
        <f>'Пр.3 Рд,пр, ЦС,ВР 20'!F827</f>
        <v>54306.523000000001</v>
      </c>
      <c r="E39" s="362">
        <f>'Пр.3 Рд,пр, ЦС,ВР 20'!G827</f>
        <v>37120.299999999996</v>
      </c>
      <c r="F39" s="239">
        <f t="shared" si="1"/>
        <v>68.353298921383711</v>
      </c>
    </row>
    <row r="40" spans="1:6" ht="15.75" x14ac:dyDescent="0.25">
      <c r="A40" s="96" t="s">
        <v>349</v>
      </c>
      <c r="B40" s="20" t="s">
        <v>315</v>
      </c>
      <c r="C40" s="20" t="s">
        <v>166</v>
      </c>
      <c r="D40" s="27">
        <f>'Пр.3 Рд,пр, ЦС,ВР 20'!F903</f>
        <v>17900.8</v>
      </c>
      <c r="E40" s="362">
        <f>'Пр.3 Рд,пр, ЦС,ВР 20'!G903</f>
        <v>12191.907999999999</v>
      </c>
      <c r="F40" s="239">
        <f t="shared" si="1"/>
        <v>68.108173936360387</v>
      </c>
    </row>
    <row r="41" spans="1:6" ht="15.75" x14ac:dyDescent="0.25">
      <c r="A41" s="47" t="s">
        <v>259</v>
      </c>
      <c r="B41" s="24" t="s">
        <v>260</v>
      </c>
      <c r="C41" s="24"/>
      <c r="D41" s="44">
        <f>SUM(D42:D45)</f>
        <v>16546.059999999998</v>
      </c>
      <c r="E41" s="44">
        <f t="shared" ref="E41" si="8">SUM(E42:E45)</f>
        <v>10540.94</v>
      </c>
      <c r="F41" s="93">
        <f t="shared" si="1"/>
        <v>63.706646778749757</v>
      </c>
    </row>
    <row r="42" spans="1:6" ht="15.75" x14ac:dyDescent="0.25">
      <c r="A42" s="94" t="s">
        <v>261</v>
      </c>
      <c r="B42" s="20" t="s">
        <v>260</v>
      </c>
      <c r="C42" s="20" t="s">
        <v>134</v>
      </c>
      <c r="D42" s="27">
        <f>'Пр.3 Рд,пр, ЦС,ВР 20'!F933</f>
        <v>9456</v>
      </c>
      <c r="E42" s="362">
        <f>'Пр.3 Рд,пр, ЦС,ВР 20'!G933</f>
        <v>7690.6</v>
      </c>
      <c r="F42" s="239">
        <f t="shared" si="1"/>
        <v>81.330372250423011</v>
      </c>
    </row>
    <row r="43" spans="1:6" ht="15.75" x14ac:dyDescent="0.25">
      <c r="A43" s="25" t="s">
        <v>268</v>
      </c>
      <c r="B43" s="20" t="s">
        <v>260</v>
      </c>
      <c r="C43" s="20" t="s">
        <v>231</v>
      </c>
      <c r="D43" s="27">
        <f>'Пр.3 Рд,пр, ЦС,ВР 20'!F939</f>
        <v>1922.9</v>
      </c>
      <c r="E43" s="362">
        <f>'Пр.3 Рд,пр, ЦС,ВР 20'!G939</f>
        <v>905.64</v>
      </c>
      <c r="F43" s="239">
        <f t="shared" si="1"/>
        <v>47.097612980394196</v>
      </c>
    </row>
    <row r="44" spans="1:6" s="213" customFormat="1" ht="15.75" x14ac:dyDescent="0.25">
      <c r="A44" s="25" t="s">
        <v>416</v>
      </c>
      <c r="B44" s="20" t="s">
        <v>260</v>
      </c>
      <c r="C44" s="20" t="s">
        <v>166</v>
      </c>
      <c r="D44" s="27">
        <f>'Пр.3 Рд,пр, ЦС,ВР 20'!F972</f>
        <v>1431.16</v>
      </c>
      <c r="E44" s="362">
        <f>'Пр.3 Рд,пр, ЦС,ВР 20'!G972</f>
        <v>0</v>
      </c>
      <c r="F44" s="239">
        <f t="shared" si="1"/>
        <v>0</v>
      </c>
    </row>
    <row r="45" spans="1:6" ht="15.75" x14ac:dyDescent="0.25">
      <c r="A45" s="25" t="s">
        <v>274</v>
      </c>
      <c r="B45" s="20" t="s">
        <v>260</v>
      </c>
      <c r="C45" s="20" t="s">
        <v>136</v>
      </c>
      <c r="D45" s="27">
        <f>'Пр.3 Рд,пр, ЦС,ВР 20'!F977</f>
        <v>3736</v>
      </c>
      <c r="E45" s="362">
        <f>'Пр.3 Рд,пр, ЦС,ВР 20'!G977</f>
        <v>1944.7</v>
      </c>
      <c r="F45" s="239">
        <f t="shared" si="1"/>
        <v>52.052997858672377</v>
      </c>
    </row>
    <row r="46" spans="1:6" ht="15.75" x14ac:dyDescent="0.25">
      <c r="A46" s="97" t="s">
        <v>506</v>
      </c>
      <c r="B46" s="24" t="s">
        <v>507</v>
      </c>
      <c r="C46" s="20"/>
      <c r="D46" s="44">
        <f t="shared" ref="D46:E46" si="9">D47+D48</f>
        <v>66142.130400000009</v>
      </c>
      <c r="E46" s="44">
        <f t="shared" si="9"/>
        <v>45822.797999999995</v>
      </c>
      <c r="F46" s="93">
        <f t="shared" si="1"/>
        <v>69.279289498059455</v>
      </c>
    </row>
    <row r="47" spans="1:6" ht="15.75" x14ac:dyDescent="0.25">
      <c r="A47" s="96" t="s">
        <v>508</v>
      </c>
      <c r="B47" s="20" t="s">
        <v>507</v>
      </c>
      <c r="C47" s="20" t="s">
        <v>134</v>
      </c>
      <c r="D47" s="27">
        <f>'Пр.3 Рд,пр, ЦС,ВР 20'!F991</f>
        <v>53175.930400000005</v>
      </c>
      <c r="E47" s="362">
        <f>'Пр.3 Рд,пр, ЦС,ВР 20'!G991</f>
        <v>37642.988999999994</v>
      </c>
      <c r="F47" s="239">
        <f t="shared" si="1"/>
        <v>70.789525856608222</v>
      </c>
    </row>
    <row r="48" spans="1:6" ht="15.75" x14ac:dyDescent="0.25">
      <c r="A48" s="96" t="s">
        <v>516</v>
      </c>
      <c r="B48" s="20" t="s">
        <v>507</v>
      </c>
      <c r="C48" s="20" t="s">
        <v>250</v>
      </c>
      <c r="D48" s="27">
        <f>'Пр.3 Рд,пр, ЦС,ВР 20'!F1053</f>
        <v>12966.2</v>
      </c>
      <c r="E48" s="362">
        <f>'Пр.3 Рд,пр, ЦС,ВР 20'!G1053</f>
        <v>8179.8089999999993</v>
      </c>
      <c r="F48" s="239">
        <f t="shared" si="1"/>
        <v>63.085630331168716</v>
      </c>
    </row>
    <row r="49" spans="1:6" ht="15.75" x14ac:dyDescent="0.25">
      <c r="A49" s="19" t="s">
        <v>598</v>
      </c>
      <c r="B49" s="24" t="s">
        <v>254</v>
      </c>
      <c r="C49" s="20"/>
      <c r="D49" s="44">
        <f t="shared" ref="D49:E49" si="10">D50</f>
        <v>6721</v>
      </c>
      <c r="E49" s="44">
        <f t="shared" si="10"/>
        <v>4744.5079999999998</v>
      </c>
      <c r="F49" s="93">
        <f t="shared" si="1"/>
        <v>70.592292813569401</v>
      </c>
    </row>
    <row r="50" spans="1:6" ht="15.75" x14ac:dyDescent="0.25">
      <c r="A50" s="31" t="s">
        <v>599</v>
      </c>
      <c r="B50" s="20" t="s">
        <v>254</v>
      </c>
      <c r="C50" s="20" t="s">
        <v>229</v>
      </c>
      <c r="D50" s="27">
        <f>'Пр.3 Рд,пр, ЦС,ВР 20'!F1083</f>
        <v>6721</v>
      </c>
      <c r="E50" s="362">
        <f>'Пр.3 Рд,пр, ЦС,ВР 20'!G1083</f>
        <v>4744.5079999999998</v>
      </c>
      <c r="F50" s="239">
        <f t="shared" si="1"/>
        <v>70.592292813569401</v>
      </c>
    </row>
    <row r="51" spans="1:6" ht="15.75" x14ac:dyDescent="0.25">
      <c r="A51" s="92" t="s">
        <v>695</v>
      </c>
      <c r="B51" s="24"/>
      <c r="C51" s="24"/>
      <c r="D51" s="44">
        <f>D11+D20+D22+D27+D32+D38+D41+D46+D49+D18</f>
        <v>766412.57097000012</v>
      </c>
      <c r="E51" s="44">
        <f t="shared" ref="E51" si="11">E11+E20+E22+E27+E32+E38+E41+E46+E49+E18</f>
        <v>496611.34960000002</v>
      </c>
      <c r="F51" s="93">
        <f t="shared" si="1"/>
        <v>64.796868998569565</v>
      </c>
    </row>
    <row r="52" spans="1:6" hidden="1" x14ac:dyDescent="0.25">
      <c r="D52">
        <f>'Пр.4 ведом.20'!G1196</f>
        <v>766412.57097</v>
      </c>
      <c r="E52" s="357">
        <f>'Пр.4 ведом.20'!H1196</f>
        <v>496611.34960000002</v>
      </c>
      <c r="F52" s="357">
        <f>'Пр.4 ведом.20'!I1196</f>
        <v>64.796868998569579</v>
      </c>
    </row>
    <row r="53" spans="1:6" hidden="1" x14ac:dyDescent="0.25">
      <c r="D53" s="22">
        <f t="shared" ref="D53:F53" si="12">D52-D51</f>
        <v>0</v>
      </c>
      <c r="E53" s="22">
        <f t="shared" si="12"/>
        <v>0</v>
      </c>
      <c r="F53" s="22">
        <f t="shared" si="12"/>
        <v>0</v>
      </c>
    </row>
    <row r="54" spans="1:6" hidden="1" x14ac:dyDescent="0.25">
      <c r="D54" s="234">
        <f>пр.1дох.20!C176</f>
        <v>741784.67200000002</v>
      </c>
      <c r="E54" s="234">
        <f>пр.1дох.20!D176</f>
        <v>502766.43205999996</v>
      </c>
      <c r="F54" s="234">
        <f>пр.1дох.20!E176</f>
        <v>67.777948377450429</v>
      </c>
    </row>
    <row r="55" spans="1:6" hidden="1" x14ac:dyDescent="0.25">
      <c r="D55" s="234">
        <f>D54-D51</f>
        <v>-24627.898970000097</v>
      </c>
      <c r="E55" s="234">
        <f t="shared" ref="E55:F55" si="13">E54-E51</f>
        <v>6155.0824599999469</v>
      </c>
      <c r="F55" s="234">
        <f t="shared" si="13"/>
        <v>2.9810793788808638</v>
      </c>
    </row>
  </sheetData>
  <mergeCells count="3">
    <mergeCell ref="A5:D5"/>
    <mergeCell ref="A7:F7"/>
    <mergeCell ref="A8:F8"/>
  </mergeCells>
  <pageMargins left="0.23622047244094491" right="0.23622047244094491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E2" sqref="E2"/>
    </sheetView>
  </sheetViews>
  <sheetFormatPr defaultRowHeight="15" x14ac:dyDescent="0.25"/>
  <cols>
    <col min="1" max="1" width="65.140625" customWidth="1"/>
    <col min="2" max="2" width="7" customWidth="1"/>
    <col min="3" max="3" width="6" customWidth="1"/>
    <col min="4" max="4" width="13.7109375" customWidth="1"/>
    <col min="5" max="5" width="15.5703125" customWidth="1"/>
  </cols>
  <sheetData>
    <row r="1" spans="1:7" ht="15.75" x14ac:dyDescent="0.25">
      <c r="A1" s="11"/>
      <c r="B1" s="213"/>
      <c r="C1" s="11"/>
      <c r="D1" s="213"/>
      <c r="E1" s="130" t="s">
        <v>1470</v>
      </c>
    </row>
    <row r="2" spans="1:7" ht="15.75" x14ac:dyDescent="0.25">
      <c r="A2" s="11"/>
      <c r="B2" s="213"/>
      <c r="C2" s="11"/>
      <c r="D2" s="213"/>
      <c r="E2" s="130" t="s">
        <v>1</v>
      </c>
    </row>
    <row r="3" spans="1:7" ht="18.75" x14ac:dyDescent="0.3">
      <c r="A3" s="11"/>
      <c r="B3" s="155"/>
      <c r="C3" s="11"/>
      <c r="D3" s="213"/>
      <c r="E3" s="130" t="s">
        <v>1536</v>
      </c>
    </row>
    <row r="4" spans="1:7" s="324" customFormat="1" ht="18.75" x14ac:dyDescent="0.3">
      <c r="A4" s="11"/>
      <c r="B4" s="155"/>
      <c r="C4" s="11"/>
      <c r="E4" s="130"/>
    </row>
    <row r="5" spans="1:7" ht="15.75" x14ac:dyDescent="0.25">
      <c r="A5" s="402" t="s">
        <v>1348</v>
      </c>
      <c r="B5" s="402"/>
      <c r="C5" s="402"/>
      <c r="D5" s="402"/>
      <c r="E5" s="402"/>
    </row>
    <row r="6" spans="1:7" ht="15.75" x14ac:dyDescent="0.25">
      <c r="A6" s="402" t="s">
        <v>1349</v>
      </c>
      <c r="B6" s="402"/>
      <c r="C6" s="402"/>
      <c r="D6" s="402"/>
      <c r="E6" s="402"/>
    </row>
    <row r="7" spans="1:7" ht="15.75" x14ac:dyDescent="0.25">
      <c r="A7" s="402" t="s">
        <v>1350</v>
      </c>
      <c r="B7" s="402"/>
      <c r="C7" s="402"/>
      <c r="D7" s="402"/>
      <c r="E7" s="402"/>
    </row>
    <row r="8" spans="1:7" ht="15.75" x14ac:dyDescent="0.25">
      <c r="A8" s="403"/>
      <c r="B8" s="404"/>
      <c r="C8" s="404"/>
      <c r="D8" s="213"/>
      <c r="E8" s="213"/>
    </row>
    <row r="9" spans="1:7" x14ac:dyDescent="0.25">
      <c r="A9" s="213"/>
      <c r="B9" s="90"/>
      <c r="C9" s="90"/>
      <c r="D9" s="213"/>
      <c r="E9" s="193" t="s">
        <v>2</v>
      </c>
    </row>
    <row r="10" spans="1:7" ht="31.5" x14ac:dyDescent="0.25">
      <c r="A10" s="91" t="s">
        <v>692</v>
      </c>
      <c r="B10" s="91" t="s">
        <v>693</v>
      </c>
      <c r="C10" s="91" t="s">
        <v>694</v>
      </c>
      <c r="D10" s="235" t="s">
        <v>1193</v>
      </c>
      <c r="E10" s="235" t="s">
        <v>1194</v>
      </c>
    </row>
    <row r="11" spans="1:7" ht="15.75" x14ac:dyDescent="0.25">
      <c r="A11" s="47" t="s">
        <v>133</v>
      </c>
      <c r="B11" s="24" t="s">
        <v>134</v>
      </c>
      <c r="C11" s="92"/>
      <c r="D11" s="93">
        <f>SUM(D12:D17)</f>
        <v>142238.12</v>
      </c>
      <c r="E11" s="93">
        <f>SUM(E12:E17)</f>
        <v>147123.02000000002</v>
      </c>
      <c r="G11" s="22"/>
    </row>
    <row r="12" spans="1:7" ht="31.5" x14ac:dyDescent="0.25">
      <c r="A12" s="31" t="s">
        <v>591</v>
      </c>
      <c r="B12" s="20" t="s">
        <v>134</v>
      </c>
      <c r="C12" s="20" t="s">
        <v>229</v>
      </c>
      <c r="D12" s="239">
        <f>'пр.4.1.рдпрцс 21-22'!F9</f>
        <v>4268.5</v>
      </c>
      <c r="E12" s="239">
        <f>'пр.4.1.рдпрцс 21-22'!G9</f>
        <v>4268.5</v>
      </c>
    </row>
    <row r="13" spans="1:7" ht="47.25" x14ac:dyDescent="0.25">
      <c r="A13" s="31" t="s">
        <v>594</v>
      </c>
      <c r="B13" s="20" t="s">
        <v>134</v>
      </c>
      <c r="C13" s="20" t="s">
        <v>231</v>
      </c>
      <c r="D13" s="239">
        <f>'пр.4.1.рдпрцс 21-22'!F28</f>
        <v>1091</v>
      </c>
      <c r="E13" s="239">
        <f>'пр.4.1.рдпрцс 21-22'!G28</f>
        <v>1091</v>
      </c>
    </row>
    <row r="14" spans="1:7" ht="47.25" x14ac:dyDescent="0.25">
      <c r="A14" s="25" t="s">
        <v>165</v>
      </c>
      <c r="B14" s="20" t="s">
        <v>134</v>
      </c>
      <c r="C14" s="20" t="s">
        <v>166</v>
      </c>
      <c r="D14" s="239">
        <f>'пр.4.1.рдпрцс 21-22'!F39</f>
        <v>62536.4</v>
      </c>
      <c r="E14" s="239">
        <f>'пр.4.1.рдпрцс 21-22'!G39</f>
        <v>62593.1</v>
      </c>
    </row>
    <row r="15" spans="1:7" ht="47.25" x14ac:dyDescent="0.25">
      <c r="A15" s="25" t="s">
        <v>135</v>
      </c>
      <c r="B15" s="20" t="s">
        <v>134</v>
      </c>
      <c r="C15" s="20" t="s">
        <v>136</v>
      </c>
      <c r="D15" s="239">
        <f>'пр.4.1.рдпрцс 21-22'!F97</f>
        <v>15283.5</v>
      </c>
      <c r="E15" s="239">
        <f>'пр.4.1.рдпрцс 21-22'!G97</f>
        <v>15283.5</v>
      </c>
    </row>
    <row r="16" spans="1:7" s="213" customFormat="1" ht="15.75" hidden="1" x14ac:dyDescent="0.25">
      <c r="A16" s="25" t="s">
        <v>1368</v>
      </c>
      <c r="B16" s="20" t="s">
        <v>134</v>
      </c>
      <c r="C16" s="20" t="s">
        <v>280</v>
      </c>
      <c r="D16" s="239">
        <f>'пр.4.1.рдпрцс 21-22'!F119</f>
        <v>0</v>
      </c>
      <c r="E16" s="239">
        <f>'пр.4.1.рдпрцс 21-22'!G119</f>
        <v>0</v>
      </c>
    </row>
    <row r="17" spans="1:5" ht="15.75" x14ac:dyDescent="0.25">
      <c r="A17" s="94" t="s">
        <v>155</v>
      </c>
      <c r="B17" s="20" t="s">
        <v>134</v>
      </c>
      <c r="C17" s="20" t="s">
        <v>156</v>
      </c>
      <c r="D17" s="239">
        <f>'пр.4.1.рдпрцс 21-22'!F127</f>
        <v>59058.720000000001</v>
      </c>
      <c r="E17" s="239">
        <f>'пр.4.1.рдпрцс 21-22'!G127</f>
        <v>63886.92</v>
      </c>
    </row>
    <row r="18" spans="1:5" ht="15.75" hidden="1" x14ac:dyDescent="0.25">
      <c r="A18" s="19" t="s">
        <v>228</v>
      </c>
      <c r="B18" s="24" t="s">
        <v>229</v>
      </c>
      <c r="C18" s="20"/>
      <c r="D18" s="93">
        <f>'пр.2 Рд,пр 20'!D18</f>
        <v>0</v>
      </c>
      <c r="E18" s="93">
        <f>'пр.2 Рд,пр 20'!E18</f>
        <v>0</v>
      </c>
    </row>
    <row r="19" spans="1:5" ht="15.75" hidden="1" x14ac:dyDescent="0.25">
      <c r="A19" s="25" t="s">
        <v>234</v>
      </c>
      <c r="B19" s="20" t="s">
        <v>229</v>
      </c>
      <c r="C19" s="20" t="s">
        <v>235</v>
      </c>
      <c r="D19" s="239">
        <f>'пр.2 Рд,пр 20'!D19</f>
        <v>0</v>
      </c>
      <c r="E19" s="239">
        <f>'пр.2 Рд,пр 20'!E19</f>
        <v>0</v>
      </c>
    </row>
    <row r="20" spans="1:5" ht="31.5" x14ac:dyDescent="0.25">
      <c r="A20" s="34" t="s">
        <v>238</v>
      </c>
      <c r="B20" s="24" t="s">
        <v>231</v>
      </c>
      <c r="C20" s="24"/>
      <c r="D20" s="93">
        <f>D21</f>
        <v>8029</v>
      </c>
      <c r="E20" s="93">
        <f>E21</f>
        <v>8029</v>
      </c>
    </row>
    <row r="21" spans="1:5" ht="31.5" x14ac:dyDescent="0.25">
      <c r="A21" s="31" t="s">
        <v>239</v>
      </c>
      <c r="B21" s="20" t="s">
        <v>231</v>
      </c>
      <c r="C21" s="20" t="s">
        <v>235</v>
      </c>
      <c r="D21" s="239">
        <f>'пр.4.1.рдпрцс 21-22'!F223</f>
        <v>8029</v>
      </c>
      <c r="E21" s="239">
        <f>'пр.4.1.рдпрцс 21-22'!G223</f>
        <v>8029</v>
      </c>
    </row>
    <row r="22" spans="1:5" ht="15.75" x14ac:dyDescent="0.25">
      <c r="A22" s="47" t="s">
        <v>248</v>
      </c>
      <c r="B22" s="24" t="s">
        <v>166</v>
      </c>
      <c r="C22" s="24"/>
      <c r="D22" s="93">
        <f>SUM(D23:D26)</f>
        <v>7611.8</v>
      </c>
      <c r="E22" s="93">
        <f>SUM(E23:E26)</f>
        <v>7579.5</v>
      </c>
    </row>
    <row r="23" spans="1:5" ht="15.75" x14ac:dyDescent="0.25">
      <c r="A23" s="95" t="s">
        <v>249</v>
      </c>
      <c r="B23" s="20" t="s">
        <v>166</v>
      </c>
      <c r="C23" s="20" t="s">
        <v>250</v>
      </c>
      <c r="D23" s="239">
        <f>'пр.4.1.рдпрцс 21-22'!F242</f>
        <v>306</v>
      </c>
      <c r="E23" s="239">
        <f>'пр.4.1.рдпрцс 21-22'!G242</f>
        <v>306</v>
      </c>
    </row>
    <row r="24" spans="1:5" ht="15.75" x14ac:dyDescent="0.25">
      <c r="A24" s="94" t="s">
        <v>521</v>
      </c>
      <c r="B24" s="20" t="s">
        <v>166</v>
      </c>
      <c r="C24" s="20" t="s">
        <v>315</v>
      </c>
      <c r="D24" s="239">
        <f>'пр.4.1.рдпрцс 21-22'!F255</f>
        <v>3258</v>
      </c>
      <c r="E24" s="239">
        <f>'пр.4.1.рдпрцс 21-22'!G255</f>
        <v>3258</v>
      </c>
    </row>
    <row r="25" spans="1:5" ht="15.75" x14ac:dyDescent="0.25">
      <c r="A25" s="94" t="s">
        <v>524</v>
      </c>
      <c r="B25" s="20" t="s">
        <v>166</v>
      </c>
      <c r="C25" s="20" t="s">
        <v>235</v>
      </c>
      <c r="D25" s="239">
        <f>'пр.4.1.рдпрцс 21-22'!F261</f>
        <v>3189</v>
      </c>
      <c r="E25" s="239">
        <f>'пр.4.1.рдпрцс 21-22'!G261</f>
        <v>3278</v>
      </c>
    </row>
    <row r="26" spans="1:5" ht="15.75" x14ac:dyDescent="0.25">
      <c r="A26" s="96" t="s">
        <v>253</v>
      </c>
      <c r="B26" s="20" t="s">
        <v>166</v>
      </c>
      <c r="C26" s="20" t="s">
        <v>254</v>
      </c>
      <c r="D26" s="239">
        <f>'пр.4.1.рдпрцс 21-22'!F273</f>
        <v>858.8</v>
      </c>
      <c r="E26" s="239">
        <f>'пр.4.1.рдпрцс 21-22'!G273</f>
        <v>737.5</v>
      </c>
    </row>
    <row r="27" spans="1:5" ht="15.75" x14ac:dyDescent="0.25">
      <c r="A27" s="47" t="s">
        <v>406</v>
      </c>
      <c r="B27" s="24" t="s">
        <v>250</v>
      </c>
      <c r="C27" s="24"/>
      <c r="D27" s="93">
        <f>SUM(D28:D31)</f>
        <v>38717.5</v>
      </c>
      <c r="E27" s="93">
        <f>SUM(E28:E31)</f>
        <v>44867.9</v>
      </c>
    </row>
    <row r="28" spans="1:5" ht="15.75" x14ac:dyDescent="0.25">
      <c r="A28" s="95" t="s">
        <v>407</v>
      </c>
      <c r="B28" s="20" t="s">
        <v>250</v>
      </c>
      <c r="C28" s="20" t="s">
        <v>134</v>
      </c>
      <c r="D28" s="239">
        <f>'пр.4.1.рдпрцс 21-22'!F317</f>
        <v>6341</v>
      </c>
      <c r="E28" s="239">
        <f>'пр.4.1.рдпрцс 21-22'!G317</f>
        <v>6341</v>
      </c>
    </row>
    <row r="29" spans="1:5" ht="15.75" x14ac:dyDescent="0.25">
      <c r="A29" s="95" t="s">
        <v>533</v>
      </c>
      <c r="B29" s="20" t="s">
        <v>250</v>
      </c>
      <c r="C29" s="20" t="s">
        <v>229</v>
      </c>
      <c r="D29" s="239">
        <f>'пр.4.1.рдпрцс 21-22'!F331</f>
        <v>5935</v>
      </c>
      <c r="E29" s="239">
        <f>'пр.4.1.рдпрцс 21-22'!G331</f>
        <v>4693.3999999999996</v>
      </c>
    </row>
    <row r="30" spans="1:5" ht="15.75" x14ac:dyDescent="0.25">
      <c r="A30" s="94" t="s">
        <v>557</v>
      </c>
      <c r="B30" s="20" t="s">
        <v>250</v>
      </c>
      <c r="C30" s="20" t="s">
        <v>231</v>
      </c>
      <c r="D30" s="239">
        <f>'пр.4.1.рдпрцс 21-22'!F395</f>
        <v>4134.5</v>
      </c>
      <c r="E30" s="239">
        <f>'пр.4.1.рдпрцс 21-22'!G395</f>
        <v>11526.5</v>
      </c>
    </row>
    <row r="31" spans="1:5" ht="15.75" x14ac:dyDescent="0.25">
      <c r="A31" s="25" t="s">
        <v>585</v>
      </c>
      <c r="B31" s="20" t="s">
        <v>250</v>
      </c>
      <c r="C31" s="20" t="s">
        <v>250</v>
      </c>
      <c r="D31" s="239">
        <f>'пр.4.1.рдпрцс 21-22'!F444</f>
        <v>22307</v>
      </c>
      <c r="E31" s="239">
        <f>'пр.4.1.рдпрцс 21-22'!G444</f>
        <v>22307</v>
      </c>
    </row>
    <row r="32" spans="1:5" ht="15.75" x14ac:dyDescent="0.25">
      <c r="A32" s="47" t="s">
        <v>279</v>
      </c>
      <c r="B32" s="24" t="s">
        <v>280</v>
      </c>
      <c r="C32" s="24"/>
      <c r="D32" s="93">
        <f>SUM(D33:D37)</f>
        <v>383473.10000000003</v>
      </c>
      <c r="E32" s="93">
        <f>SUM(E33:E37)</f>
        <v>383281.60000000003</v>
      </c>
    </row>
    <row r="33" spans="1:7" ht="15.75" x14ac:dyDescent="0.25">
      <c r="A33" s="94" t="s">
        <v>420</v>
      </c>
      <c r="B33" s="20" t="s">
        <v>280</v>
      </c>
      <c r="C33" s="20" t="s">
        <v>134</v>
      </c>
      <c r="D33" s="239">
        <f>'пр.4.1.рдпрцс 21-22'!F480</f>
        <v>109970.90000000001</v>
      </c>
      <c r="E33" s="239">
        <f>'пр.4.1.рдпрцс 21-22'!G480</f>
        <v>109970.90000000001</v>
      </c>
    </row>
    <row r="34" spans="1:7" ht="15.75" x14ac:dyDescent="0.25">
      <c r="A34" s="94" t="s">
        <v>441</v>
      </c>
      <c r="B34" s="20" t="s">
        <v>280</v>
      </c>
      <c r="C34" s="20" t="s">
        <v>229</v>
      </c>
      <c r="D34" s="239">
        <f>'пр.4.1.рдпрцс 21-22'!F551</f>
        <v>194965.7</v>
      </c>
      <c r="E34" s="239">
        <f>'пр.4.1.рдпрцс 21-22'!G551</f>
        <v>194774.2</v>
      </c>
    </row>
    <row r="35" spans="1:7" ht="15.75" x14ac:dyDescent="0.25">
      <c r="A35" s="94" t="s">
        <v>281</v>
      </c>
      <c r="B35" s="20" t="s">
        <v>280</v>
      </c>
      <c r="C35" s="20" t="s">
        <v>231</v>
      </c>
      <c r="D35" s="239">
        <f>'пр.4.1.рдпрцс 21-22'!F635</f>
        <v>52141.599999999991</v>
      </c>
      <c r="E35" s="239">
        <f>'пр.4.1.рдпрцс 21-22'!G635</f>
        <v>52141.599999999991</v>
      </c>
    </row>
    <row r="36" spans="1:7" ht="15.75" x14ac:dyDescent="0.25">
      <c r="A36" s="94" t="s">
        <v>482</v>
      </c>
      <c r="B36" s="20" t="s">
        <v>280</v>
      </c>
      <c r="C36" s="20" t="s">
        <v>280</v>
      </c>
      <c r="D36" s="239">
        <f>'пр.4.1.рдпрцс 21-22'!F709</f>
        <v>6564.9</v>
      </c>
      <c r="E36" s="239">
        <f>'пр.4.1.рдпрцс 21-22'!G709</f>
        <v>6564.9</v>
      </c>
    </row>
    <row r="37" spans="1:7" ht="15.75" x14ac:dyDescent="0.25">
      <c r="A37" s="94" t="s">
        <v>311</v>
      </c>
      <c r="B37" s="20" t="s">
        <v>280</v>
      </c>
      <c r="C37" s="20" t="s">
        <v>235</v>
      </c>
      <c r="D37" s="239">
        <f>'пр.4.1.рдпрцс 21-22'!F738</f>
        <v>19830</v>
      </c>
      <c r="E37" s="239">
        <f>'пр.4.1.рдпрцс 21-22'!G738</f>
        <v>19830</v>
      </c>
    </row>
    <row r="38" spans="1:7" ht="15.75" x14ac:dyDescent="0.25">
      <c r="A38" s="97" t="s">
        <v>314</v>
      </c>
      <c r="B38" s="24" t="s">
        <v>315</v>
      </c>
      <c r="C38" s="20"/>
      <c r="D38" s="93">
        <f>SUM(D39:D40)</f>
        <v>70268.512000000002</v>
      </c>
      <c r="E38" s="93">
        <f>SUM(E39:E40)</f>
        <v>67994.2</v>
      </c>
    </row>
    <row r="39" spans="1:7" ht="15.75" x14ac:dyDescent="0.25">
      <c r="A39" s="96" t="s">
        <v>316</v>
      </c>
      <c r="B39" s="20" t="s">
        <v>315</v>
      </c>
      <c r="C39" s="20" t="s">
        <v>134</v>
      </c>
      <c r="D39" s="239">
        <f>'пр.4.1.рдпрцс 21-22'!F766</f>
        <v>52929.512000000002</v>
      </c>
      <c r="E39" s="239">
        <f>'пр.4.1.рдпрцс 21-22'!G766</f>
        <v>50655.199999999997</v>
      </c>
    </row>
    <row r="40" spans="1:7" ht="15.75" x14ac:dyDescent="0.25">
      <c r="A40" s="96" t="s">
        <v>349</v>
      </c>
      <c r="B40" s="20" t="s">
        <v>315</v>
      </c>
      <c r="C40" s="20" t="s">
        <v>166</v>
      </c>
      <c r="D40" s="239">
        <f>'пр.4.1.рдпрцс 21-22'!F839</f>
        <v>17339</v>
      </c>
      <c r="E40" s="239">
        <f>'пр.4.1.рдпрцс 21-22'!G839</f>
        <v>17339</v>
      </c>
    </row>
    <row r="41" spans="1:7" ht="15.75" x14ac:dyDescent="0.25">
      <c r="A41" s="47" t="s">
        <v>259</v>
      </c>
      <c r="B41" s="24" t="s">
        <v>260</v>
      </c>
      <c r="C41" s="24"/>
      <c r="D41" s="93">
        <f>SUM(D42:D44)</f>
        <v>19998.400000000001</v>
      </c>
      <c r="E41" s="93">
        <f>SUM(E42:E44)</f>
        <v>15008.4</v>
      </c>
      <c r="G41" s="22"/>
    </row>
    <row r="42" spans="1:7" ht="15.75" x14ac:dyDescent="0.25">
      <c r="A42" s="94" t="s">
        <v>261</v>
      </c>
      <c r="B42" s="20" t="s">
        <v>260</v>
      </c>
      <c r="C42" s="20" t="s">
        <v>134</v>
      </c>
      <c r="D42" s="239">
        <f>'пр.4.1.рдпрцс 21-22'!F869</f>
        <v>9456</v>
      </c>
      <c r="E42" s="239">
        <f>'пр.4.1.рдпрцс 21-22'!G869</f>
        <v>9456</v>
      </c>
    </row>
    <row r="43" spans="1:7" ht="15.75" x14ac:dyDescent="0.25">
      <c r="A43" s="25" t="s">
        <v>268</v>
      </c>
      <c r="B43" s="20" t="s">
        <v>260</v>
      </c>
      <c r="C43" s="20" t="s">
        <v>231</v>
      </c>
      <c r="D43" s="239">
        <f>'пр.4.1.рдпрцс 21-22'!F875</f>
        <v>6834</v>
      </c>
      <c r="E43" s="239">
        <f>'пр.4.1.рдпрцс 21-22'!G875</f>
        <v>1844</v>
      </c>
    </row>
    <row r="44" spans="1:7" ht="15.75" x14ac:dyDescent="0.25">
      <c r="A44" s="25" t="s">
        <v>274</v>
      </c>
      <c r="B44" s="20" t="s">
        <v>260</v>
      </c>
      <c r="C44" s="20" t="s">
        <v>136</v>
      </c>
      <c r="D44" s="239">
        <f>'пр.4.1.рдпрцс 21-22'!F911</f>
        <v>3708.4</v>
      </c>
      <c r="E44" s="239">
        <f>'пр.4.1.рдпрцс 21-22'!G911</f>
        <v>3708.4</v>
      </c>
    </row>
    <row r="45" spans="1:7" ht="15.75" x14ac:dyDescent="0.25">
      <c r="A45" s="97" t="s">
        <v>506</v>
      </c>
      <c r="B45" s="24" t="s">
        <v>507</v>
      </c>
      <c r="C45" s="20"/>
      <c r="D45" s="93">
        <f>SUM(D46:D47)</f>
        <v>58735.6</v>
      </c>
      <c r="E45" s="93">
        <f>SUM(E46:E47)</f>
        <v>58735.6</v>
      </c>
      <c r="G45" s="22"/>
    </row>
    <row r="46" spans="1:7" ht="15.75" x14ac:dyDescent="0.25">
      <c r="A46" s="96" t="s">
        <v>508</v>
      </c>
      <c r="B46" s="20" t="s">
        <v>507</v>
      </c>
      <c r="C46" s="20" t="s">
        <v>134</v>
      </c>
      <c r="D46" s="239">
        <f>'пр.4.1.рдпрцс 21-22'!F925</f>
        <v>46979.6</v>
      </c>
      <c r="E46" s="239">
        <f>'пр.4.1.рдпрцс 21-22'!G925</f>
        <v>46979.6</v>
      </c>
    </row>
    <row r="47" spans="1:7" ht="15.75" x14ac:dyDescent="0.25">
      <c r="A47" s="96" t="s">
        <v>516</v>
      </c>
      <c r="B47" s="20" t="s">
        <v>507</v>
      </c>
      <c r="C47" s="20" t="s">
        <v>250</v>
      </c>
      <c r="D47" s="239">
        <f>'пр.4.1.рдпрцс 21-22'!F964</f>
        <v>11756</v>
      </c>
      <c r="E47" s="239">
        <f>'пр.4.1.рдпрцс 21-22'!G964</f>
        <v>11756</v>
      </c>
    </row>
    <row r="48" spans="1:7" ht="15.75" x14ac:dyDescent="0.25">
      <c r="A48" s="19" t="s">
        <v>598</v>
      </c>
      <c r="B48" s="24" t="s">
        <v>254</v>
      </c>
      <c r="C48" s="20"/>
      <c r="D48" s="93">
        <f>D49</f>
        <v>5479</v>
      </c>
      <c r="E48" s="93">
        <f>E49</f>
        <v>5479</v>
      </c>
    </row>
    <row r="49" spans="1:7" ht="15.75" x14ac:dyDescent="0.25">
      <c r="A49" s="31" t="s">
        <v>599</v>
      </c>
      <c r="B49" s="20" t="s">
        <v>254</v>
      </c>
      <c r="C49" s="20" t="s">
        <v>229</v>
      </c>
      <c r="D49" s="239">
        <f>'пр.4.1.рдпрцс 21-22'!F994</f>
        <v>5479</v>
      </c>
      <c r="E49" s="239">
        <f>'пр.4.1.рдпрцс 21-22'!G994</f>
        <v>5479</v>
      </c>
    </row>
    <row r="50" spans="1:7" ht="15.75" x14ac:dyDescent="0.25">
      <c r="A50" s="92" t="s">
        <v>695</v>
      </c>
      <c r="B50" s="24"/>
      <c r="C50" s="24"/>
      <c r="D50" s="93">
        <f>D11+D20+D22+D27+D32+D38+D41+D45+D48</f>
        <v>734551.03200000001</v>
      </c>
      <c r="E50" s="93">
        <f>E11+E20+E22+E27+E32+E38+E41+E45+E48</f>
        <v>738098.22</v>
      </c>
      <c r="G50" s="22"/>
    </row>
    <row r="52" spans="1:7" hidden="1" x14ac:dyDescent="0.25">
      <c r="D52" s="246">
        <f>'Пр.1.1. дох.21-22'!C149</f>
        <v>717267.50399999996</v>
      </c>
      <c r="E52">
        <f>'Пр.1.1. дох.21-22'!D149</f>
        <v>721014.69200000004</v>
      </c>
    </row>
    <row r="53" spans="1:7" hidden="1" x14ac:dyDescent="0.25"/>
    <row r="54" spans="1:7" hidden="1" x14ac:dyDescent="0.25">
      <c r="D54" s="246">
        <f>D52-D50</f>
        <v>-17283.528000000049</v>
      </c>
      <c r="E54" s="246">
        <f>E52-E50</f>
        <v>-17083.527999999933</v>
      </c>
    </row>
  </sheetData>
  <mergeCells count="4">
    <mergeCell ref="A5:E5"/>
    <mergeCell ref="A6:E6"/>
    <mergeCell ref="A7:E7"/>
    <mergeCell ref="A8:C8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5"/>
  <sheetViews>
    <sheetView view="pageBreakPreview" topLeftCell="A1088" zoomScaleNormal="100" zoomScaleSheetLayoutView="100" workbookViewId="0">
      <selection activeCell="F344" sqref="F344"/>
    </sheetView>
  </sheetViews>
  <sheetFormatPr defaultRowHeight="15" x14ac:dyDescent="0.25"/>
  <cols>
    <col min="1" max="1" width="54.42578125" customWidth="1"/>
    <col min="2" max="2" width="5.85546875" customWidth="1"/>
    <col min="3" max="3" width="5.42578125" customWidth="1"/>
    <col min="4" max="4" width="14.85546875" customWidth="1"/>
    <col min="5" max="5" width="5.85546875" customWidth="1"/>
    <col min="6" max="8" width="12.5703125" style="22" customWidth="1"/>
  </cols>
  <sheetData>
    <row r="1" spans="1:9" ht="15.75" x14ac:dyDescent="0.25">
      <c r="A1" s="56"/>
      <c r="B1" s="56"/>
      <c r="C1" s="56"/>
      <c r="D1" s="214"/>
      <c r="E1" s="214"/>
      <c r="F1" s="300"/>
      <c r="G1" s="374" t="s">
        <v>1467</v>
      </c>
      <c r="H1" s="300"/>
    </row>
    <row r="2" spans="1:9" ht="15.75" x14ac:dyDescent="0.25">
      <c r="A2" s="56"/>
      <c r="B2" s="56"/>
      <c r="C2" s="56"/>
      <c r="D2" s="214"/>
      <c r="E2" s="214"/>
      <c r="F2" s="300"/>
      <c r="G2" s="374" t="s">
        <v>1585</v>
      </c>
      <c r="H2" s="300"/>
    </row>
    <row r="3" spans="1:9" ht="18.75" x14ac:dyDescent="0.3">
      <c r="A3" s="56"/>
      <c r="B3" s="56"/>
      <c r="C3" s="56"/>
      <c r="D3" s="214"/>
      <c r="E3" s="197"/>
      <c r="F3" s="300"/>
      <c r="G3" s="375" t="s">
        <v>1586</v>
      </c>
      <c r="H3" s="300"/>
    </row>
    <row r="4" spans="1:9" ht="15.75" x14ac:dyDescent="0.25">
      <c r="A4" s="56"/>
      <c r="B4" s="56"/>
      <c r="C4" s="56"/>
      <c r="D4" s="56"/>
      <c r="E4" s="56"/>
      <c r="F4" s="116"/>
      <c r="G4" s="375" t="s">
        <v>1587</v>
      </c>
      <c r="H4" s="363"/>
    </row>
    <row r="5" spans="1:9" ht="15.75" x14ac:dyDescent="0.25">
      <c r="A5" s="405"/>
      <c r="B5" s="405"/>
      <c r="C5" s="405"/>
      <c r="D5" s="405"/>
      <c r="E5" s="405"/>
      <c r="F5" s="405"/>
      <c r="G5" s="375" t="s">
        <v>1625</v>
      </c>
      <c r="H5"/>
    </row>
    <row r="6" spans="1:9" s="357" customFormat="1" ht="15.75" x14ac:dyDescent="0.25">
      <c r="A6" s="370"/>
      <c r="B6" s="370"/>
      <c r="C6" s="370"/>
      <c r="D6" s="370"/>
      <c r="E6" s="370"/>
      <c r="F6" s="370"/>
      <c r="G6" s="375"/>
    </row>
    <row r="7" spans="1:9" s="357" customFormat="1" ht="54" customHeight="1" x14ac:dyDescent="0.25">
      <c r="A7" s="405" t="s">
        <v>1592</v>
      </c>
      <c r="B7" s="405"/>
      <c r="C7" s="405"/>
      <c r="D7" s="405"/>
      <c r="E7" s="405"/>
      <c r="F7" s="405"/>
      <c r="G7" s="405"/>
      <c r="H7" s="405"/>
    </row>
    <row r="8" spans="1:9" x14ac:dyDescent="0.25">
      <c r="A8" s="56"/>
      <c r="B8" s="56"/>
      <c r="C8" s="56"/>
      <c r="D8" s="56"/>
      <c r="E8" s="56"/>
      <c r="F8" s="301"/>
      <c r="G8" s="301"/>
      <c r="H8" s="301"/>
    </row>
    <row r="9" spans="1:9" ht="60.75" customHeight="1" x14ac:dyDescent="0.25">
      <c r="A9" s="236" t="s">
        <v>609</v>
      </c>
      <c r="B9" s="237" t="s">
        <v>128</v>
      </c>
      <c r="C9" s="237" t="s">
        <v>129</v>
      </c>
      <c r="D9" s="237" t="s">
        <v>130</v>
      </c>
      <c r="E9" s="237" t="s">
        <v>131</v>
      </c>
      <c r="F9" s="180" t="s">
        <v>1584</v>
      </c>
      <c r="G9" s="180" t="s">
        <v>1582</v>
      </c>
      <c r="H9" s="180" t="s">
        <v>1583</v>
      </c>
    </row>
    <row r="10" spans="1:9" ht="15.75" x14ac:dyDescent="0.25">
      <c r="A10" s="41" t="s">
        <v>133</v>
      </c>
      <c r="B10" s="7" t="s">
        <v>134</v>
      </c>
      <c r="C10" s="7"/>
      <c r="D10" s="7"/>
      <c r="E10" s="7"/>
      <c r="F10" s="4">
        <f>F11+F30+F41+F104+F137+F126</f>
        <v>143823.29999999999</v>
      </c>
      <c r="G10" s="4">
        <f t="shared" ref="G10" si="0">G11+G30+G41+G104+G137+G126</f>
        <v>99711.822000000015</v>
      </c>
      <c r="H10" s="4">
        <f>G10/F10*100</f>
        <v>69.329393776947143</v>
      </c>
      <c r="I10">
        <f>'Пр.4 ведом.20'!H11+'Пр.4 ведом.20'!H26+'Пр.4 ведом.20'!H215+'Пр.4 ведом.20'!H498+'Пр.4 ведом.20'!H547+'Пр.4 ведом.20'!H819+'Пр.4 ведом.20'!H919+'Пр.4 ведом.20'!H1154</f>
        <v>99711.822</v>
      </c>
    </row>
    <row r="11" spans="1:9" ht="47.25" x14ac:dyDescent="0.25">
      <c r="A11" s="41" t="s">
        <v>591</v>
      </c>
      <c r="B11" s="7" t="s">
        <v>134</v>
      </c>
      <c r="C11" s="7" t="s">
        <v>229</v>
      </c>
      <c r="D11" s="7"/>
      <c r="E11" s="7"/>
      <c r="F11" s="4">
        <f>F12+F22</f>
        <v>4398.7</v>
      </c>
      <c r="G11" s="4">
        <f t="shared" ref="G11" si="1">G12+G22</f>
        <v>3549.1729999999998</v>
      </c>
      <c r="H11" s="4">
        <f t="shared" ref="H11:H74" si="2">G11/F11*100</f>
        <v>80.686862027417192</v>
      </c>
    </row>
    <row r="12" spans="1:9" ht="31.5" x14ac:dyDescent="0.25">
      <c r="A12" s="23" t="s">
        <v>990</v>
      </c>
      <c r="B12" s="7" t="s">
        <v>134</v>
      </c>
      <c r="C12" s="7" t="s">
        <v>229</v>
      </c>
      <c r="D12" s="7" t="s">
        <v>904</v>
      </c>
      <c r="E12" s="7"/>
      <c r="F12" s="4">
        <f t="shared" ref="F12:G12" si="3">F13</f>
        <v>4383.7</v>
      </c>
      <c r="G12" s="4">
        <f t="shared" si="3"/>
        <v>3534.1729999999998</v>
      </c>
      <c r="H12" s="4">
        <f t="shared" si="2"/>
        <v>80.62077696922691</v>
      </c>
    </row>
    <row r="13" spans="1:9" ht="31.5" x14ac:dyDescent="0.25">
      <c r="A13" s="23" t="s">
        <v>1134</v>
      </c>
      <c r="B13" s="7" t="s">
        <v>134</v>
      </c>
      <c r="C13" s="7" t="s">
        <v>229</v>
      </c>
      <c r="D13" s="7" t="s">
        <v>1135</v>
      </c>
      <c r="E13" s="7"/>
      <c r="F13" s="4">
        <f>F14+F19</f>
        <v>4383.7</v>
      </c>
      <c r="G13" s="4">
        <f t="shared" ref="G13" si="4">G14+G19</f>
        <v>3534.1729999999998</v>
      </c>
      <c r="H13" s="4">
        <f t="shared" si="2"/>
        <v>80.62077696922691</v>
      </c>
    </row>
    <row r="14" spans="1:9" ht="31.5" x14ac:dyDescent="0.25">
      <c r="A14" s="29" t="s">
        <v>592</v>
      </c>
      <c r="B14" s="40" t="s">
        <v>134</v>
      </c>
      <c r="C14" s="40" t="s">
        <v>229</v>
      </c>
      <c r="D14" s="40" t="s">
        <v>1136</v>
      </c>
      <c r="E14" s="40"/>
      <c r="F14" s="6">
        <f t="shared" ref="F14:G14" si="5">F15+F17</f>
        <v>4383.7</v>
      </c>
      <c r="G14" s="358">
        <f t="shared" si="5"/>
        <v>3534.1729999999998</v>
      </c>
      <c r="H14" s="358">
        <f t="shared" si="2"/>
        <v>80.62077696922691</v>
      </c>
    </row>
    <row r="15" spans="1:9" ht="78.75" x14ac:dyDescent="0.25">
      <c r="A15" s="29" t="s">
        <v>143</v>
      </c>
      <c r="B15" s="40" t="s">
        <v>134</v>
      </c>
      <c r="C15" s="40" t="s">
        <v>229</v>
      </c>
      <c r="D15" s="40" t="s">
        <v>1136</v>
      </c>
      <c r="E15" s="40" t="s">
        <v>144</v>
      </c>
      <c r="F15" s="303">
        <f t="shared" ref="F15:G15" si="6">F16</f>
        <v>4293.7</v>
      </c>
      <c r="G15" s="303">
        <f t="shared" si="6"/>
        <v>3534.1729999999998</v>
      </c>
      <c r="H15" s="358">
        <f t="shared" si="2"/>
        <v>82.31066446188602</v>
      </c>
    </row>
    <row r="16" spans="1:9" ht="31.5" x14ac:dyDescent="0.25">
      <c r="A16" s="29" t="s">
        <v>145</v>
      </c>
      <c r="B16" s="40" t="s">
        <v>134</v>
      </c>
      <c r="C16" s="40" t="s">
        <v>229</v>
      </c>
      <c r="D16" s="40" t="s">
        <v>1136</v>
      </c>
      <c r="E16" s="40" t="s">
        <v>146</v>
      </c>
      <c r="F16" s="303">
        <f>'Пр.4 ведом.20'!G1160</f>
        <v>4293.7</v>
      </c>
      <c r="G16" s="303">
        <f>'Пр.4 ведом.20'!H1160</f>
        <v>3534.1729999999998</v>
      </c>
      <c r="H16" s="358">
        <f t="shared" si="2"/>
        <v>82.31066446188602</v>
      </c>
    </row>
    <row r="17" spans="1:8" ht="31.5" x14ac:dyDescent="0.25">
      <c r="A17" s="29" t="s">
        <v>147</v>
      </c>
      <c r="B17" s="40" t="s">
        <v>134</v>
      </c>
      <c r="C17" s="40" t="s">
        <v>229</v>
      </c>
      <c r="D17" s="40" t="s">
        <v>1136</v>
      </c>
      <c r="E17" s="40" t="s">
        <v>148</v>
      </c>
      <c r="F17" s="28">
        <f t="shared" ref="F17:G17" si="7">F18</f>
        <v>90</v>
      </c>
      <c r="G17" s="28">
        <f t="shared" si="7"/>
        <v>0</v>
      </c>
      <c r="H17" s="358">
        <f t="shared" si="2"/>
        <v>0</v>
      </c>
    </row>
    <row r="18" spans="1:8" ht="47.25" x14ac:dyDescent="0.25">
      <c r="A18" s="29" t="s">
        <v>149</v>
      </c>
      <c r="B18" s="40" t="s">
        <v>134</v>
      </c>
      <c r="C18" s="40" t="s">
        <v>229</v>
      </c>
      <c r="D18" s="40" t="s">
        <v>1136</v>
      </c>
      <c r="E18" s="40" t="s">
        <v>150</v>
      </c>
      <c r="F18" s="28">
        <f>'Пр.4 ведом.20'!G1162</f>
        <v>90</v>
      </c>
      <c r="G18" s="28">
        <f>'Пр.4 ведом.20'!H1162</f>
        <v>0</v>
      </c>
      <c r="H18" s="358">
        <f t="shared" si="2"/>
        <v>0</v>
      </c>
    </row>
    <row r="19" spans="1:8" s="213" customFormat="1" ht="47.25" hidden="1" x14ac:dyDescent="0.25">
      <c r="A19" s="25" t="s">
        <v>885</v>
      </c>
      <c r="B19" s="40" t="s">
        <v>134</v>
      </c>
      <c r="C19" s="40" t="s">
        <v>229</v>
      </c>
      <c r="D19" s="40" t="s">
        <v>1137</v>
      </c>
      <c r="E19" s="40"/>
      <c r="F19" s="28">
        <f>F20</f>
        <v>0</v>
      </c>
      <c r="G19" s="28">
        <f t="shared" ref="G19:G20" si="8">G20</f>
        <v>0</v>
      </c>
      <c r="H19" s="358" t="e">
        <f t="shared" si="2"/>
        <v>#DIV/0!</v>
      </c>
    </row>
    <row r="20" spans="1:8" s="213" customFormat="1" ht="78.75" hidden="1" x14ac:dyDescent="0.25">
      <c r="A20" s="25" t="s">
        <v>143</v>
      </c>
      <c r="B20" s="40" t="s">
        <v>134</v>
      </c>
      <c r="C20" s="40" t="s">
        <v>229</v>
      </c>
      <c r="D20" s="40" t="s">
        <v>1137</v>
      </c>
      <c r="E20" s="40" t="s">
        <v>144</v>
      </c>
      <c r="F20" s="28">
        <f>F21</f>
        <v>0</v>
      </c>
      <c r="G20" s="28">
        <f t="shared" si="8"/>
        <v>0</v>
      </c>
      <c r="H20" s="358" t="e">
        <f t="shared" si="2"/>
        <v>#DIV/0!</v>
      </c>
    </row>
    <row r="21" spans="1:8" s="213" customFormat="1" ht="31.5" hidden="1" x14ac:dyDescent="0.25">
      <c r="A21" s="25" t="s">
        <v>145</v>
      </c>
      <c r="B21" s="40" t="s">
        <v>134</v>
      </c>
      <c r="C21" s="40" t="s">
        <v>229</v>
      </c>
      <c r="D21" s="40" t="s">
        <v>1137</v>
      </c>
      <c r="E21" s="40" t="s">
        <v>146</v>
      </c>
      <c r="F21" s="28">
        <f>'Пр.4 ведом.20'!G1165</f>
        <v>0</v>
      </c>
      <c r="G21" s="28">
        <f>'Пр.4 ведом.20'!H1165</f>
        <v>0</v>
      </c>
      <c r="H21" s="358" t="e">
        <f t="shared" si="2"/>
        <v>#DIV/0!</v>
      </c>
    </row>
    <row r="22" spans="1:8" s="213" customFormat="1" ht="47.25" x14ac:dyDescent="0.25">
      <c r="A22" s="23" t="s">
        <v>820</v>
      </c>
      <c r="B22" s="24" t="s">
        <v>134</v>
      </c>
      <c r="C22" s="7" t="s">
        <v>229</v>
      </c>
      <c r="D22" s="24" t="s">
        <v>178</v>
      </c>
      <c r="E22" s="7"/>
      <c r="F22" s="304">
        <f>F23</f>
        <v>15</v>
      </c>
      <c r="G22" s="304">
        <f t="shared" ref="G22" si="9">G23</f>
        <v>15</v>
      </c>
      <c r="H22" s="4">
        <f t="shared" si="2"/>
        <v>100</v>
      </c>
    </row>
    <row r="23" spans="1:8" s="213" customFormat="1" ht="63" x14ac:dyDescent="0.25">
      <c r="A23" s="228" t="s">
        <v>889</v>
      </c>
      <c r="B23" s="24" t="s">
        <v>134</v>
      </c>
      <c r="C23" s="7" t="s">
        <v>229</v>
      </c>
      <c r="D23" s="7" t="s">
        <v>896</v>
      </c>
      <c r="E23" s="7"/>
      <c r="F23" s="304">
        <f>F24+F27</f>
        <v>15</v>
      </c>
      <c r="G23" s="304">
        <f t="shared" ref="G23" si="10">G24+G27</f>
        <v>15</v>
      </c>
      <c r="H23" s="4">
        <f t="shared" si="2"/>
        <v>100</v>
      </c>
    </row>
    <row r="24" spans="1:8" s="213" customFormat="1" ht="47.25" x14ac:dyDescent="0.25">
      <c r="A24" s="31" t="s">
        <v>712</v>
      </c>
      <c r="B24" s="20" t="s">
        <v>134</v>
      </c>
      <c r="C24" s="20" t="s">
        <v>229</v>
      </c>
      <c r="D24" s="40" t="s">
        <v>1142</v>
      </c>
      <c r="E24" s="20"/>
      <c r="F24" s="6">
        <f>F25</f>
        <v>1</v>
      </c>
      <c r="G24" s="358">
        <f t="shared" ref="G24:G25" si="11">G25</f>
        <v>1</v>
      </c>
      <c r="H24" s="358">
        <f t="shared" si="2"/>
        <v>100</v>
      </c>
    </row>
    <row r="25" spans="1:8" s="213" customFormat="1" ht="31.5" x14ac:dyDescent="0.25">
      <c r="A25" s="25" t="s">
        <v>147</v>
      </c>
      <c r="B25" s="20" t="s">
        <v>134</v>
      </c>
      <c r="C25" s="20" t="s">
        <v>229</v>
      </c>
      <c r="D25" s="40" t="s">
        <v>1142</v>
      </c>
      <c r="E25" s="20" t="s">
        <v>148</v>
      </c>
      <c r="F25" s="6">
        <f>F26</f>
        <v>1</v>
      </c>
      <c r="G25" s="358">
        <f t="shared" si="11"/>
        <v>1</v>
      </c>
      <c r="H25" s="358">
        <f t="shared" si="2"/>
        <v>100</v>
      </c>
    </row>
    <row r="26" spans="1:8" s="213" customFormat="1" ht="47.25" x14ac:dyDescent="0.25">
      <c r="A26" s="25" t="s">
        <v>149</v>
      </c>
      <c r="B26" s="20" t="s">
        <v>134</v>
      </c>
      <c r="C26" s="20" t="s">
        <v>229</v>
      </c>
      <c r="D26" s="40" t="s">
        <v>713</v>
      </c>
      <c r="E26" s="20" t="s">
        <v>150</v>
      </c>
      <c r="F26" s="6">
        <f>'Пр.4 ведом.20'!G1170</f>
        <v>1</v>
      </c>
      <c r="G26" s="358">
        <f>'Пр.4 ведом.20'!H1170</f>
        <v>1</v>
      </c>
      <c r="H26" s="358">
        <f t="shared" si="2"/>
        <v>100</v>
      </c>
    </row>
    <row r="27" spans="1:8" s="213" customFormat="1" ht="47.25" x14ac:dyDescent="0.25">
      <c r="A27" s="31" t="s">
        <v>712</v>
      </c>
      <c r="B27" s="20" t="s">
        <v>134</v>
      </c>
      <c r="C27" s="20" t="s">
        <v>229</v>
      </c>
      <c r="D27" s="20" t="s">
        <v>1141</v>
      </c>
      <c r="E27" s="20"/>
      <c r="F27" s="6">
        <f>F28</f>
        <v>14</v>
      </c>
      <c r="G27" s="358">
        <f t="shared" ref="G27:G28" si="12">G28</f>
        <v>14</v>
      </c>
      <c r="H27" s="358">
        <f t="shared" si="2"/>
        <v>100</v>
      </c>
    </row>
    <row r="28" spans="1:8" s="213" customFormat="1" ht="31.5" x14ac:dyDescent="0.25">
      <c r="A28" s="25" t="s">
        <v>147</v>
      </c>
      <c r="B28" s="20" t="s">
        <v>134</v>
      </c>
      <c r="C28" s="20" t="s">
        <v>229</v>
      </c>
      <c r="D28" s="20" t="s">
        <v>1141</v>
      </c>
      <c r="E28" s="20" t="s">
        <v>148</v>
      </c>
      <c r="F28" s="6">
        <f>F29</f>
        <v>14</v>
      </c>
      <c r="G28" s="358">
        <f t="shared" si="12"/>
        <v>14</v>
      </c>
      <c r="H28" s="358">
        <f t="shared" si="2"/>
        <v>100</v>
      </c>
    </row>
    <row r="29" spans="1:8" s="213" customFormat="1" ht="47.25" x14ac:dyDescent="0.25">
      <c r="A29" s="25" t="s">
        <v>149</v>
      </c>
      <c r="B29" s="20" t="s">
        <v>134</v>
      </c>
      <c r="C29" s="20" t="s">
        <v>229</v>
      </c>
      <c r="D29" s="20" t="s">
        <v>1141</v>
      </c>
      <c r="E29" s="20" t="s">
        <v>150</v>
      </c>
      <c r="F29" s="6">
        <f>'Пр.4 ведом.20'!G1173</f>
        <v>14</v>
      </c>
      <c r="G29" s="358">
        <f>'Пр.4 ведом.20'!H1173</f>
        <v>14</v>
      </c>
      <c r="H29" s="358">
        <f t="shared" si="2"/>
        <v>100</v>
      </c>
    </row>
    <row r="30" spans="1:8" ht="63" x14ac:dyDescent="0.25">
      <c r="A30" s="41" t="s">
        <v>594</v>
      </c>
      <c r="B30" s="7" t="s">
        <v>134</v>
      </c>
      <c r="C30" s="7" t="s">
        <v>231</v>
      </c>
      <c r="D30" s="7"/>
      <c r="E30" s="7"/>
      <c r="F30" s="4">
        <f t="shared" ref="F30:G31" si="13">F31</f>
        <v>1203</v>
      </c>
      <c r="G30" s="4">
        <f t="shared" si="13"/>
        <v>878.67499999999995</v>
      </c>
      <c r="H30" s="4">
        <f t="shared" si="2"/>
        <v>73.040315876974233</v>
      </c>
    </row>
    <row r="31" spans="1:8" ht="31.5" x14ac:dyDescent="0.25">
      <c r="A31" s="23" t="s">
        <v>990</v>
      </c>
      <c r="B31" s="7" t="s">
        <v>134</v>
      </c>
      <c r="C31" s="7" t="s">
        <v>231</v>
      </c>
      <c r="D31" s="7" t="s">
        <v>904</v>
      </c>
      <c r="E31" s="7"/>
      <c r="F31" s="4">
        <f t="shared" si="13"/>
        <v>1203</v>
      </c>
      <c r="G31" s="4">
        <f t="shared" si="13"/>
        <v>878.67499999999995</v>
      </c>
      <c r="H31" s="4">
        <f t="shared" si="2"/>
        <v>73.040315876974233</v>
      </c>
    </row>
    <row r="32" spans="1:8" ht="31.5" x14ac:dyDescent="0.25">
      <c r="A32" s="23" t="s">
        <v>1134</v>
      </c>
      <c r="B32" s="7" t="s">
        <v>134</v>
      </c>
      <c r="C32" s="7" t="s">
        <v>231</v>
      </c>
      <c r="D32" s="7" t="s">
        <v>1135</v>
      </c>
      <c r="E32" s="7"/>
      <c r="F32" s="4">
        <f>F33+F38</f>
        <v>1203</v>
      </c>
      <c r="G32" s="4">
        <f t="shared" ref="G32" si="14">G33+G38</f>
        <v>878.67499999999995</v>
      </c>
      <c r="H32" s="4">
        <f t="shared" si="2"/>
        <v>73.040315876974233</v>
      </c>
    </row>
    <row r="33" spans="1:8" ht="31.5" x14ac:dyDescent="0.25">
      <c r="A33" s="25" t="s">
        <v>1138</v>
      </c>
      <c r="B33" s="40" t="s">
        <v>134</v>
      </c>
      <c r="C33" s="40" t="s">
        <v>231</v>
      </c>
      <c r="D33" s="40" t="s">
        <v>1139</v>
      </c>
      <c r="E33" s="40"/>
      <c r="F33" s="6">
        <f t="shared" ref="F33:G33" si="15">F34+F36</f>
        <v>1203</v>
      </c>
      <c r="G33" s="358">
        <f t="shared" si="15"/>
        <v>878.67499999999995</v>
      </c>
      <c r="H33" s="358">
        <f t="shared" si="2"/>
        <v>73.040315876974233</v>
      </c>
    </row>
    <row r="34" spans="1:8" ht="78.75" x14ac:dyDescent="0.25">
      <c r="A34" s="29" t="s">
        <v>143</v>
      </c>
      <c r="B34" s="40" t="s">
        <v>134</v>
      </c>
      <c r="C34" s="40" t="s">
        <v>231</v>
      </c>
      <c r="D34" s="40" t="s">
        <v>1139</v>
      </c>
      <c r="E34" s="40" t="s">
        <v>144</v>
      </c>
      <c r="F34" s="303">
        <f t="shared" ref="F34:G34" si="16">F35</f>
        <v>1110</v>
      </c>
      <c r="G34" s="303">
        <f t="shared" si="16"/>
        <v>835.41099999999994</v>
      </c>
      <c r="H34" s="358">
        <f t="shared" si="2"/>
        <v>75.262252252252253</v>
      </c>
    </row>
    <row r="35" spans="1:8" ht="31.5" x14ac:dyDescent="0.25">
      <c r="A35" s="29" t="s">
        <v>145</v>
      </c>
      <c r="B35" s="40" t="s">
        <v>134</v>
      </c>
      <c r="C35" s="40" t="s">
        <v>231</v>
      </c>
      <c r="D35" s="40" t="s">
        <v>1139</v>
      </c>
      <c r="E35" s="40" t="s">
        <v>146</v>
      </c>
      <c r="F35" s="303">
        <f>'Пр.4 ведом.20'!G1179</f>
        <v>1110</v>
      </c>
      <c r="G35" s="303">
        <f>'Пр.4 ведом.20'!H1179</f>
        <v>835.41099999999994</v>
      </c>
      <c r="H35" s="358">
        <f t="shared" si="2"/>
        <v>75.262252252252253</v>
      </c>
    </row>
    <row r="36" spans="1:8" ht="31.5" x14ac:dyDescent="0.25">
      <c r="A36" s="29" t="s">
        <v>147</v>
      </c>
      <c r="B36" s="40" t="s">
        <v>134</v>
      </c>
      <c r="C36" s="40" t="s">
        <v>231</v>
      </c>
      <c r="D36" s="40" t="s">
        <v>1139</v>
      </c>
      <c r="E36" s="40" t="s">
        <v>148</v>
      </c>
      <c r="F36" s="6">
        <f t="shared" ref="F36:G36" si="17">F37</f>
        <v>93</v>
      </c>
      <c r="G36" s="358">
        <f t="shared" si="17"/>
        <v>43.264000000000003</v>
      </c>
      <c r="H36" s="358">
        <f t="shared" si="2"/>
        <v>46.520430107526884</v>
      </c>
    </row>
    <row r="37" spans="1:8" ht="47.25" x14ac:dyDescent="0.25">
      <c r="A37" s="29" t="s">
        <v>149</v>
      </c>
      <c r="B37" s="40" t="s">
        <v>134</v>
      </c>
      <c r="C37" s="40" t="s">
        <v>231</v>
      </c>
      <c r="D37" s="40" t="s">
        <v>1139</v>
      </c>
      <c r="E37" s="40" t="s">
        <v>150</v>
      </c>
      <c r="F37" s="6">
        <f>'Пр.4 ведом.20'!G1181</f>
        <v>93</v>
      </c>
      <c r="G37" s="358">
        <f>'Пр.4 ведом.20'!H1181</f>
        <v>43.264000000000003</v>
      </c>
      <c r="H37" s="358">
        <f t="shared" si="2"/>
        <v>46.520430107526884</v>
      </c>
    </row>
    <row r="38" spans="1:8" s="213" customFormat="1" ht="30.2" hidden="1" customHeight="1" x14ac:dyDescent="0.25">
      <c r="A38" s="25" t="s">
        <v>885</v>
      </c>
      <c r="B38" s="40" t="s">
        <v>134</v>
      </c>
      <c r="C38" s="40" t="s">
        <v>231</v>
      </c>
      <c r="D38" s="40" t="s">
        <v>1137</v>
      </c>
      <c r="E38" s="40"/>
      <c r="F38" s="28">
        <f>F39</f>
        <v>0</v>
      </c>
      <c r="G38" s="28">
        <f t="shared" ref="G38:G39" si="18">G39</f>
        <v>0</v>
      </c>
      <c r="H38" s="358" t="e">
        <f t="shared" si="2"/>
        <v>#DIV/0!</v>
      </c>
    </row>
    <row r="39" spans="1:8" s="213" customFormat="1" ht="85.7" hidden="1" customHeight="1" x14ac:dyDescent="0.25">
      <c r="A39" s="25" t="s">
        <v>143</v>
      </c>
      <c r="B39" s="40" t="s">
        <v>134</v>
      </c>
      <c r="C39" s="40" t="s">
        <v>231</v>
      </c>
      <c r="D39" s="40" t="s">
        <v>1137</v>
      </c>
      <c r="E39" s="40" t="s">
        <v>144</v>
      </c>
      <c r="F39" s="28">
        <f>F40</f>
        <v>0</v>
      </c>
      <c r="G39" s="28">
        <f t="shared" si="18"/>
        <v>0</v>
      </c>
      <c r="H39" s="358" t="e">
        <f t="shared" si="2"/>
        <v>#DIV/0!</v>
      </c>
    </row>
    <row r="40" spans="1:8" s="213" customFormat="1" ht="38.25" hidden="1" customHeight="1" x14ac:dyDescent="0.25">
      <c r="A40" s="25" t="s">
        <v>145</v>
      </c>
      <c r="B40" s="40" t="s">
        <v>134</v>
      </c>
      <c r="C40" s="40" t="s">
        <v>231</v>
      </c>
      <c r="D40" s="40" t="s">
        <v>1137</v>
      </c>
      <c r="E40" s="40" t="s">
        <v>146</v>
      </c>
      <c r="F40" s="28">
        <f>'Пр.4 ведом.20'!G1184</f>
        <v>0</v>
      </c>
      <c r="G40" s="28">
        <f>'Пр.4 ведом.20'!H1184</f>
        <v>0</v>
      </c>
      <c r="H40" s="358" t="e">
        <f t="shared" si="2"/>
        <v>#DIV/0!</v>
      </c>
    </row>
    <row r="41" spans="1:8" ht="70.5" customHeight="1" x14ac:dyDescent="0.25">
      <c r="A41" s="41" t="s">
        <v>165</v>
      </c>
      <c r="B41" s="7" t="s">
        <v>134</v>
      </c>
      <c r="C41" s="7" t="s">
        <v>166</v>
      </c>
      <c r="D41" s="7"/>
      <c r="E41" s="7"/>
      <c r="F41" s="4">
        <f>F42+F86</f>
        <v>66149.100000000006</v>
      </c>
      <c r="G41" s="4">
        <f t="shared" ref="G41" si="19">G42+G86</f>
        <v>47721.130000000005</v>
      </c>
      <c r="H41" s="4">
        <f t="shared" si="2"/>
        <v>72.141767612862466</v>
      </c>
    </row>
    <row r="42" spans="1:8" ht="31.5" x14ac:dyDescent="0.25">
      <c r="A42" s="23" t="s">
        <v>990</v>
      </c>
      <c r="B42" s="7" t="s">
        <v>134</v>
      </c>
      <c r="C42" s="7" t="s">
        <v>166</v>
      </c>
      <c r="D42" s="7" t="s">
        <v>904</v>
      </c>
      <c r="E42" s="7"/>
      <c r="F42" s="4">
        <f>F43+F59</f>
        <v>65626.100000000006</v>
      </c>
      <c r="G42" s="4">
        <f t="shared" ref="G42" si="20">G43+G59</f>
        <v>47353.98</v>
      </c>
      <c r="H42" s="4">
        <f t="shared" si="2"/>
        <v>72.157236221564276</v>
      </c>
    </row>
    <row r="43" spans="1:8" ht="15.75" x14ac:dyDescent="0.25">
      <c r="A43" s="23" t="s">
        <v>991</v>
      </c>
      <c r="B43" s="7" t="s">
        <v>134</v>
      </c>
      <c r="C43" s="7" t="s">
        <v>166</v>
      </c>
      <c r="D43" s="7" t="s">
        <v>905</v>
      </c>
      <c r="E43" s="7"/>
      <c r="F43" s="4">
        <f>F44+F53+F56</f>
        <v>62351.5</v>
      </c>
      <c r="G43" s="4">
        <f t="shared" ref="G43" si="21">G44+G53+G56</f>
        <v>45662.420000000006</v>
      </c>
      <c r="H43" s="4">
        <f t="shared" si="2"/>
        <v>73.233875688636203</v>
      </c>
    </row>
    <row r="44" spans="1:8" ht="31.5" x14ac:dyDescent="0.25">
      <c r="A44" s="29" t="s">
        <v>967</v>
      </c>
      <c r="B44" s="40" t="s">
        <v>134</v>
      </c>
      <c r="C44" s="40" t="s">
        <v>166</v>
      </c>
      <c r="D44" s="40" t="s">
        <v>906</v>
      </c>
      <c r="E44" s="40"/>
      <c r="F44" s="6">
        <f>F45+F47+F51+F49</f>
        <v>57937.3</v>
      </c>
      <c r="G44" s="358">
        <f t="shared" ref="G44" si="22">G45+G47+G51+G49</f>
        <v>42739.460000000006</v>
      </c>
      <c r="H44" s="358">
        <f t="shared" si="2"/>
        <v>73.768470398171829</v>
      </c>
    </row>
    <row r="45" spans="1:8" ht="78.75" x14ac:dyDescent="0.25">
      <c r="A45" s="29" t="s">
        <v>143</v>
      </c>
      <c r="B45" s="40" t="s">
        <v>134</v>
      </c>
      <c r="C45" s="40" t="s">
        <v>166</v>
      </c>
      <c r="D45" s="40" t="s">
        <v>906</v>
      </c>
      <c r="E45" s="40" t="s">
        <v>144</v>
      </c>
      <c r="F45" s="303">
        <f t="shared" ref="F45:G45" si="23">F46</f>
        <v>50224.3</v>
      </c>
      <c r="G45" s="303">
        <f t="shared" si="23"/>
        <v>38828.76</v>
      </c>
      <c r="H45" s="358">
        <f t="shared" si="2"/>
        <v>77.310704181043832</v>
      </c>
    </row>
    <row r="46" spans="1:8" ht="31.5" x14ac:dyDescent="0.25">
      <c r="A46" s="29" t="s">
        <v>145</v>
      </c>
      <c r="B46" s="40" t="s">
        <v>134</v>
      </c>
      <c r="C46" s="40" t="s">
        <v>166</v>
      </c>
      <c r="D46" s="40" t="s">
        <v>906</v>
      </c>
      <c r="E46" s="40" t="s">
        <v>146</v>
      </c>
      <c r="F46" s="303">
        <f>'Пр.4 ведом.20'!G504+'Пр.4 ведом.20'!G32</f>
        <v>50224.3</v>
      </c>
      <c r="G46" s="303">
        <f>'Пр.4 ведом.20'!H504+'Пр.4 ведом.20'!H32</f>
        <v>38828.76</v>
      </c>
      <c r="H46" s="358">
        <f t="shared" si="2"/>
        <v>77.310704181043832</v>
      </c>
    </row>
    <row r="47" spans="1:8" ht="31.5" x14ac:dyDescent="0.25">
      <c r="A47" s="29" t="s">
        <v>147</v>
      </c>
      <c r="B47" s="40" t="s">
        <v>134</v>
      </c>
      <c r="C47" s="40" t="s">
        <v>166</v>
      </c>
      <c r="D47" s="40" t="s">
        <v>906</v>
      </c>
      <c r="E47" s="40" t="s">
        <v>148</v>
      </c>
      <c r="F47" s="6">
        <f t="shared" ref="F47:G47" si="24">F48</f>
        <v>7442.9</v>
      </c>
      <c r="G47" s="358">
        <f t="shared" si="24"/>
        <v>3696.3300000000004</v>
      </c>
      <c r="H47" s="358">
        <f t="shared" si="2"/>
        <v>49.662497144930072</v>
      </c>
    </row>
    <row r="48" spans="1:8" ht="47.25" x14ac:dyDescent="0.25">
      <c r="A48" s="29" t="s">
        <v>149</v>
      </c>
      <c r="B48" s="40" t="s">
        <v>134</v>
      </c>
      <c r="C48" s="40" t="s">
        <v>166</v>
      </c>
      <c r="D48" s="40" t="s">
        <v>906</v>
      </c>
      <c r="E48" s="40" t="s">
        <v>150</v>
      </c>
      <c r="F48" s="6">
        <f>'Пр.4 ведом.20'!G34+'Пр.4 ведом.20'!G506</f>
        <v>7442.9</v>
      </c>
      <c r="G48" s="358">
        <f>'Пр.4 ведом.20'!H34+'Пр.4 ведом.20'!H506</f>
        <v>3696.3300000000004</v>
      </c>
      <c r="H48" s="358">
        <f t="shared" si="2"/>
        <v>49.662497144930072</v>
      </c>
    </row>
    <row r="49" spans="1:8" s="213" customFormat="1" ht="21.2" hidden="1" customHeight="1" x14ac:dyDescent="0.25">
      <c r="A49" s="25" t="s">
        <v>264</v>
      </c>
      <c r="B49" s="40" t="s">
        <v>134</v>
      </c>
      <c r="C49" s="40" t="s">
        <v>166</v>
      </c>
      <c r="D49" s="40" t="s">
        <v>906</v>
      </c>
      <c r="E49" s="40" t="s">
        <v>265</v>
      </c>
      <c r="F49" s="6">
        <f>F50</f>
        <v>0</v>
      </c>
      <c r="G49" s="358">
        <f t="shared" ref="G49" si="25">G50</f>
        <v>0</v>
      </c>
      <c r="H49" s="358" t="e">
        <f t="shared" si="2"/>
        <v>#DIV/0!</v>
      </c>
    </row>
    <row r="50" spans="1:8" s="213" customFormat="1" ht="31.5" hidden="1" x14ac:dyDescent="0.25">
      <c r="A50" s="25" t="s">
        <v>266</v>
      </c>
      <c r="B50" s="40" t="s">
        <v>134</v>
      </c>
      <c r="C50" s="40" t="s">
        <v>166</v>
      </c>
      <c r="D50" s="40" t="s">
        <v>906</v>
      </c>
      <c r="E50" s="40" t="s">
        <v>267</v>
      </c>
      <c r="F50" s="6">
        <f>'Пр.4 ведом.20'!G36</f>
        <v>0</v>
      </c>
      <c r="G50" s="358">
        <f>'Пр.4 ведом.20'!H36</f>
        <v>0</v>
      </c>
      <c r="H50" s="358" t="e">
        <f t="shared" si="2"/>
        <v>#DIV/0!</v>
      </c>
    </row>
    <row r="51" spans="1:8" ht="15.75" x14ac:dyDescent="0.25">
      <c r="A51" s="29" t="s">
        <v>151</v>
      </c>
      <c r="B51" s="40" t="s">
        <v>134</v>
      </c>
      <c r="C51" s="40" t="s">
        <v>166</v>
      </c>
      <c r="D51" s="40" t="s">
        <v>906</v>
      </c>
      <c r="E51" s="40" t="s">
        <v>161</v>
      </c>
      <c r="F51" s="6">
        <f t="shared" ref="F51:G51" si="26">F52</f>
        <v>270.10000000000002</v>
      </c>
      <c r="G51" s="358">
        <f t="shared" si="26"/>
        <v>214.37</v>
      </c>
      <c r="H51" s="358">
        <f t="shared" si="2"/>
        <v>79.366901147723055</v>
      </c>
    </row>
    <row r="52" spans="1:8" ht="15.75" x14ac:dyDescent="0.25">
      <c r="A52" s="29" t="s">
        <v>584</v>
      </c>
      <c r="B52" s="40" t="s">
        <v>134</v>
      </c>
      <c r="C52" s="40" t="s">
        <v>166</v>
      </c>
      <c r="D52" s="40" t="s">
        <v>906</v>
      </c>
      <c r="E52" s="40" t="s">
        <v>154</v>
      </c>
      <c r="F52" s="6">
        <f>'Пр.4 ведом.20'!G508+'Пр.4 ведом.20'!G38</f>
        <v>270.10000000000002</v>
      </c>
      <c r="G52" s="358">
        <f>'Пр.4 ведом.20'!H508+'Пр.4 ведом.20'!H38</f>
        <v>214.37</v>
      </c>
      <c r="H52" s="358">
        <f t="shared" si="2"/>
        <v>79.366901147723055</v>
      </c>
    </row>
    <row r="53" spans="1:8" ht="31.5" x14ac:dyDescent="0.25">
      <c r="A53" s="25" t="s">
        <v>169</v>
      </c>
      <c r="B53" s="20" t="s">
        <v>134</v>
      </c>
      <c r="C53" s="20" t="s">
        <v>166</v>
      </c>
      <c r="D53" s="40" t="s">
        <v>907</v>
      </c>
      <c r="E53" s="20"/>
      <c r="F53" s="303">
        <f>F54</f>
        <v>2524.1999999999998</v>
      </c>
      <c r="G53" s="303">
        <f t="shared" ref="G53:G54" si="27">G54</f>
        <v>1856.25</v>
      </c>
      <c r="H53" s="358">
        <f t="shared" si="2"/>
        <v>73.538150701212274</v>
      </c>
    </row>
    <row r="54" spans="1:8" ht="78.75" x14ac:dyDescent="0.25">
      <c r="A54" s="25" t="s">
        <v>143</v>
      </c>
      <c r="B54" s="20" t="s">
        <v>134</v>
      </c>
      <c r="C54" s="20" t="s">
        <v>166</v>
      </c>
      <c r="D54" s="40" t="s">
        <v>907</v>
      </c>
      <c r="E54" s="20" t="s">
        <v>144</v>
      </c>
      <c r="F54" s="303">
        <f>F55</f>
        <v>2524.1999999999998</v>
      </c>
      <c r="G54" s="303">
        <f t="shared" si="27"/>
        <v>1856.25</v>
      </c>
      <c r="H54" s="358">
        <f t="shared" si="2"/>
        <v>73.538150701212274</v>
      </c>
    </row>
    <row r="55" spans="1:8" ht="31.5" x14ac:dyDescent="0.25">
      <c r="A55" s="25" t="s">
        <v>145</v>
      </c>
      <c r="B55" s="20" t="s">
        <v>134</v>
      </c>
      <c r="C55" s="20" t="s">
        <v>166</v>
      </c>
      <c r="D55" s="40" t="s">
        <v>907</v>
      </c>
      <c r="E55" s="20" t="s">
        <v>146</v>
      </c>
      <c r="F55" s="303">
        <f>'Пр.4 ведом.20'!G41</f>
        <v>2524.1999999999998</v>
      </c>
      <c r="G55" s="303">
        <f>'Пр.4 ведом.20'!H41</f>
        <v>1856.25</v>
      </c>
      <c r="H55" s="358">
        <f t="shared" si="2"/>
        <v>73.538150701212274</v>
      </c>
    </row>
    <row r="56" spans="1:8" s="213" customFormat="1" ht="47.25" x14ac:dyDescent="0.25">
      <c r="A56" s="25" t="s">
        <v>885</v>
      </c>
      <c r="B56" s="40" t="s">
        <v>134</v>
      </c>
      <c r="C56" s="20" t="s">
        <v>166</v>
      </c>
      <c r="D56" s="40" t="s">
        <v>908</v>
      </c>
      <c r="E56" s="40"/>
      <c r="F56" s="28">
        <f>F57</f>
        <v>1890</v>
      </c>
      <c r="G56" s="28">
        <f t="shared" ref="G56:G57" si="28">G57</f>
        <v>1066.71</v>
      </c>
      <c r="H56" s="358">
        <f t="shared" si="2"/>
        <v>56.439682539682543</v>
      </c>
    </row>
    <row r="57" spans="1:8" s="213" customFormat="1" ht="78.75" x14ac:dyDescent="0.25">
      <c r="A57" s="25" t="s">
        <v>143</v>
      </c>
      <c r="B57" s="40" t="s">
        <v>134</v>
      </c>
      <c r="C57" s="20" t="s">
        <v>166</v>
      </c>
      <c r="D57" s="40" t="s">
        <v>908</v>
      </c>
      <c r="E57" s="40" t="s">
        <v>144</v>
      </c>
      <c r="F57" s="28">
        <f>F58</f>
        <v>1890</v>
      </c>
      <c r="G57" s="28">
        <f t="shared" si="28"/>
        <v>1066.71</v>
      </c>
      <c r="H57" s="358">
        <f t="shared" si="2"/>
        <v>56.439682539682543</v>
      </c>
    </row>
    <row r="58" spans="1:8" s="213" customFormat="1" ht="31.5" x14ac:dyDescent="0.25">
      <c r="A58" s="25" t="s">
        <v>145</v>
      </c>
      <c r="B58" s="40" t="s">
        <v>134</v>
      </c>
      <c r="C58" s="20" t="s">
        <v>166</v>
      </c>
      <c r="D58" s="40" t="s">
        <v>908</v>
      </c>
      <c r="E58" s="40" t="s">
        <v>146</v>
      </c>
      <c r="F58" s="28">
        <f>'Пр.4 ведом.20'!G511+'Пр.4 ведом.20'!G44</f>
        <v>1890</v>
      </c>
      <c r="G58" s="28">
        <f>'Пр.4 ведом.20'!H511+'Пр.4 ведом.20'!H44</f>
        <v>1066.71</v>
      </c>
      <c r="H58" s="358">
        <f t="shared" si="2"/>
        <v>56.439682539682543</v>
      </c>
    </row>
    <row r="59" spans="1:8" s="213" customFormat="1" ht="31.5" x14ac:dyDescent="0.25">
      <c r="A59" s="23" t="s">
        <v>932</v>
      </c>
      <c r="B59" s="7" t="s">
        <v>134</v>
      </c>
      <c r="C59" s="24" t="s">
        <v>166</v>
      </c>
      <c r="D59" s="7" t="s">
        <v>909</v>
      </c>
      <c r="E59" s="7"/>
      <c r="F59" s="4">
        <f>F60+F68+F73+F78+F63+F83</f>
        <v>3274.6</v>
      </c>
      <c r="G59" s="4">
        <f t="shared" ref="G59" si="29">G60+G68+G73+G78+G63+G83</f>
        <v>1691.56</v>
      </c>
      <c r="H59" s="4">
        <f t="shared" si="2"/>
        <v>51.656996274354114</v>
      </c>
    </row>
    <row r="60" spans="1:8" s="213" customFormat="1" ht="47.25" x14ac:dyDescent="0.25">
      <c r="A60" s="25" t="s">
        <v>203</v>
      </c>
      <c r="B60" s="40" t="s">
        <v>134</v>
      </c>
      <c r="C60" s="20" t="s">
        <v>166</v>
      </c>
      <c r="D60" s="40" t="s">
        <v>1258</v>
      </c>
      <c r="E60" s="7"/>
      <c r="F60" s="10">
        <f>F61</f>
        <v>6</v>
      </c>
      <c r="G60" s="328">
        <f t="shared" ref="G60" si="30">G61</f>
        <v>0</v>
      </c>
      <c r="H60" s="358">
        <f t="shared" si="2"/>
        <v>0</v>
      </c>
    </row>
    <row r="61" spans="1:8" s="213" customFormat="1" ht="31.5" x14ac:dyDescent="0.25">
      <c r="A61" s="25" t="s">
        <v>147</v>
      </c>
      <c r="B61" s="40" t="s">
        <v>134</v>
      </c>
      <c r="C61" s="20" t="s">
        <v>166</v>
      </c>
      <c r="D61" s="40" t="s">
        <v>1258</v>
      </c>
      <c r="E61" s="40" t="s">
        <v>148</v>
      </c>
      <c r="F61" s="10">
        <f t="shared" ref="F61:G61" si="31">F62</f>
        <v>6</v>
      </c>
      <c r="G61" s="328">
        <f t="shared" si="31"/>
        <v>0</v>
      </c>
      <c r="H61" s="358">
        <f t="shared" si="2"/>
        <v>0</v>
      </c>
    </row>
    <row r="62" spans="1:8" s="213" customFormat="1" ht="47.25" x14ac:dyDescent="0.25">
      <c r="A62" s="25" t="s">
        <v>149</v>
      </c>
      <c r="B62" s="40" t="s">
        <v>134</v>
      </c>
      <c r="C62" s="20" t="s">
        <v>166</v>
      </c>
      <c r="D62" s="40" t="s">
        <v>1258</v>
      </c>
      <c r="E62" s="40" t="s">
        <v>150</v>
      </c>
      <c r="F62" s="10">
        <f>'Пр.4 ведом.20'!G48</f>
        <v>6</v>
      </c>
      <c r="G62" s="328">
        <f>'Пр.4 ведом.20'!H48</f>
        <v>0</v>
      </c>
      <c r="H62" s="358">
        <f t="shared" si="2"/>
        <v>0</v>
      </c>
    </row>
    <row r="63" spans="1:8" s="213" customFormat="1" ht="47.25" x14ac:dyDescent="0.25">
      <c r="A63" s="31" t="s">
        <v>1415</v>
      </c>
      <c r="B63" s="20" t="s">
        <v>134</v>
      </c>
      <c r="C63" s="20" t="s">
        <v>166</v>
      </c>
      <c r="D63" s="20" t="s">
        <v>1414</v>
      </c>
      <c r="E63" s="20"/>
      <c r="F63" s="26">
        <f>F64+F66</f>
        <v>92.6</v>
      </c>
      <c r="G63" s="336">
        <f t="shared" ref="G63" si="32">G64+G66</f>
        <v>0</v>
      </c>
      <c r="H63" s="358">
        <f t="shared" si="2"/>
        <v>0</v>
      </c>
    </row>
    <row r="64" spans="1:8" s="213" customFormat="1" ht="78.75" hidden="1" x14ac:dyDescent="0.25">
      <c r="A64" s="25" t="s">
        <v>143</v>
      </c>
      <c r="B64" s="20" t="s">
        <v>134</v>
      </c>
      <c r="C64" s="20" t="s">
        <v>166</v>
      </c>
      <c r="D64" s="20" t="s">
        <v>1414</v>
      </c>
      <c r="E64" s="20" t="s">
        <v>144</v>
      </c>
      <c r="F64" s="26">
        <f>F65</f>
        <v>0</v>
      </c>
      <c r="G64" s="336">
        <f t="shared" ref="G64" si="33">G65</f>
        <v>0</v>
      </c>
      <c r="H64" s="358" t="e">
        <f t="shared" si="2"/>
        <v>#DIV/0!</v>
      </c>
    </row>
    <row r="65" spans="1:8" s="213" customFormat="1" ht="31.5" hidden="1" x14ac:dyDescent="0.25">
      <c r="A65" s="25" t="s">
        <v>145</v>
      </c>
      <c r="B65" s="20" t="s">
        <v>134</v>
      </c>
      <c r="C65" s="20" t="s">
        <v>166</v>
      </c>
      <c r="D65" s="20" t="s">
        <v>1414</v>
      </c>
      <c r="E65" s="20" t="s">
        <v>146</v>
      </c>
      <c r="F65" s="26">
        <f>'Пр.4 ведом.20'!G51</f>
        <v>0</v>
      </c>
      <c r="G65" s="336">
        <f>'Пр.4 ведом.20'!H51</f>
        <v>0</v>
      </c>
      <c r="H65" s="358" t="e">
        <f t="shared" si="2"/>
        <v>#DIV/0!</v>
      </c>
    </row>
    <row r="66" spans="1:8" s="324" customFormat="1" ht="31.5" x14ac:dyDescent="0.25">
      <c r="A66" s="335" t="s">
        <v>147</v>
      </c>
      <c r="B66" s="331" t="s">
        <v>134</v>
      </c>
      <c r="C66" s="331" t="s">
        <v>166</v>
      </c>
      <c r="D66" s="331" t="s">
        <v>1414</v>
      </c>
      <c r="E66" s="331" t="s">
        <v>148</v>
      </c>
      <c r="F66" s="336">
        <f>F67</f>
        <v>92.6</v>
      </c>
      <c r="G66" s="336">
        <f t="shared" ref="G66" si="34">G67</f>
        <v>0</v>
      </c>
      <c r="H66" s="358">
        <f t="shared" si="2"/>
        <v>0</v>
      </c>
    </row>
    <row r="67" spans="1:8" s="324" customFormat="1" ht="47.25" x14ac:dyDescent="0.25">
      <c r="A67" s="335" t="s">
        <v>149</v>
      </c>
      <c r="B67" s="331" t="s">
        <v>134</v>
      </c>
      <c r="C67" s="331" t="s">
        <v>166</v>
      </c>
      <c r="D67" s="331" t="s">
        <v>1414</v>
      </c>
      <c r="E67" s="331" t="s">
        <v>150</v>
      </c>
      <c r="F67" s="336">
        <f>'Пр.4 ведом.20'!G53</f>
        <v>92.6</v>
      </c>
      <c r="G67" s="336">
        <f>'Пр.4 ведом.20'!H53</f>
        <v>0</v>
      </c>
      <c r="H67" s="358">
        <f t="shared" si="2"/>
        <v>0</v>
      </c>
    </row>
    <row r="68" spans="1:8" s="213" customFormat="1" ht="47.25" x14ac:dyDescent="0.25">
      <c r="A68" s="45" t="s">
        <v>205</v>
      </c>
      <c r="B68" s="40" t="s">
        <v>134</v>
      </c>
      <c r="C68" s="20" t="s">
        <v>166</v>
      </c>
      <c r="D68" s="40" t="s">
        <v>993</v>
      </c>
      <c r="E68" s="40"/>
      <c r="F68" s="6">
        <f>F69+F71</f>
        <v>604.80000000000007</v>
      </c>
      <c r="G68" s="358">
        <f t="shared" ref="G68" si="35">G69+G71</f>
        <v>404.27</v>
      </c>
      <c r="H68" s="358">
        <f t="shared" si="2"/>
        <v>66.843584656084644</v>
      </c>
    </row>
    <row r="69" spans="1:8" s="213" customFormat="1" ht="78.75" x14ac:dyDescent="0.25">
      <c r="A69" s="29" t="s">
        <v>143</v>
      </c>
      <c r="B69" s="40" t="s">
        <v>134</v>
      </c>
      <c r="C69" s="20" t="s">
        <v>166</v>
      </c>
      <c r="D69" s="40" t="s">
        <v>993</v>
      </c>
      <c r="E69" s="40" t="s">
        <v>144</v>
      </c>
      <c r="F69" s="6">
        <f t="shared" ref="F69:G69" si="36">F70</f>
        <v>604.80000000000007</v>
      </c>
      <c r="G69" s="358">
        <f t="shared" si="36"/>
        <v>404.27</v>
      </c>
      <c r="H69" s="358">
        <f t="shared" si="2"/>
        <v>66.843584656084644</v>
      </c>
    </row>
    <row r="70" spans="1:8" s="213" customFormat="1" ht="31.5" x14ac:dyDescent="0.25">
      <c r="A70" s="29" t="s">
        <v>145</v>
      </c>
      <c r="B70" s="40" t="s">
        <v>134</v>
      </c>
      <c r="C70" s="20" t="s">
        <v>166</v>
      </c>
      <c r="D70" s="40" t="s">
        <v>993</v>
      </c>
      <c r="E70" s="40" t="s">
        <v>146</v>
      </c>
      <c r="F70" s="6">
        <f>'Пр.4 ведом.20'!G56</f>
        <v>604.80000000000007</v>
      </c>
      <c r="G70" s="358">
        <f>'Пр.4 ведом.20'!H56</f>
        <v>404.27</v>
      </c>
      <c r="H70" s="358">
        <f t="shared" si="2"/>
        <v>66.843584656084644</v>
      </c>
    </row>
    <row r="71" spans="1:8" s="213" customFormat="1" ht="31.5" hidden="1" x14ac:dyDescent="0.25">
      <c r="A71" s="25" t="s">
        <v>147</v>
      </c>
      <c r="B71" s="40" t="s">
        <v>134</v>
      </c>
      <c r="C71" s="20" t="s">
        <v>166</v>
      </c>
      <c r="D71" s="40" t="s">
        <v>993</v>
      </c>
      <c r="E71" s="40" t="s">
        <v>148</v>
      </c>
      <c r="F71" s="6">
        <f>F72</f>
        <v>0</v>
      </c>
      <c r="G71" s="358">
        <f t="shared" ref="G71" si="37">G72</f>
        <v>0</v>
      </c>
      <c r="H71" s="358" t="e">
        <f t="shared" si="2"/>
        <v>#DIV/0!</v>
      </c>
    </row>
    <row r="72" spans="1:8" s="213" customFormat="1" ht="47.25" hidden="1" x14ac:dyDescent="0.25">
      <c r="A72" s="25" t="s">
        <v>149</v>
      </c>
      <c r="B72" s="40" t="s">
        <v>134</v>
      </c>
      <c r="C72" s="20" t="s">
        <v>166</v>
      </c>
      <c r="D72" s="40" t="s">
        <v>993</v>
      </c>
      <c r="E72" s="40" t="s">
        <v>150</v>
      </c>
      <c r="F72" s="6">
        <f>'Пр.4 ведом.20'!G58</f>
        <v>0</v>
      </c>
      <c r="G72" s="358">
        <f>'Пр.4 ведом.20'!H58</f>
        <v>0</v>
      </c>
      <c r="H72" s="358" t="e">
        <f t="shared" si="2"/>
        <v>#DIV/0!</v>
      </c>
    </row>
    <row r="73" spans="1:8" s="213" customFormat="1" ht="47.25" x14ac:dyDescent="0.25">
      <c r="A73" s="31" t="s">
        <v>210</v>
      </c>
      <c r="B73" s="40" t="s">
        <v>134</v>
      </c>
      <c r="C73" s="20" t="s">
        <v>166</v>
      </c>
      <c r="D73" s="40" t="s">
        <v>1195</v>
      </c>
      <c r="E73" s="40"/>
      <c r="F73" s="6">
        <f>F74+F76</f>
        <v>1433.3</v>
      </c>
      <c r="G73" s="358">
        <f t="shared" ref="G73" si="38">G74+G76</f>
        <v>849.99</v>
      </c>
      <c r="H73" s="358">
        <f t="shared" si="2"/>
        <v>59.303007046675503</v>
      </c>
    </row>
    <row r="74" spans="1:8" s="213" customFormat="1" ht="78.75" x14ac:dyDescent="0.25">
      <c r="A74" s="29" t="s">
        <v>143</v>
      </c>
      <c r="B74" s="40" t="s">
        <v>134</v>
      </c>
      <c r="C74" s="20" t="s">
        <v>166</v>
      </c>
      <c r="D74" s="40" t="s">
        <v>1195</v>
      </c>
      <c r="E74" s="40" t="s">
        <v>144</v>
      </c>
      <c r="F74" s="6">
        <f t="shared" ref="F74:G74" si="39">F75</f>
        <v>1372.1</v>
      </c>
      <c r="G74" s="358">
        <f t="shared" si="39"/>
        <v>830.41</v>
      </c>
      <c r="H74" s="358">
        <f t="shared" si="2"/>
        <v>60.521099045259099</v>
      </c>
    </row>
    <row r="75" spans="1:8" s="213" customFormat="1" ht="31.5" x14ac:dyDescent="0.25">
      <c r="A75" s="29" t="s">
        <v>145</v>
      </c>
      <c r="B75" s="40" t="s">
        <v>134</v>
      </c>
      <c r="C75" s="20" t="s">
        <v>166</v>
      </c>
      <c r="D75" s="40" t="s">
        <v>1195</v>
      </c>
      <c r="E75" s="40" t="s">
        <v>146</v>
      </c>
      <c r="F75" s="6">
        <f>'Пр.4 ведом.20'!G61</f>
        <v>1372.1</v>
      </c>
      <c r="G75" s="358">
        <f>'Пр.4 ведом.20'!H61</f>
        <v>830.41</v>
      </c>
      <c r="H75" s="358">
        <f t="shared" ref="H75:H138" si="40">G75/F75*100</f>
        <v>60.521099045259099</v>
      </c>
    </row>
    <row r="76" spans="1:8" s="213" customFormat="1" ht="31.5" x14ac:dyDescent="0.25">
      <c r="A76" s="25" t="s">
        <v>147</v>
      </c>
      <c r="B76" s="40" t="s">
        <v>134</v>
      </c>
      <c r="C76" s="20" t="s">
        <v>166</v>
      </c>
      <c r="D76" s="40" t="s">
        <v>1195</v>
      </c>
      <c r="E76" s="40" t="s">
        <v>148</v>
      </c>
      <c r="F76" s="6">
        <f>F77</f>
        <v>61.2</v>
      </c>
      <c r="G76" s="358">
        <f t="shared" ref="G76" si="41">G77</f>
        <v>19.579999999999998</v>
      </c>
      <c r="H76" s="358">
        <f t="shared" si="40"/>
        <v>31.993464052287578</v>
      </c>
    </row>
    <row r="77" spans="1:8" s="213" customFormat="1" ht="47.25" x14ac:dyDescent="0.25">
      <c r="A77" s="25" t="s">
        <v>149</v>
      </c>
      <c r="B77" s="40" t="s">
        <v>134</v>
      </c>
      <c r="C77" s="20" t="s">
        <v>166</v>
      </c>
      <c r="D77" s="40" t="s">
        <v>1195</v>
      </c>
      <c r="E77" s="40" t="s">
        <v>150</v>
      </c>
      <c r="F77" s="6">
        <f>'Пр.4 ведом.20'!G63</f>
        <v>61.2</v>
      </c>
      <c r="G77" s="358">
        <f>'Пр.4 ведом.20'!H63</f>
        <v>19.579999999999998</v>
      </c>
      <c r="H77" s="358">
        <f t="shared" si="40"/>
        <v>31.993464052287578</v>
      </c>
    </row>
    <row r="78" spans="1:8" ht="47.25" x14ac:dyDescent="0.25">
      <c r="A78" s="45" t="s">
        <v>212</v>
      </c>
      <c r="B78" s="40" t="s">
        <v>134</v>
      </c>
      <c r="C78" s="20" t="s">
        <v>166</v>
      </c>
      <c r="D78" s="40" t="s">
        <v>994</v>
      </c>
      <c r="E78" s="40"/>
      <c r="F78" s="6">
        <f t="shared" ref="F78:G78" si="42">F79+F81</f>
        <v>1115.9000000000001</v>
      </c>
      <c r="G78" s="358">
        <f t="shared" si="42"/>
        <v>437.3</v>
      </c>
      <c r="H78" s="358">
        <f t="shared" si="40"/>
        <v>39.188099292051263</v>
      </c>
    </row>
    <row r="79" spans="1:8" ht="81.75" customHeight="1" x14ac:dyDescent="0.25">
      <c r="A79" s="29" t="s">
        <v>143</v>
      </c>
      <c r="B79" s="40" t="s">
        <v>134</v>
      </c>
      <c r="C79" s="20" t="s">
        <v>166</v>
      </c>
      <c r="D79" s="40" t="s">
        <v>994</v>
      </c>
      <c r="E79" s="40" t="s">
        <v>144</v>
      </c>
      <c r="F79" s="6">
        <f t="shared" ref="F79:G79" si="43">F80</f>
        <v>1081.9000000000001</v>
      </c>
      <c r="G79" s="358">
        <f t="shared" si="43"/>
        <v>432.3</v>
      </c>
      <c r="H79" s="358">
        <f t="shared" si="40"/>
        <v>39.957482207228026</v>
      </c>
    </row>
    <row r="80" spans="1:8" ht="36" customHeight="1" x14ac:dyDescent="0.25">
      <c r="A80" s="29" t="s">
        <v>145</v>
      </c>
      <c r="B80" s="40" t="s">
        <v>134</v>
      </c>
      <c r="C80" s="20" t="s">
        <v>166</v>
      </c>
      <c r="D80" s="40" t="s">
        <v>994</v>
      </c>
      <c r="E80" s="40" t="s">
        <v>146</v>
      </c>
      <c r="F80" s="6">
        <f>'Пр.4 ведом.20'!G66</f>
        <v>1081.9000000000001</v>
      </c>
      <c r="G80" s="358">
        <f>'Пр.4 ведом.20'!H66</f>
        <v>432.3</v>
      </c>
      <c r="H80" s="358">
        <f t="shared" si="40"/>
        <v>39.957482207228026</v>
      </c>
    </row>
    <row r="81" spans="1:8" ht="31.5" x14ac:dyDescent="0.25">
      <c r="A81" s="29" t="s">
        <v>147</v>
      </c>
      <c r="B81" s="40" t="s">
        <v>134</v>
      </c>
      <c r="C81" s="20" t="s">
        <v>166</v>
      </c>
      <c r="D81" s="40" t="s">
        <v>994</v>
      </c>
      <c r="E81" s="40" t="s">
        <v>148</v>
      </c>
      <c r="F81" s="6">
        <f t="shared" ref="F81:G81" si="44">F82</f>
        <v>34.000000000000007</v>
      </c>
      <c r="G81" s="358">
        <f t="shared" si="44"/>
        <v>5</v>
      </c>
      <c r="H81" s="358">
        <f t="shared" si="40"/>
        <v>14.705882352941174</v>
      </c>
    </row>
    <row r="82" spans="1:8" ht="47.25" x14ac:dyDescent="0.25">
      <c r="A82" s="29" t="s">
        <v>149</v>
      </c>
      <c r="B82" s="40" t="s">
        <v>134</v>
      </c>
      <c r="C82" s="20" t="s">
        <v>166</v>
      </c>
      <c r="D82" s="40" t="s">
        <v>994</v>
      </c>
      <c r="E82" s="40" t="s">
        <v>150</v>
      </c>
      <c r="F82" s="6">
        <f>'Пр.4 ведом.20'!G68</f>
        <v>34.000000000000007</v>
      </c>
      <c r="G82" s="358">
        <f>'Пр.4 ведом.20'!H68</f>
        <v>5</v>
      </c>
      <c r="H82" s="358">
        <f t="shared" si="40"/>
        <v>14.705882352941174</v>
      </c>
    </row>
    <row r="83" spans="1:8" s="213" customFormat="1" ht="94.5" x14ac:dyDescent="0.25">
      <c r="A83" s="31" t="s">
        <v>1408</v>
      </c>
      <c r="B83" s="20" t="s">
        <v>134</v>
      </c>
      <c r="C83" s="20" t="s">
        <v>166</v>
      </c>
      <c r="D83" s="20" t="s">
        <v>1407</v>
      </c>
      <c r="E83" s="20"/>
      <c r="F83" s="26">
        <f>F84</f>
        <v>22</v>
      </c>
      <c r="G83" s="336">
        <f t="shared" ref="G83:G84" si="45">G84</f>
        <v>0</v>
      </c>
      <c r="H83" s="358">
        <f t="shared" si="40"/>
        <v>0</v>
      </c>
    </row>
    <row r="84" spans="1:8" s="213" customFormat="1" ht="78.75" x14ac:dyDescent="0.25">
      <c r="A84" s="25" t="s">
        <v>143</v>
      </c>
      <c r="B84" s="20" t="s">
        <v>134</v>
      </c>
      <c r="C84" s="20" t="s">
        <v>166</v>
      </c>
      <c r="D84" s="20" t="s">
        <v>1407</v>
      </c>
      <c r="E84" s="20" t="s">
        <v>144</v>
      </c>
      <c r="F84" s="26">
        <f>F85</f>
        <v>22</v>
      </c>
      <c r="G84" s="336">
        <f t="shared" si="45"/>
        <v>0</v>
      </c>
      <c r="H84" s="358">
        <f t="shared" si="40"/>
        <v>0</v>
      </c>
    </row>
    <row r="85" spans="1:8" s="213" customFormat="1" ht="31.5" x14ac:dyDescent="0.25">
      <c r="A85" s="25" t="s">
        <v>145</v>
      </c>
      <c r="B85" s="20" t="s">
        <v>134</v>
      </c>
      <c r="C85" s="20" t="s">
        <v>166</v>
      </c>
      <c r="D85" s="20" t="s">
        <v>1407</v>
      </c>
      <c r="E85" s="20" t="s">
        <v>146</v>
      </c>
      <c r="F85" s="26">
        <f>'Пр.4 ведом.20'!G515</f>
        <v>22</v>
      </c>
      <c r="G85" s="336">
        <f>'Пр.4 ведом.20'!H515</f>
        <v>0</v>
      </c>
      <c r="H85" s="358">
        <f t="shared" si="40"/>
        <v>0</v>
      </c>
    </row>
    <row r="86" spans="1:8" s="213" customFormat="1" ht="47.25" x14ac:dyDescent="0.25">
      <c r="A86" s="23" t="s">
        <v>820</v>
      </c>
      <c r="B86" s="24" t="s">
        <v>134</v>
      </c>
      <c r="C86" s="24" t="s">
        <v>166</v>
      </c>
      <c r="D86" s="24" t="s">
        <v>178</v>
      </c>
      <c r="E86" s="24"/>
      <c r="F86" s="4">
        <f>F87+F91+F97</f>
        <v>523</v>
      </c>
      <c r="G86" s="4">
        <f t="shared" ref="G86" si="46">G87+G91+G97</f>
        <v>367.15</v>
      </c>
      <c r="H86" s="4">
        <f t="shared" si="40"/>
        <v>70.200764818355637</v>
      </c>
    </row>
    <row r="87" spans="1:8" s="213" customFormat="1" ht="63" x14ac:dyDescent="0.25">
      <c r="A87" s="229" t="s">
        <v>1155</v>
      </c>
      <c r="B87" s="24" t="s">
        <v>134</v>
      </c>
      <c r="C87" s="24" t="s">
        <v>166</v>
      </c>
      <c r="D87" s="7" t="s">
        <v>895</v>
      </c>
      <c r="E87" s="24"/>
      <c r="F87" s="4">
        <f>F88</f>
        <v>446</v>
      </c>
      <c r="G87" s="4">
        <f t="shared" ref="G87:G89" si="47">G88</f>
        <v>348.9</v>
      </c>
      <c r="H87" s="4">
        <f t="shared" si="40"/>
        <v>78.228699551569505</v>
      </c>
    </row>
    <row r="88" spans="1:8" s="213" customFormat="1" ht="31.5" x14ac:dyDescent="0.25">
      <c r="A88" s="29" t="s">
        <v>1154</v>
      </c>
      <c r="B88" s="20" t="s">
        <v>134</v>
      </c>
      <c r="C88" s="20" t="s">
        <v>166</v>
      </c>
      <c r="D88" s="40" t="s">
        <v>887</v>
      </c>
      <c r="E88" s="20"/>
      <c r="F88" s="6">
        <f>F89</f>
        <v>446</v>
      </c>
      <c r="G88" s="358">
        <f t="shared" si="47"/>
        <v>348.9</v>
      </c>
      <c r="H88" s="358">
        <f t="shared" si="40"/>
        <v>78.228699551569505</v>
      </c>
    </row>
    <row r="89" spans="1:8" s="213" customFormat="1" ht="31.5" x14ac:dyDescent="0.25">
      <c r="A89" s="25" t="s">
        <v>147</v>
      </c>
      <c r="B89" s="20" t="s">
        <v>134</v>
      </c>
      <c r="C89" s="20" t="s">
        <v>166</v>
      </c>
      <c r="D89" s="40" t="s">
        <v>887</v>
      </c>
      <c r="E89" s="20" t="s">
        <v>148</v>
      </c>
      <c r="F89" s="6">
        <f>F90</f>
        <v>446</v>
      </c>
      <c r="G89" s="358">
        <f t="shared" si="47"/>
        <v>348.9</v>
      </c>
      <c r="H89" s="358">
        <f t="shared" si="40"/>
        <v>78.228699551569505</v>
      </c>
    </row>
    <row r="90" spans="1:8" s="213" customFormat="1" ht="47.25" x14ac:dyDescent="0.25">
      <c r="A90" s="25" t="s">
        <v>149</v>
      </c>
      <c r="B90" s="20" t="s">
        <v>134</v>
      </c>
      <c r="C90" s="20" t="s">
        <v>166</v>
      </c>
      <c r="D90" s="40" t="s">
        <v>887</v>
      </c>
      <c r="E90" s="20" t="s">
        <v>150</v>
      </c>
      <c r="F90" s="6">
        <f>'Пр.4 ведом.20'!G73</f>
        <v>446</v>
      </c>
      <c r="G90" s="358">
        <f>'Пр.4 ведом.20'!H73</f>
        <v>348.9</v>
      </c>
      <c r="H90" s="358">
        <f t="shared" si="40"/>
        <v>78.228699551569505</v>
      </c>
    </row>
    <row r="91" spans="1:8" s="213" customFormat="1" ht="63" x14ac:dyDescent="0.25">
      <c r="A91" s="228" t="s">
        <v>889</v>
      </c>
      <c r="B91" s="24" t="s">
        <v>134</v>
      </c>
      <c r="C91" s="24" t="s">
        <v>166</v>
      </c>
      <c r="D91" s="7" t="s">
        <v>896</v>
      </c>
      <c r="E91" s="24"/>
      <c r="F91" s="4">
        <f>F92</f>
        <v>76.5</v>
      </c>
      <c r="G91" s="4">
        <f t="shared" ref="G91" si="48">G92</f>
        <v>18.25</v>
      </c>
      <c r="H91" s="4">
        <f t="shared" si="40"/>
        <v>23.856209150326798</v>
      </c>
    </row>
    <row r="92" spans="1:8" s="213" customFormat="1" ht="47.25" x14ac:dyDescent="0.25">
      <c r="A92" s="178" t="s">
        <v>181</v>
      </c>
      <c r="B92" s="20" t="s">
        <v>134</v>
      </c>
      <c r="C92" s="20" t="s">
        <v>166</v>
      </c>
      <c r="D92" s="40" t="s">
        <v>888</v>
      </c>
      <c r="E92" s="20"/>
      <c r="F92" s="6">
        <f>F93+F95</f>
        <v>76.5</v>
      </c>
      <c r="G92" s="358">
        <f t="shared" ref="G92" si="49">G93+G95</f>
        <v>18.25</v>
      </c>
      <c r="H92" s="358">
        <f t="shared" si="40"/>
        <v>23.856209150326798</v>
      </c>
    </row>
    <row r="93" spans="1:8" s="213" customFormat="1" ht="78.75" x14ac:dyDescent="0.25">
      <c r="A93" s="25" t="s">
        <v>143</v>
      </c>
      <c r="B93" s="20" t="s">
        <v>134</v>
      </c>
      <c r="C93" s="20" t="s">
        <v>166</v>
      </c>
      <c r="D93" s="40" t="s">
        <v>888</v>
      </c>
      <c r="E93" s="20" t="s">
        <v>144</v>
      </c>
      <c r="F93" s="6">
        <f>F94</f>
        <v>37</v>
      </c>
      <c r="G93" s="358">
        <f t="shared" ref="G93" si="50">G94</f>
        <v>0</v>
      </c>
      <c r="H93" s="358">
        <f t="shared" si="40"/>
        <v>0</v>
      </c>
    </row>
    <row r="94" spans="1:8" s="213" customFormat="1" ht="31.5" x14ac:dyDescent="0.25">
      <c r="A94" s="25" t="s">
        <v>145</v>
      </c>
      <c r="B94" s="20" t="s">
        <v>134</v>
      </c>
      <c r="C94" s="20" t="s">
        <v>166</v>
      </c>
      <c r="D94" s="40" t="s">
        <v>888</v>
      </c>
      <c r="E94" s="20" t="s">
        <v>146</v>
      </c>
      <c r="F94" s="6">
        <f>'Пр.4 ведом.20'!G77</f>
        <v>37</v>
      </c>
      <c r="G94" s="358">
        <f>'Пр.4 ведом.20'!H77</f>
        <v>0</v>
      </c>
      <c r="H94" s="358">
        <f t="shared" si="40"/>
        <v>0</v>
      </c>
    </row>
    <row r="95" spans="1:8" s="213" customFormat="1" ht="31.5" x14ac:dyDescent="0.25">
      <c r="A95" s="25" t="s">
        <v>147</v>
      </c>
      <c r="B95" s="20" t="s">
        <v>134</v>
      </c>
      <c r="C95" s="20" t="s">
        <v>166</v>
      </c>
      <c r="D95" s="40" t="s">
        <v>888</v>
      </c>
      <c r="E95" s="20" t="s">
        <v>148</v>
      </c>
      <c r="F95" s="6">
        <f>F96</f>
        <v>39.5</v>
      </c>
      <c r="G95" s="358">
        <f t="shared" ref="G95" si="51">G96</f>
        <v>18.25</v>
      </c>
      <c r="H95" s="358">
        <f t="shared" si="40"/>
        <v>46.202531645569621</v>
      </c>
    </row>
    <row r="96" spans="1:8" s="213" customFormat="1" ht="47.25" x14ac:dyDescent="0.25">
      <c r="A96" s="25" t="s">
        <v>149</v>
      </c>
      <c r="B96" s="20" t="s">
        <v>134</v>
      </c>
      <c r="C96" s="20" t="s">
        <v>166</v>
      </c>
      <c r="D96" s="40" t="s">
        <v>888</v>
      </c>
      <c r="E96" s="20" t="s">
        <v>150</v>
      </c>
      <c r="F96" s="6">
        <f>'Пр.4 ведом.20'!G79</f>
        <v>39.5</v>
      </c>
      <c r="G96" s="358">
        <f>'Пр.4 ведом.20'!H79</f>
        <v>18.25</v>
      </c>
      <c r="H96" s="358">
        <f t="shared" si="40"/>
        <v>46.202531645569621</v>
      </c>
    </row>
    <row r="97" spans="1:8" s="213" customFormat="1" ht="63" x14ac:dyDescent="0.25">
      <c r="A97" s="230" t="s">
        <v>1156</v>
      </c>
      <c r="B97" s="24" t="s">
        <v>134</v>
      </c>
      <c r="C97" s="24" t="s">
        <v>166</v>
      </c>
      <c r="D97" s="7" t="s">
        <v>897</v>
      </c>
      <c r="E97" s="24"/>
      <c r="F97" s="4">
        <f>F98+F101</f>
        <v>0.5</v>
      </c>
      <c r="G97" s="4">
        <f t="shared" ref="G97" si="52">G98+G101</f>
        <v>0</v>
      </c>
      <c r="H97" s="4">
        <f t="shared" si="40"/>
        <v>0</v>
      </c>
    </row>
    <row r="98" spans="1:8" s="213" customFormat="1" ht="47.25" x14ac:dyDescent="0.25">
      <c r="A98" s="33" t="s">
        <v>207</v>
      </c>
      <c r="B98" s="20" t="s">
        <v>134</v>
      </c>
      <c r="C98" s="20" t="s">
        <v>166</v>
      </c>
      <c r="D98" s="40" t="s">
        <v>890</v>
      </c>
      <c r="E98" s="20"/>
      <c r="F98" s="6">
        <f>F99</f>
        <v>0.5</v>
      </c>
      <c r="G98" s="358">
        <f t="shared" ref="G98:G99" si="53">G99</f>
        <v>0</v>
      </c>
      <c r="H98" s="358">
        <f t="shared" si="40"/>
        <v>0</v>
      </c>
    </row>
    <row r="99" spans="1:8" s="213" customFormat="1" ht="31.5" x14ac:dyDescent="0.25">
      <c r="A99" s="25" t="s">
        <v>147</v>
      </c>
      <c r="B99" s="20" t="s">
        <v>134</v>
      </c>
      <c r="C99" s="20" t="s">
        <v>166</v>
      </c>
      <c r="D99" s="40" t="s">
        <v>890</v>
      </c>
      <c r="E99" s="20" t="s">
        <v>148</v>
      </c>
      <c r="F99" s="6">
        <f>F100</f>
        <v>0.5</v>
      </c>
      <c r="G99" s="358">
        <f t="shared" si="53"/>
        <v>0</v>
      </c>
      <c r="H99" s="358">
        <f t="shared" si="40"/>
        <v>0</v>
      </c>
    </row>
    <row r="100" spans="1:8" s="213" customFormat="1" ht="47.25" x14ac:dyDescent="0.25">
      <c r="A100" s="25" t="s">
        <v>149</v>
      </c>
      <c r="B100" s="20" t="s">
        <v>134</v>
      </c>
      <c r="C100" s="20" t="s">
        <v>166</v>
      </c>
      <c r="D100" s="40" t="s">
        <v>890</v>
      </c>
      <c r="E100" s="20" t="s">
        <v>150</v>
      </c>
      <c r="F100" s="6">
        <f>'Пр.4 ведом.20'!G83</f>
        <v>0.5</v>
      </c>
      <c r="G100" s="358">
        <f>'Пр.4 ведом.20'!H83</f>
        <v>0</v>
      </c>
      <c r="H100" s="358">
        <f t="shared" si="40"/>
        <v>0</v>
      </c>
    </row>
    <row r="101" spans="1:8" s="213" customFormat="1" ht="47.25" hidden="1" x14ac:dyDescent="0.25">
      <c r="A101" s="33" t="s">
        <v>207</v>
      </c>
      <c r="B101" s="20" t="s">
        <v>134</v>
      </c>
      <c r="C101" s="20" t="s">
        <v>166</v>
      </c>
      <c r="D101" s="20" t="s">
        <v>891</v>
      </c>
      <c r="E101" s="20"/>
      <c r="F101" s="6">
        <f>F102</f>
        <v>0</v>
      </c>
      <c r="G101" s="358">
        <f t="shared" ref="G101:G102" si="54">G102</f>
        <v>0</v>
      </c>
      <c r="H101" s="358" t="e">
        <f t="shared" si="40"/>
        <v>#DIV/0!</v>
      </c>
    </row>
    <row r="102" spans="1:8" s="213" customFormat="1" ht="31.5" hidden="1" x14ac:dyDescent="0.25">
      <c r="A102" s="25" t="s">
        <v>147</v>
      </c>
      <c r="B102" s="20" t="s">
        <v>134</v>
      </c>
      <c r="C102" s="20" t="s">
        <v>166</v>
      </c>
      <c r="D102" s="20" t="s">
        <v>891</v>
      </c>
      <c r="E102" s="20" t="s">
        <v>148</v>
      </c>
      <c r="F102" s="6">
        <f>F103</f>
        <v>0</v>
      </c>
      <c r="G102" s="358">
        <f t="shared" si="54"/>
        <v>0</v>
      </c>
      <c r="H102" s="358" t="e">
        <f t="shared" si="40"/>
        <v>#DIV/0!</v>
      </c>
    </row>
    <row r="103" spans="1:8" s="213" customFormat="1" ht="47.25" hidden="1" x14ac:dyDescent="0.25">
      <c r="A103" s="25" t="s">
        <v>149</v>
      </c>
      <c r="B103" s="20" t="s">
        <v>134</v>
      </c>
      <c r="C103" s="20" t="s">
        <v>166</v>
      </c>
      <c r="D103" s="20" t="s">
        <v>891</v>
      </c>
      <c r="E103" s="20" t="s">
        <v>150</v>
      </c>
      <c r="F103" s="6">
        <f>'Пр.4 ведом.20'!G86</f>
        <v>0</v>
      </c>
      <c r="G103" s="358">
        <f>'Пр.4 ведом.20'!H86</f>
        <v>0</v>
      </c>
      <c r="H103" s="358" t="e">
        <f t="shared" si="40"/>
        <v>#DIV/0!</v>
      </c>
    </row>
    <row r="104" spans="1:8" ht="47.25" x14ac:dyDescent="0.25">
      <c r="A104" s="41" t="s">
        <v>135</v>
      </c>
      <c r="B104" s="7" t="s">
        <v>134</v>
      </c>
      <c r="C104" s="7" t="s">
        <v>136</v>
      </c>
      <c r="D104" s="7"/>
      <c r="E104" s="7"/>
      <c r="F104" s="4">
        <f t="shared" ref="F104:G104" si="55">F105</f>
        <v>16353.2</v>
      </c>
      <c r="G104" s="4">
        <f t="shared" si="55"/>
        <v>10993.793000000001</v>
      </c>
      <c r="H104" s="4">
        <f t="shared" si="40"/>
        <v>67.227166548443122</v>
      </c>
    </row>
    <row r="105" spans="1:8" ht="31.5" x14ac:dyDescent="0.25">
      <c r="A105" s="23" t="s">
        <v>990</v>
      </c>
      <c r="B105" s="7" t="s">
        <v>134</v>
      </c>
      <c r="C105" s="7" t="s">
        <v>136</v>
      </c>
      <c r="D105" s="7" t="s">
        <v>904</v>
      </c>
      <c r="E105" s="7"/>
      <c r="F105" s="4">
        <f>F115+F106</f>
        <v>16353.2</v>
      </c>
      <c r="G105" s="4">
        <f t="shared" ref="G105" si="56">G115+G106</f>
        <v>10993.793000000001</v>
      </c>
      <c r="H105" s="4">
        <f t="shared" si="40"/>
        <v>67.227166548443122</v>
      </c>
    </row>
    <row r="106" spans="1:8" s="213" customFormat="1" ht="31.5" x14ac:dyDescent="0.25">
      <c r="A106" s="23" t="s">
        <v>1134</v>
      </c>
      <c r="B106" s="7" t="s">
        <v>134</v>
      </c>
      <c r="C106" s="7" t="s">
        <v>136</v>
      </c>
      <c r="D106" s="7" t="s">
        <v>1135</v>
      </c>
      <c r="E106" s="7"/>
      <c r="F106" s="4">
        <f>F107+F112</f>
        <v>1866.1</v>
      </c>
      <c r="G106" s="4">
        <f t="shared" ref="G106" si="57">G107+G112</f>
        <v>1295.913</v>
      </c>
      <c r="H106" s="4">
        <f t="shared" si="40"/>
        <v>69.444992229784049</v>
      </c>
    </row>
    <row r="107" spans="1:8" s="213" customFormat="1" ht="31.5" x14ac:dyDescent="0.25">
      <c r="A107" s="25" t="s">
        <v>967</v>
      </c>
      <c r="B107" s="20" t="s">
        <v>134</v>
      </c>
      <c r="C107" s="20" t="s">
        <v>136</v>
      </c>
      <c r="D107" s="20" t="s">
        <v>1139</v>
      </c>
      <c r="E107" s="20"/>
      <c r="F107" s="6">
        <f>F108+F110</f>
        <v>1866.1</v>
      </c>
      <c r="G107" s="358">
        <f t="shared" ref="G107" si="58">G108+G110</f>
        <v>1295.913</v>
      </c>
      <c r="H107" s="358">
        <f t="shared" si="40"/>
        <v>69.444992229784049</v>
      </c>
    </row>
    <row r="108" spans="1:8" s="213" customFormat="1" ht="78.75" x14ac:dyDescent="0.25">
      <c r="A108" s="25" t="s">
        <v>143</v>
      </c>
      <c r="B108" s="20" t="s">
        <v>134</v>
      </c>
      <c r="C108" s="20" t="s">
        <v>136</v>
      </c>
      <c r="D108" s="20" t="s">
        <v>1139</v>
      </c>
      <c r="E108" s="20" t="s">
        <v>144</v>
      </c>
      <c r="F108" s="6">
        <f>F109</f>
        <v>1848.1</v>
      </c>
      <c r="G108" s="358">
        <f t="shared" ref="G108" si="59">G109</f>
        <v>1295.913</v>
      </c>
      <c r="H108" s="358">
        <f t="shared" si="40"/>
        <v>70.121367891347873</v>
      </c>
    </row>
    <row r="109" spans="1:8" s="213" customFormat="1" ht="31.5" x14ac:dyDescent="0.25">
      <c r="A109" s="25" t="s">
        <v>145</v>
      </c>
      <c r="B109" s="20" t="s">
        <v>134</v>
      </c>
      <c r="C109" s="20" t="s">
        <v>136</v>
      </c>
      <c r="D109" s="20" t="s">
        <v>1139</v>
      </c>
      <c r="E109" s="20" t="s">
        <v>146</v>
      </c>
      <c r="F109" s="6">
        <f>'Пр.4 ведом.20'!G1190</f>
        <v>1848.1</v>
      </c>
      <c r="G109" s="358">
        <f>'Пр.4 ведом.20'!H1190</f>
        <v>1295.913</v>
      </c>
      <c r="H109" s="358">
        <f t="shared" si="40"/>
        <v>70.121367891347873</v>
      </c>
    </row>
    <row r="110" spans="1:8" s="213" customFormat="1" ht="31.5" x14ac:dyDescent="0.25">
      <c r="A110" s="25" t="s">
        <v>214</v>
      </c>
      <c r="B110" s="20" t="s">
        <v>134</v>
      </c>
      <c r="C110" s="20" t="s">
        <v>136</v>
      </c>
      <c r="D110" s="20" t="s">
        <v>1139</v>
      </c>
      <c r="E110" s="20" t="s">
        <v>148</v>
      </c>
      <c r="F110" s="6">
        <f>F111</f>
        <v>18</v>
      </c>
      <c r="G110" s="358">
        <f t="shared" ref="G110" si="60">G111</f>
        <v>0</v>
      </c>
      <c r="H110" s="358">
        <f t="shared" si="40"/>
        <v>0</v>
      </c>
    </row>
    <row r="111" spans="1:8" s="213" customFormat="1" ht="47.25" x14ac:dyDescent="0.25">
      <c r="A111" s="25" t="s">
        <v>149</v>
      </c>
      <c r="B111" s="20" t="s">
        <v>134</v>
      </c>
      <c r="C111" s="20" t="s">
        <v>136</v>
      </c>
      <c r="D111" s="20" t="s">
        <v>1139</v>
      </c>
      <c r="E111" s="20" t="s">
        <v>150</v>
      </c>
      <c r="F111" s="6">
        <f>'Пр.4 ведом.20'!G1192</f>
        <v>18</v>
      </c>
      <c r="G111" s="358">
        <f>'Пр.4 ведом.20'!H1192</f>
        <v>0</v>
      </c>
      <c r="H111" s="358">
        <f t="shared" si="40"/>
        <v>0</v>
      </c>
    </row>
    <row r="112" spans="1:8" s="213" customFormat="1" ht="47.25" hidden="1" x14ac:dyDescent="0.25">
      <c r="A112" s="25" t="s">
        <v>885</v>
      </c>
      <c r="B112" s="20" t="s">
        <v>134</v>
      </c>
      <c r="C112" s="20" t="s">
        <v>136</v>
      </c>
      <c r="D112" s="20" t="s">
        <v>1137</v>
      </c>
      <c r="E112" s="20"/>
      <c r="F112" s="6">
        <f>F113</f>
        <v>0</v>
      </c>
      <c r="G112" s="358">
        <f t="shared" ref="G112:G113" si="61">G113</f>
        <v>0</v>
      </c>
      <c r="H112" s="358" t="e">
        <f t="shared" si="40"/>
        <v>#DIV/0!</v>
      </c>
    </row>
    <row r="113" spans="1:8" s="213" customFormat="1" ht="78.75" hidden="1" x14ac:dyDescent="0.25">
      <c r="A113" s="25" t="s">
        <v>143</v>
      </c>
      <c r="B113" s="20" t="s">
        <v>134</v>
      </c>
      <c r="C113" s="20" t="s">
        <v>136</v>
      </c>
      <c r="D113" s="20" t="s">
        <v>1137</v>
      </c>
      <c r="E113" s="20" t="s">
        <v>144</v>
      </c>
      <c r="F113" s="6">
        <f>F114</f>
        <v>0</v>
      </c>
      <c r="G113" s="358">
        <f t="shared" si="61"/>
        <v>0</v>
      </c>
      <c r="H113" s="358" t="e">
        <f t="shared" si="40"/>
        <v>#DIV/0!</v>
      </c>
    </row>
    <row r="114" spans="1:8" s="213" customFormat="1" ht="31.5" hidden="1" x14ac:dyDescent="0.25">
      <c r="A114" s="25" t="s">
        <v>145</v>
      </c>
      <c r="B114" s="20" t="s">
        <v>134</v>
      </c>
      <c r="C114" s="20" t="s">
        <v>136</v>
      </c>
      <c r="D114" s="20" t="s">
        <v>1137</v>
      </c>
      <c r="E114" s="20" t="s">
        <v>146</v>
      </c>
      <c r="F114" s="6">
        <f>'Пр.4 ведом.20'!G1195</f>
        <v>0</v>
      </c>
      <c r="G114" s="358">
        <f>'Пр.4 ведом.20'!H1195</f>
        <v>0</v>
      </c>
      <c r="H114" s="358" t="e">
        <f t="shared" si="40"/>
        <v>#DIV/0!</v>
      </c>
    </row>
    <row r="115" spans="1:8" ht="15.75" x14ac:dyDescent="0.25">
      <c r="A115" s="23" t="s">
        <v>991</v>
      </c>
      <c r="B115" s="7" t="s">
        <v>134</v>
      </c>
      <c r="C115" s="7" t="s">
        <v>136</v>
      </c>
      <c r="D115" s="7" t="s">
        <v>905</v>
      </c>
      <c r="E115" s="7"/>
      <c r="F115" s="4">
        <f>F116+F123</f>
        <v>14487.1</v>
      </c>
      <c r="G115" s="4">
        <f t="shared" ref="G115" si="62">G116+G123</f>
        <v>9697.880000000001</v>
      </c>
      <c r="H115" s="4">
        <f t="shared" si="40"/>
        <v>66.941485873639323</v>
      </c>
    </row>
    <row r="116" spans="1:8" ht="37.5" customHeight="1" x14ac:dyDescent="0.25">
      <c r="A116" s="29" t="s">
        <v>967</v>
      </c>
      <c r="B116" s="40" t="s">
        <v>134</v>
      </c>
      <c r="C116" s="40" t="s">
        <v>136</v>
      </c>
      <c r="D116" s="40" t="s">
        <v>906</v>
      </c>
      <c r="E116" s="40"/>
      <c r="F116" s="6">
        <f t="shared" ref="F116:G116" si="63">F117+F119+F121</f>
        <v>14152.1</v>
      </c>
      <c r="G116" s="358">
        <f t="shared" si="63"/>
        <v>9534.18</v>
      </c>
      <c r="H116" s="358">
        <f t="shared" si="40"/>
        <v>67.369365677178649</v>
      </c>
    </row>
    <row r="117" spans="1:8" ht="78.75" x14ac:dyDescent="0.25">
      <c r="A117" s="29" t="s">
        <v>143</v>
      </c>
      <c r="B117" s="40" t="s">
        <v>134</v>
      </c>
      <c r="C117" s="40" t="s">
        <v>136</v>
      </c>
      <c r="D117" s="40" t="s">
        <v>906</v>
      </c>
      <c r="E117" s="40" t="s">
        <v>144</v>
      </c>
      <c r="F117" s="6">
        <f t="shared" ref="F117:G117" si="64">F118</f>
        <v>13147.1</v>
      </c>
      <c r="G117" s="358">
        <f t="shared" si="64"/>
        <v>9181.18</v>
      </c>
      <c r="H117" s="358">
        <f t="shared" si="40"/>
        <v>69.834260026926088</v>
      </c>
    </row>
    <row r="118" spans="1:8" ht="31.5" x14ac:dyDescent="0.25">
      <c r="A118" s="29" t="s">
        <v>145</v>
      </c>
      <c r="B118" s="40" t="s">
        <v>134</v>
      </c>
      <c r="C118" s="40" t="s">
        <v>136</v>
      </c>
      <c r="D118" s="40" t="s">
        <v>906</v>
      </c>
      <c r="E118" s="40" t="s">
        <v>146</v>
      </c>
      <c r="F118" s="303">
        <f>'Пр.4 ведом.20'!G17+'Пр.4 ведом.20'!G92</f>
        <v>13147.1</v>
      </c>
      <c r="G118" s="303">
        <f>'Пр.4 ведом.20'!H17+'Пр.4 ведом.20'!H92</f>
        <v>9181.18</v>
      </c>
      <c r="H118" s="358">
        <f t="shared" si="40"/>
        <v>69.834260026926088</v>
      </c>
    </row>
    <row r="119" spans="1:8" ht="31.5" x14ac:dyDescent="0.25">
      <c r="A119" s="29" t="s">
        <v>147</v>
      </c>
      <c r="B119" s="40" t="s">
        <v>134</v>
      </c>
      <c r="C119" s="40" t="s">
        <v>136</v>
      </c>
      <c r="D119" s="40" t="s">
        <v>906</v>
      </c>
      <c r="E119" s="40" t="s">
        <v>148</v>
      </c>
      <c r="F119" s="6">
        <f t="shared" ref="F119:G119" si="65">F120</f>
        <v>977</v>
      </c>
      <c r="G119" s="358">
        <f t="shared" si="65"/>
        <v>353</v>
      </c>
      <c r="H119" s="358">
        <f t="shared" si="40"/>
        <v>36.131013306038895</v>
      </c>
    </row>
    <row r="120" spans="1:8" ht="47.25" x14ac:dyDescent="0.25">
      <c r="A120" s="29" t="s">
        <v>149</v>
      </c>
      <c r="B120" s="40" t="s">
        <v>134</v>
      </c>
      <c r="C120" s="40" t="s">
        <v>136</v>
      </c>
      <c r="D120" s="40" t="s">
        <v>906</v>
      </c>
      <c r="E120" s="40" t="s">
        <v>150</v>
      </c>
      <c r="F120" s="6">
        <f>'Пр.4 ведом.20'!G19</f>
        <v>977</v>
      </c>
      <c r="G120" s="358">
        <f>'Пр.4 ведом.20'!H19</f>
        <v>353</v>
      </c>
      <c r="H120" s="358">
        <f t="shared" si="40"/>
        <v>36.131013306038895</v>
      </c>
    </row>
    <row r="121" spans="1:8" ht="15.75" x14ac:dyDescent="0.25">
      <c r="A121" s="29" t="s">
        <v>151</v>
      </c>
      <c r="B121" s="40" t="s">
        <v>134</v>
      </c>
      <c r="C121" s="40" t="s">
        <v>136</v>
      </c>
      <c r="D121" s="40" t="s">
        <v>906</v>
      </c>
      <c r="E121" s="40" t="s">
        <v>161</v>
      </c>
      <c r="F121" s="6">
        <f t="shared" ref="F121:G121" si="66">F122</f>
        <v>28</v>
      </c>
      <c r="G121" s="358">
        <f t="shared" si="66"/>
        <v>0</v>
      </c>
      <c r="H121" s="358">
        <f t="shared" si="40"/>
        <v>0</v>
      </c>
    </row>
    <row r="122" spans="1:8" ht="15.75" x14ac:dyDescent="0.25">
      <c r="A122" s="29" t="s">
        <v>584</v>
      </c>
      <c r="B122" s="40" t="s">
        <v>134</v>
      </c>
      <c r="C122" s="40" t="s">
        <v>136</v>
      </c>
      <c r="D122" s="40" t="s">
        <v>906</v>
      </c>
      <c r="E122" s="40" t="s">
        <v>154</v>
      </c>
      <c r="F122" s="6">
        <f>'Пр.4 ведом.20'!G21</f>
        <v>28</v>
      </c>
      <c r="G122" s="358">
        <f>'Пр.4 ведом.20'!H21</f>
        <v>0</v>
      </c>
      <c r="H122" s="358">
        <f t="shared" si="40"/>
        <v>0</v>
      </c>
    </row>
    <row r="123" spans="1:8" s="213" customFormat="1" ht="54" customHeight="1" x14ac:dyDescent="0.25">
      <c r="A123" s="25" t="s">
        <v>885</v>
      </c>
      <c r="B123" s="20" t="s">
        <v>134</v>
      </c>
      <c r="C123" s="20" t="s">
        <v>136</v>
      </c>
      <c r="D123" s="20" t="s">
        <v>908</v>
      </c>
      <c r="E123" s="20"/>
      <c r="F123" s="6">
        <f>F124</f>
        <v>335</v>
      </c>
      <c r="G123" s="358">
        <f t="shared" ref="G123:G124" si="67">G124</f>
        <v>163.69999999999999</v>
      </c>
      <c r="H123" s="358">
        <f t="shared" si="40"/>
        <v>48.865671641791039</v>
      </c>
    </row>
    <row r="124" spans="1:8" s="213" customFormat="1" ht="80.45" customHeight="1" x14ac:dyDescent="0.25">
      <c r="A124" s="25" t="s">
        <v>143</v>
      </c>
      <c r="B124" s="20" t="s">
        <v>134</v>
      </c>
      <c r="C124" s="20" t="s">
        <v>136</v>
      </c>
      <c r="D124" s="20" t="s">
        <v>908</v>
      </c>
      <c r="E124" s="20" t="s">
        <v>144</v>
      </c>
      <c r="F124" s="6">
        <f>F125</f>
        <v>335</v>
      </c>
      <c r="G124" s="358">
        <f t="shared" si="67"/>
        <v>163.69999999999999</v>
      </c>
      <c r="H124" s="358">
        <f t="shared" si="40"/>
        <v>48.865671641791039</v>
      </c>
    </row>
    <row r="125" spans="1:8" s="213" customFormat="1" ht="36" customHeight="1" x14ac:dyDescent="0.25">
      <c r="A125" s="25" t="s">
        <v>145</v>
      </c>
      <c r="B125" s="20" t="s">
        <v>134</v>
      </c>
      <c r="C125" s="20" t="s">
        <v>136</v>
      </c>
      <c r="D125" s="20" t="s">
        <v>908</v>
      </c>
      <c r="E125" s="20" t="s">
        <v>146</v>
      </c>
      <c r="F125" s="6">
        <f>'Пр.4 ведом.20'!G24+'Пр.4 ведом.20'!G95</f>
        <v>335</v>
      </c>
      <c r="G125" s="358">
        <f>'Пр.4 ведом.20'!H24+'Пр.4 ведом.20'!H95</f>
        <v>163.69999999999999</v>
      </c>
      <c r="H125" s="358">
        <f t="shared" si="40"/>
        <v>48.865671641791039</v>
      </c>
    </row>
    <row r="126" spans="1:8" s="213" customFormat="1" ht="20.25" customHeight="1" x14ac:dyDescent="0.25">
      <c r="A126" s="23" t="s">
        <v>1368</v>
      </c>
      <c r="B126" s="24" t="s">
        <v>134</v>
      </c>
      <c r="C126" s="24" t="s">
        <v>280</v>
      </c>
      <c r="D126" s="24"/>
      <c r="E126" s="20"/>
      <c r="F126" s="21">
        <f>F127</f>
        <v>1001.5</v>
      </c>
      <c r="G126" s="332">
        <f t="shared" ref="G126:G127" si="68">G127</f>
        <v>1001.5</v>
      </c>
      <c r="H126" s="4">
        <f t="shared" si="40"/>
        <v>100</v>
      </c>
    </row>
    <row r="127" spans="1:8" s="213" customFormat="1" ht="23.25" customHeight="1" x14ac:dyDescent="0.25">
      <c r="A127" s="23" t="s">
        <v>157</v>
      </c>
      <c r="B127" s="24" t="s">
        <v>134</v>
      </c>
      <c r="C127" s="24" t="s">
        <v>280</v>
      </c>
      <c r="D127" s="24" t="s">
        <v>912</v>
      </c>
      <c r="E127" s="20"/>
      <c r="F127" s="21">
        <f>F128</f>
        <v>1001.5</v>
      </c>
      <c r="G127" s="332">
        <f t="shared" si="68"/>
        <v>1001.5</v>
      </c>
      <c r="H127" s="4">
        <f t="shared" si="40"/>
        <v>100</v>
      </c>
    </row>
    <row r="128" spans="1:8" s="213" customFormat="1" ht="36" customHeight="1" x14ac:dyDescent="0.25">
      <c r="A128" s="23" t="s">
        <v>916</v>
      </c>
      <c r="B128" s="24" t="s">
        <v>134</v>
      </c>
      <c r="C128" s="24" t="s">
        <v>280</v>
      </c>
      <c r="D128" s="24" t="s">
        <v>911</v>
      </c>
      <c r="E128" s="20"/>
      <c r="F128" s="21">
        <f>F129+F134</f>
        <v>1001.5</v>
      </c>
      <c r="G128" s="332">
        <f t="shared" ref="G128" si="69">G129+G134</f>
        <v>1001.5</v>
      </c>
      <c r="H128" s="4">
        <f t="shared" si="40"/>
        <v>100</v>
      </c>
    </row>
    <row r="129" spans="1:10" s="213" customFormat="1" ht="24" customHeight="1" x14ac:dyDescent="0.25">
      <c r="A129" s="45" t="s">
        <v>215</v>
      </c>
      <c r="B129" s="20" t="s">
        <v>134</v>
      </c>
      <c r="C129" s="20" t="s">
        <v>280</v>
      </c>
      <c r="D129" s="20" t="s">
        <v>1367</v>
      </c>
      <c r="E129" s="20"/>
      <c r="F129" s="26">
        <f>F130+F132</f>
        <v>701.5</v>
      </c>
      <c r="G129" s="336">
        <f t="shared" ref="G129" si="70">G130+G132</f>
        <v>701.5</v>
      </c>
      <c r="H129" s="358">
        <f t="shared" si="40"/>
        <v>100</v>
      </c>
    </row>
    <row r="130" spans="1:10" s="213" customFormat="1" ht="78.75" hidden="1" customHeight="1" x14ac:dyDescent="0.25">
      <c r="A130" s="25" t="s">
        <v>143</v>
      </c>
      <c r="B130" s="20" t="s">
        <v>134</v>
      </c>
      <c r="C130" s="20" t="s">
        <v>280</v>
      </c>
      <c r="D130" s="20" t="s">
        <v>1367</v>
      </c>
      <c r="E130" s="20" t="s">
        <v>144</v>
      </c>
      <c r="F130" s="26">
        <f>F131</f>
        <v>0</v>
      </c>
      <c r="G130" s="336">
        <f t="shared" ref="G130" si="71">G131</f>
        <v>0</v>
      </c>
      <c r="H130" s="358" t="e">
        <f t="shared" si="40"/>
        <v>#DIV/0!</v>
      </c>
    </row>
    <row r="131" spans="1:10" s="213" customFormat="1" ht="36" hidden="1" customHeight="1" x14ac:dyDescent="0.25">
      <c r="A131" s="25" t="s">
        <v>145</v>
      </c>
      <c r="B131" s="20" t="s">
        <v>134</v>
      </c>
      <c r="C131" s="20" t="s">
        <v>280</v>
      </c>
      <c r="D131" s="20" t="s">
        <v>1367</v>
      </c>
      <c r="E131" s="20" t="s">
        <v>146</v>
      </c>
      <c r="F131" s="26">
        <f>'Пр.4 ведом.20'!G101</f>
        <v>0</v>
      </c>
      <c r="G131" s="336">
        <f>'Пр.4 ведом.20'!H101</f>
        <v>0</v>
      </c>
      <c r="H131" s="358" t="e">
        <f t="shared" si="40"/>
        <v>#DIV/0!</v>
      </c>
    </row>
    <row r="132" spans="1:10" s="213" customFormat="1" ht="15.75" x14ac:dyDescent="0.25">
      <c r="A132" s="335" t="s">
        <v>151</v>
      </c>
      <c r="B132" s="20" t="s">
        <v>134</v>
      </c>
      <c r="C132" s="20" t="s">
        <v>280</v>
      </c>
      <c r="D132" s="20" t="s">
        <v>1367</v>
      </c>
      <c r="E132" s="20" t="s">
        <v>161</v>
      </c>
      <c r="F132" s="26">
        <f>F133</f>
        <v>701.5</v>
      </c>
      <c r="G132" s="336">
        <f t="shared" ref="G132" si="72">G133</f>
        <v>701.5</v>
      </c>
      <c r="H132" s="358">
        <f t="shared" si="40"/>
        <v>100</v>
      </c>
    </row>
    <row r="133" spans="1:10" s="213" customFormat="1" ht="15.75" x14ac:dyDescent="0.25">
      <c r="A133" s="335" t="s">
        <v>1544</v>
      </c>
      <c r="B133" s="20" t="s">
        <v>134</v>
      </c>
      <c r="C133" s="20" t="s">
        <v>280</v>
      </c>
      <c r="D133" s="20" t="s">
        <v>1367</v>
      </c>
      <c r="E133" s="20" t="s">
        <v>1545</v>
      </c>
      <c r="F133" s="26">
        <f>'Пр.4 ведом.20'!G103</f>
        <v>701.5</v>
      </c>
      <c r="G133" s="336">
        <f>'Пр.4 ведом.20'!H103</f>
        <v>701.5</v>
      </c>
      <c r="H133" s="358">
        <f t="shared" si="40"/>
        <v>100</v>
      </c>
    </row>
    <row r="134" spans="1:10" s="324" customFormat="1" ht="47.25" x14ac:dyDescent="0.25">
      <c r="A134" s="335" t="s">
        <v>1546</v>
      </c>
      <c r="B134" s="331" t="s">
        <v>134</v>
      </c>
      <c r="C134" s="331" t="s">
        <v>280</v>
      </c>
      <c r="D134" s="331" t="s">
        <v>1550</v>
      </c>
      <c r="E134" s="331"/>
      <c r="F134" s="336">
        <f>F135</f>
        <v>300</v>
      </c>
      <c r="G134" s="336">
        <f t="shared" ref="G134:G135" si="73">G135</f>
        <v>300</v>
      </c>
      <c r="H134" s="358">
        <f t="shared" si="40"/>
        <v>100</v>
      </c>
    </row>
    <row r="135" spans="1:10" s="324" customFormat="1" ht="15.75" x14ac:dyDescent="0.25">
      <c r="A135" s="335" t="s">
        <v>151</v>
      </c>
      <c r="B135" s="331" t="s">
        <v>134</v>
      </c>
      <c r="C135" s="331" t="s">
        <v>280</v>
      </c>
      <c r="D135" s="331" t="s">
        <v>1550</v>
      </c>
      <c r="E135" s="331" t="s">
        <v>161</v>
      </c>
      <c r="F135" s="336">
        <f>F136</f>
        <v>300</v>
      </c>
      <c r="G135" s="336">
        <f t="shared" si="73"/>
        <v>300</v>
      </c>
      <c r="H135" s="358">
        <f t="shared" si="40"/>
        <v>100</v>
      </c>
    </row>
    <row r="136" spans="1:10" s="324" customFormat="1" ht="15.75" x14ac:dyDescent="0.25">
      <c r="A136" s="335" t="s">
        <v>1544</v>
      </c>
      <c r="B136" s="331" t="s">
        <v>134</v>
      </c>
      <c r="C136" s="331" t="s">
        <v>280</v>
      </c>
      <c r="D136" s="331" t="s">
        <v>1550</v>
      </c>
      <c r="E136" s="331" t="s">
        <v>1545</v>
      </c>
      <c r="F136" s="336">
        <f>'Пр.4 ведом.20'!G106</f>
        <v>300</v>
      </c>
      <c r="G136" s="336">
        <f>'Пр.4 ведом.20'!H106</f>
        <v>300</v>
      </c>
      <c r="H136" s="358">
        <f t="shared" si="40"/>
        <v>100</v>
      </c>
    </row>
    <row r="137" spans="1:10" ht="15.75" x14ac:dyDescent="0.25">
      <c r="A137" s="41" t="s">
        <v>155</v>
      </c>
      <c r="B137" s="7" t="s">
        <v>134</v>
      </c>
      <c r="C137" s="7" t="s">
        <v>156</v>
      </c>
      <c r="D137" s="7"/>
      <c r="E137" s="7"/>
      <c r="F137" s="4">
        <f>F138+F169+F178+F201+F210+F215+F220</f>
        <v>54717.799999999996</v>
      </c>
      <c r="G137" s="4">
        <f t="shared" ref="G137" si="74">G138+G169+G178+G201+G210+G215+G220</f>
        <v>35567.550999999999</v>
      </c>
      <c r="H137" s="4">
        <f t="shared" si="40"/>
        <v>65.001792835238263</v>
      </c>
      <c r="J137" s="22"/>
    </row>
    <row r="138" spans="1:10" s="213" customFormat="1" ht="15.75" x14ac:dyDescent="0.25">
      <c r="A138" s="23" t="s">
        <v>157</v>
      </c>
      <c r="B138" s="24" t="s">
        <v>134</v>
      </c>
      <c r="C138" s="24" t="s">
        <v>156</v>
      </c>
      <c r="D138" s="24" t="s">
        <v>912</v>
      </c>
      <c r="E138" s="24"/>
      <c r="F138" s="4">
        <f>F139+F150+F160</f>
        <v>54196.1</v>
      </c>
      <c r="G138" s="4">
        <f t="shared" ref="G138" si="75">G139+G150+G160</f>
        <v>35326.080999999998</v>
      </c>
      <c r="H138" s="4">
        <f t="shared" si="40"/>
        <v>65.181961432649217</v>
      </c>
      <c r="J138" s="22"/>
    </row>
    <row r="139" spans="1:10" s="213" customFormat="1" ht="15.75" x14ac:dyDescent="0.25">
      <c r="A139" s="23" t="s">
        <v>1090</v>
      </c>
      <c r="B139" s="24" t="s">
        <v>134</v>
      </c>
      <c r="C139" s="24" t="s">
        <v>156</v>
      </c>
      <c r="D139" s="24" t="s">
        <v>1089</v>
      </c>
      <c r="E139" s="24"/>
      <c r="F139" s="305">
        <f>F143+F140</f>
        <v>42365.4</v>
      </c>
      <c r="G139" s="305">
        <f t="shared" ref="G139" si="76">G143+G140</f>
        <v>28142.473999999998</v>
      </c>
      <c r="H139" s="4">
        <f t="shared" ref="H139:H202" si="77">G139/F139*100</f>
        <v>66.427967161882094</v>
      </c>
      <c r="J139" s="22"/>
    </row>
    <row r="140" spans="1:10" s="213" customFormat="1" ht="47.25" x14ac:dyDescent="0.25">
      <c r="A140" s="25" t="s">
        <v>885</v>
      </c>
      <c r="B140" s="20" t="s">
        <v>134</v>
      </c>
      <c r="C140" s="20" t="s">
        <v>156</v>
      </c>
      <c r="D140" s="20" t="s">
        <v>1092</v>
      </c>
      <c r="E140" s="20"/>
      <c r="F140" s="6">
        <f>F141</f>
        <v>1072</v>
      </c>
      <c r="G140" s="358">
        <f t="shared" ref="G140:G141" si="78">G141</f>
        <v>1025.626</v>
      </c>
      <c r="H140" s="358">
        <f t="shared" si="77"/>
        <v>95.674067164179093</v>
      </c>
      <c r="J140" s="22"/>
    </row>
    <row r="141" spans="1:10" s="213" customFormat="1" ht="78.75" x14ac:dyDescent="0.25">
      <c r="A141" s="25" t="s">
        <v>143</v>
      </c>
      <c r="B141" s="20" t="s">
        <v>134</v>
      </c>
      <c r="C141" s="20" t="s">
        <v>156</v>
      </c>
      <c r="D141" s="20" t="s">
        <v>1092</v>
      </c>
      <c r="E141" s="20" t="s">
        <v>144</v>
      </c>
      <c r="F141" s="6">
        <f>F142</f>
        <v>1072</v>
      </c>
      <c r="G141" s="358">
        <f t="shared" si="78"/>
        <v>1025.626</v>
      </c>
      <c r="H141" s="358">
        <f t="shared" si="77"/>
        <v>95.674067164179093</v>
      </c>
      <c r="J141" s="22"/>
    </row>
    <row r="142" spans="1:10" s="213" customFormat="1" ht="31.5" x14ac:dyDescent="0.25">
      <c r="A142" s="25" t="s">
        <v>145</v>
      </c>
      <c r="B142" s="20" t="s">
        <v>134</v>
      </c>
      <c r="C142" s="20" t="s">
        <v>156</v>
      </c>
      <c r="D142" s="20" t="s">
        <v>1092</v>
      </c>
      <c r="E142" s="20" t="s">
        <v>225</v>
      </c>
      <c r="F142" s="6">
        <f>'Пр.4 ведом.20'!G925</f>
        <v>1072</v>
      </c>
      <c r="G142" s="358">
        <f>'Пр.4 ведом.20'!H925</f>
        <v>1025.626</v>
      </c>
      <c r="H142" s="358">
        <f t="shared" si="77"/>
        <v>95.674067164179093</v>
      </c>
      <c r="J142" s="22"/>
    </row>
    <row r="143" spans="1:10" s="213" customFormat="1" ht="15.75" x14ac:dyDescent="0.25">
      <c r="A143" s="25" t="s">
        <v>834</v>
      </c>
      <c r="B143" s="20" t="s">
        <v>134</v>
      </c>
      <c r="C143" s="20" t="s">
        <v>156</v>
      </c>
      <c r="D143" s="20" t="s">
        <v>1091</v>
      </c>
      <c r="E143" s="20"/>
      <c r="F143" s="303">
        <f t="shared" ref="F143:G143" si="79">F144+F146+F148</f>
        <v>41293.4</v>
      </c>
      <c r="G143" s="303">
        <f t="shared" si="79"/>
        <v>27116.847999999998</v>
      </c>
      <c r="H143" s="358">
        <f t="shared" si="77"/>
        <v>65.668721878072517</v>
      </c>
      <c r="J143" s="22"/>
    </row>
    <row r="144" spans="1:10" s="213" customFormat="1" ht="78.75" x14ac:dyDescent="0.25">
      <c r="A144" s="25" t="s">
        <v>143</v>
      </c>
      <c r="B144" s="20" t="s">
        <v>134</v>
      </c>
      <c r="C144" s="20" t="s">
        <v>156</v>
      </c>
      <c r="D144" s="20" t="s">
        <v>1091</v>
      </c>
      <c r="E144" s="20" t="s">
        <v>144</v>
      </c>
      <c r="F144" s="303">
        <f t="shared" ref="F144:G144" si="80">F145</f>
        <v>31418.500000000004</v>
      </c>
      <c r="G144" s="303">
        <f t="shared" si="80"/>
        <v>21840.544000000002</v>
      </c>
      <c r="H144" s="358">
        <f t="shared" si="77"/>
        <v>69.514916370927949</v>
      </c>
      <c r="J144" s="22"/>
    </row>
    <row r="145" spans="1:10" s="213" customFormat="1" ht="31.5" x14ac:dyDescent="0.25">
      <c r="A145" s="46" t="s">
        <v>358</v>
      </c>
      <c r="B145" s="20" t="s">
        <v>134</v>
      </c>
      <c r="C145" s="20" t="s">
        <v>156</v>
      </c>
      <c r="D145" s="20" t="s">
        <v>1091</v>
      </c>
      <c r="E145" s="20" t="s">
        <v>225</v>
      </c>
      <c r="F145" s="303">
        <f>'Пр.4 ведом.20'!G928</f>
        <v>31418.500000000004</v>
      </c>
      <c r="G145" s="303">
        <f>'Пр.4 ведом.20'!H928</f>
        <v>21840.544000000002</v>
      </c>
      <c r="H145" s="358">
        <f t="shared" si="77"/>
        <v>69.514916370927949</v>
      </c>
      <c r="J145" s="22"/>
    </row>
    <row r="146" spans="1:10" s="213" customFormat="1" ht="31.5" x14ac:dyDescent="0.25">
      <c r="A146" s="25" t="s">
        <v>147</v>
      </c>
      <c r="B146" s="20" t="s">
        <v>134</v>
      </c>
      <c r="C146" s="20" t="s">
        <v>156</v>
      </c>
      <c r="D146" s="20" t="s">
        <v>1091</v>
      </c>
      <c r="E146" s="20" t="s">
        <v>148</v>
      </c>
      <c r="F146" s="303">
        <f t="shared" ref="F146:G146" si="81">F147</f>
        <v>9333.8000000000011</v>
      </c>
      <c r="G146" s="303">
        <f t="shared" si="81"/>
        <v>4744.42</v>
      </c>
      <c r="H146" s="358">
        <f t="shared" si="77"/>
        <v>50.830529902076314</v>
      </c>
      <c r="J146" s="22"/>
    </row>
    <row r="147" spans="1:10" s="213" customFormat="1" ht="47.25" x14ac:dyDescent="0.25">
      <c r="A147" s="25" t="s">
        <v>149</v>
      </c>
      <c r="B147" s="20" t="s">
        <v>134</v>
      </c>
      <c r="C147" s="20" t="s">
        <v>156</v>
      </c>
      <c r="D147" s="20" t="s">
        <v>1091</v>
      </c>
      <c r="E147" s="20" t="s">
        <v>150</v>
      </c>
      <c r="F147" s="303">
        <f>'Пр.4 ведом.20'!G930</f>
        <v>9333.8000000000011</v>
      </c>
      <c r="G147" s="303">
        <f>'Пр.4 ведом.20'!H930</f>
        <v>4744.42</v>
      </c>
      <c r="H147" s="358">
        <f t="shared" si="77"/>
        <v>50.830529902076314</v>
      </c>
      <c r="J147" s="22"/>
    </row>
    <row r="148" spans="1:10" s="213" customFormat="1" ht="15.75" x14ac:dyDescent="0.25">
      <c r="A148" s="25" t="s">
        <v>151</v>
      </c>
      <c r="B148" s="20" t="s">
        <v>134</v>
      </c>
      <c r="C148" s="20" t="s">
        <v>156</v>
      </c>
      <c r="D148" s="20" t="s">
        <v>1091</v>
      </c>
      <c r="E148" s="20" t="s">
        <v>161</v>
      </c>
      <c r="F148" s="303">
        <f t="shared" ref="F148:G148" si="82">F149</f>
        <v>541.1</v>
      </c>
      <c r="G148" s="303">
        <f t="shared" si="82"/>
        <v>531.88400000000001</v>
      </c>
      <c r="H148" s="358">
        <f t="shared" si="77"/>
        <v>98.296802809092583</v>
      </c>
      <c r="J148" s="22"/>
    </row>
    <row r="149" spans="1:10" s="213" customFormat="1" ht="15.75" x14ac:dyDescent="0.25">
      <c r="A149" s="25" t="s">
        <v>727</v>
      </c>
      <c r="B149" s="20" t="s">
        <v>134</v>
      </c>
      <c r="C149" s="20" t="s">
        <v>156</v>
      </c>
      <c r="D149" s="20" t="s">
        <v>1091</v>
      </c>
      <c r="E149" s="20" t="s">
        <v>154</v>
      </c>
      <c r="F149" s="303">
        <f>'Пр.4 ведом.20'!G932</f>
        <v>541.1</v>
      </c>
      <c r="G149" s="303">
        <f>'Пр.4 ведом.20'!H932</f>
        <v>531.88400000000001</v>
      </c>
      <c r="H149" s="358">
        <f t="shared" si="77"/>
        <v>98.296802809092583</v>
      </c>
      <c r="J149" s="22"/>
    </row>
    <row r="150" spans="1:10" s="213" customFormat="1" ht="31.5" x14ac:dyDescent="0.25">
      <c r="A150" s="23" t="s">
        <v>916</v>
      </c>
      <c r="B150" s="24" t="s">
        <v>134</v>
      </c>
      <c r="C150" s="24" t="s">
        <v>156</v>
      </c>
      <c r="D150" s="24" t="s">
        <v>911</v>
      </c>
      <c r="E150" s="24"/>
      <c r="F150" s="4">
        <f>F151+F154+F157</f>
        <v>5676.2999999999993</v>
      </c>
      <c r="G150" s="4">
        <f t="shared" ref="G150" si="83">G151+G154+G157</f>
        <v>3434.797</v>
      </c>
      <c r="H150" s="4">
        <f t="shared" si="77"/>
        <v>60.511195673237864</v>
      </c>
      <c r="J150" s="22"/>
    </row>
    <row r="151" spans="1:10" s="213" customFormat="1" ht="47.25" x14ac:dyDescent="0.25">
      <c r="A151" s="25" t="s">
        <v>404</v>
      </c>
      <c r="B151" s="20" t="s">
        <v>134</v>
      </c>
      <c r="C151" s="20" t="s">
        <v>156</v>
      </c>
      <c r="D151" s="20" t="s">
        <v>1169</v>
      </c>
      <c r="E151" s="20"/>
      <c r="F151" s="6">
        <f>F152</f>
        <v>5499.2999999999993</v>
      </c>
      <c r="G151" s="358">
        <f t="shared" ref="G151:G152" si="84">G152</f>
        <v>3275.68</v>
      </c>
      <c r="H151" s="358">
        <f t="shared" si="77"/>
        <v>59.565399232629609</v>
      </c>
      <c r="J151" s="22"/>
    </row>
    <row r="152" spans="1:10" s="213" customFormat="1" ht="31.5" x14ac:dyDescent="0.25">
      <c r="A152" s="25" t="s">
        <v>147</v>
      </c>
      <c r="B152" s="20" t="s">
        <v>134</v>
      </c>
      <c r="C152" s="20" t="s">
        <v>156</v>
      </c>
      <c r="D152" s="20" t="s">
        <v>1169</v>
      </c>
      <c r="E152" s="20" t="s">
        <v>148</v>
      </c>
      <c r="F152" s="6">
        <f>F153</f>
        <v>5499.2999999999993</v>
      </c>
      <c r="G152" s="358">
        <f t="shared" si="84"/>
        <v>3275.68</v>
      </c>
      <c r="H152" s="358">
        <f t="shared" si="77"/>
        <v>59.565399232629609</v>
      </c>
      <c r="J152" s="22"/>
    </row>
    <row r="153" spans="1:10" s="213" customFormat="1" ht="47.25" x14ac:dyDescent="0.25">
      <c r="A153" s="25" t="s">
        <v>149</v>
      </c>
      <c r="B153" s="20" t="s">
        <v>134</v>
      </c>
      <c r="C153" s="20" t="s">
        <v>156</v>
      </c>
      <c r="D153" s="20" t="s">
        <v>1169</v>
      </c>
      <c r="E153" s="20" t="s">
        <v>150</v>
      </c>
      <c r="F153" s="6">
        <f>'Пр.4 ведом.20'!G521</f>
        <v>5499.2999999999993</v>
      </c>
      <c r="G153" s="358">
        <f>'Пр.4 ведом.20'!H521</f>
        <v>3275.68</v>
      </c>
      <c r="H153" s="358">
        <f t="shared" si="77"/>
        <v>59.565399232629609</v>
      </c>
      <c r="J153" s="22"/>
    </row>
    <row r="154" spans="1:10" s="213" customFormat="1" ht="31.5" hidden="1" x14ac:dyDescent="0.25">
      <c r="A154" s="25" t="s">
        <v>1004</v>
      </c>
      <c r="B154" s="20" t="s">
        <v>134</v>
      </c>
      <c r="C154" s="20" t="s">
        <v>156</v>
      </c>
      <c r="D154" s="20" t="s">
        <v>1170</v>
      </c>
      <c r="E154" s="20"/>
      <c r="F154" s="6">
        <f>F155</f>
        <v>0</v>
      </c>
      <c r="G154" s="358">
        <f t="shared" ref="G154:G155" si="85">G155</f>
        <v>0</v>
      </c>
      <c r="H154" s="358" t="e">
        <f t="shared" si="77"/>
        <v>#DIV/0!</v>
      </c>
      <c r="J154" s="22"/>
    </row>
    <row r="155" spans="1:10" s="213" customFormat="1" ht="31.5" hidden="1" x14ac:dyDescent="0.25">
      <c r="A155" s="25" t="s">
        <v>147</v>
      </c>
      <c r="B155" s="20" t="s">
        <v>134</v>
      </c>
      <c r="C155" s="20" t="s">
        <v>156</v>
      </c>
      <c r="D155" s="20" t="s">
        <v>1170</v>
      </c>
      <c r="E155" s="20" t="s">
        <v>148</v>
      </c>
      <c r="F155" s="6">
        <f>F156</f>
        <v>0</v>
      </c>
      <c r="G155" s="358">
        <f t="shared" si="85"/>
        <v>0</v>
      </c>
      <c r="H155" s="358" t="e">
        <f t="shared" si="77"/>
        <v>#DIV/0!</v>
      </c>
      <c r="J155" s="22"/>
    </row>
    <row r="156" spans="1:10" s="213" customFormat="1" ht="47.25" hidden="1" x14ac:dyDescent="0.25">
      <c r="A156" s="25" t="s">
        <v>149</v>
      </c>
      <c r="B156" s="20" t="s">
        <v>134</v>
      </c>
      <c r="C156" s="20" t="s">
        <v>156</v>
      </c>
      <c r="D156" s="20" t="s">
        <v>1170</v>
      </c>
      <c r="E156" s="20" t="s">
        <v>150</v>
      </c>
      <c r="F156" s="6">
        <f>'Пр.4 ведом.20'!G524</f>
        <v>0</v>
      </c>
      <c r="G156" s="358">
        <f>'Пр.4 ведом.20'!H524</f>
        <v>0</v>
      </c>
      <c r="H156" s="358" t="e">
        <f t="shared" si="77"/>
        <v>#DIV/0!</v>
      </c>
      <c r="J156" s="22"/>
    </row>
    <row r="157" spans="1:10" s="324" customFormat="1" ht="47.25" x14ac:dyDescent="0.25">
      <c r="A157" s="335" t="s">
        <v>1523</v>
      </c>
      <c r="B157" s="331" t="s">
        <v>134</v>
      </c>
      <c r="C157" s="331" t="s">
        <v>156</v>
      </c>
      <c r="D157" s="331" t="s">
        <v>1524</v>
      </c>
      <c r="E157" s="331"/>
      <c r="F157" s="6">
        <f>F158</f>
        <v>177</v>
      </c>
      <c r="G157" s="358">
        <f t="shared" ref="G157:G158" si="86">G158</f>
        <v>159.11699999999999</v>
      </c>
      <c r="H157" s="358">
        <f t="shared" si="77"/>
        <v>89.896610169491524</v>
      </c>
      <c r="J157" s="22"/>
    </row>
    <row r="158" spans="1:10" s="324" customFormat="1" ht="78.75" x14ac:dyDescent="0.25">
      <c r="A158" s="335" t="s">
        <v>143</v>
      </c>
      <c r="B158" s="331" t="s">
        <v>134</v>
      </c>
      <c r="C158" s="331" t="s">
        <v>156</v>
      </c>
      <c r="D158" s="331" t="s">
        <v>1524</v>
      </c>
      <c r="E158" s="331" t="s">
        <v>144</v>
      </c>
      <c r="F158" s="6">
        <f>F159</f>
        <v>177</v>
      </c>
      <c r="G158" s="358">
        <f t="shared" si="86"/>
        <v>159.11699999999999</v>
      </c>
      <c r="H158" s="358">
        <f t="shared" si="77"/>
        <v>89.896610169491524</v>
      </c>
      <c r="J158" s="22"/>
    </row>
    <row r="159" spans="1:10" s="324" customFormat="1" ht="31.5" x14ac:dyDescent="0.25">
      <c r="A159" s="46" t="s">
        <v>358</v>
      </c>
      <c r="B159" s="331" t="s">
        <v>134</v>
      </c>
      <c r="C159" s="331" t="s">
        <v>156</v>
      </c>
      <c r="D159" s="331" t="s">
        <v>1524</v>
      </c>
      <c r="E159" s="331" t="s">
        <v>225</v>
      </c>
      <c r="F159" s="6">
        <f>'Пр.4 ведом.20'!G937</f>
        <v>177</v>
      </c>
      <c r="G159" s="358">
        <f>'Пр.4 ведом.20'!H937</f>
        <v>159.11699999999999</v>
      </c>
      <c r="H159" s="358">
        <f t="shared" si="77"/>
        <v>89.896610169491524</v>
      </c>
      <c r="J159" s="22"/>
    </row>
    <row r="160" spans="1:10" s="213" customFormat="1" ht="31.5" x14ac:dyDescent="0.25">
      <c r="A160" s="23" t="s">
        <v>995</v>
      </c>
      <c r="B160" s="24" t="s">
        <v>134</v>
      </c>
      <c r="C160" s="24" t="s">
        <v>156</v>
      </c>
      <c r="D160" s="24" t="s">
        <v>913</v>
      </c>
      <c r="E160" s="24"/>
      <c r="F160" s="4">
        <f>F161+F166</f>
        <v>6154.4000000000005</v>
      </c>
      <c r="G160" s="4">
        <f t="shared" ref="G160" si="87">G161+G166</f>
        <v>3748.81</v>
      </c>
      <c r="H160" s="4">
        <f t="shared" si="77"/>
        <v>60.912680358767702</v>
      </c>
      <c r="J160" s="22"/>
    </row>
    <row r="161" spans="1:10" s="213" customFormat="1" ht="31.5" x14ac:dyDescent="0.25">
      <c r="A161" s="25" t="s">
        <v>1001</v>
      </c>
      <c r="B161" s="20" t="s">
        <v>134</v>
      </c>
      <c r="C161" s="20" t="s">
        <v>156</v>
      </c>
      <c r="D161" s="20" t="s">
        <v>914</v>
      </c>
      <c r="E161" s="20"/>
      <c r="F161" s="6">
        <f>F162+F164</f>
        <v>6028.4000000000005</v>
      </c>
      <c r="G161" s="358">
        <f t="shared" ref="G161" si="88">G162+G164</f>
        <v>3748.81</v>
      </c>
      <c r="H161" s="358">
        <f t="shared" si="77"/>
        <v>62.185820449870612</v>
      </c>
      <c r="J161" s="22"/>
    </row>
    <row r="162" spans="1:10" s="213" customFormat="1" ht="78.75" x14ac:dyDescent="0.25">
      <c r="A162" s="25" t="s">
        <v>143</v>
      </c>
      <c r="B162" s="20" t="s">
        <v>134</v>
      </c>
      <c r="C162" s="20" t="s">
        <v>156</v>
      </c>
      <c r="D162" s="20" t="s">
        <v>914</v>
      </c>
      <c r="E162" s="20" t="s">
        <v>144</v>
      </c>
      <c r="F162" s="6">
        <f>F163</f>
        <v>4817.4000000000005</v>
      </c>
      <c r="G162" s="358">
        <f t="shared" ref="G162" si="89">G163</f>
        <v>3032.38</v>
      </c>
      <c r="H162" s="358">
        <f t="shared" si="77"/>
        <v>62.946402623821974</v>
      </c>
      <c r="J162" s="22"/>
    </row>
    <row r="163" spans="1:10" s="213" customFormat="1" ht="31.5" x14ac:dyDescent="0.25">
      <c r="A163" s="25" t="s">
        <v>224</v>
      </c>
      <c r="B163" s="20" t="s">
        <v>134</v>
      </c>
      <c r="C163" s="20" t="s">
        <v>156</v>
      </c>
      <c r="D163" s="20" t="s">
        <v>914</v>
      </c>
      <c r="E163" s="20" t="s">
        <v>225</v>
      </c>
      <c r="F163" s="6">
        <f>'Пр.4 ведом.20'!G112</f>
        <v>4817.4000000000005</v>
      </c>
      <c r="G163" s="358">
        <f>'Пр.4 ведом.20'!H112</f>
        <v>3032.38</v>
      </c>
      <c r="H163" s="358">
        <f t="shared" si="77"/>
        <v>62.946402623821974</v>
      </c>
      <c r="J163" s="22"/>
    </row>
    <row r="164" spans="1:10" s="213" customFormat="1" ht="31.5" x14ac:dyDescent="0.25">
      <c r="A164" s="25" t="s">
        <v>214</v>
      </c>
      <c r="B164" s="20" t="s">
        <v>134</v>
      </c>
      <c r="C164" s="20" t="s">
        <v>156</v>
      </c>
      <c r="D164" s="20" t="s">
        <v>914</v>
      </c>
      <c r="E164" s="20" t="s">
        <v>148</v>
      </c>
      <c r="F164" s="6">
        <f>F165</f>
        <v>1211</v>
      </c>
      <c r="G164" s="358">
        <f t="shared" ref="G164" si="90">G165</f>
        <v>716.43</v>
      </c>
      <c r="H164" s="358">
        <f t="shared" si="77"/>
        <v>59.160198183319565</v>
      </c>
      <c r="J164" s="22"/>
    </row>
    <row r="165" spans="1:10" s="213" customFormat="1" ht="47.25" x14ac:dyDescent="0.25">
      <c r="A165" s="25" t="s">
        <v>149</v>
      </c>
      <c r="B165" s="20" t="s">
        <v>134</v>
      </c>
      <c r="C165" s="20" t="s">
        <v>156</v>
      </c>
      <c r="D165" s="20" t="s">
        <v>914</v>
      </c>
      <c r="E165" s="20" t="s">
        <v>150</v>
      </c>
      <c r="F165" s="6">
        <f>'Пр.4 ведом.20'!G114</f>
        <v>1211</v>
      </c>
      <c r="G165" s="358">
        <f>'Пр.4 ведом.20'!H114</f>
        <v>716.43</v>
      </c>
      <c r="H165" s="358">
        <f t="shared" si="77"/>
        <v>59.160198183319565</v>
      </c>
      <c r="J165" s="22"/>
    </row>
    <row r="166" spans="1:10" s="213" customFormat="1" ht="47.25" x14ac:dyDescent="0.25">
      <c r="A166" s="25" t="s">
        <v>885</v>
      </c>
      <c r="B166" s="20" t="s">
        <v>134</v>
      </c>
      <c r="C166" s="20" t="s">
        <v>156</v>
      </c>
      <c r="D166" s="20" t="s">
        <v>915</v>
      </c>
      <c r="E166" s="20"/>
      <c r="F166" s="6">
        <f>F167</f>
        <v>126</v>
      </c>
      <c r="G166" s="358">
        <f t="shared" ref="G166:G167" si="91">G167</f>
        <v>0</v>
      </c>
      <c r="H166" s="358">
        <f t="shared" si="77"/>
        <v>0</v>
      </c>
      <c r="J166" s="22"/>
    </row>
    <row r="167" spans="1:10" s="213" customFormat="1" ht="78.75" x14ac:dyDescent="0.25">
      <c r="A167" s="25" t="s">
        <v>143</v>
      </c>
      <c r="B167" s="20" t="s">
        <v>134</v>
      </c>
      <c r="C167" s="20" t="s">
        <v>156</v>
      </c>
      <c r="D167" s="20" t="s">
        <v>915</v>
      </c>
      <c r="E167" s="20" t="s">
        <v>144</v>
      </c>
      <c r="F167" s="6">
        <f>F168</f>
        <v>126</v>
      </c>
      <c r="G167" s="358">
        <f t="shared" si="91"/>
        <v>0</v>
      </c>
      <c r="H167" s="358">
        <f t="shared" si="77"/>
        <v>0</v>
      </c>
      <c r="J167" s="22"/>
    </row>
    <row r="168" spans="1:10" s="213" customFormat="1" ht="31.5" x14ac:dyDescent="0.25">
      <c r="A168" s="25" t="s">
        <v>145</v>
      </c>
      <c r="B168" s="20" t="s">
        <v>134</v>
      </c>
      <c r="C168" s="20" t="s">
        <v>156</v>
      </c>
      <c r="D168" s="20" t="s">
        <v>915</v>
      </c>
      <c r="E168" s="20" t="s">
        <v>146</v>
      </c>
      <c r="F168" s="6">
        <f>'Пр.4 ведом.20'!G117</f>
        <v>126</v>
      </c>
      <c r="G168" s="358">
        <f>'Пр.4 ведом.20'!H117</f>
        <v>0</v>
      </c>
      <c r="H168" s="358">
        <f t="shared" si="77"/>
        <v>0</v>
      </c>
      <c r="J168" s="22"/>
    </row>
    <row r="169" spans="1:10" ht="47.25" x14ac:dyDescent="0.25">
      <c r="A169" s="23" t="s">
        <v>359</v>
      </c>
      <c r="B169" s="7" t="s">
        <v>134</v>
      </c>
      <c r="C169" s="7" t="s">
        <v>156</v>
      </c>
      <c r="D169" s="7" t="s">
        <v>360</v>
      </c>
      <c r="E169" s="7"/>
      <c r="F169" s="4">
        <f>F170</f>
        <v>188.7</v>
      </c>
      <c r="G169" s="4">
        <f t="shared" ref="G169:G170" si="92">G170</f>
        <v>131.47</v>
      </c>
      <c r="H169" s="4">
        <f t="shared" si="77"/>
        <v>69.671436142024376</v>
      </c>
    </row>
    <row r="170" spans="1:10" ht="94.5" x14ac:dyDescent="0.25">
      <c r="A170" s="41" t="s">
        <v>396</v>
      </c>
      <c r="B170" s="7" t="s">
        <v>134</v>
      </c>
      <c r="C170" s="7" t="s">
        <v>156</v>
      </c>
      <c r="D170" s="7" t="s">
        <v>397</v>
      </c>
      <c r="E170" s="7"/>
      <c r="F170" s="4">
        <f>F171</f>
        <v>188.7</v>
      </c>
      <c r="G170" s="4">
        <f t="shared" si="92"/>
        <v>131.47</v>
      </c>
      <c r="H170" s="4">
        <f t="shared" si="77"/>
        <v>69.671436142024376</v>
      </c>
    </row>
    <row r="171" spans="1:10" s="213" customFormat="1" ht="63" x14ac:dyDescent="0.25">
      <c r="A171" s="265" t="s">
        <v>1219</v>
      </c>
      <c r="B171" s="7" t="s">
        <v>134</v>
      </c>
      <c r="C171" s="7" t="s">
        <v>156</v>
      </c>
      <c r="D171" s="7" t="s">
        <v>933</v>
      </c>
      <c r="E171" s="7"/>
      <c r="F171" s="4">
        <f>F172+F175</f>
        <v>188.7</v>
      </c>
      <c r="G171" s="4">
        <f t="shared" ref="G171" si="93">G172+G175</f>
        <v>131.47</v>
      </c>
      <c r="H171" s="4">
        <f t="shared" si="77"/>
        <v>69.671436142024376</v>
      </c>
    </row>
    <row r="172" spans="1:10" ht="31.5" x14ac:dyDescent="0.25">
      <c r="A172" s="99" t="s">
        <v>1220</v>
      </c>
      <c r="B172" s="40" t="s">
        <v>134</v>
      </c>
      <c r="C172" s="40" t="s">
        <v>156</v>
      </c>
      <c r="D172" s="40" t="s">
        <v>934</v>
      </c>
      <c r="E172" s="40"/>
      <c r="F172" s="6">
        <f t="shared" ref="F172:G173" si="94">F173</f>
        <v>188.7</v>
      </c>
      <c r="G172" s="358">
        <f t="shared" si="94"/>
        <v>131.47</v>
      </c>
      <c r="H172" s="358">
        <f t="shared" si="77"/>
        <v>69.671436142024376</v>
      </c>
    </row>
    <row r="173" spans="1:10" ht="31.5" x14ac:dyDescent="0.25">
      <c r="A173" s="29" t="s">
        <v>147</v>
      </c>
      <c r="B173" s="40" t="s">
        <v>134</v>
      </c>
      <c r="C173" s="40" t="s">
        <v>156</v>
      </c>
      <c r="D173" s="40" t="s">
        <v>934</v>
      </c>
      <c r="E173" s="40" t="s">
        <v>148</v>
      </c>
      <c r="F173" s="6">
        <f t="shared" si="94"/>
        <v>188.7</v>
      </c>
      <c r="G173" s="358">
        <f t="shared" si="94"/>
        <v>131.47</v>
      </c>
      <c r="H173" s="358">
        <f t="shared" si="77"/>
        <v>69.671436142024376</v>
      </c>
    </row>
    <row r="174" spans="1:10" ht="47.25" x14ac:dyDescent="0.25">
      <c r="A174" s="29" t="s">
        <v>149</v>
      </c>
      <c r="B174" s="40" t="s">
        <v>134</v>
      </c>
      <c r="C174" s="40" t="s">
        <v>156</v>
      </c>
      <c r="D174" s="40" t="s">
        <v>934</v>
      </c>
      <c r="E174" s="40" t="s">
        <v>150</v>
      </c>
      <c r="F174" s="6">
        <f>'Пр.4 ведом.20'!G222</f>
        <v>188.7</v>
      </c>
      <c r="G174" s="358">
        <f>'Пр.4 ведом.20'!H222</f>
        <v>131.47</v>
      </c>
      <c r="H174" s="358">
        <f t="shared" si="77"/>
        <v>69.671436142024376</v>
      </c>
    </row>
    <row r="175" spans="1:10" ht="47.25" hidden="1" x14ac:dyDescent="0.25">
      <c r="A175" s="35" t="s">
        <v>936</v>
      </c>
      <c r="B175" s="20" t="s">
        <v>134</v>
      </c>
      <c r="C175" s="20" t="s">
        <v>156</v>
      </c>
      <c r="D175" s="20" t="s">
        <v>935</v>
      </c>
      <c r="E175" s="24"/>
      <c r="F175" s="6">
        <f>F176</f>
        <v>0</v>
      </c>
      <c r="G175" s="358">
        <f t="shared" ref="G175:G176" si="95">G176</f>
        <v>0</v>
      </c>
      <c r="H175" s="358" t="e">
        <f t="shared" si="77"/>
        <v>#DIV/0!</v>
      </c>
    </row>
    <row r="176" spans="1:10" ht="31.5" hidden="1" x14ac:dyDescent="0.25">
      <c r="A176" s="25" t="s">
        <v>147</v>
      </c>
      <c r="B176" s="20" t="s">
        <v>134</v>
      </c>
      <c r="C176" s="20" t="s">
        <v>156</v>
      </c>
      <c r="D176" s="20" t="s">
        <v>935</v>
      </c>
      <c r="E176" s="20" t="s">
        <v>148</v>
      </c>
      <c r="F176" s="6">
        <f>F177</f>
        <v>0</v>
      </c>
      <c r="G176" s="358">
        <f t="shared" si="95"/>
        <v>0</v>
      </c>
      <c r="H176" s="358" t="e">
        <f t="shared" si="77"/>
        <v>#DIV/0!</v>
      </c>
      <c r="J176" s="22"/>
    </row>
    <row r="177" spans="1:8" ht="47.25" hidden="1" x14ac:dyDescent="0.25">
      <c r="A177" s="25" t="s">
        <v>149</v>
      </c>
      <c r="B177" s="20" t="s">
        <v>134</v>
      </c>
      <c r="C177" s="20" t="s">
        <v>156</v>
      </c>
      <c r="D177" s="20" t="s">
        <v>935</v>
      </c>
      <c r="E177" s="20" t="s">
        <v>150</v>
      </c>
      <c r="F177" s="6">
        <f>'Пр.4 ведом.20'!G225</f>
        <v>0</v>
      </c>
      <c r="G177" s="358">
        <f>'Пр.4 ведом.20'!H225</f>
        <v>0</v>
      </c>
      <c r="H177" s="358" t="e">
        <f t="shared" si="77"/>
        <v>#DIV/0!</v>
      </c>
    </row>
    <row r="178" spans="1:8" ht="47.25" x14ac:dyDescent="0.25">
      <c r="A178" s="23" t="s">
        <v>350</v>
      </c>
      <c r="B178" s="24" t="s">
        <v>134</v>
      </c>
      <c r="C178" s="24" t="s">
        <v>156</v>
      </c>
      <c r="D178" s="24" t="s">
        <v>351</v>
      </c>
      <c r="E178" s="24"/>
      <c r="F178" s="59">
        <f>F179</f>
        <v>175</v>
      </c>
      <c r="G178" s="340">
        <f t="shared" ref="G178" si="96">G179</f>
        <v>70</v>
      </c>
      <c r="H178" s="4">
        <f t="shared" si="77"/>
        <v>40</v>
      </c>
    </row>
    <row r="179" spans="1:8" ht="31.5" x14ac:dyDescent="0.25">
      <c r="A179" s="23" t="s">
        <v>1225</v>
      </c>
      <c r="B179" s="24" t="s">
        <v>134</v>
      </c>
      <c r="C179" s="24" t="s">
        <v>156</v>
      </c>
      <c r="D179" s="24" t="s">
        <v>1226</v>
      </c>
      <c r="E179" s="24"/>
      <c r="F179" s="59">
        <f>F180+F186+F189+F192+F198+F183+F195</f>
        <v>175</v>
      </c>
      <c r="G179" s="340">
        <f t="shared" ref="G179" si="97">G180+G186+G189+G192+G198+G183+G195</f>
        <v>70</v>
      </c>
      <c r="H179" s="4">
        <f t="shared" si="77"/>
        <v>40</v>
      </c>
    </row>
    <row r="180" spans="1:8" ht="31.5" x14ac:dyDescent="0.25">
      <c r="A180" s="98" t="s">
        <v>352</v>
      </c>
      <c r="B180" s="20" t="s">
        <v>134</v>
      </c>
      <c r="C180" s="20" t="s">
        <v>156</v>
      </c>
      <c r="D180" s="20" t="s">
        <v>1227</v>
      </c>
      <c r="E180" s="20"/>
      <c r="F180" s="10">
        <f t="shared" ref="F180:G181" si="98">F181</f>
        <v>120</v>
      </c>
      <c r="G180" s="328">
        <f t="shared" si="98"/>
        <v>70</v>
      </c>
      <c r="H180" s="358">
        <f t="shared" si="77"/>
        <v>58.333333333333336</v>
      </c>
    </row>
    <row r="181" spans="1:8" ht="31.5" x14ac:dyDescent="0.25">
      <c r="A181" s="25" t="s">
        <v>147</v>
      </c>
      <c r="B181" s="20" t="s">
        <v>134</v>
      </c>
      <c r="C181" s="20" t="s">
        <v>156</v>
      </c>
      <c r="D181" s="20" t="s">
        <v>1227</v>
      </c>
      <c r="E181" s="20" t="s">
        <v>148</v>
      </c>
      <c r="F181" s="10">
        <f>F182</f>
        <v>120</v>
      </c>
      <c r="G181" s="328">
        <f t="shared" si="98"/>
        <v>70</v>
      </c>
      <c r="H181" s="358">
        <f t="shared" si="77"/>
        <v>58.333333333333336</v>
      </c>
    </row>
    <row r="182" spans="1:8" ht="47.25" x14ac:dyDescent="0.25">
      <c r="A182" s="25" t="s">
        <v>149</v>
      </c>
      <c r="B182" s="20" t="s">
        <v>134</v>
      </c>
      <c r="C182" s="20" t="s">
        <v>156</v>
      </c>
      <c r="D182" s="20" t="s">
        <v>1227</v>
      </c>
      <c r="E182" s="20" t="s">
        <v>150</v>
      </c>
      <c r="F182" s="10">
        <f>'Пр.4 ведом.20'!G553+'Пр.4 ведом.20'!G230+'Пр.4 ведом.20'!G825</f>
        <v>120</v>
      </c>
      <c r="G182" s="328">
        <f>'Пр.4 ведом.20'!H553+'Пр.4 ведом.20'!H230+'Пр.4 ведом.20'!H825</f>
        <v>70</v>
      </c>
      <c r="H182" s="358">
        <f t="shared" si="77"/>
        <v>58.333333333333336</v>
      </c>
    </row>
    <row r="183" spans="1:8" s="213" customFormat="1" ht="47.25" hidden="1" x14ac:dyDescent="0.25">
      <c r="A183" s="98" t="s">
        <v>833</v>
      </c>
      <c r="B183" s="20" t="s">
        <v>134</v>
      </c>
      <c r="C183" s="20" t="s">
        <v>156</v>
      </c>
      <c r="D183" s="20" t="s">
        <v>1232</v>
      </c>
      <c r="E183" s="20"/>
      <c r="F183" s="10">
        <f>F184</f>
        <v>0</v>
      </c>
      <c r="G183" s="328">
        <f t="shared" ref="G183:G184" si="99">G184</f>
        <v>0</v>
      </c>
      <c r="H183" s="358" t="e">
        <f t="shared" si="77"/>
        <v>#DIV/0!</v>
      </c>
    </row>
    <row r="184" spans="1:8" s="213" customFormat="1" ht="31.5" hidden="1" x14ac:dyDescent="0.25">
      <c r="A184" s="25" t="s">
        <v>147</v>
      </c>
      <c r="B184" s="20" t="s">
        <v>134</v>
      </c>
      <c r="C184" s="20" t="s">
        <v>156</v>
      </c>
      <c r="D184" s="20" t="s">
        <v>1232</v>
      </c>
      <c r="E184" s="20" t="s">
        <v>148</v>
      </c>
      <c r="F184" s="10">
        <f>F185</f>
        <v>0</v>
      </c>
      <c r="G184" s="328">
        <f t="shared" si="99"/>
        <v>0</v>
      </c>
      <c r="H184" s="358" t="e">
        <f t="shared" si="77"/>
        <v>#DIV/0!</v>
      </c>
    </row>
    <row r="185" spans="1:8" s="213" customFormat="1" ht="37.5" hidden="1" customHeight="1" x14ac:dyDescent="0.25">
      <c r="A185" s="25" t="s">
        <v>149</v>
      </c>
      <c r="B185" s="20" t="s">
        <v>134</v>
      </c>
      <c r="C185" s="20" t="s">
        <v>156</v>
      </c>
      <c r="D185" s="20" t="s">
        <v>1232</v>
      </c>
      <c r="E185" s="20" t="s">
        <v>150</v>
      </c>
      <c r="F185" s="10">
        <v>0</v>
      </c>
      <c r="G185" s="328">
        <v>0</v>
      </c>
      <c r="H185" s="358" t="e">
        <f t="shared" si="77"/>
        <v>#DIV/0!</v>
      </c>
    </row>
    <row r="186" spans="1:8" ht="31.5" x14ac:dyDescent="0.25">
      <c r="A186" s="25" t="s">
        <v>354</v>
      </c>
      <c r="B186" s="20" t="s">
        <v>134</v>
      </c>
      <c r="C186" s="20" t="s">
        <v>156</v>
      </c>
      <c r="D186" s="20" t="s">
        <v>1228</v>
      </c>
      <c r="E186" s="20"/>
      <c r="F186" s="10">
        <f>F187</f>
        <v>25</v>
      </c>
      <c r="G186" s="328">
        <f t="shared" ref="G186:G187" si="100">G187</f>
        <v>0</v>
      </c>
      <c r="H186" s="358">
        <f t="shared" si="77"/>
        <v>0</v>
      </c>
    </row>
    <row r="187" spans="1:8" ht="31.5" x14ac:dyDescent="0.25">
      <c r="A187" s="25" t="s">
        <v>147</v>
      </c>
      <c r="B187" s="20" t="s">
        <v>134</v>
      </c>
      <c r="C187" s="20" t="s">
        <v>156</v>
      </c>
      <c r="D187" s="20" t="s">
        <v>1228</v>
      </c>
      <c r="E187" s="20" t="s">
        <v>148</v>
      </c>
      <c r="F187" s="10">
        <f>F188</f>
        <v>25</v>
      </c>
      <c r="G187" s="328">
        <f t="shared" si="100"/>
        <v>0</v>
      </c>
      <c r="H187" s="358">
        <f t="shared" si="77"/>
        <v>0</v>
      </c>
    </row>
    <row r="188" spans="1:8" ht="39.200000000000003" customHeight="1" x14ac:dyDescent="0.25">
      <c r="A188" s="25" t="s">
        <v>149</v>
      </c>
      <c r="B188" s="20" t="s">
        <v>134</v>
      </c>
      <c r="C188" s="20" t="s">
        <v>156</v>
      </c>
      <c r="D188" s="20" t="s">
        <v>1228</v>
      </c>
      <c r="E188" s="20" t="s">
        <v>150</v>
      </c>
      <c r="F188" s="10">
        <f>'Пр.4 ведом.20'!G233</f>
        <v>25</v>
      </c>
      <c r="G188" s="328">
        <f>'Пр.4 ведом.20'!H233</f>
        <v>0</v>
      </c>
      <c r="H188" s="358">
        <f t="shared" si="77"/>
        <v>0</v>
      </c>
    </row>
    <row r="189" spans="1:8" ht="47.25" x14ac:dyDescent="0.25">
      <c r="A189" s="31" t="s">
        <v>794</v>
      </c>
      <c r="B189" s="20" t="s">
        <v>134</v>
      </c>
      <c r="C189" s="20" t="s">
        <v>156</v>
      </c>
      <c r="D189" s="20" t="s">
        <v>1229</v>
      </c>
      <c r="E189" s="20"/>
      <c r="F189" s="10">
        <f t="shared" ref="F189:G190" si="101">F190</f>
        <v>10</v>
      </c>
      <c r="G189" s="328">
        <f t="shared" si="101"/>
        <v>0</v>
      </c>
      <c r="H189" s="358">
        <f t="shared" si="77"/>
        <v>0</v>
      </c>
    </row>
    <row r="190" spans="1:8" ht="31.5" x14ac:dyDescent="0.25">
      <c r="A190" s="25" t="s">
        <v>147</v>
      </c>
      <c r="B190" s="20" t="s">
        <v>134</v>
      </c>
      <c r="C190" s="20" t="s">
        <v>156</v>
      </c>
      <c r="D190" s="20" t="s">
        <v>1229</v>
      </c>
      <c r="E190" s="20" t="s">
        <v>148</v>
      </c>
      <c r="F190" s="10">
        <f>F191</f>
        <v>10</v>
      </c>
      <c r="G190" s="328">
        <f t="shared" si="101"/>
        <v>0</v>
      </c>
      <c r="H190" s="358">
        <f t="shared" si="77"/>
        <v>0</v>
      </c>
    </row>
    <row r="191" spans="1:8" ht="47.25" x14ac:dyDescent="0.25">
      <c r="A191" s="25" t="s">
        <v>149</v>
      </c>
      <c r="B191" s="20" t="s">
        <v>134</v>
      </c>
      <c r="C191" s="20" t="s">
        <v>156</v>
      </c>
      <c r="D191" s="20" t="s">
        <v>1229</v>
      </c>
      <c r="E191" s="20" t="s">
        <v>150</v>
      </c>
      <c r="F191" s="10">
        <f>'Пр.4 ведом.20'!G236</f>
        <v>10</v>
      </c>
      <c r="G191" s="328">
        <f>'Пр.4 ведом.20'!H236</f>
        <v>0</v>
      </c>
      <c r="H191" s="358">
        <f t="shared" si="77"/>
        <v>0</v>
      </c>
    </row>
    <row r="192" spans="1:8" ht="15.75" hidden="1" x14ac:dyDescent="0.25">
      <c r="A192" s="25" t="s">
        <v>1144</v>
      </c>
      <c r="B192" s="20" t="s">
        <v>134</v>
      </c>
      <c r="C192" s="20" t="s">
        <v>156</v>
      </c>
      <c r="D192" s="20" t="s">
        <v>1230</v>
      </c>
      <c r="E192" s="20"/>
      <c r="F192" s="10">
        <f t="shared" ref="F192:G193" si="102">F193</f>
        <v>0</v>
      </c>
      <c r="G192" s="328">
        <f t="shared" si="102"/>
        <v>0</v>
      </c>
      <c r="H192" s="358" t="e">
        <f t="shared" si="77"/>
        <v>#DIV/0!</v>
      </c>
    </row>
    <row r="193" spans="1:8" ht="31.5" hidden="1" x14ac:dyDescent="0.25">
      <c r="A193" s="25" t="s">
        <v>147</v>
      </c>
      <c r="B193" s="20" t="s">
        <v>134</v>
      </c>
      <c r="C193" s="20" t="s">
        <v>156</v>
      </c>
      <c r="D193" s="20" t="s">
        <v>1230</v>
      </c>
      <c r="E193" s="20" t="s">
        <v>148</v>
      </c>
      <c r="F193" s="10">
        <f>F194</f>
        <v>0</v>
      </c>
      <c r="G193" s="328">
        <f t="shared" si="102"/>
        <v>0</v>
      </c>
      <c r="H193" s="358" t="e">
        <f t="shared" si="77"/>
        <v>#DIV/0!</v>
      </c>
    </row>
    <row r="194" spans="1:8" ht="47.25" hidden="1" x14ac:dyDescent="0.25">
      <c r="A194" s="25" t="s">
        <v>149</v>
      </c>
      <c r="B194" s="20" t="s">
        <v>134</v>
      </c>
      <c r="C194" s="20" t="s">
        <v>156</v>
      </c>
      <c r="D194" s="20" t="s">
        <v>1230</v>
      </c>
      <c r="E194" s="20" t="s">
        <v>150</v>
      </c>
      <c r="F194" s="10">
        <f>'Пр.4 ведом.20'!G239</f>
        <v>0</v>
      </c>
      <c r="G194" s="328">
        <f>'Пр.4 ведом.20'!H239</f>
        <v>0</v>
      </c>
      <c r="H194" s="358" t="e">
        <f t="shared" si="77"/>
        <v>#DIV/0!</v>
      </c>
    </row>
    <row r="195" spans="1:8" s="213" customFormat="1" ht="21.75" hidden="1" customHeight="1" x14ac:dyDescent="0.25">
      <c r="A195" s="31" t="s">
        <v>1259</v>
      </c>
      <c r="B195" s="20" t="s">
        <v>134</v>
      </c>
      <c r="C195" s="20" t="s">
        <v>156</v>
      </c>
      <c r="D195" s="20" t="s">
        <v>1260</v>
      </c>
      <c r="E195" s="20"/>
      <c r="F195" s="10">
        <f>F196</f>
        <v>0</v>
      </c>
      <c r="G195" s="328">
        <f t="shared" ref="G195:G196" si="103">G196</f>
        <v>0</v>
      </c>
      <c r="H195" s="358" t="e">
        <f t="shared" si="77"/>
        <v>#DIV/0!</v>
      </c>
    </row>
    <row r="196" spans="1:8" s="213" customFormat="1" ht="31.5" hidden="1" x14ac:dyDescent="0.25">
      <c r="A196" s="25" t="s">
        <v>147</v>
      </c>
      <c r="B196" s="20" t="s">
        <v>134</v>
      </c>
      <c r="C196" s="20" t="s">
        <v>156</v>
      </c>
      <c r="D196" s="20" t="s">
        <v>1260</v>
      </c>
      <c r="E196" s="20" t="s">
        <v>148</v>
      </c>
      <c r="F196" s="10">
        <f>F197</f>
        <v>0</v>
      </c>
      <c r="G196" s="328">
        <f t="shared" si="103"/>
        <v>0</v>
      </c>
      <c r="H196" s="358" t="e">
        <f t="shared" si="77"/>
        <v>#DIV/0!</v>
      </c>
    </row>
    <row r="197" spans="1:8" s="213" customFormat="1" ht="47.25" hidden="1" x14ac:dyDescent="0.25">
      <c r="A197" s="25" t="s">
        <v>149</v>
      </c>
      <c r="B197" s="20" t="s">
        <v>134</v>
      </c>
      <c r="C197" s="20" t="s">
        <v>156</v>
      </c>
      <c r="D197" s="20" t="s">
        <v>1260</v>
      </c>
      <c r="E197" s="20" t="s">
        <v>150</v>
      </c>
      <c r="F197" s="10">
        <v>0</v>
      </c>
      <c r="G197" s="328">
        <v>0</v>
      </c>
      <c r="H197" s="358" t="e">
        <f t="shared" si="77"/>
        <v>#DIV/0!</v>
      </c>
    </row>
    <row r="198" spans="1:8" ht="31.5" x14ac:dyDescent="0.25">
      <c r="A198" s="31" t="s">
        <v>795</v>
      </c>
      <c r="B198" s="20" t="s">
        <v>134</v>
      </c>
      <c r="C198" s="20" t="s">
        <v>156</v>
      </c>
      <c r="D198" s="20" t="s">
        <v>1231</v>
      </c>
      <c r="E198" s="20"/>
      <c r="F198" s="10">
        <f>F199</f>
        <v>20</v>
      </c>
      <c r="G198" s="328">
        <f t="shared" ref="G198:G199" si="104">G199</f>
        <v>0</v>
      </c>
      <c r="H198" s="358">
        <f t="shared" si="77"/>
        <v>0</v>
      </c>
    </row>
    <row r="199" spans="1:8" ht="31.5" x14ac:dyDescent="0.25">
      <c r="A199" s="25" t="s">
        <v>147</v>
      </c>
      <c r="B199" s="20" t="s">
        <v>134</v>
      </c>
      <c r="C199" s="20" t="s">
        <v>156</v>
      </c>
      <c r="D199" s="20" t="s">
        <v>1231</v>
      </c>
      <c r="E199" s="20" t="s">
        <v>148</v>
      </c>
      <c r="F199" s="10">
        <f>F200</f>
        <v>20</v>
      </c>
      <c r="G199" s="328">
        <f t="shared" si="104"/>
        <v>0</v>
      </c>
      <c r="H199" s="358">
        <f t="shared" si="77"/>
        <v>0</v>
      </c>
    </row>
    <row r="200" spans="1:8" ht="47.25" x14ac:dyDescent="0.25">
      <c r="A200" s="25" t="s">
        <v>149</v>
      </c>
      <c r="B200" s="20" t="s">
        <v>134</v>
      </c>
      <c r="C200" s="20" t="s">
        <v>156</v>
      </c>
      <c r="D200" s="20" t="s">
        <v>1231</v>
      </c>
      <c r="E200" s="20" t="s">
        <v>150</v>
      </c>
      <c r="F200" s="10">
        <f>'Пр.4 ведом.20'!G242</f>
        <v>20</v>
      </c>
      <c r="G200" s="328">
        <f>'Пр.4 ведом.20'!H242</f>
        <v>0</v>
      </c>
      <c r="H200" s="358">
        <f t="shared" si="77"/>
        <v>0</v>
      </c>
    </row>
    <row r="201" spans="1:8" ht="63" x14ac:dyDescent="0.25">
      <c r="A201" s="41" t="s">
        <v>730</v>
      </c>
      <c r="B201" s="8" t="s">
        <v>134</v>
      </c>
      <c r="C201" s="8" t="s">
        <v>156</v>
      </c>
      <c r="D201" s="24" t="s">
        <v>728</v>
      </c>
      <c r="E201" s="231"/>
      <c r="F201" s="59">
        <f>F202+F206</f>
        <v>48</v>
      </c>
      <c r="G201" s="340">
        <f t="shared" ref="G201" si="105">G202+G206</f>
        <v>40</v>
      </c>
      <c r="H201" s="4">
        <f t="shared" si="77"/>
        <v>83.333333333333343</v>
      </c>
    </row>
    <row r="202" spans="1:8" s="213" customFormat="1" ht="47.25" x14ac:dyDescent="0.25">
      <c r="A202" s="219" t="s">
        <v>892</v>
      </c>
      <c r="B202" s="24" t="s">
        <v>134</v>
      </c>
      <c r="C202" s="24" t="s">
        <v>156</v>
      </c>
      <c r="D202" s="24" t="s">
        <v>898</v>
      </c>
      <c r="E202" s="24"/>
      <c r="F202" s="59">
        <f>F203</f>
        <v>33</v>
      </c>
      <c r="G202" s="340">
        <f t="shared" ref="G202" si="106">G203</f>
        <v>25</v>
      </c>
      <c r="H202" s="4">
        <f t="shared" si="77"/>
        <v>75.757575757575751</v>
      </c>
    </row>
    <row r="203" spans="1:8" ht="39.75" customHeight="1" x14ac:dyDescent="0.25">
      <c r="A203" s="99" t="s">
        <v>799</v>
      </c>
      <c r="B203" s="20" t="s">
        <v>134</v>
      </c>
      <c r="C203" s="20" t="s">
        <v>156</v>
      </c>
      <c r="D203" s="20" t="s">
        <v>893</v>
      </c>
      <c r="E203" s="20"/>
      <c r="F203" s="10">
        <f t="shared" ref="F203:G204" si="107">F204</f>
        <v>33</v>
      </c>
      <c r="G203" s="328">
        <f t="shared" si="107"/>
        <v>25</v>
      </c>
      <c r="H203" s="358">
        <f t="shared" ref="H203:H266" si="108">G203/F203*100</f>
        <v>75.757575757575751</v>
      </c>
    </row>
    <row r="204" spans="1:8" ht="31.5" x14ac:dyDescent="0.25">
      <c r="A204" s="25" t="s">
        <v>147</v>
      </c>
      <c r="B204" s="20" t="s">
        <v>134</v>
      </c>
      <c r="C204" s="20" t="s">
        <v>156</v>
      </c>
      <c r="D204" s="20" t="s">
        <v>893</v>
      </c>
      <c r="E204" s="20" t="s">
        <v>148</v>
      </c>
      <c r="F204" s="10">
        <f t="shared" si="107"/>
        <v>33</v>
      </c>
      <c r="G204" s="328">
        <f t="shared" si="107"/>
        <v>25</v>
      </c>
      <c r="H204" s="358">
        <f t="shared" si="108"/>
        <v>75.757575757575751</v>
      </c>
    </row>
    <row r="205" spans="1:8" ht="47.25" x14ac:dyDescent="0.25">
      <c r="A205" s="25" t="s">
        <v>149</v>
      </c>
      <c r="B205" s="20" t="s">
        <v>134</v>
      </c>
      <c r="C205" s="20" t="s">
        <v>156</v>
      </c>
      <c r="D205" s="20" t="s">
        <v>893</v>
      </c>
      <c r="E205" s="20" t="s">
        <v>150</v>
      </c>
      <c r="F205" s="10">
        <f>'Пр.4 ведом.20'!G247+'Пр.4 ведом.20'!G122</f>
        <v>33</v>
      </c>
      <c r="G205" s="328">
        <f>'Пр.4 ведом.20'!H247+'Пр.4 ведом.20'!H122</f>
        <v>25</v>
      </c>
      <c r="H205" s="358">
        <f t="shared" si="108"/>
        <v>75.757575757575751</v>
      </c>
    </row>
    <row r="206" spans="1:8" s="213" customFormat="1" ht="31.5" x14ac:dyDescent="0.25">
      <c r="A206" s="220" t="s">
        <v>1188</v>
      </c>
      <c r="B206" s="24" t="s">
        <v>134</v>
      </c>
      <c r="C206" s="24" t="s">
        <v>156</v>
      </c>
      <c r="D206" s="24" t="s">
        <v>899</v>
      </c>
      <c r="E206" s="231"/>
      <c r="F206" s="59">
        <f>F207</f>
        <v>15</v>
      </c>
      <c r="G206" s="340">
        <f t="shared" ref="G206" si="109">G207</f>
        <v>15</v>
      </c>
      <c r="H206" s="4">
        <f t="shared" si="108"/>
        <v>100</v>
      </c>
    </row>
    <row r="207" spans="1:8" ht="33" customHeight="1" x14ac:dyDescent="0.25">
      <c r="A207" s="99" t="s">
        <v>800</v>
      </c>
      <c r="B207" s="20" t="s">
        <v>134</v>
      </c>
      <c r="C207" s="20" t="s">
        <v>156</v>
      </c>
      <c r="D207" s="20" t="s">
        <v>894</v>
      </c>
      <c r="E207" s="32"/>
      <c r="F207" s="10">
        <f t="shared" ref="F207:G208" si="110">F208</f>
        <v>15</v>
      </c>
      <c r="G207" s="328">
        <f t="shared" si="110"/>
        <v>15</v>
      </c>
      <c r="H207" s="358">
        <f t="shared" si="108"/>
        <v>100</v>
      </c>
    </row>
    <row r="208" spans="1:8" ht="31.7" customHeight="1" x14ac:dyDescent="0.25">
      <c r="A208" s="25" t="s">
        <v>147</v>
      </c>
      <c r="B208" s="20" t="s">
        <v>134</v>
      </c>
      <c r="C208" s="20" t="s">
        <v>156</v>
      </c>
      <c r="D208" s="20" t="s">
        <v>894</v>
      </c>
      <c r="E208" s="32" t="s">
        <v>148</v>
      </c>
      <c r="F208" s="10">
        <f t="shared" si="110"/>
        <v>15</v>
      </c>
      <c r="G208" s="328">
        <f t="shared" si="110"/>
        <v>15</v>
      </c>
      <c r="H208" s="358">
        <f t="shared" si="108"/>
        <v>100</v>
      </c>
    </row>
    <row r="209" spans="1:8" ht="40.700000000000003" customHeight="1" x14ac:dyDescent="0.25">
      <c r="A209" s="25" t="s">
        <v>149</v>
      </c>
      <c r="B209" s="20" t="s">
        <v>134</v>
      </c>
      <c r="C209" s="20" t="s">
        <v>156</v>
      </c>
      <c r="D209" s="20" t="s">
        <v>894</v>
      </c>
      <c r="E209" s="32" t="s">
        <v>150</v>
      </c>
      <c r="F209" s="10">
        <f>'Пр.4 ведом.20'!G126</f>
        <v>15</v>
      </c>
      <c r="G209" s="328">
        <f>'Пр.4 ведом.20'!H126</f>
        <v>15</v>
      </c>
      <c r="H209" s="358">
        <f t="shared" si="108"/>
        <v>100</v>
      </c>
    </row>
    <row r="210" spans="1:8" ht="63" hidden="1" x14ac:dyDescent="0.25">
      <c r="A210" s="225" t="s">
        <v>804</v>
      </c>
      <c r="B210" s="24" t="s">
        <v>134</v>
      </c>
      <c r="C210" s="24" t="s">
        <v>156</v>
      </c>
      <c r="D210" s="24" t="s">
        <v>806</v>
      </c>
      <c r="E210" s="231"/>
      <c r="F210" s="59">
        <f>F212</f>
        <v>0</v>
      </c>
      <c r="G210" s="340">
        <f t="shared" ref="G210" si="111">G212</f>
        <v>0</v>
      </c>
      <c r="H210" s="358" t="e">
        <f t="shared" si="108"/>
        <v>#DIV/0!</v>
      </c>
    </row>
    <row r="211" spans="1:8" s="213" customFormat="1" ht="31.5" hidden="1" x14ac:dyDescent="0.25">
      <c r="A211" s="23" t="s">
        <v>1003</v>
      </c>
      <c r="B211" s="24" t="s">
        <v>134</v>
      </c>
      <c r="C211" s="24" t="s">
        <v>156</v>
      </c>
      <c r="D211" s="24" t="s">
        <v>1182</v>
      </c>
      <c r="E211" s="231"/>
      <c r="F211" s="59">
        <f>F212</f>
        <v>0</v>
      </c>
      <c r="G211" s="340">
        <f t="shared" ref="G211:G213" si="112">G212</f>
        <v>0</v>
      </c>
      <c r="H211" s="358" t="e">
        <f t="shared" si="108"/>
        <v>#DIV/0!</v>
      </c>
    </row>
    <row r="212" spans="1:8" ht="31.5" hidden="1" x14ac:dyDescent="0.25">
      <c r="A212" s="192" t="s">
        <v>816</v>
      </c>
      <c r="B212" s="20" t="s">
        <v>134</v>
      </c>
      <c r="C212" s="20" t="s">
        <v>156</v>
      </c>
      <c r="D212" s="20" t="s">
        <v>1183</v>
      </c>
      <c r="E212" s="32"/>
      <c r="F212" s="10">
        <f>F213</f>
        <v>0</v>
      </c>
      <c r="G212" s="328">
        <f t="shared" si="112"/>
        <v>0</v>
      </c>
      <c r="H212" s="358" t="e">
        <f t="shared" si="108"/>
        <v>#DIV/0!</v>
      </c>
    </row>
    <row r="213" spans="1:8" ht="31.5" hidden="1" x14ac:dyDescent="0.25">
      <c r="A213" s="192" t="s">
        <v>147</v>
      </c>
      <c r="B213" s="20" t="s">
        <v>134</v>
      </c>
      <c r="C213" s="20" t="s">
        <v>156</v>
      </c>
      <c r="D213" s="20" t="s">
        <v>1183</v>
      </c>
      <c r="E213" s="32" t="s">
        <v>148</v>
      </c>
      <c r="F213" s="10">
        <f>F214</f>
        <v>0</v>
      </c>
      <c r="G213" s="328">
        <f t="shared" si="112"/>
        <v>0</v>
      </c>
      <c r="H213" s="358" t="e">
        <f t="shared" si="108"/>
        <v>#DIV/0!</v>
      </c>
    </row>
    <row r="214" spans="1:8" ht="47.25" hidden="1" x14ac:dyDescent="0.25">
      <c r="A214" s="192" t="s">
        <v>149</v>
      </c>
      <c r="B214" s="20" t="s">
        <v>134</v>
      </c>
      <c r="C214" s="20" t="s">
        <v>156</v>
      </c>
      <c r="D214" s="20" t="s">
        <v>1183</v>
      </c>
      <c r="E214" s="32" t="s">
        <v>150</v>
      </c>
      <c r="F214" s="10">
        <f>'Пр.4 ведом.20'!G529</f>
        <v>0</v>
      </c>
      <c r="G214" s="328">
        <f>'Пр.4 ведом.20'!H529</f>
        <v>0</v>
      </c>
      <c r="H214" s="358" t="e">
        <f t="shared" si="108"/>
        <v>#DIV/0!</v>
      </c>
    </row>
    <row r="215" spans="1:8" ht="78.75" x14ac:dyDescent="0.25">
      <c r="A215" s="41" t="s">
        <v>863</v>
      </c>
      <c r="B215" s="8" t="s">
        <v>134</v>
      </c>
      <c r="C215" s="8" t="s">
        <v>156</v>
      </c>
      <c r="D215" s="256" t="s">
        <v>861</v>
      </c>
      <c r="E215" s="8"/>
      <c r="F215" s="59">
        <f>F216</f>
        <v>30</v>
      </c>
      <c r="G215" s="340">
        <f t="shared" ref="G215:G218" si="113">G216</f>
        <v>0</v>
      </c>
      <c r="H215" s="4">
        <f t="shared" si="108"/>
        <v>0</v>
      </c>
    </row>
    <row r="216" spans="1:8" s="213" customFormat="1" ht="47.25" x14ac:dyDescent="0.25">
      <c r="A216" s="221" t="s">
        <v>900</v>
      </c>
      <c r="B216" s="8" t="s">
        <v>134</v>
      </c>
      <c r="C216" s="8" t="s">
        <v>156</v>
      </c>
      <c r="D216" s="206" t="s">
        <v>1262</v>
      </c>
      <c r="E216" s="8"/>
      <c r="F216" s="59">
        <f>F217</f>
        <v>30</v>
      </c>
      <c r="G216" s="340">
        <f t="shared" si="113"/>
        <v>0</v>
      </c>
      <c r="H216" s="4">
        <f t="shared" si="108"/>
        <v>0</v>
      </c>
    </row>
    <row r="217" spans="1:8" ht="31.5" x14ac:dyDescent="0.25">
      <c r="A217" s="98" t="s">
        <v>187</v>
      </c>
      <c r="B217" s="9" t="s">
        <v>134</v>
      </c>
      <c r="C217" s="9" t="s">
        <v>156</v>
      </c>
      <c r="D217" s="5" t="s">
        <v>901</v>
      </c>
      <c r="E217" s="9"/>
      <c r="F217" s="10">
        <f>F218</f>
        <v>30</v>
      </c>
      <c r="G217" s="328">
        <f t="shared" si="113"/>
        <v>0</v>
      </c>
      <c r="H217" s="358">
        <f t="shared" si="108"/>
        <v>0</v>
      </c>
    </row>
    <row r="218" spans="1:8" ht="31.5" x14ac:dyDescent="0.25">
      <c r="A218" s="25" t="s">
        <v>147</v>
      </c>
      <c r="B218" s="9" t="s">
        <v>134</v>
      </c>
      <c r="C218" s="9" t="s">
        <v>156</v>
      </c>
      <c r="D218" s="5" t="s">
        <v>901</v>
      </c>
      <c r="E218" s="9" t="s">
        <v>148</v>
      </c>
      <c r="F218" s="10">
        <f>F219</f>
        <v>30</v>
      </c>
      <c r="G218" s="328">
        <f t="shared" si="113"/>
        <v>0</v>
      </c>
      <c r="H218" s="358">
        <f t="shared" si="108"/>
        <v>0</v>
      </c>
    </row>
    <row r="219" spans="1:8" ht="47.25" x14ac:dyDescent="0.25">
      <c r="A219" s="25" t="s">
        <v>149</v>
      </c>
      <c r="B219" s="9" t="s">
        <v>134</v>
      </c>
      <c r="C219" s="9" t="s">
        <v>156</v>
      </c>
      <c r="D219" s="5" t="s">
        <v>901</v>
      </c>
      <c r="E219" s="9" t="s">
        <v>150</v>
      </c>
      <c r="F219" s="10">
        <f>'Пр.4 ведом.20'!G131</f>
        <v>30</v>
      </c>
      <c r="G219" s="328">
        <f>'Пр.4 ведом.20'!H131</f>
        <v>0</v>
      </c>
      <c r="H219" s="358">
        <f t="shared" si="108"/>
        <v>0</v>
      </c>
    </row>
    <row r="220" spans="1:8" ht="63" x14ac:dyDescent="0.25">
      <c r="A220" s="41" t="s">
        <v>1186</v>
      </c>
      <c r="B220" s="8" t="s">
        <v>134</v>
      </c>
      <c r="C220" s="8" t="s">
        <v>156</v>
      </c>
      <c r="D220" s="206" t="s">
        <v>862</v>
      </c>
      <c r="E220" s="8"/>
      <c r="F220" s="4">
        <f>F221</f>
        <v>80</v>
      </c>
      <c r="G220" s="4">
        <f t="shared" ref="G220" si="114">G221</f>
        <v>0</v>
      </c>
      <c r="H220" s="4">
        <f t="shared" si="108"/>
        <v>0</v>
      </c>
    </row>
    <row r="221" spans="1:8" ht="31.5" x14ac:dyDescent="0.25">
      <c r="A221" s="58" t="s">
        <v>902</v>
      </c>
      <c r="B221" s="8" t="s">
        <v>134</v>
      </c>
      <c r="C221" s="8" t="s">
        <v>156</v>
      </c>
      <c r="D221" s="206" t="s">
        <v>910</v>
      </c>
      <c r="E221" s="8"/>
      <c r="F221" s="4">
        <f t="shared" ref="F221:G223" si="115">F222</f>
        <v>80</v>
      </c>
      <c r="G221" s="4">
        <f t="shared" si="115"/>
        <v>0</v>
      </c>
      <c r="H221" s="4">
        <f t="shared" si="108"/>
        <v>0</v>
      </c>
    </row>
    <row r="222" spans="1:8" ht="15.75" x14ac:dyDescent="0.25">
      <c r="A222" s="45" t="s">
        <v>867</v>
      </c>
      <c r="B222" s="9" t="s">
        <v>134</v>
      </c>
      <c r="C222" s="9" t="s">
        <v>156</v>
      </c>
      <c r="D222" s="5" t="s">
        <v>903</v>
      </c>
      <c r="E222" s="9"/>
      <c r="F222" s="303">
        <f t="shared" si="115"/>
        <v>80</v>
      </c>
      <c r="G222" s="303">
        <f t="shared" si="115"/>
        <v>0</v>
      </c>
      <c r="H222" s="358">
        <f t="shared" si="108"/>
        <v>0</v>
      </c>
    </row>
    <row r="223" spans="1:8" ht="48.2" customHeight="1" x14ac:dyDescent="0.25">
      <c r="A223" s="25" t="s">
        <v>147</v>
      </c>
      <c r="B223" s="9" t="s">
        <v>134</v>
      </c>
      <c r="C223" s="9" t="s">
        <v>156</v>
      </c>
      <c r="D223" s="5" t="s">
        <v>903</v>
      </c>
      <c r="E223" s="9" t="s">
        <v>148</v>
      </c>
      <c r="F223" s="303">
        <f>F224</f>
        <v>80</v>
      </c>
      <c r="G223" s="303">
        <f t="shared" si="115"/>
        <v>0</v>
      </c>
      <c r="H223" s="358">
        <f t="shared" si="108"/>
        <v>0</v>
      </c>
    </row>
    <row r="224" spans="1:8" ht="47.25" x14ac:dyDescent="0.25">
      <c r="A224" s="25" t="s">
        <v>149</v>
      </c>
      <c r="B224" s="9" t="s">
        <v>134</v>
      </c>
      <c r="C224" s="9" t="s">
        <v>156</v>
      </c>
      <c r="D224" s="5" t="s">
        <v>903</v>
      </c>
      <c r="E224" s="9" t="s">
        <v>150</v>
      </c>
      <c r="F224" s="6">
        <f>'Пр.4 ведом.20'!G136</f>
        <v>80</v>
      </c>
      <c r="G224" s="358">
        <f>'Пр.4 ведом.20'!H136</f>
        <v>0</v>
      </c>
      <c r="H224" s="358">
        <f t="shared" si="108"/>
        <v>0</v>
      </c>
    </row>
    <row r="225" spans="1:10" s="213" customFormat="1" ht="15.75" hidden="1" x14ac:dyDescent="0.25">
      <c r="A225" s="23" t="s">
        <v>228</v>
      </c>
      <c r="B225" s="24" t="s">
        <v>229</v>
      </c>
      <c r="C225" s="24"/>
      <c r="D225" s="24"/>
      <c r="E225" s="24"/>
      <c r="F225" s="4">
        <f t="shared" ref="F225:G230" si="116">F226</f>
        <v>0</v>
      </c>
      <c r="G225" s="4">
        <f t="shared" si="116"/>
        <v>0</v>
      </c>
      <c r="H225" s="358" t="e">
        <f t="shared" si="108"/>
        <v>#DIV/0!</v>
      </c>
    </row>
    <row r="226" spans="1:10" s="213" customFormat="1" ht="19.5" hidden="1" customHeight="1" x14ac:dyDescent="0.25">
      <c r="A226" s="23" t="s">
        <v>234</v>
      </c>
      <c r="B226" s="24" t="s">
        <v>229</v>
      </c>
      <c r="C226" s="24" t="s">
        <v>235</v>
      </c>
      <c r="D226" s="24"/>
      <c r="E226" s="24"/>
      <c r="F226" s="4">
        <f t="shared" si="116"/>
        <v>0</v>
      </c>
      <c r="G226" s="4">
        <f t="shared" si="116"/>
        <v>0</v>
      </c>
      <c r="H226" s="358" t="e">
        <f t="shared" si="108"/>
        <v>#DIV/0!</v>
      </c>
    </row>
    <row r="227" spans="1:10" s="213" customFormat="1" ht="15.75" hidden="1" x14ac:dyDescent="0.25">
      <c r="A227" s="23" t="s">
        <v>157</v>
      </c>
      <c r="B227" s="24" t="s">
        <v>229</v>
      </c>
      <c r="C227" s="24" t="s">
        <v>235</v>
      </c>
      <c r="D227" s="24" t="s">
        <v>912</v>
      </c>
      <c r="E227" s="24"/>
      <c r="F227" s="4">
        <f t="shared" si="116"/>
        <v>0</v>
      </c>
      <c r="G227" s="4">
        <f t="shared" si="116"/>
        <v>0</v>
      </c>
      <c r="H227" s="358" t="e">
        <f t="shared" si="108"/>
        <v>#DIV/0!</v>
      </c>
    </row>
    <row r="228" spans="1:10" s="213" customFormat="1" ht="31.5" hidden="1" x14ac:dyDescent="0.25">
      <c r="A228" s="23" t="s">
        <v>916</v>
      </c>
      <c r="B228" s="24" t="s">
        <v>229</v>
      </c>
      <c r="C228" s="24" t="s">
        <v>235</v>
      </c>
      <c r="D228" s="24" t="s">
        <v>911</v>
      </c>
      <c r="E228" s="24"/>
      <c r="F228" s="4">
        <f t="shared" si="116"/>
        <v>0</v>
      </c>
      <c r="G228" s="4">
        <f t="shared" si="116"/>
        <v>0</v>
      </c>
      <c r="H228" s="358" t="e">
        <f t="shared" si="108"/>
        <v>#DIV/0!</v>
      </c>
    </row>
    <row r="229" spans="1:10" s="213" customFormat="1" ht="15.75" hidden="1" x14ac:dyDescent="0.25">
      <c r="A229" s="25" t="s">
        <v>236</v>
      </c>
      <c r="B229" s="20" t="s">
        <v>229</v>
      </c>
      <c r="C229" s="20" t="s">
        <v>235</v>
      </c>
      <c r="D229" s="20" t="s">
        <v>917</v>
      </c>
      <c r="E229" s="20"/>
      <c r="F229" s="6">
        <f t="shared" si="116"/>
        <v>0</v>
      </c>
      <c r="G229" s="358">
        <f t="shared" si="116"/>
        <v>0</v>
      </c>
      <c r="H229" s="358" t="e">
        <f t="shared" si="108"/>
        <v>#DIV/0!</v>
      </c>
    </row>
    <row r="230" spans="1:10" s="213" customFormat="1" ht="31.5" hidden="1" x14ac:dyDescent="0.25">
      <c r="A230" s="25" t="s">
        <v>214</v>
      </c>
      <c r="B230" s="20" t="s">
        <v>229</v>
      </c>
      <c r="C230" s="20" t="s">
        <v>235</v>
      </c>
      <c r="D230" s="20" t="s">
        <v>917</v>
      </c>
      <c r="E230" s="20" t="s">
        <v>148</v>
      </c>
      <c r="F230" s="6">
        <f t="shared" si="116"/>
        <v>0</v>
      </c>
      <c r="G230" s="358">
        <f t="shared" si="116"/>
        <v>0</v>
      </c>
      <c r="H230" s="358" t="e">
        <f t="shared" si="108"/>
        <v>#DIV/0!</v>
      </c>
    </row>
    <row r="231" spans="1:10" s="213" customFormat="1" ht="47.25" hidden="1" x14ac:dyDescent="0.25">
      <c r="A231" s="25" t="s">
        <v>149</v>
      </c>
      <c r="B231" s="20" t="s">
        <v>229</v>
      </c>
      <c r="C231" s="20" t="s">
        <v>235</v>
      </c>
      <c r="D231" s="20" t="s">
        <v>917</v>
      </c>
      <c r="E231" s="20" t="s">
        <v>150</v>
      </c>
      <c r="F231" s="6">
        <f>'Пр.4 ведом.20'!G143</f>
        <v>0</v>
      </c>
      <c r="G231" s="358">
        <f>'Пр.4 ведом.20'!H143</f>
        <v>0</v>
      </c>
      <c r="H231" s="358" t="e">
        <f t="shared" si="108"/>
        <v>#DIV/0!</v>
      </c>
    </row>
    <row r="232" spans="1:10" ht="31.5" x14ac:dyDescent="0.25">
      <c r="A232" s="23" t="s">
        <v>238</v>
      </c>
      <c r="B232" s="24" t="s">
        <v>231</v>
      </c>
      <c r="C232" s="24"/>
      <c r="D232" s="24"/>
      <c r="E232" s="24"/>
      <c r="F232" s="4">
        <f t="shared" ref="F232:G233" si="117">F233</f>
        <v>7764.9</v>
      </c>
      <c r="G232" s="4">
        <f t="shared" si="117"/>
        <v>4417.8899999999994</v>
      </c>
      <c r="H232" s="4">
        <f t="shared" si="108"/>
        <v>56.895645790673413</v>
      </c>
      <c r="I232">
        <f>'Пр.4 ведом.20'!H938+'Пр.4 ведом.20'!H144</f>
        <v>4417.8899999999994</v>
      </c>
    </row>
    <row r="233" spans="1:10" ht="47.25" x14ac:dyDescent="0.25">
      <c r="A233" s="23" t="s">
        <v>239</v>
      </c>
      <c r="B233" s="24" t="s">
        <v>231</v>
      </c>
      <c r="C233" s="24" t="s">
        <v>235</v>
      </c>
      <c r="D233" s="20"/>
      <c r="E233" s="20"/>
      <c r="F233" s="4">
        <f t="shared" si="117"/>
        <v>7764.9</v>
      </c>
      <c r="G233" s="4">
        <f t="shared" si="117"/>
        <v>4417.8899999999994</v>
      </c>
      <c r="H233" s="4">
        <f t="shared" si="108"/>
        <v>56.895645790673413</v>
      </c>
      <c r="I233" s="22"/>
      <c r="J233" s="22"/>
    </row>
    <row r="234" spans="1:10" ht="15.75" x14ac:dyDescent="0.25">
      <c r="A234" s="23" t="s">
        <v>157</v>
      </c>
      <c r="B234" s="24" t="s">
        <v>231</v>
      </c>
      <c r="C234" s="24" t="s">
        <v>235</v>
      </c>
      <c r="D234" s="24" t="s">
        <v>912</v>
      </c>
      <c r="E234" s="24"/>
      <c r="F234" s="4">
        <f>F235+F242</f>
        <v>7764.9</v>
      </c>
      <c r="G234" s="4">
        <f t="shared" ref="G234" si="118">G235+G242</f>
        <v>4417.8899999999994</v>
      </c>
      <c r="H234" s="4">
        <f t="shared" si="108"/>
        <v>56.895645790673413</v>
      </c>
    </row>
    <row r="235" spans="1:10" ht="31.5" x14ac:dyDescent="0.25">
      <c r="A235" s="23" t="s">
        <v>916</v>
      </c>
      <c r="B235" s="24" t="s">
        <v>231</v>
      </c>
      <c r="C235" s="24" t="s">
        <v>235</v>
      </c>
      <c r="D235" s="24" t="s">
        <v>911</v>
      </c>
      <c r="E235" s="24"/>
      <c r="F235" s="4">
        <f>F236+F239</f>
        <v>1887.5</v>
      </c>
      <c r="G235" s="4">
        <f t="shared" ref="G235" si="119">G236+G239</f>
        <v>190.01999999999998</v>
      </c>
      <c r="H235" s="4">
        <f t="shared" si="108"/>
        <v>10.06728476821192</v>
      </c>
    </row>
    <row r="236" spans="1:10" ht="47.25" x14ac:dyDescent="0.25">
      <c r="A236" s="25" t="s">
        <v>240</v>
      </c>
      <c r="B236" s="20" t="s">
        <v>231</v>
      </c>
      <c r="C236" s="20" t="s">
        <v>235</v>
      </c>
      <c r="D236" s="20" t="s">
        <v>921</v>
      </c>
      <c r="E236" s="20"/>
      <c r="F236" s="6">
        <f t="shared" ref="F236:G237" si="120">F237</f>
        <v>1583.5</v>
      </c>
      <c r="G236" s="358">
        <f t="shared" si="120"/>
        <v>70.8</v>
      </c>
      <c r="H236" s="358">
        <f t="shared" si="108"/>
        <v>4.471108304389011</v>
      </c>
    </row>
    <row r="237" spans="1:10" ht="31.5" x14ac:dyDescent="0.25">
      <c r="A237" s="25" t="s">
        <v>214</v>
      </c>
      <c r="B237" s="20" t="s">
        <v>231</v>
      </c>
      <c r="C237" s="20" t="s">
        <v>235</v>
      </c>
      <c r="D237" s="20" t="s">
        <v>921</v>
      </c>
      <c r="E237" s="20" t="s">
        <v>148</v>
      </c>
      <c r="F237" s="6">
        <f t="shared" si="120"/>
        <v>1583.5</v>
      </c>
      <c r="G237" s="358">
        <f t="shared" si="120"/>
        <v>70.8</v>
      </c>
      <c r="H237" s="358">
        <f t="shared" si="108"/>
        <v>4.471108304389011</v>
      </c>
    </row>
    <row r="238" spans="1:10" ht="47.25" x14ac:dyDescent="0.25">
      <c r="A238" s="25" t="s">
        <v>149</v>
      </c>
      <c r="B238" s="20" t="s">
        <v>231</v>
      </c>
      <c r="C238" s="20" t="s">
        <v>235</v>
      </c>
      <c r="D238" s="20" t="s">
        <v>921</v>
      </c>
      <c r="E238" s="20" t="s">
        <v>150</v>
      </c>
      <c r="F238" s="306">
        <f>'Пр.4 ведом.20'!G150</f>
        <v>1583.5</v>
      </c>
      <c r="G238" s="306">
        <f>'Пр.4 ведом.20'!H150</f>
        <v>70.8</v>
      </c>
      <c r="H238" s="358">
        <f t="shared" si="108"/>
        <v>4.471108304389011</v>
      </c>
    </row>
    <row r="239" spans="1:10" ht="15.75" x14ac:dyDescent="0.25">
      <c r="A239" s="25" t="s">
        <v>246</v>
      </c>
      <c r="B239" s="20" t="s">
        <v>231</v>
      </c>
      <c r="C239" s="20" t="s">
        <v>235</v>
      </c>
      <c r="D239" s="20" t="s">
        <v>922</v>
      </c>
      <c r="E239" s="20"/>
      <c r="F239" s="306">
        <f t="shared" ref="F239:G240" si="121">F240</f>
        <v>304</v>
      </c>
      <c r="G239" s="306">
        <f t="shared" si="121"/>
        <v>119.22</v>
      </c>
      <c r="H239" s="358">
        <f t="shared" si="108"/>
        <v>39.21710526315789</v>
      </c>
    </row>
    <row r="240" spans="1:10" ht="31.5" x14ac:dyDescent="0.25">
      <c r="A240" s="25" t="s">
        <v>214</v>
      </c>
      <c r="B240" s="20" t="s">
        <v>231</v>
      </c>
      <c r="C240" s="20" t="s">
        <v>235</v>
      </c>
      <c r="D240" s="20" t="s">
        <v>922</v>
      </c>
      <c r="E240" s="20" t="s">
        <v>148</v>
      </c>
      <c r="F240" s="306">
        <f t="shared" si="121"/>
        <v>304</v>
      </c>
      <c r="G240" s="306">
        <f t="shared" si="121"/>
        <v>119.22</v>
      </c>
      <c r="H240" s="358">
        <f t="shared" si="108"/>
        <v>39.21710526315789</v>
      </c>
    </row>
    <row r="241" spans="1:9" ht="47.25" x14ac:dyDescent="0.25">
      <c r="A241" s="25" t="s">
        <v>149</v>
      </c>
      <c r="B241" s="20" t="s">
        <v>231</v>
      </c>
      <c r="C241" s="20" t="s">
        <v>235</v>
      </c>
      <c r="D241" s="20" t="s">
        <v>922</v>
      </c>
      <c r="E241" s="20" t="s">
        <v>150</v>
      </c>
      <c r="F241" s="306">
        <f>'Пр.4 ведом.20'!G153+'Пр.4 ведом.20'!G944</f>
        <v>304</v>
      </c>
      <c r="G241" s="306">
        <f>'Пр.4 ведом.20'!H153+'Пр.4 ведом.20'!H944</f>
        <v>119.22</v>
      </c>
      <c r="H241" s="358">
        <f t="shared" si="108"/>
        <v>39.21710526315789</v>
      </c>
    </row>
    <row r="242" spans="1:9" ht="31.5" x14ac:dyDescent="0.25">
      <c r="A242" s="23" t="s">
        <v>996</v>
      </c>
      <c r="B242" s="24" t="s">
        <v>231</v>
      </c>
      <c r="C242" s="24" t="s">
        <v>235</v>
      </c>
      <c r="D242" s="24" t="s">
        <v>918</v>
      </c>
      <c r="E242" s="24"/>
      <c r="F242" s="4">
        <f>F243+F248</f>
        <v>5877.4</v>
      </c>
      <c r="G242" s="4">
        <f t="shared" ref="G242" si="122">G243+G248</f>
        <v>4227.87</v>
      </c>
      <c r="H242" s="4">
        <f t="shared" si="108"/>
        <v>71.934358730050704</v>
      </c>
    </row>
    <row r="243" spans="1:9" ht="31.5" x14ac:dyDescent="0.25">
      <c r="A243" s="25" t="s">
        <v>1000</v>
      </c>
      <c r="B243" s="20" t="s">
        <v>231</v>
      </c>
      <c r="C243" s="20" t="s">
        <v>235</v>
      </c>
      <c r="D243" s="20" t="s">
        <v>919</v>
      </c>
      <c r="E243" s="20"/>
      <c r="F243" s="303">
        <f>F244+F246</f>
        <v>5625.4</v>
      </c>
      <c r="G243" s="303">
        <f t="shared" ref="G243" si="123">G244+G246</f>
        <v>4217.7699999999995</v>
      </c>
      <c r="H243" s="358">
        <f t="shared" si="108"/>
        <v>74.977246062502218</v>
      </c>
    </row>
    <row r="244" spans="1:9" ht="78.75" x14ac:dyDescent="0.25">
      <c r="A244" s="25" t="s">
        <v>143</v>
      </c>
      <c r="B244" s="20" t="s">
        <v>231</v>
      </c>
      <c r="C244" s="20" t="s">
        <v>235</v>
      </c>
      <c r="D244" s="20" t="s">
        <v>919</v>
      </c>
      <c r="E244" s="20" t="s">
        <v>144</v>
      </c>
      <c r="F244" s="303">
        <f>'Пр.4 ведом.20'!G157</f>
        <v>5462.4</v>
      </c>
      <c r="G244" s="303">
        <f>'Пр.4 ведом.20'!H157</f>
        <v>4100.78</v>
      </c>
      <c r="H244" s="358">
        <f t="shared" si="108"/>
        <v>75.072861745752789</v>
      </c>
    </row>
    <row r="245" spans="1:9" ht="31.5" x14ac:dyDescent="0.25">
      <c r="A245" s="25" t="s">
        <v>224</v>
      </c>
      <c r="B245" s="20" t="s">
        <v>231</v>
      </c>
      <c r="C245" s="20" t="s">
        <v>235</v>
      </c>
      <c r="D245" s="20" t="s">
        <v>919</v>
      </c>
      <c r="E245" s="20" t="s">
        <v>225</v>
      </c>
      <c r="F245" s="6">
        <f>'Пр.4 ведом.20'!G157</f>
        <v>5462.4</v>
      </c>
      <c r="G245" s="358">
        <f>'Пр.4 ведом.20'!H157</f>
        <v>4100.78</v>
      </c>
      <c r="H245" s="358">
        <f t="shared" si="108"/>
        <v>75.072861745752789</v>
      </c>
    </row>
    <row r="246" spans="1:9" ht="31.5" x14ac:dyDescent="0.25">
      <c r="A246" s="25" t="s">
        <v>214</v>
      </c>
      <c r="B246" s="20" t="s">
        <v>231</v>
      </c>
      <c r="C246" s="20" t="s">
        <v>235</v>
      </c>
      <c r="D246" s="20" t="s">
        <v>919</v>
      </c>
      <c r="E246" s="20" t="s">
        <v>148</v>
      </c>
      <c r="F246" s="6">
        <f>'Пр.4 ведом.20'!G159</f>
        <v>163</v>
      </c>
      <c r="G246" s="358">
        <f>'Пр.4 ведом.20'!H159</f>
        <v>116.99</v>
      </c>
      <c r="H246" s="358">
        <f t="shared" si="108"/>
        <v>71.773006134969322</v>
      </c>
    </row>
    <row r="247" spans="1:9" ht="47.25" x14ac:dyDescent="0.25">
      <c r="A247" s="25" t="s">
        <v>149</v>
      </c>
      <c r="B247" s="20" t="s">
        <v>231</v>
      </c>
      <c r="C247" s="20" t="s">
        <v>235</v>
      </c>
      <c r="D247" s="20" t="s">
        <v>919</v>
      </c>
      <c r="E247" s="20" t="s">
        <v>150</v>
      </c>
      <c r="F247" s="6">
        <f>'Пр.4 ведом.20'!G159</f>
        <v>163</v>
      </c>
      <c r="G247" s="358">
        <f>'Пр.4 ведом.20'!H159</f>
        <v>116.99</v>
      </c>
      <c r="H247" s="358">
        <f t="shared" si="108"/>
        <v>71.773006134969322</v>
      </c>
    </row>
    <row r="248" spans="1:9" ht="47.25" x14ac:dyDescent="0.25">
      <c r="A248" s="25" t="s">
        <v>885</v>
      </c>
      <c r="B248" s="20" t="s">
        <v>231</v>
      </c>
      <c r="C248" s="20" t="s">
        <v>235</v>
      </c>
      <c r="D248" s="20" t="s">
        <v>920</v>
      </c>
      <c r="E248" s="20"/>
      <c r="F248" s="6">
        <f t="shared" ref="F248:G249" si="124">F249</f>
        <v>252</v>
      </c>
      <c r="G248" s="358">
        <f t="shared" si="124"/>
        <v>10.1</v>
      </c>
      <c r="H248" s="358">
        <f t="shared" si="108"/>
        <v>4.0079365079365079</v>
      </c>
    </row>
    <row r="249" spans="1:9" ht="78.75" x14ac:dyDescent="0.25">
      <c r="A249" s="25" t="s">
        <v>143</v>
      </c>
      <c r="B249" s="20" t="s">
        <v>231</v>
      </c>
      <c r="C249" s="20" t="s">
        <v>235</v>
      </c>
      <c r="D249" s="20" t="s">
        <v>920</v>
      </c>
      <c r="E249" s="20" t="s">
        <v>144</v>
      </c>
      <c r="F249" s="6">
        <f>F250</f>
        <v>252</v>
      </c>
      <c r="G249" s="358">
        <f t="shared" si="124"/>
        <v>10.1</v>
      </c>
      <c r="H249" s="358">
        <f t="shared" si="108"/>
        <v>4.0079365079365079</v>
      </c>
    </row>
    <row r="250" spans="1:9" s="213" customFormat="1" ht="31.5" x14ac:dyDescent="0.25">
      <c r="A250" s="25" t="s">
        <v>145</v>
      </c>
      <c r="B250" s="20" t="s">
        <v>231</v>
      </c>
      <c r="C250" s="20" t="s">
        <v>235</v>
      </c>
      <c r="D250" s="20" t="s">
        <v>920</v>
      </c>
      <c r="E250" s="20" t="s">
        <v>146</v>
      </c>
      <c r="F250" s="6">
        <f>'Пр.4 ведом.20'!G162</f>
        <v>252</v>
      </c>
      <c r="G250" s="358">
        <f>'Пр.4 ведом.20'!H162</f>
        <v>10.1</v>
      </c>
      <c r="H250" s="358">
        <f t="shared" si="108"/>
        <v>4.0079365079365079</v>
      </c>
    </row>
    <row r="251" spans="1:9" ht="15.75" x14ac:dyDescent="0.25">
      <c r="A251" s="23" t="s">
        <v>248</v>
      </c>
      <c r="B251" s="24" t="s">
        <v>166</v>
      </c>
      <c r="C251" s="24"/>
      <c r="D251" s="24"/>
      <c r="E251" s="20"/>
      <c r="F251" s="4">
        <f t="shared" ref="F251:G251" si="125">F265+F271+F285+F252</f>
        <v>8334.1</v>
      </c>
      <c r="G251" s="4">
        <f t="shared" si="125"/>
        <v>4645.036000000001</v>
      </c>
      <c r="H251" s="4">
        <f t="shared" si="108"/>
        <v>55.735304351999623</v>
      </c>
      <c r="I251">
        <f>'Пр.4 ведом.20'!H163+'Пр.4 ведом.20'!H248+'Пр.4 ведом.20'!H945</f>
        <v>4645.036000000001</v>
      </c>
    </row>
    <row r="252" spans="1:9" ht="15.75" x14ac:dyDescent="0.25">
      <c r="A252" s="23" t="s">
        <v>249</v>
      </c>
      <c r="B252" s="24" t="s">
        <v>166</v>
      </c>
      <c r="C252" s="24" t="s">
        <v>250</v>
      </c>
      <c r="D252" s="24"/>
      <c r="E252" s="20"/>
      <c r="F252" s="4">
        <f>F253</f>
        <v>306</v>
      </c>
      <c r="G252" s="4">
        <f t="shared" ref="G252" si="126">G253</f>
        <v>91.009999999999991</v>
      </c>
      <c r="H252" s="4">
        <f t="shared" si="108"/>
        <v>29.741830065359476</v>
      </c>
    </row>
    <row r="253" spans="1:9" ht="47.25" x14ac:dyDescent="0.25">
      <c r="A253" s="34" t="s">
        <v>197</v>
      </c>
      <c r="B253" s="24" t="s">
        <v>166</v>
      </c>
      <c r="C253" s="24" t="s">
        <v>250</v>
      </c>
      <c r="D253" s="206" t="s">
        <v>198</v>
      </c>
      <c r="E253" s="231"/>
      <c r="F253" s="4">
        <f>F254+F261</f>
        <v>306</v>
      </c>
      <c r="G253" s="4">
        <f t="shared" ref="G253" si="127">G254+G261</f>
        <v>91.009999999999991</v>
      </c>
      <c r="H253" s="4">
        <f t="shared" si="108"/>
        <v>29.741830065359476</v>
      </c>
    </row>
    <row r="254" spans="1:9" ht="31.5" x14ac:dyDescent="0.25">
      <c r="A254" s="34" t="s">
        <v>1159</v>
      </c>
      <c r="B254" s="24" t="s">
        <v>166</v>
      </c>
      <c r="C254" s="24" t="s">
        <v>250</v>
      </c>
      <c r="D254" s="266" t="s">
        <v>923</v>
      </c>
      <c r="E254" s="231"/>
      <c r="F254" s="4">
        <f>F255+F258</f>
        <v>285</v>
      </c>
      <c r="G254" s="4">
        <f t="shared" ref="G254" si="128">G255+G258</f>
        <v>91.009999999999991</v>
      </c>
      <c r="H254" s="4">
        <f t="shared" si="108"/>
        <v>31.93333333333333</v>
      </c>
    </row>
    <row r="255" spans="1:9" ht="15.75" x14ac:dyDescent="0.25">
      <c r="A255" s="25" t="s">
        <v>924</v>
      </c>
      <c r="B255" s="20" t="s">
        <v>166</v>
      </c>
      <c r="C255" s="20" t="s">
        <v>250</v>
      </c>
      <c r="D255" s="20" t="s">
        <v>968</v>
      </c>
      <c r="E255" s="32"/>
      <c r="F255" s="6">
        <f>F256</f>
        <v>30</v>
      </c>
      <c r="G255" s="358">
        <f t="shared" ref="G255:G256" si="129">G256</f>
        <v>9.49</v>
      </c>
      <c r="H255" s="358">
        <f t="shared" si="108"/>
        <v>31.633333333333336</v>
      </c>
    </row>
    <row r="256" spans="1:9" ht="15.75" x14ac:dyDescent="0.25">
      <c r="A256" s="29" t="s">
        <v>151</v>
      </c>
      <c r="B256" s="20" t="s">
        <v>166</v>
      </c>
      <c r="C256" s="20" t="s">
        <v>250</v>
      </c>
      <c r="D256" s="20" t="s">
        <v>968</v>
      </c>
      <c r="E256" s="32" t="s">
        <v>161</v>
      </c>
      <c r="F256" s="6">
        <f>F257</f>
        <v>30</v>
      </c>
      <c r="G256" s="358">
        <f t="shared" si="129"/>
        <v>9.49</v>
      </c>
      <c r="H256" s="358">
        <f t="shared" si="108"/>
        <v>31.633333333333336</v>
      </c>
    </row>
    <row r="257" spans="1:8" ht="47.25" x14ac:dyDescent="0.25">
      <c r="A257" s="29" t="s">
        <v>200</v>
      </c>
      <c r="B257" s="20" t="s">
        <v>166</v>
      </c>
      <c r="C257" s="20" t="s">
        <v>250</v>
      </c>
      <c r="D257" s="20" t="s">
        <v>968</v>
      </c>
      <c r="E257" s="32" t="s">
        <v>176</v>
      </c>
      <c r="F257" s="6">
        <f>'Пр.4 ведом.20'!G169</f>
        <v>30</v>
      </c>
      <c r="G257" s="358">
        <f>'Пр.4 ведом.20'!H169</f>
        <v>9.49</v>
      </c>
      <c r="H257" s="358">
        <f t="shared" si="108"/>
        <v>31.633333333333336</v>
      </c>
    </row>
    <row r="258" spans="1:8" ht="31.5" x14ac:dyDescent="0.25">
      <c r="A258" s="25" t="s">
        <v>251</v>
      </c>
      <c r="B258" s="20" t="s">
        <v>166</v>
      </c>
      <c r="C258" s="20" t="s">
        <v>250</v>
      </c>
      <c r="D258" s="20" t="s">
        <v>927</v>
      </c>
      <c r="E258" s="20"/>
      <c r="F258" s="6">
        <f t="shared" ref="F258:G259" si="130">F259</f>
        <v>255</v>
      </c>
      <c r="G258" s="358">
        <f t="shared" si="130"/>
        <v>81.52</v>
      </c>
      <c r="H258" s="358">
        <f t="shared" si="108"/>
        <v>31.968627450980392</v>
      </c>
    </row>
    <row r="259" spans="1:8" ht="15.75" x14ac:dyDescent="0.25">
      <c r="A259" s="25" t="s">
        <v>151</v>
      </c>
      <c r="B259" s="20" t="s">
        <v>166</v>
      </c>
      <c r="C259" s="20" t="s">
        <v>250</v>
      </c>
      <c r="D259" s="20" t="s">
        <v>927</v>
      </c>
      <c r="E259" s="20" t="s">
        <v>161</v>
      </c>
      <c r="F259" s="6">
        <f>F260</f>
        <v>255</v>
      </c>
      <c r="G259" s="358">
        <f t="shared" si="130"/>
        <v>81.52</v>
      </c>
      <c r="H259" s="358">
        <f t="shared" si="108"/>
        <v>31.968627450980392</v>
      </c>
    </row>
    <row r="260" spans="1:8" ht="47.25" x14ac:dyDescent="0.25">
      <c r="A260" s="25" t="s">
        <v>200</v>
      </c>
      <c r="B260" s="20" t="s">
        <v>166</v>
      </c>
      <c r="C260" s="20" t="s">
        <v>250</v>
      </c>
      <c r="D260" s="20" t="s">
        <v>927</v>
      </c>
      <c r="E260" s="20" t="s">
        <v>176</v>
      </c>
      <c r="F260" s="6">
        <f>'Пр.4 ведом.20'!G172</f>
        <v>255</v>
      </c>
      <c r="G260" s="358">
        <f>'Пр.4 ведом.20'!H172</f>
        <v>81.52</v>
      </c>
      <c r="H260" s="358">
        <f t="shared" si="108"/>
        <v>31.968627450980392</v>
      </c>
    </row>
    <row r="261" spans="1:8" ht="47.25" x14ac:dyDescent="0.25">
      <c r="A261" s="222" t="s">
        <v>1160</v>
      </c>
      <c r="B261" s="24" t="s">
        <v>166</v>
      </c>
      <c r="C261" s="24" t="s">
        <v>250</v>
      </c>
      <c r="D261" s="206" t="s">
        <v>926</v>
      </c>
      <c r="E261" s="231"/>
      <c r="F261" s="4">
        <f>F262</f>
        <v>21</v>
      </c>
      <c r="G261" s="4">
        <f t="shared" ref="G261:G263" si="131">G262</f>
        <v>0</v>
      </c>
      <c r="H261" s="4">
        <f t="shared" si="108"/>
        <v>0</v>
      </c>
    </row>
    <row r="262" spans="1:8" s="213" customFormat="1" ht="15.75" x14ac:dyDescent="0.25">
      <c r="A262" s="25" t="s">
        <v>925</v>
      </c>
      <c r="B262" s="20" t="s">
        <v>166</v>
      </c>
      <c r="C262" s="20" t="s">
        <v>250</v>
      </c>
      <c r="D262" s="5" t="s">
        <v>969</v>
      </c>
      <c r="E262" s="32"/>
      <c r="F262" s="6">
        <f>F263</f>
        <v>21</v>
      </c>
      <c r="G262" s="358">
        <f t="shared" si="131"/>
        <v>0</v>
      </c>
      <c r="H262" s="358">
        <f t="shared" si="108"/>
        <v>0</v>
      </c>
    </row>
    <row r="263" spans="1:8" s="213" customFormat="1" ht="15.75" x14ac:dyDescent="0.25">
      <c r="A263" s="29" t="s">
        <v>151</v>
      </c>
      <c r="B263" s="20" t="s">
        <v>166</v>
      </c>
      <c r="C263" s="20" t="s">
        <v>250</v>
      </c>
      <c r="D263" s="5" t="s">
        <v>969</v>
      </c>
      <c r="E263" s="32" t="s">
        <v>161</v>
      </c>
      <c r="F263" s="6">
        <f>F264</f>
        <v>21</v>
      </c>
      <c r="G263" s="358">
        <f t="shared" si="131"/>
        <v>0</v>
      </c>
      <c r="H263" s="358">
        <f t="shared" si="108"/>
        <v>0</v>
      </c>
    </row>
    <row r="264" spans="1:8" s="213" customFormat="1" ht="47.25" x14ac:dyDescent="0.25">
      <c r="A264" s="29" t="s">
        <v>200</v>
      </c>
      <c r="B264" s="20" t="s">
        <v>166</v>
      </c>
      <c r="C264" s="20" t="s">
        <v>250</v>
      </c>
      <c r="D264" s="5" t="s">
        <v>969</v>
      </c>
      <c r="E264" s="32" t="s">
        <v>176</v>
      </c>
      <c r="F264" s="6">
        <f>'Пр.4 ведом.20'!G176</f>
        <v>21</v>
      </c>
      <c r="G264" s="358">
        <f>'Пр.4 ведом.20'!H176</f>
        <v>0</v>
      </c>
      <c r="H264" s="358">
        <f t="shared" si="108"/>
        <v>0</v>
      </c>
    </row>
    <row r="265" spans="1:8" ht="15.75" x14ac:dyDescent="0.25">
      <c r="A265" s="23" t="s">
        <v>521</v>
      </c>
      <c r="B265" s="24" t="s">
        <v>166</v>
      </c>
      <c r="C265" s="24" t="s">
        <v>315</v>
      </c>
      <c r="D265" s="24"/>
      <c r="E265" s="24"/>
      <c r="F265" s="4">
        <f t="shared" ref="F265:G269" si="132">F266</f>
        <v>3258</v>
      </c>
      <c r="G265" s="4">
        <f t="shared" si="132"/>
        <v>2116.4079999999999</v>
      </c>
      <c r="H265" s="4">
        <f t="shared" si="108"/>
        <v>64.960343769183552</v>
      </c>
    </row>
    <row r="266" spans="1:8" ht="15.75" x14ac:dyDescent="0.25">
      <c r="A266" s="23" t="s">
        <v>157</v>
      </c>
      <c r="B266" s="24" t="s">
        <v>166</v>
      </c>
      <c r="C266" s="24" t="s">
        <v>315</v>
      </c>
      <c r="D266" s="24" t="s">
        <v>912</v>
      </c>
      <c r="E266" s="24"/>
      <c r="F266" s="4">
        <f t="shared" si="132"/>
        <v>3258</v>
      </c>
      <c r="G266" s="4">
        <f t="shared" si="132"/>
        <v>2116.4079999999999</v>
      </c>
      <c r="H266" s="4">
        <f t="shared" si="108"/>
        <v>64.960343769183552</v>
      </c>
    </row>
    <row r="267" spans="1:8" ht="31.5" x14ac:dyDescent="0.25">
      <c r="A267" s="23" t="s">
        <v>916</v>
      </c>
      <c r="B267" s="24" t="s">
        <v>166</v>
      </c>
      <c r="C267" s="24" t="s">
        <v>315</v>
      </c>
      <c r="D267" s="24" t="s">
        <v>911</v>
      </c>
      <c r="E267" s="24"/>
      <c r="F267" s="4">
        <f t="shared" si="132"/>
        <v>3258</v>
      </c>
      <c r="G267" s="4">
        <f t="shared" si="132"/>
        <v>2116.4079999999999</v>
      </c>
      <c r="H267" s="4">
        <f t="shared" ref="H267:H330" si="133">G267/F267*100</f>
        <v>64.960343769183552</v>
      </c>
    </row>
    <row r="268" spans="1:8" ht="17.45" customHeight="1" x14ac:dyDescent="0.25">
      <c r="A268" s="25" t="s">
        <v>522</v>
      </c>
      <c r="B268" s="20" t="s">
        <v>166</v>
      </c>
      <c r="C268" s="20" t="s">
        <v>315</v>
      </c>
      <c r="D268" s="20" t="s">
        <v>1093</v>
      </c>
      <c r="E268" s="20"/>
      <c r="F268" s="6">
        <f t="shared" si="132"/>
        <v>3258</v>
      </c>
      <c r="G268" s="358">
        <f t="shared" si="132"/>
        <v>2116.4079999999999</v>
      </c>
      <c r="H268" s="358">
        <f t="shared" si="133"/>
        <v>64.960343769183552</v>
      </c>
    </row>
    <row r="269" spans="1:8" ht="34.5" customHeight="1" x14ac:dyDescent="0.25">
      <c r="A269" s="25" t="s">
        <v>147</v>
      </c>
      <c r="B269" s="20" t="s">
        <v>166</v>
      </c>
      <c r="C269" s="20" t="s">
        <v>315</v>
      </c>
      <c r="D269" s="20" t="s">
        <v>1093</v>
      </c>
      <c r="E269" s="20" t="s">
        <v>148</v>
      </c>
      <c r="F269" s="6">
        <f t="shared" si="132"/>
        <v>3258</v>
      </c>
      <c r="G269" s="358">
        <f t="shared" si="132"/>
        <v>2116.4079999999999</v>
      </c>
      <c r="H269" s="358">
        <f t="shared" si="133"/>
        <v>64.960343769183552</v>
      </c>
    </row>
    <row r="270" spans="1:8" ht="38.25" customHeight="1" x14ac:dyDescent="0.25">
      <c r="A270" s="25" t="s">
        <v>149</v>
      </c>
      <c r="B270" s="20" t="s">
        <v>166</v>
      </c>
      <c r="C270" s="20" t="s">
        <v>315</v>
      </c>
      <c r="D270" s="20" t="s">
        <v>1093</v>
      </c>
      <c r="E270" s="20" t="s">
        <v>150</v>
      </c>
      <c r="F270" s="303">
        <f>'Пр.4 ведом.20'!G951</f>
        <v>3258</v>
      </c>
      <c r="G270" s="303">
        <f>'Пр.4 ведом.20'!H951</f>
        <v>2116.4079999999999</v>
      </c>
      <c r="H270" s="358">
        <f t="shared" si="133"/>
        <v>64.960343769183552</v>
      </c>
    </row>
    <row r="271" spans="1:8" ht="15.75" x14ac:dyDescent="0.25">
      <c r="A271" s="23" t="s">
        <v>524</v>
      </c>
      <c r="B271" s="24" t="s">
        <v>166</v>
      </c>
      <c r="C271" s="24" t="s">
        <v>235</v>
      </c>
      <c r="D271" s="20"/>
      <c r="E271" s="24"/>
      <c r="F271" s="4">
        <f t="shared" ref="F271:G271" si="134">F272</f>
        <v>3611.3</v>
      </c>
      <c r="G271" s="4">
        <f t="shared" si="134"/>
        <v>2344.0680000000002</v>
      </c>
      <c r="H271" s="4">
        <f t="shared" si="133"/>
        <v>64.909257054246396</v>
      </c>
    </row>
    <row r="272" spans="1:8" ht="47.25" x14ac:dyDescent="0.25">
      <c r="A272" s="34" t="s">
        <v>1180</v>
      </c>
      <c r="B272" s="24" t="s">
        <v>166</v>
      </c>
      <c r="C272" s="24" t="s">
        <v>235</v>
      </c>
      <c r="D272" s="24" t="s">
        <v>526</v>
      </c>
      <c r="E272" s="24"/>
      <c r="F272" s="59">
        <f>F273+F277</f>
        <v>3611.3</v>
      </c>
      <c r="G272" s="340">
        <f t="shared" ref="G272" si="135">G273+G277</f>
        <v>2344.0680000000002</v>
      </c>
      <c r="H272" s="4">
        <f t="shared" si="133"/>
        <v>64.909257054246396</v>
      </c>
    </row>
    <row r="273" spans="1:8" ht="31.5" hidden="1" x14ac:dyDescent="0.25">
      <c r="A273" s="34" t="s">
        <v>1150</v>
      </c>
      <c r="B273" s="24" t="s">
        <v>166</v>
      </c>
      <c r="C273" s="24" t="s">
        <v>235</v>
      </c>
      <c r="D273" s="7" t="s">
        <v>1094</v>
      </c>
      <c r="E273" s="24"/>
      <c r="F273" s="59">
        <f>F274</f>
        <v>0</v>
      </c>
      <c r="G273" s="340">
        <f t="shared" ref="G273:G275" si="136">G274</f>
        <v>0</v>
      </c>
      <c r="H273" s="4" t="e">
        <f t="shared" si="133"/>
        <v>#DIV/0!</v>
      </c>
    </row>
    <row r="274" spans="1:8" ht="15.75" hidden="1" x14ac:dyDescent="0.25">
      <c r="A274" s="29" t="s">
        <v>1152</v>
      </c>
      <c r="B274" s="20" t="s">
        <v>166</v>
      </c>
      <c r="C274" s="20" t="s">
        <v>235</v>
      </c>
      <c r="D274" s="40" t="s">
        <v>1151</v>
      </c>
      <c r="E274" s="20"/>
      <c r="F274" s="10">
        <f>F275</f>
        <v>0</v>
      </c>
      <c r="G274" s="328">
        <f t="shared" si="136"/>
        <v>0</v>
      </c>
      <c r="H274" s="4" t="e">
        <f t="shared" si="133"/>
        <v>#DIV/0!</v>
      </c>
    </row>
    <row r="275" spans="1:8" ht="31.5" hidden="1" x14ac:dyDescent="0.25">
      <c r="A275" s="25" t="s">
        <v>147</v>
      </c>
      <c r="B275" s="20" t="s">
        <v>166</v>
      </c>
      <c r="C275" s="20" t="s">
        <v>235</v>
      </c>
      <c r="D275" s="40" t="s">
        <v>1151</v>
      </c>
      <c r="E275" s="20" t="s">
        <v>148</v>
      </c>
      <c r="F275" s="303">
        <f>F276</f>
        <v>0</v>
      </c>
      <c r="G275" s="303">
        <f t="shared" si="136"/>
        <v>0</v>
      </c>
      <c r="H275" s="4" t="e">
        <f t="shared" si="133"/>
        <v>#DIV/0!</v>
      </c>
    </row>
    <row r="276" spans="1:8" ht="47.25" hidden="1" x14ac:dyDescent="0.25">
      <c r="A276" s="25" t="s">
        <v>149</v>
      </c>
      <c r="B276" s="20" t="s">
        <v>166</v>
      </c>
      <c r="C276" s="20" t="s">
        <v>235</v>
      </c>
      <c r="D276" s="40" t="s">
        <v>1151</v>
      </c>
      <c r="E276" s="20" t="s">
        <v>150</v>
      </c>
      <c r="F276" s="303">
        <f>'Пр.4 ведом.20'!G957</f>
        <v>0</v>
      </c>
      <c r="G276" s="303">
        <f>'Пр.4 ведом.20'!H957</f>
        <v>0</v>
      </c>
      <c r="H276" s="4" t="e">
        <f t="shared" si="133"/>
        <v>#DIV/0!</v>
      </c>
    </row>
    <row r="277" spans="1:8" ht="31.5" x14ac:dyDescent="0.25">
      <c r="A277" s="34" t="s">
        <v>1237</v>
      </c>
      <c r="B277" s="24" t="s">
        <v>166</v>
      </c>
      <c r="C277" s="24" t="s">
        <v>235</v>
      </c>
      <c r="D277" s="24" t="s">
        <v>1095</v>
      </c>
      <c r="E277" s="24"/>
      <c r="F277" s="305">
        <f>F278</f>
        <v>3611.3</v>
      </c>
      <c r="G277" s="305">
        <f t="shared" ref="G277" si="137">G278</f>
        <v>2344.0680000000002</v>
      </c>
      <c r="H277" s="4">
        <f t="shared" si="133"/>
        <v>64.909257054246396</v>
      </c>
    </row>
    <row r="278" spans="1:8" s="213" customFormat="1" ht="15.75" x14ac:dyDescent="0.25">
      <c r="A278" s="29" t="s">
        <v>527</v>
      </c>
      <c r="B278" s="20" t="s">
        <v>166</v>
      </c>
      <c r="C278" s="20" t="s">
        <v>235</v>
      </c>
      <c r="D278" s="40" t="s">
        <v>1153</v>
      </c>
      <c r="E278" s="20"/>
      <c r="F278" s="303">
        <f>F281+F283+F279</f>
        <v>3611.3</v>
      </c>
      <c r="G278" s="303">
        <f t="shared" ref="G278" si="138">G281+G283+G279</f>
        <v>2344.0680000000002</v>
      </c>
      <c r="H278" s="358">
        <f t="shared" si="133"/>
        <v>64.909257054246396</v>
      </c>
    </row>
    <row r="279" spans="1:8" s="213" customFormat="1" ht="78.75" x14ac:dyDescent="0.25">
      <c r="A279" s="25" t="s">
        <v>143</v>
      </c>
      <c r="B279" s="20" t="s">
        <v>166</v>
      </c>
      <c r="C279" s="20" t="s">
        <v>235</v>
      </c>
      <c r="D279" s="40" t="s">
        <v>1153</v>
      </c>
      <c r="E279" s="20" t="s">
        <v>144</v>
      </c>
      <c r="F279" s="303">
        <f>F280</f>
        <v>1791.3</v>
      </c>
      <c r="G279" s="303">
        <f t="shared" ref="G279" si="139">G280</f>
        <v>1581.7360000000001</v>
      </c>
      <c r="H279" s="358">
        <f t="shared" si="133"/>
        <v>88.301010439345745</v>
      </c>
    </row>
    <row r="280" spans="1:8" s="213" customFormat="1" ht="31.5" x14ac:dyDescent="0.25">
      <c r="A280" s="25" t="s">
        <v>224</v>
      </c>
      <c r="B280" s="20" t="s">
        <v>166</v>
      </c>
      <c r="C280" s="20" t="s">
        <v>235</v>
      </c>
      <c r="D280" s="40" t="s">
        <v>1153</v>
      </c>
      <c r="E280" s="20" t="s">
        <v>225</v>
      </c>
      <c r="F280" s="303">
        <f>'Пр.4 ведом.20'!G961</f>
        <v>1791.3</v>
      </c>
      <c r="G280" s="303">
        <f>'Пр.4 ведом.20'!H961</f>
        <v>1581.7360000000001</v>
      </c>
      <c r="H280" s="358">
        <f t="shared" si="133"/>
        <v>88.301010439345745</v>
      </c>
    </row>
    <row r="281" spans="1:8" s="213" customFormat="1" ht="31.5" x14ac:dyDescent="0.25">
      <c r="A281" s="25" t="s">
        <v>147</v>
      </c>
      <c r="B281" s="20" t="s">
        <v>166</v>
      </c>
      <c r="C281" s="20" t="s">
        <v>235</v>
      </c>
      <c r="D281" s="40" t="s">
        <v>1153</v>
      </c>
      <c r="E281" s="20" t="s">
        <v>148</v>
      </c>
      <c r="F281" s="303">
        <f>F282</f>
        <v>1820</v>
      </c>
      <c r="G281" s="303">
        <f t="shared" ref="G281" si="140">G282</f>
        <v>762.33199999999999</v>
      </c>
      <c r="H281" s="358">
        <f t="shared" si="133"/>
        <v>41.886373626373626</v>
      </c>
    </row>
    <row r="282" spans="1:8" s="213" customFormat="1" ht="35.450000000000003" customHeight="1" x14ac:dyDescent="0.25">
      <c r="A282" s="25" t="s">
        <v>149</v>
      </c>
      <c r="B282" s="20" t="s">
        <v>166</v>
      </c>
      <c r="C282" s="20" t="s">
        <v>235</v>
      </c>
      <c r="D282" s="40" t="s">
        <v>1153</v>
      </c>
      <c r="E282" s="20" t="s">
        <v>150</v>
      </c>
      <c r="F282" s="303">
        <f>'Пр.4 ведом.20'!G963</f>
        <v>1820</v>
      </c>
      <c r="G282" s="303">
        <f>'Пр.4 ведом.20'!H963</f>
        <v>762.33199999999999</v>
      </c>
      <c r="H282" s="358">
        <f t="shared" si="133"/>
        <v>41.886373626373626</v>
      </c>
    </row>
    <row r="283" spans="1:8" s="213" customFormat="1" ht="15.75" hidden="1" x14ac:dyDescent="0.25">
      <c r="A283" s="25" t="s">
        <v>151</v>
      </c>
      <c r="B283" s="20" t="s">
        <v>166</v>
      </c>
      <c r="C283" s="20" t="s">
        <v>235</v>
      </c>
      <c r="D283" s="40" t="s">
        <v>1153</v>
      </c>
      <c r="E283" s="20" t="s">
        <v>161</v>
      </c>
      <c r="F283" s="303">
        <f>F284</f>
        <v>0</v>
      </c>
      <c r="G283" s="303">
        <f t="shared" ref="G283" si="141">G284</f>
        <v>0</v>
      </c>
      <c r="H283" s="358" t="e">
        <f t="shared" si="133"/>
        <v>#DIV/0!</v>
      </c>
    </row>
    <row r="284" spans="1:8" s="213" customFormat="1" ht="15.75" hidden="1" x14ac:dyDescent="0.25">
      <c r="A284" s="25" t="s">
        <v>584</v>
      </c>
      <c r="B284" s="20" t="s">
        <v>166</v>
      </c>
      <c r="C284" s="20" t="s">
        <v>235</v>
      </c>
      <c r="D284" s="40" t="s">
        <v>1153</v>
      </c>
      <c r="E284" s="20" t="s">
        <v>154</v>
      </c>
      <c r="F284" s="303">
        <f>'Пр.4 ведом.20'!G965</f>
        <v>0</v>
      </c>
      <c r="G284" s="303">
        <f>'Пр.4 ведом.20'!H965</f>
        <v>0</v>
      </c>
      <c r="H284" s="358" t="e">
        <f t="shared" si="133"/>
        <v>#DIV/0!</v>
      </c>
    </row>
    <row r="285" spans="1:8" ht="22.7" customHeight="1" x14ac:dyDescent="0.25">
      <c r="A285" s="23" t="s">
        <v>253</v>
      </c>
      <c r="B285" s="24" t="s">
        <v>166</v>
      </c>
      <c r="C285" s="24" t="s">
        <v>254</v>
      </c>
      <c r="D285" s="24"/>
      <c r="E285" s="24"/>
      <c r="F285" s="59">
        <f>F286+F298+F325+F293</f>
        <v>1158.8</v>
      </c>
      <c r="G285" s="340">
        <f t="shared" ref="G285" si="142">G286+G298+G325+G293</f>
        <v>93.55</v>
      </c>
      <c r="H285" s="4">
        <f t="shared" si="133"/>
        <v>8.0730065585088031</v>
      </c>
    </row>
    <row r="286" spans="1:8" ht="31.5" x14ac:dyDescent="0.25">
      <c r="A286" s="23" t="s">
        <v>990</v>
      </c>
      <c r="B286" s="24" t="s">
        <v>166</v>
      </c>
      <c r="C286" s="24" t="s">
        <v>254</v>
      </c>
      <c r="D286" s="24" t="s">
        <v>904</v>
      </c>
      <c r="E286" s="24"/>
      <c r="F286" s="59">
        <f>F287</f>
        <v>288.8</v>
      </c>
      <c r="G286" s="340">
        <f t="shared" ref="G286:G287" si="143">G287</f>
        <v>93.55</v>
      </c>
      <c r="H286" s="4">
        <f t="shared" si="133"/>
        <v>32.392659279778393</v>
      </c>
    </row>
    <row r="287" spans="1:8" ht="31.5" x14ac:dyDescent="0.25">
      <c r="A287" s="23" t="s">
        <v>932</v>
      </c>
      <c r="B287" s="24" t="s">
        <v>166</v>
      </c>
      <c r="C287" s="24" t="s">
        <v>254</v>
      </c>
      <c r="D287" s="24" t="s">
        <v>909</v>
      </c>
      <c r="E287" s="24"/>
      <c r="F287" s="59">
        <f>F288</f>
        <v>288.8</v>
      </c>
      <c r="G287" s="340">
        <f t="shared" si="143"/>
        <v>93.55</v>
      </c>
      <c r="H287" s="4">
        <f t="shared" si="133"/>
        <v>32.392659279778393</v>
      </c>
    </row>
    <row r="288" spans="1:8" ht="63" x14ac:dyDescent="0.25">
      <c r="A288" s="31" t="s">
        <v>257</v>
      </c>
      <c r="B288" s="20" t="s">
        <v>166</v>
      </c>
      <c r="C288" s="20" t="s">
        <v>254</v>
      </c>
      <c r="D288" s="20" t="s">
        <v>997</v>
      </c>
      <c r="E288" s="20"/>
      <c r="F288" s="10">
        <f>F289+F291</f>
        <v>288.8</v>
      </c>
      <c r="G288" s="328">
        <f t="shared" ref="G288" si="144">G289+G291</f>
        <v>93.55</v>
      </c>
      <c r="H288" s="358">
        <f t="shared" si="133"/>
        <v>32.392659279778393</v>
      </c>
    </row>
    <row r="289" spans="1:8" ht="78.75" x14ac:dyDescent="0.25">
      <c r="A289" s="25" t="s">
        <v>143</v>
      </c>
      <c r="B289" s="20" t="s">
        <v>166</v>
      </c>
      <c r="C289" s="20" t="s">
        <v>254</v>
      </c>
      <c r="D289" s="20" t="s">
        <v>997</v>
      </c>
      <c r="E289" s="20" t="s">
        <v>144</v>
      </c>
      <c r="F289" s="10">
        <f>F290</f>
        <v>187</v>
      </c>
      <c r="G289" s="328">
        <f t="shared" ref="G289" si="145">G290</f>
        <v>93.55</v>
      </c>
      <c r="H289" s="358">
        <f t="shared" si="133"/>
        <v>50.026737967914436</v>
      </c>
    </row>
    <row r="290" spans="1:8" ht="32.25" customHeight="1" x14ac:dyDescent="0.25">
      <c r="A290" s="25" t="s">
        <v>145</v>
      </c>
      <c r="B290" s="20" t="s">
        <v>166</v>
      </c>
      <c r="C290" s="20" t="s">
        <v>254</v>
      </c>
      <c r="D290" s="20" t="s">
        <v>997</v>
      </c>
      <c r="E290" s="20" t="s">
        <v>146</v>
      </c>
      <c r="F290" s="10">
        <f>'Пр.4 ведом.20'!G182</f>
        <v>187</v>
      </c>
      <c r="G290" s="328">
        <f>'Пр.4 ведом.20'!H182</f>
        <v>93.55</v>
      </c>
      <c r="H290" s="358">
        <f t="shared" si="133"/>
        <v>50.026737967914436</v>
      </c>
    </row>
    <row r="291" spans="1:8" ht="31.5" x14ac:dyDescent="0.25">
      <c r="A291" s="25" t="s">
        <v>147</v>
      </c>
      <c r="B291" s="20" t="s">
        <v>166</v>
      </c>
      <c r="C291" s="20" t="s">
        <v>254</v>
      </c>
      <c r="D291" s="20" t="s">
        <v>997</v>
      </c>
      <c r="E291" s="20" t="s">
        <v>148</v>
      </c>
      <c r="F291" s="10">
        <f>F292</f>
        <v>101.8</v>
      </c>
      <c r="G291" s="328">
        <f t="shared" ref="G291" si="146">G292</f>
        <v>0</v>
      </c>
      <c r="H291" s="358">
        <f t="shared" si="133"/>
        <v>0</v>
      </c>
    </row>
    <row r="292" spans="1:8" ht="47.25" x14ac:dyDescent="0.25">
      <c r="A292" s="25" t="s">
        <v>149</v>
      </c>
      <c r="B292" s="20" t="s">
        <v>166</v>
      </c>
      <c r="C292" s="20" t="s">
        <v>254</v>
      </c>
      <c r="D292" s="20" t="s">
        <v>997</v>
      </c>
      <c r="E292" s="20" t="s">
        <v>150</v>
      </c>
      <c r="F292" s="10">
        <f>'Пр.4 ведом.20'!G184</f>
        <v>101.8</v>
      </c>
      <c r="G292" s="328">
        <f>'Пр.4 ведом.20'!H184</f>
        <v>0</v>
      </c>
      <c r="H292" s="358">
        <f t="shared" si="133"/>
        <v>0</v>
      </c>
    </row>
    <row r="293" spans="1:8" s="324" customFormat="1" ht="15.75" x14ac:dyDescent="0.25">
      <c r="A293" s="333" t="s">
        <v>157</v>
      </c>
      <c r="B293" s="334" t="s">
        <v>166</v>
      </c>
      <c r="C293" s="334" t="s">
        <v>254</v>
      </c>
      <c r="D293" s="334" t="s">
        <v>912</v>
      </c>
      <c r="E293" s="331"/>
      <c r="F293" s="340">
        <f>F294</f>
        <v>350</v>
      </c>
      <c r="G293" s="340">
        <f t="shared" ref="G293:G296" si="147">G294</f>
        <v>0</v>
      </c>
      <c r="H293" s="4">
        <f t="shared" si="133"/>
        <v>0</v>
      </c>
    </row>
    <row r="294" spans="1:8" s="324" customFormat="1" ht="31.5" x14ac:dyDescent="0.25">
      <c r="A294" s="333" t="s">
        <v>916</v>
      </c>
      <c r="B294" s="334" t="s">
        <v>166</v>
      </c>
      <c r="C294" s="334" t="s">
        <v>254</v>
      </c>
      <c r="D294" s="334" t="s">
        <v>911</v>
      </c>
      <c r="E294" s="331"/>
      <c r="F294" s="340">
        <f>F295</f>
        <v>350</v>
      </c>
      <c r="G294" s="340">
        <f t="shared" si="147"/>
        <v>0</v>
      </c>
      <c r="H294" s="4">
        <f t="shared" si="133"/>
        <v>0</v>
      </c>
    </row>
    <row r="295" spans="1:8" s="324" customFormat="1" ht="31.5" x14ac:dyDescent="0.25">
      <c r="A295" s="335" t="s">
        <v>1510</v>
      </c>
      <c r="B295" s="331" t="s">
        <v>166</v>
      </c>
      <c r="C295" s="331" t="s">
        <v>254</v>
      </c>
      <c r="D295" s="331" t="s">
        <v>1511</v>
      </c>
      <c r="E295" s="331"/>
      <c r="F295" s="328">
        <f>F296</f>
        <v>350</v>
      </c>
      <c r="G295" s="328">
        <f t="shared" si="147"/>
        <v>0</v>
      </c>
      <c r="H295" s="358">
        <f t="shared" si="133"/>
        <v>0</v>
      </c>
    </row>
    <row r="296" spans="1:8" s="324" customFormat="1" ht="31.5" x14ac:dyDescent="0.25">
      <c r="A296" s="335" t="s">
        <v>147</v>
      </c>
      <c r="B296" s="331" t="s">
        <v>166</v>
      </c>
      <c r="C296" s="331" t="s">
        <v>254</v>
      </c>
      <c r="D296" s="331" t="s">
        <v>1511</v>
      </c>
      <c r="E296" s="331" t="s">
        <v>148</v>
      </c>
      <c r="F296" s="328">
        <f>F297</f>
        <v>350</v>
      </c>
      <c r="G296" s="328">
        <f t="shared" si="147"/>
        <v>0</v>
      </c>
      <c r="H296" s="358">
        <f t="shared" si="133"/>
        <v>0</v>
      </c>
    </row>
    <row r="297" spans="1:8" s="325" customFormat="1" ht="47.25" x14ac:dyDescent="0.25">
      <c r="A297" s="335" t="s">
        <v>149</v>
      </c>
      <c r="B297" s="331" t="s">
        <v>166</v>
      </c>
      <c r="C297" s="331" t="s">
        <v>254</v>
      </c>
      <c r="D297" s="331" t="s">
        <v>1511</v>
      </c>
      <c r="E297" s="331" t="s">
        <v>150</v>
      </c>
      <c r="F297" s="328">
        <f>'Пр.4 ведом.20'!G971</f>
        <v>350</v>
      </c>
      <c r="G297" s="328">
        <f>'Пр.4 ведом.20'!H971</f>
        <v>0</v>
      </c>
      <c r="H297" s="358">
        <f t="shared" si="133"/>
        <v>0</v>
      </c>
    </row>
    <row r="298" spans="1:8" s="213" customFormat="1" ht="47.25" x14ac:dyDescent="0.25">
      <c r="A298" s="23" t="s">
        <v>359</v>
      </c>
      <c r="B298" s="24" t="s">
        <v>166</v>
      </c>
      <c r="C298" s="24" t="s">
        <v>254</v>
      </c>
      <c r="D298" s="24" t="s">
        <v>360</v>
      </c>
      <c r="E298" s="231"/>
      <c r="F298" s="59">
        <f>F299</f>
        <v>270</v>
      </c>
      <c r="G298" s="340">
        <f t="shared" ref="G298" si="148">G299</f>
        <v>0</v>
      </c>
      <c r="H298" s="4">
        <f t="shared" si="133"/>
        <v>0</v>
      </c>
    </row>
    <row r="299" spans="1:8" s="213" customFormat="1" ht="63" x14ac:dyDescent="0.25">
      <c r="A299" s="23" t="s">
        <v>383</v>
      </c>
      <c r="B299" s="24" t="s">
        <v>166</v>
      </c>
      <c r="C299" s="24" t="s">
        <v>254</v>
      </c>
      <c r="D299" s="24" t="s">
        <v>384</v>
      </c>
      <c r="E299" s="24"/>
      <c r="F299" s="59">
        <f>F300+F307+F314+F321</f>
        <v>270</v>
      </c>
      <c r="G299" s="340">
        <f t="shared" ref="G299" si="149">G300+G307+G314+G321</f>
        <v>0</v>
      </c>
      <c r="H299" s="4">
        <f t="shared" si="133"/>
        <v>0</v>
      </c>
    </row>
    <row r="300" spans="1:8" s="213" customFormat="1" ht="47.25" hidden="1" x14ac:dyDescent="0.25">
      <c r="A300" s="223" t="s">
        <v>1211</v>
      </c>
      <c r="B300" s="24" t="s">
        <v>166</v>
      </c>
      <c r="C300" s="24" t="s">
        <v>254</v>
      </c>
      <c r="D300" s="24" t="s">
        <v>937</v>
      </c>
      <c r="E300" s="24"/>
      <c r="F300" s="59">
        <f>F301+F304</f>
        <v>0</v>
      </c>
      <c r="G300" s="340">
        <f t="shared" ref="G300" si="150">G301+G304</f>
        <v>0</v>
      </c>
      <c r="H300" s="4" t="e">
        <f t="shared" si="133"/>
        <v>#DIV/0!</v>
      </c>
    </row>
    <row r="301" spans="1:8" s="213" customFormat="1" ht="47.25" hidden="1" x14ac:dyDescent="0.25">
      <c r="A301" s="25" t="s">
        <v>391</v>
      </c>
      <c r="B301" s="20" t="s">
        <v>166</v>
      </c>
      <c r="C301" s="20" t="s">
        <v>254</v>
      </c>
      <c r="D301" s="20" t="s">
        <v>1212</v>
      </c>
      <c r="E301" s="20"/>
      <c r="F301" s="10">
        <f>F302</f>
        <v>0</v>
      </c>
      <c r="G301" s="328">
        <f t="shared" ref="G301:G302" si="151">G302</f>
        <v>0</v>
      </c>
      <c r="H301" s="4" t="e">
        <f t="shared" si="133"/>
        <v>#DIV/0!</v>
      </c>
    </row>
    <row r="302" spans="1:8" s="213" customFormat="1" ht="21.2" hidden="1" customHeight="1" x14ac:dyDescent="0.25">
      <c r="A302" s="25" t="s">
        <v>264</v>
      </c>
      <c r="B302" s="20" t="s">
        <v>166</v>
      </c>
      <c r="C302" s="20" t="s">
        <v>254</v>
      </c>
      <c r="D302" s="20" t="s">
        <v>1212</v>
      </c>
      <c r="E302" s="20" t="s">
        <v>265</v>
      </c>
      <c r="F302" s="10">
        <f>F303</f>
        <v>0</v>
      </c>
      <c r="G302" s="328">
        <f t="shared" si="151"/>
        <v>0</v>
      </c>
      <c r="H302" s="4" t="e">
        <f t="shared" si="133"/>
        <v>#DIV/0!</v>
      </c>
    </row>
    <row r="303" spans="1:8" s="213" customFormat="1" ht="31.5" hidden="1" x14ac:dyDescent="0.25">
      <c r="A303" s="25" t="s">
        <v>266</v>
      </c>
      <c r="B303" s="20" t="s">
        <v>166</v>
      </c>
      <c r="C303" s="20" t="s">
        <v>254</v>
      </c>
      <c r="D303" s="20" t="s">
        <v>1212</v>
      </c>
      <c r="E303" s="20" t="s">
        <v>267</v>
      </c>
      <c r="F303" s="10">
        <f>'Пр.4 ведом.20'!G255</f>
        <v>0</v>
      </c>
      <c r="G303" s="328">
        <f>'Пр.4 ведом.20'!H255</f>
        <v>0</v>
      </c>
      <c r="H303" s="4" t="e">
        <f t="shared" si="133"/>
        <v>#DIV/0!</v>
      </c>
    </row>
    <row r="304" spans="1:8" s="213" customFormat="1" ht="47.25" hidden="1" x14ac:dyDescent="0.25">
      <c r="A304" s="25" t="s">
        <v>391</v>
      </c>
      <c r="B304" s="20" t="s">
        <v>166</v>
      </c>
      <c r="C304" s="20" t="s">
        <v>254</v>
      </c>
      <c r="D304" s="20" t="s">
        <v>1213</v>
      </c>
      <c r="E304" s="20"/>
      <c r="F304" s="10">
        <f>F305</f>
        <v>0</v>
      </c>
      <c r="G304" s="328">
        <f t="shared" ref="G304:G305" si="152">G305</f>
        <v>0</v>
      </c>
      <c r="H304" s="4" t="e">
        <f t="shared" si="133"/>
        <v>#DIV/0!</v>
      </c>
    </row>
    <row r="305" spans="1:8" s="213" customFormat="1" ht="18.75" hidden="1" customHeight="1" x14ac:dyDescent="0.25">
      <c r="A305" s="25" t="s">
        <v>264</v>
      </c>
      <c r="B305" s="20" t="s">
        <v>166</v>
      </c>
      <c r="C305" s="20" t="s">
        <v>254</v>
      </c>
      <c r="D305" s="20" t="s">
        <v>1213</v>
      </c>
      <c r="E305" s="20" t="s">
        <v>265</v>
      </c>
      <c r="F305" s="10">
        <f>F306</f>
        <v>0</v>
      </c>
      <c r="G305" s="328">
        <f t="shared" si="152"/>
        <v>0</v>
      </c>
      <c r="H305" s="4" t="e">
        <f t="shared" si="133"/>
        <v>#DIV/0!</v>
      </c>
    </row>
    <row r="306" spans="1:8" s="213" customFormat="1" ht="31.5" hidden="1" x14ac:dyDescent="0.25">
      <c r="A306" s="25" t="s">
        <v>266</v>
      </c>
      <c r="B306" s="20" t="s">
        <v>166</v>
      </c>
      <c r="C306" s="20" t="s">
        <v>254</v>
      </c>
      <c r="D306" s="20" t="s">
        <v>1213</v>
      </c>
      <c r="E306" s="20" t="s">
        <v>267</v>
      </c>
      <c r="F306" s="10">
        <f>'Пр.4 ведом.20'!G258</f>
        <v>0</v>
      </c>
      <c r="G306" s="328">
        <f>'Пр.4 ведом.20'!H258</f>
        <v>0</v>
      </c>
      <c r="H306" s="4" t="e">
        <f t="shared" si="133"/>
        <v>#DIV/0!</v>
      </c>
    </row>
    <row r="307" spans="1:8" s="213" customFormat="1" ht="31.5" x14ac:dyDescent="0.25">
      <c r="A307" s="23" t="s">
        <v>1209</v>
      </c>
      <c r="B307" s="24" t="s">
        <v>166</v>
      </c>
      <c r="C307" s="24" t="s">
        <v>254</v>
      </c>
      <c r="D307" s="24" t="s">
        <v>938</v>
      </c>
      <c r="E307" s="24"/>
      <c r="F307" s="59">
        <f>F308+F311</f>
        <v>260</v>
      </c>
      <c r="G307" s="340">
        <f t="shared" ref="G307" si="153">G308+G311</f>
        <v>0</v>
      </c>
      <c r="H307" s="4">
        <f t="shared" si="133"/>
        <v>0</v>
      </c>
    </row>
    <row r="308" spans="1:8" s="213" customFormat="1" ht="31.5" x14ac:dyDescent="0.25">
      <c r="A308" s="25" t="s">
        <v>1210</v>
      </c>
      <c r="B308" s="20" t="s">
        <v>166</v>
      </c>
      <c r="C308" s="20" t="s">
        <v>254</v>
      </c>
      <c r="D308" s="20" t="s">
        <v>1214</v>
      </c>
      <c r="E308" s="20"/>
      <c r="F308" s="10">
        <f>F309</f>
        <v>60</v>
      </c>
      <c r="G308" s="328">
        <f t="shared" ref="G308:G309" si="154">G309</f>
        <v>0</v>
      </c>
      <c r="H308" s="358">
        <f t="shared" si="133"/>
        <v>0</v>
      </c>
    </row>
    <row r="309" spans="1:8" s="213" customFormat="1" ht="15.75" x14ac:dyDescent="0.25">
      <c r="A309" s="25" t="s">
        <v>151</v>
      </c>
      <c r="B309" s="20" t="s">
        <v>166</v>
      </c>
      <c r="C309" s="20" t="s">
        <v>254</v>
      </c>
      <c r="D309" s="20" t="s">
        <v>1214</v>
      </c>
      <c r="E309" s="20" t="s">
        <v>161</v>
      </c>
      <c r="F309" s="10">
        <f>F310</f>
        <v>60</v>
      </c>
      <c r="G309" s="328">
        <f t="shared" si="154"/>
        <v>0</v>
      </c>
      <c r="H309" s="358">
        <f t="shared" si="133"/>
        <v>0</v>
      </c>
    </row>
    <row r="310" spans="1:8" s="213" customFormat="1" ht="47.25" x14ac:dyDescent="0.25">
      <c r="A310" s="25" t="s">
        <v>200</v>
      </c>
      <c r="B310" s="20" t="s">
        <v>166</v>
      </c>
      <c r="C310" s="20" t="s">
        <v>254</v>
      </c>
      <c r="D310" s="20" t="s">
        <v>1214</v>
      </c>
      <c r="E310" s="20" t="s">
        <v>176</v>
      </c>
      <c r="F310" s="10">
        <f>'Пр.4 ведом.20'!G262</f>
        <v>60</v>
      </c>
      <c r="G310" s="328">
        <f>'Пр.4 ведом.20'!H262</f>
        <v>0</v>
      </c>
      <c r="H310" s="358">
        <f t="shared" si="133"/>
        <v>0</v>
      </c>
    </row>
    <row r="311" spans="1:8" s="213" customFormat="1" ht="110.25" x14ac:dyDescent="0.25">
      <c r="A311" s="25" t="s">
        <v>389</v>
      </c>
      <c r="B311" s="20" t="s">
        <v>166</v>
      </c>
      <c r="C311" s="20" t="s">
        <v>254</v>
      </c>
      <c r="D311" s="20" t="s">
        <v>1215</v>
      </c>
      <c r="E311" s="20"/>
      <c r="F311" s="10">
        <f>F312</f>
        <v>200</v>
      </c>
      <c r="G311" s="328">
        <f t="shared" ref="G311:G312" si="155">G312</f>
        <v>0</v>
      </c>
      <c r="H311" s="358">
        <f t="shared" si="133"/>
        <v>0</v>
      </c>
    </row>
    <row r="312" spans="1:8" s="213" customFormat="1" ht="15.75" x14ac:dyDescent="0.25">
      <c r="A312" s="25" t="s">
        <v>151</v>
      </c>
      <c r="B312" s="20" t="s">
        <v>166</v>
      </c>
      <c r="C312" s="20" t="s">
        <v>254</v>
      </c>
      <c r="D312" s="20" t="s">
        <v>1215</v>
      </c>
      <c r="E312" s="20" t="s">
        <v>161</v>
      </c>
      <c r="F312" s="10">
        <f>F313</f>
        <v>200</v>
      </c>
      <c r="G312" s="328">
        <f t="shared" si="155"/>
        <v>0</v>
      </c>
      <c r="H312" s="358">
        <f t="shared" si="133"/>
        <v>0</v>
      </c>
    </row>
    <row r="313" spans="1:8" s="213" customFormat="1" ht="47.25" x14ac:dyDescent="0.25">
      <c r="A313" s="25" t="s">
        <v>200</v>
      </c>
      <c r="B313" s="20" t="s">
        <v>166</v>
      </c>
      <c r="C313" s="20" t="s">
        <v>254</v>
      </c>
      <c r="D313" s="20" t="s">
        <v>1215</v>
      </c>
      <c r="E313" s="20" t="s">
        <v>176</v>
      </c>
      <c r="F313" s="10">
        <f>'Пр.4 ведом.20'!G265</f>
        <v>200</v>
      </c>
      <c r="G313" s="328">
        <f>'Пр.4 ведом.20'!H265</f>
        <v>0</v>
      </c>
      <c r="H313" s="358">
        <f t="shared" si="133"/>
        <v>0</v>
      </c>
    </row>
    <row r="314" spans="1:8" s="213" customFormat="1" ht="31.5" hidden="1" x14ac:dyDescent="0.25">
      <c r="A314" s="23" t="s">
        <v>1145</v>
      </c>
      <c r="B314" s="24" t="s">
        <v>166</v>
      </c>
      <c r="C314" s="24" t="s">
        <v>254</v>
      </c>
      <c r="D314" s="24" t="s">
        <v>939</v>
      </c>
      <c r="E314" s="24"/>
      <c r="F314" s="59">
        <f>F315+F318</f>
        <v>0</v>
      </c>
      <c r="G314" s="340">
        <f t="shared" ref="G314" si="156">G315+G318</f>
        <v>0</v>
      </c>
      <c r="H314" s="358" t="e">
        <f t="shared" si="133"/>
        <v>#DIV/0!</v>
      </c>
    </row>
    <row r="315" spans="1:8" s="213" customFormat="1" ht="31.5" hidden="1" x14ac:dyDescent="0.25">
      <c r="A315" s="267" t="s">
        <v>1218</v>
      </c>
      <c r="B315" s="20" t="s">
        <v>166</v>
      </c>
      <c r="C315" s="20" t="s">
        <v>254</v>
      </c>
      <c r="D315" s="20" t="s">
        <v>1216</v>
      </c>
      <c r="E315" s="20"/>
      <c r="F315" s="10">
        <f>F316</f>
        <v>0</v>
      </c>
      <c r="G315" s="328">
        <f t="shared" ref="G315:G316" si="157">G316</f>
        <v>0</v>
      </c>
      <c r="H315" s="358" t="e">
        <f t="shared" si="133"/>
        <v>#DIV/0!</v>
      </c>
    </row>
    <row r="316" spans="1:8" s="213" customFormat="1" ht="31.5" hidden="1" x14ac:dyDescent="0.25">
      <c r="A316" s="25" t="s">
        <v>147</v>
      </c>
      <c r="B316" s="20" t="s">
        <v>166</v>
      </c>
      <c r="C316" s="20" t="s">
        <v>254</v>
      </c>
      <c r="D316" s="20" t="s">
        <v>1216</v>
      </c>
      <c r="E316" s="20" t="s">
        <v>148</v>
      </c>
      <c r="F316" s="10">
        <f>F317</f>
        <v>0</v>
      </c>
      <c r="G316" s="328">
        <f t="shared" si="157"/>
        <v>0</v>
      </c>
      <c r="H316" s="358" t="e">
        <f t="shared" si="133"/>
        <v>#DIV/0!</v>
      </c>
    </row>
    <row r="317" spans="1:8" s="213" customFormat="1" ht="47.25" hidden="1" x14ac:dyDescent="0.25">
      <c r="A317" s="25" t="s">
        <v>149</v>
      </c>
      <c r="B317" s="20" t="s">
        <v>166</v>
      </c>
      <c r="C317" s="20" t="s">
        <v>254</v>
      </c>
      <c r="D317" s="20" t="s">
        <v>1216</v>
      </c>
      <c r="E317" s="20" t="s">
        <v>150</v>
      </c>
      <c r="F317" s="10">
        <f>'Пр.4 ведом.20'!G269</f>
        <v>0</v>
      </c>
      <c r="G317" s="328">
        <f>'Пр.4 ведом.20'!H269</f>
        <v>0</v>
      </c>
      <c r="H317" s="358" t="e">
        <f t="shared" si="133"/>
        <v>#DIV/0!</v>
      </c>
    </row>
    <row r="318" spans="1:8" s="213" customFormat="1" ht="31.5" hidden="1" x14ac:dyDescent="0.25">
      <c r="A318" s="25" t="s">
        <v>393</v>
      </c>
      <c r="B318" s="20" t="s">
        <v>166</v>
      </c>
      <c r="C318" s="20" t="s">
        <v>254</v>
      </c>
      <c r="D318" s="20" t="s">
        <v>1217</v>
      </c>
      <c r="E318" s="20"/>
      <c r="F318" s="10">
        <f>F319</f>
        <v>0</v>
      </c>
      <c r="G318" s="328">
        <f t="shared" ref="G318:G319" si="158">G319</f>
        <v>0</v>
      </c>
      <c r="H318" s="358" t="e">
        <f t="shared" si="133"/>
        <v>#DIV/0!</v>
      </c>
    </row>
    <row r="319" spans="1:8" s="213" customFormat="1" ht="31.5" hidden="1" x14ac:dyDescent="0.25">
      <c r="A319" s="25" t="s">
        <v>147</v>
      </c>
      <c r="B319" s="20" t="s">
        <v>166</v>
      </c>
      <c r="C319" s="20" t="s">
        <v>254</v>
      </c>
      <c r="D319" s="20" t="s">
        <v>1217</v>
      </c>
      <c r="E319" s="20" t="s">
        <v>148</v>
      </c>
      <c r="F319" s="10">
        <f>F320</f>
        <v>0</v>
      </c>
      <c r="G319" s="328">
        <f t="shared" si="158"/>
        <v>0</v>
      </c>
      <c r="H319" s="358" t="e">
        <f t="shared" si="133"/>
        <v>#DIV/0!</v>
      </c>
    </row>
    <row r="320" spans="1:8" s="213" customFormat="1" ht="47.25" hidden="1" x14ac:dyDescent="0.25">
      <c r="A320" s="25" t="s">
        <v>149</v>
      </c>
      <c r="B320" s="20" t="s">
        <v>166</v>
      </c>
      <c r="C320" s="20" t="s">
        <v>254</v>
      </c>
      <c r="D320" s="20" t="s">
        <v>1217</v>
      </c>
      <c r="E320" s="20" t="s">
        <v>150</v>
      </c>
      <c r="F320" s="10">
        <f>'Пр.4 ведом.20'!G272</f>
        <v>0</v>
      </c>
      <c r="G320" s="328">
        <f>'Пр.4 ведом.20'!H272</f>
        <v>0</v>
      </c>
      <c r="H320" s="358" t="e">
        <f t="shared" si="133"/>
        <v>#DIV/0!</v>
      </c>
    </row>
    <row r="321" spans="1:12" s="213" customFormat="1" ht="31.5" x14ac:dyDescent="0.25">
      <c r="A321" s="220" t="s">
        <v>1309</v>
      </c>
      <c r="B321" s="24" t="s">
        <v>166</v>
      </c>
      <c r="C321" s="24" t="s">
        <v>254</v>
      </c>
      <c r="D321" s="24" t="s">
        <v>1308</v>
      </c>
      <c r="E321" s="24"/>
      <c r="F321" s="21">
        <f>F322</f>
        <v>10</v>
      </c>
      <c r="G321" s="332">
        <f t="shared" ref="G321:G323" si="159">G322</f>
        <v>0</v>
      </c>
      <c r="H321" s="4">
        <f t="shared" si="133"/>
        <v>0</v>
      </c>
    </row>
    <row r="322" spans="1:12" s="213" customFormat="1" ht="31.5" x14ac:dyDescent="0.25">
      <c r="A322" s="245" t="s">
        <v>1310</v>
      </c>
      <c r="B322" s="20" t="s">
        <v>166</v>
      </c>
      <c r="C322" s="20" t="s">
        <v>254</v>
      </c>
      <c r="D322" s="20" t="s">
        <v>1359</v>
      </c>
      <c r="E322" s="20"/>
      <c r="F322" s="26">
        <f>F323</f>
        <v>10</v>
      </c>
      <c r="G322" s="336">
        <f t="shared" si="159"/>
        <v>0</v>
      </c>
      <c r="H322" s="358">
        <f t="shared" si="133"/>
        <v>0</v>
      </c>
    </row>
    <row r="323" spans="1:12" s="213" customFormat="1" ht="31.5" x14ac:dyDescent="0.25">
      <c r="A323" s="25" t="s">
        <v>147</v>
      </c>
      <c r="B323" s="20" t="s">
        <v>166</v>
      </c>
      <c r="C323" s="20" t="s">
        <v>254</v>
      </c>
      <c r="D323" s="20" t="s">
        <v>1359</v>
      </c>
      <c r="E323" s="20" t="s">
        <v>148</v>
      </c>
      <c r="F323" s="26">
        <f>F324</f>
        <v>10</v>
      </c>
      <c r="G323" s="336">
        <f t="shared" si="159"/>
        <v>0</v>
      </c>
      <c r="H323" s="358">
        <f t="shared" si="133"/>
        <v>0</v>
      </c>
    </row>
    <row r="324" spans="1:12" s="213" customFormat="1" ht="47.25" x14ac:dyDescent="0.25">
      <c r="A324" s="25" t="s">
        <v>149</v>
      </c>
      <c r="B324" s="20" t="s">
        <v>166</v>
      </c>
      <c r="C324" s="20" t="s">
        <v>254</v>
      </c>
      <c r="D324" s="20" t="s">
        <v>1359</v>
      </c>
      <c r="E324" s="20" t="s">
        <v>150</v>
      </c>
      <c r="F324" s="26">
        <f>'Пр.4 ведом.20'!G276</f>
        <v>10</v>
      </c>
      <c r="G324" s="336">
        <f>'Пр.4 ведом.20'!H276</f>
        <v>0</v>
      </c>
      <c r="H324" s="358">
        <f t="shared" si="133"/>
        <v>0</v>
      </c>
    </row>
    <row r="325" spans="1:12" ht="47.25" hidden="1" x14ac:dyDescent="0.25">
      <c r="A325" s="23" t="s">
        <v>1239</v>
      </c>
      <c r="B325" s="24" t="s">
        <v>166</v>
      </c>
      <c r="C325" s="24" t="s">
        <v>254</v>
      </c>
      <c r="D325" s="24" t="s">
        <v>172</v>
      </c>
      <c r="E325" s="24"/>
      <c r="F325" s="59">
        <f>F326</f>
        <v>250</v>
      </c>
      <c r="G325" s="340">
        <f t="shared" ref="G325" si="160">G326</f>
        <v>0</v>
      </c>
      <c r="H325" s="358">
        <f t="shared" si="133"/>
        <v>0</v>
      </c>
    </row>
    <row r="326" spans="1:12" ht="47.25" hidden="1" x14ac:dyDescent="0.25">
      <c r="A326" s="23" t="s">
        <v>1243</v>
      </c>
      <c r="B326" s="24" t="s">
        <v>166</v>
      </c>
      <c r="C326" s="24" t="s">
        <v>254</v>
      </c>
      <c r="D326" s="24" t="s">
        <v>1240</v>
      </c>
      <c r="E326" s="24"/>
      <c r="F326" s="59">
        <f>F327+F330</f>
        <v>250</v>
      </c>
      <c r="G326" s="340">
        <f t="shared" ref="G326" si="161">G327+G330</f>
        <v>0</v>
      </c>
      <c r="H326" s="358">
        <f t="shared" si="133"/>
        <v>0</v>
      </c>
    </row>
    <row r="327" spans="1:12" ht="31.5" hidden="1" x14ac:dyDescent="0.25">
      <c r="A327" s="25" t="s">
        <v>1244</v>
      </c>
      <c r="B327" s="20" t="s">
        <v>166</v>
      </c>
      <c r="C327" s="20" t="s">
        <v>254</v>
      </c>
      <c r="D327" s="20" t="s">
        <v>1241</v>
      </c>
      <c r="E327" s="20"/>
      <c r="F327" s="10">
        <f>F328</f>
        <v>250</v>
      </c>
      <c r="G327" s="328">
        <f t="shared" ref="G327:G328" si="162">G328</f>
        <v>0</v>
      </c>
      <c r="H327" s="358">
        <f t="shared" si="133"/>
        <v>0</v>
      </c>
    </row>
    <row r="328" spans="1:12" ht="15.75" hidden="1" x14ac:dyDescent="0.25">
      <c r="A328" s="25" t="s">
        <v>151</v>
      </c>
      <c r="B328" s="20" t="s">
        <v>166</v>
      </c>
      <c r="C328" s="20" t="s">
        <v>254</v>
      </c>
      <c r="D328" s="20" t="s">
        <v>1241</v>
      </c>
      <c r="E328" s="20" t="s">
        <v>161</v>
      </c>
      <c r="F328" s="10">
        <f>F329</f>
        <v>250</v>
      </c>
      <c r="G328" s="328">
        <f t="shared" si="162"/>
        <v>0</v>
      </c>
      <c r="H328" s="358">
        <f t="shared" si="133"/>
        <v>0</v>
      </c>
    </row>
    <row r="329" spans="1:12" ht="47.25" hidden="1" x14ac:dyDescent="0.25">
      <c r="A329" s="25" t="s">
        <v>200</v>
      </c>
      <c r="B329" s="20" t="s">
        <v>166</v>
      </c>
      <c r="C329" s="20" t="s">
        <v>254</v>
      </c>
      <c r="D329" s="20" t="s">
        <v>1241</v>
      </c>
      <c r="E329" s="20" t="s">
        <v>176</v>
      </c>
      <c r="F329" s="10">
        <f>'Пр.4 ведом.20'!G189</f>
        <v>250</v>
      </c>
      <c r="G329" s="328">
        <f>'Пр.4 ведом.20'!H189</f>
        <v>0</v>
      </c>
      <c r="H329" s="358">
        <f t="shared" si="133"/>
        <v>0</v>
      </c>
    </row>
    <row r="330" spans="1:12" ht="31.5" hidden="1" x14ac:dyDescent="0.25">
      <c r="A330" s="25" t="s">
        <v>255</v>
      </c>
      <c r="B330" s="20" t="s">
        <v>166</v>
      </c>
      <c r="C330" s="20" t="s">
        <v>254</v>
      </c>
      <c r="D330" s="20" t="s">
        <v>1242</v>
      </c>
      <c r="E330" s="24"/>
      <c r="F330" s="10">
        <f>F331</f>
        <v>0</v>
      </c>
      <c r="G330" s="328">
        <f t="shared" ref="G330:G331" si="163">G331</f>
        <v>0</v>
      </c>
      <c r="H330" s="358" t="e">
        <f t="shared" si="133"/>
        <v>#DIV/0!</v>
      </c>
    </row>
    <row r="331" spans="1:12" ht="15.75" hidden="1" x14ac:dyDescent="0.25">
      <c r="A331" s="25" t="s">
        <v>151</v>
      </c>
      <c r="B331" s="20" t="s">
        <v>166</v>
      </c>
      <c r="C331" s="20" t="s">
        <v>254</v>
      </c>
      <c r="D331" s="20" t="s">
        <v>1242</v>
      </c>
      <c r="E331" s="20" t="s">
        <v>161</v>
      </c>
      <c r="F331" s="10">
        <f>F332</f>
        <v>0</v>
      </c>
      <c r="G331" s="328">
        <f t="shared" si="163"/>
        <v>0</v>
      </c>
      <c r="H331" s="358" t="e">
        <f t="shared" ref="H331:H394" si="164">G331/F331*100</f>
        <v>#DIV/0!</v>
      </c>
    </row>
    <row r="332" spans="1:12" ht="47.25" hidden="1" x14ac:dyDescent="0.25">
      <c r="A332" s="25" t="s">
        <v>200</v>
      </c>
      <c r="B332" s="20" t="s">
        <v>166</v>
      </c>
      <c r="C332" s="20" t="s">
        <v>254</v>
      </c>
      <c r="D332" s="20" t="s">
        <v>1242</v>
      </c>
      <c r="E332" s="20" t="s">
        <v>176</v>
      </c>
      <c r="F332" s="10">
        <f>'Пр.4 ведом.20'!G192</f>
        <v>0</v>
      </c>
      <c r="G332" s="328">
        <f>'Пр.4 ведом.20'!H192</f>
        <v>0</v>
      </c>
      <c r="H332" s="358" t="e">
        <f t="shared" si="164"/>
        <v>#DIV/0!</v>
      </c>
    </row>
    <row r="333" spans="1:12" ht="15.75" x14ac:dyDescent="0.25">
      <c r="A333" s="23" t="s">
        <v>406</v>
      </c>
      <c r="B333" s="24" t="s">
        <v>250</v>
      </c>
      <c r="C333" s="24"/>
      <c r="D333" s="24"/>
      <c r="E333" s="24"/>
      <c r="F333" s="4">
        <f>F334++F351+F418+F469</f>
        <v>69066.720000000001</v>
      </c>
      <c r="G333" s="4">
        <f t="shared" ref="G333" si="165">G334++G351+G418+G469</f>
        <v>33575.248</v>
      </c>
      <c r="H333" s="4">
        <f t="shared" si="164"/>
        <v>48.612773271989752</v>
      </c>
      <c r="I333">
        <f>'Пр.4 ведом.20'!H972+'Пр.4 ведом.20'!H530</f>
        <v>33575.248</v>
      </c>
    </row>
    <row r="334" spans="1:12" ht="15.75" x14ac:dyDescent="0.25">
      <c r="A334" s="23" t="s">
        <v>407</v>
      </c>
      <c r="B334" s="24" t="s">
        <v>250</v>
      </c>
      <c r="C334" s="24" t="s">
        <v>134</v>
      </c>
      <c r="D334" s="24"/>
      <c r="E334" s="24"/>
      <c r="F334" s="4">
        <f t="shared" ref="F334:G335" si="166">F335</f>
        <v>7797.62</v>
      </c>
      <c r="G334" s="4">
        <f t="shared" si="166"/>
        <v>4590.9400000000005</v>
      </c>
      <c r="H334" s="4">
        <f t="shared" si="164"/>
        <v>58.876169908254063</v>
      </c>
      <c r="I334" s="22"/>
      <c r="L334" s="22"/>
    </row>
    <row r="335" spans="1:12" ht="15.75" x14ac:dyDescent="0.25">
      <c r="A335" s="23" t="s">
        <v>157</v>
      </c>
      <c r="B335" s="24" t="s">
        <v>250</v>
      </c>
      <c r="C335" s="24" t="s">
        <v>134</v>
      </c>
      <c r="D335" s="24" t="s">
        <v>912</v>
      </c>
      <c r="E335" s="24"/>
      <c r="F335" s="4">
        <f t="shared" si="166"/>
        <v>7797.62</v>
      </c>
      <c r="G335" s="4">
        <f t="shared" si="166"/>
        <v>4590.9400000000005</v>
      </c>
      <c r="H335" s="4">
        <f t="shared" si="164"/>
        <v>58.876169908254063</v>
      </c>
    </row>
    <row r="336" spans="1:12" ht="31.5" x14ac:dyDescent="0.25">
      <c r="A336" s="23" t="s">
        <v>916</v>
      </c>
      <c r="B336" s="24" t="s">
        <v>250</v>
      </c>
      <c r="C336" s="24" t="s">
        <v>134</v>
      </c>
      <c r="D336" s="24" t="s">
        <v>911</v>
      </c>
      <c r="E336" s="24"/>
      <c r="F336" s="4">
        <f>F337+F342+F345+F348</f>
        <v>7797.62</v>
      </c>
      <c r="G336" s="4">
        <f t="shared" ref="G336" si="167">G337+G342+G345+G348</f>
        <v>4590.9400000000005</v>
      </c>
      <c r="H336" s="4">
        <f t="shared" si="164"/>
        <v>58.876169908254063</v>
      </c>
    </row>
    <row r="337" spans="1:8" ht="15.75" x14ac:dyDescent="0.25">
      <c r="A337" s="25" t="s">
        <v>531</v>
      </c>
      <c r="B337" s="20" t="s">
        <v>797</v>
      </c>
      <c r="C337" s="20" t="s">
        <v>134</v>
      </c>
      <c r="D337" s="20" t="s">
        <v>1096</v>
      </c>
      <c r="E337" s="24"/>
      <c r="F337" s="6">
        <f t="shared" ref="F337:G337" si="168">F338+F340</f>
        <v>1206.4000000000001</v>
      </c>
      <c r="G337" s="358">
        <f t="shared" si="168"/>
        <v>379</v>
      </c>
      <c r="H337" s="358">
        <f t="shared" si="164"/>
        <v>31.415782493368699</v>
      </c>
    </row>
    <row r="338" spans="1:8" ht="31.5" x14ac:dyDescent="0.25">
      <c r="A338" s="25" t="s">
        <v>147</v>
      </c>
      <c r="B338" s="20" t="s">
        <v>250</v>
      </c>
      <c r="C338" s="20" t="s">
        <v>134</v>
      </c>
      <c r="D338" s="20" t="s">
        <v>1096</v>
      </c>
      <c r="E338" s="20" t="s">
        <v>148</v>
      </c>
      <c r="F338" s="6">
        <f t="shared" ref="F338:G338" si="169">F339</f>
        <v>1206.4000000000001</v>
      </c>
      <c r="G338" s="358">
        <f t="shared" si="169"/>
        <v>379</v>
      </c>
      <c r="H338" s="358">
        <f t="shared" si="164"/>
        <v>31.415782493368699</v>
      </c>
    </row>
    <row r="339" spans="1:8" ht="47.25" x14ac:dyDescent="0.25">
      <c r="A339" s="25" t="s">
        <v>149</v>
      </c>
      <c r="B339" s="20" t="s">
        <v>250</v>
      </c>
      <c r="C339" s="20" t="s">
        <v>134</v>
      </c>
      <c r="D339" s="20" t="s">
        <v>1096</v>
      </c>
      <c r="E339" s="20" t="s">
        <v>150</v>
      </c>
      <c r="F339" s="6">
        <f>'Пр.4 ведом.20'!G978</f>
        <v>1206.4000000000001</v>
      </c>
      <c r="G339" s="358">
        <f>'Пр.4 ведом.20'!H978</f>
        <v>379</v>
      </c>
      <c r="H339" s="358">
        <f t="shared" si="164"/>
        <v>31.415782493368699</v>
      </c>
    </row>
    <row r="340" spans="1:8" ht="15.75" hidden="1" x14ac:dyDescent="0.25">
      <c r="A340" s="25" t="s">
        <v>151</v>
      </c>
      <c r="B340" s="20" t="s">
        <v>250</v>
      </c>
      <c r="C340" s="20" t="s">
        <v>134</v>
      </c>
      <c r="D340" s="20" t="s">
        <v>1096</v>
      </c>
      <c r="E340" s="20" t="s">
        <v>161</v>
      </c>
      <c r="F340" s="6">
        <f t="shared" ref="F340:G340" si="170">F341</f>
        <v>0</v>
      </c>
      <c r="G340" s="358">
        <f t="shared" si="170"/>
        <v>0</v>
      </c>
      <c r="H340" s="358" t="e">
        <f t="shared" si="164"/>
        <v>#DIV/0!</v>
      </c>
    </row>
    <row r="341" spans="1:8" ht="47.25" hidden="1" x14ac:dyDescent="0.25">
      <c r="A341" s="25" t="s">
        <v>200</v>
      </c>
      <c r="B341" s="20" t="s">
        <v>250</v>
      </c>
      <c r="C341" s="20" t="s">
        <v>134</v>
      </c>
      <c r="D341" s="20" t="s">
        <v>1096</v>
      </c>
      <c r="E341" s="20" t="s">
        <v>176</v>
      </c>
      <c r="F341" s="6">
        <f>'Пр.4 ведом.20'!G980</f>
        <v>0</v>
      </c>
      <c r="G341" s="358">
        <f>'Пр.4 ведом.20'!H980</f>
        <v>0</v>
      </c>
      <c r="H341" s="358" t="e">
        <f t="shared" si="164"/>
        <v>#DIV/0!</v>
      </c>
    </row>
    <row r="342" spans="1:8" ht="31.5" x14ac:dyDescent="0.25">
      <c r="A342" s="29" t="s">
        <v>414</v>
      </c>
      <c r="B342" s="20" t="s">
        <v>250</v>
      </c>
      <c r="C342" s="20" t="s">
        <v>134</v>
      </c>
      <c r="D342" s="20" t="s">
        <v>1097</v>
      </c>
      <c r="E342" s="24"/>
      <c r="F342" s="6">
        <f t="shared" ref="F342:G343" si="171">F343</f>
        <v>4367.5200000000004</v>
      </c>
      <c r="G342" s="358">
        <f t="shared" si="171"/>
        <v>2964.02</v>
      </c>
      <c r="H342" s="358">
        <f t="shared" si="164"/>
        <v>67.865058431329444</v>
      </c>
    </row>
    <row r="343" spans="1:8" ht="31.5" x14ac:dyDescent="0.25">
      <c r="A343" s="25" t="s">
        <v>147</v>
      </c>
      <c r="B343" s="20" t="s">
        <v>250</v>
      </c>
      <c r="C343" s="20" t="s">
        <v>134</v>
      </c>
      <c r="D343" s="20" t="s">
        <v>1097</v>
      </c>
      <c r="E343" s="20" t="s">
        <v>148</v>
      </c>
      <c r="F343" s="6">
        <f t="shared" si="171"/>
        <v>4367.5200000000004</v>
      </c>
      <c r="G343" s="358">
        <f t="shared" si="171"/>
        <v>2964.02</v>
      </c>
      <c r="H343" s="358">
        <f t="shared" si="164"/>
        <v>67.865058431329444</v>
      </c>
    </row>
    <row r="344" spans="1:8" ht="47.25" x14ac:dyDescent="0.25">
      <c r="A344" s="25" t="s">
        <v>149</v>
      </c>
      <c r="B344" s="20" t="s">
        <v>250</v>
      </c>
      <c r="C344" s="20" t="s">
        <v>134</v>
      </c>
      <c r="D344" s="20" t="s">
        <v>1097</v>
      </c>
      <c r="E344" s="20" t="s">
        <v>150</v>
      </c>
      <c r="F344" s="6">
        <f>'Пр.4 ведом.20'!G536+'Пр.4 ведом.20'!G983</f>
        <v>4367.5200000000004</v>
      </c>
      <c r="G344" s="358">
        <f>'Пр.4 ведом.20'!H536+'Пр.4 ведом.20'!H983</f>
        <v>2964.02</v>
      </c>
      <c r="H344" s="358">
        <f t="shared" si="164"/>
        <v>67.865058431329444</v>
      </c>
    </row>
    <row r="345" spans="1:8" ht="31.5" x14ac:dyDescent="0.25">
      <c r="A345" s="29" t="s">
        <v>1005</v>
      </c>
      <c r="B345" s="20" t="s">
        <v>250</v>
      </c>
      <c r="C345" s="20" t="s">
        <v>134</v>
      </c>
      <c r="D345" s="20" t="s">
        <v>1098</v>
      </c>
      <c r="E345" s="24"/>
      <c r="F345" s="6">
        <f>F346</f>
        <v>2073.3000000000002</v>
      </c>
      <c r="G345" s="358">
        <f t="shared" ref="G345:G346" si="172">G346</f>
        <v>1247.92</v>
      </c>
      <c r="H345" s="358">
        <f t="shared" si="164"/>
        <v>60.190035209569281</v>
      </c>
    </row>
    <row r="346" spans="1:8" ht="31.5" x14ac:dyDescent="0.25">
      <c r="A346" s="25" t="s">
        <v>147</v>
      </c>
      <c r="B346" s="20" t="s">
        <v>250</v>
      </c>
      <c r="C346" s="20" t="s">
        <v>134</v>
      </c>
      <c r="D346" s="20" t="s">
        <v>1098</v>
      </c>
      <c r="E346" s="20" t="s">
        <v>148</v>
      </c>
      <c r="F346" s="6">
        <f>F347</f>
        <v>2073.3000000000002</v>
      </c>
      <c r="G346" s="358">
        <f t="shared" si="172"/>
        <v>1247.92</v>
      </c>
      <c r="H346" s="358">
        <f t="shared" si="164"/>
        <v>60.190035209569281</v>
      </c>
    </row>
    <row r="347" spans="1:8" ht="47.25" x14ac:dyDescent="0.25">
      <c r="A347" s="25" t="s">
        <v>149</v>
      </c>
      <c r="B347" s="20" t="s">
        <v>250</v>
      </c>
      <c r="C347" s="20" t="s">
        <v>134</v>
      </c>
      <c r="D347" s="20" t="s">
        <v>1098</v>
      </c>
      <c r="E347" s="20" t="s">
        <v>150</v>
      </c>
      <c r="F347" s="6">
        <f>'Пр.4 ведом.20'!G986+'Пр.4 ведом.20'!G539</f>
        <v>2073.3000000000002</v>
      </c>
      <c r="G347" s="358">
        <f>'Пр.4 ведом.20'!H986+'Пр.4 ведом.20'!H539</f>
        <v>1247.92</v>
      </c>
      <c r="H347" s="358">
        <f t="shared" si="164"/>
        <v>60.190035209569281</v>
      </c>
    </row>
    <row r="348" spans="1:8" s="324" customFormat="1" ht="47.25" x14ac:dyDescent="0.25">
      <c r="A348" s="335" t="s">
        <v>1523</v>
      </c>
      <c r="B348" s="331" t="s">
        <v>250</v>
      </c>
      <c r="C348" s="331" t="s">
        <v>134</v>
      </c>
      <c r="D348" s="331" t="s">
        <v>1524</v>
      </c>
      <c r="E348" s="331"/>
      <c r="F348" s="6">
        <f>F349</f>
        <v>150.4</v>
      </c>
      <c r="G348" s="358">
        <f t="shared" ref="G348:G349" si="173">G349</f>
        <v>0</v>
      </c>
      <c r="H348" s="358">
        <f t="shared" si="164"/>
        <v>0</v>
      </c>
    </row>
    <row r="349" spans="1:8" s="324" customFormat="1" ht="15.75" x14ac:dyDescent="0.25">
      <c r="A349" s="335" t="s">
        <v>151</v>
      </c>
      <c r="B349" s="331" t="s">
        <v>250</v>
      </c>
      <c r="C349" s="331" t="s">
        <v>134</v>
      </c>
      <c r="D349" s="331" t="s">
        <v>1524</v>
      </c>
      <c r="E349" s="331" t="s">
        <v>161</v>
      </c>
      <c r="F349" s="6">
        <f>F350</f>
        <v>150.4</v>
      </c>
      <c r="G349" s="358">
        <f t="shared" si="173"/>
        <v>0</v>
      </c>
      <c r="H349" s="358">
        <f t="shared" si="164"/>
        <v>0</v>
      </c>
    </row>
    <row r="350" spans="1:8" s="324" customFormat="1" ht="47.25" x14ac:dyDescent="0.25">
      <c r="A350" s="335" t="s">
        <v>200</v>
      </c>
      <c r="B350" s="331" t="s">
        <v>250</v>
      </c>
      <c r="C350" s="331" t="s">
        <v>134</v>
      </c>
      <c r="D350" s="331" t="s">
        <v>1524</v>
      </c>
      <c r="E350" s="331" t="s">
        <v>176</v>
      </c>
      <c r="F350" s="6">
        <f>'Пр.4 ведом.20'!G989</f>
        <v>150.4</v>
      </c>
      <c r="G350" s="358">
        <f>'Пр.4 ведом.20'!H989</f>
        <v>0</v>
      </c>
      <c r="H350" s="358">
        <f t="shared" si="164"/>
        <v>0</v>
      </c>
    </row>
    <row r="351" spans="1:8" ht="15.75" x14ac:dyDescent="0.25">
      <c r="A351" s="23" t="s">
        <v>533</v>
      </c>
      <c r="B351" s="24" t="s">
        <v>250</v>
      </c>
      <c r="C351" s="24" t="s">
        <v>229</v>
      </c>
      <c r="D351" s="24"/>
      <c r="E351" s="24"/>
      <c r="F351" s="4">
        <f>F384+F352+F413</f>
        <v>33276.800000000003</v>
      </c>
      <c r="G351" s="4">
        <f t="shared" ref="G351" si="174">G384+G352+G413</f>
        <v>11030.970000000001</v>
      </c>
      <c r="H351" s="4">
        <f t="shared" si="164"/>
        <v>33.149130926050589</v>
      </c>
    </row>
    <row r="352" spans="1:8" ht="15.75" x14ac:dyDescent="0.25">
      <c r="A352" s="23" t="s">
        <v>157</v>
      </c>
      <c r="B352" s="24" t="s">
        <v>250</v>
      </c>
      <c r="C352" s="24" t="s">
        <v>229</v>
      </c>
      <c r="D352" s="24" t="s">
        <v>912</v>
      </c>
      <c r="E352" s="24"/>
      <c r="F352" s="4">
        <f>F353+F367</f>
        <v>33007.800000000003</v>
      </c>
      <c r="G352" s="4">
        <f t="shared" ref="G352" si="175">G353+G367</f>
        <v>10831.970000000001</v>
      </c>
      <c r="H352" s="4">
        <f t="shared" si="164"/>
        <v>32.816394912717598</v>
      </c>
    </row>
    <row r="353" spans="1:8" ht="33" customHeight="1" x14ac:dyDescent="0.25">
      <c r="A353" s="23" t="s">
        <v>916</v>
      </c>
      <c r="B353" s="24" t="s">
        <v>250</v>
      </c>
      <c r="C353" s="24" t="s">
        <v>229</v>
      </c>
      <c r="D353" s="24" t="s">
        <v>911</v>
      </c>
      <c r="E353" s="24"/>
      <c r="F353" s="4">
        <f>F354+F362</f>
        <v>10807.8</v>
      </c>
      <c r="G353" s="4">
        <f t="shared" ref="G353" si="176">G354+G362</f>
        <v>5985.8700000000008</v>
      </c>
      <c r="H353" s="4">
        <f t="shared" si="164"/>
        <v>55.384722145117429</v>
      </c>
    </row>
    <row r="354" spans="1:8" ht="17.45" customHeight="1" x14ac:dyDescent="0.25">
      <c r="A354" s="35" t="s">
        <v>553</v>
      </c>
      <c r="B354" s="20" t="s">
        <v>250</v>
      </c>
      <c r="C354" s="20" t="s">
        <v>229</v>
      </c>
      <c r="D354" s="20" t="s">
        <v>1115</v>
      </c>
      <c r="E354" s="20"/>
      <c r="F354" s="6">
        <f>F355+F359+F357</f>
        <v>1599.3999999999999</v>
      </c>
      <c r="G354" s="358">
        <f t="shared" ref="G354" si="177">G355+G359+G357</f>
        <v>1279.23</v>
      </c>
      <c r="H354" s="358">
        <f t="shared" si="164"/>
        <v>79.981868200575221</v>
      </c>
    </row>
    <row r="355" spans="1:8" ht="35.450000000000003" customHeight="1" x14ac:dyDescent="0.25">
      <c r="A355" s="25" t="s">
        <v>147</v>
      </c>
      <c r="B355" s="20" t="s">
        <v>250</v>
      </c>
      <c r="C355" s="20" t="s">
        <v>229</v>
      </c>
      <c r="D355" s="20" t="s">
        <v>1115</v>
      </c>
      <c r="E355" s="20" t="s">
        <v>148</v>
      </c>
      <c r="F355" s="6">
        <f>F356</f>
        <v>320</v>
      </c>
      <c r="G355" s="358">
        <f t="shared" ref="G355" si="178">G356</f>
        <v>0</v>
      </c>
      <c r="H355" s="358">
        <f t="shared" si="164"/>
        <v>0</v>
      </c>
    </row>
    <row r="356" spans="1:8" ht="47.25" x14ac:dyDescent="0.25">
      <c r="A356" s="25" t="s">
        <v>149</v>
      </c>
      <c r="B356" s="20" t="s">
        <v>250</v>
      </c>
      <c r="C356" s="20" t="s">
        <v>229</v>
      </c>
      <c r="D356" s="20" t="s">
        <v>1115</v>
      </c>
      <c r="E356" s="20" t="s">
        <v>150</v>
      </c>
      <c r="F356" s="6">
        <f>'Пр.4 ведом.20'!G995</f>
        <v>320</v>
      </c>
      <c r="G356" s="358">
        <f>'Пр.4 ведом.20'!H995</f>
        <v>0</v>
      </c>
      <c r="H356" s="358">
        <f t="shared" si="164"/>
        <v>0</v>
      </c>
    </row>
    <row r="357" spans="1:8" s="213" customFormat="1" ht="31.5" x14ac:dyDescent="0.25">
      <c r="A357" s="25" t="s">
        <v>884</v>
      </c>
      <c r="B357" s="20" t="s">
        <v>250</v>
      </c>
      <c r="C357" s="20" t="s">
        <v>229</v>
      </c>
      <c r="D357" s="20" t="s">
        <v>1115</v>
      </c>
      <c r="E357" s="20" t="s">
        <v>883</v>
      </c>
      <c r="F357" s="6">
        <f>F358</f>
        <v>1271.5999999999999</v>
      </c>
      <c r="G357" s="358">
        <f t="shared" ref="G357" si="179">G358</f>
        <v>1271.52</v>
      </c>
      <c r="H357" s="358">
        <f t="shared" si="164"/>
        <v>99.9937087134319</v>
      </c>
    </row>
    <row r="358" spans="1:8" s="213" customFormat="1" ht="63" x14ac:dyDescent="0.25">
      <c r="A358" s="25" t="s">
        <v>1224</v>
      </c>
      <c r="B358" s="20" t="s">
        <v>250</v>
      </c>
      <c r="C358" s="20" t="s">
        <v>229</v>
      </c>
      <c r="D358" s="20" t="s">
        <v>1115</v>
      </c>
      <c r="E358" s="20" t="s">
        <v>1246</v>
      </c>
      <c r="F358" s="6">
        <f>'Пр.4 ведом.20'!G997</f>
        <v>1271.5999999999999</v>
      </c>
      <c r="G358" s="358">
        <f>'Пр.4 ведом.20'!H997</f>
        <v>1271.52</v>
      </c>
      <c r="H358" s="358">
        <f t="shared" si="164"/>
        <v>99.9937087134319</v>
      </c>
    </row>
    <row r="359" spans="1:8" ht="15.75" x14ac:dyDescent="0.25">
      <c r="A359" s="25" t="s">
        <v>151</v>
      </c>
      <c r="B359" s="20" t="s">
        <v>250</v>
      </c>
      <c r="C359" s="20" t="s">
        <v>229</v>
      </c>
      <c r="D359" s="20" t="s">
        <v>1115</v>
      </c>
      <c r="E359" s="20" t="s">
        <v>161</v>
      </c>
      <c r="F359" s="6">
        <f>F360+F361</f>
        <v>7.8</v>
      </c>
      <c r="G359" s="358">
        <f t="shared" ref="G359" si="180">G360+G361</f>
        <v>7.71</v>
      </c>
      <c r="H359" s="358">
        <f t="shared" si="164"/>
        <v>98.846153846153854</v>
      </c>
    </row>
    <row r="360" spans="1:8" ht="47.25" hidden="1" x14ac:dyDescent="0.25">
      <c r="A360" s="25" t="s">
        <v>200</v>
      </c>
      <c r="B360" s="20" t="s">
        <v>250</v>
      </c>
      <c r="C360" s="20" t="s">
        <v>229</v>
      </c>
      <c r="D360" s="20" t="s">
        <v>1115</v>
      </c>
      <c r="E360" s="20" t="s">
        <v>176</v>
      </c>
      <c r="F360" s="6">
        <f>'Пр.4 ведом.20'!G999</f>
        <v>0</v>
      </c>
      <c r="G360" s="358">
        <f>'Пр.4 ведом.20'!H999</f>
        <v>0</v>
      </c>
      <c r="H360" s="358" t="e">
        <f t="shared" si="164"/>
        <v>#DIV/0!</v>
      </c>
    </row>
    <row r="361" spans="1:8" s="213" customFormat="1" ht="15.75" x14ac:dyDescent="0.25">
      <c r="A361" s="25" t="s">
        <v>1483</v>
      </c>
      <c r="B361" s="20" t="s">
        <v>250</v>
      </c>
      <c r="C361" s="20" t="s">
        <v>229</v>
      </c>
      <c r="D361" s="20" t="s">
        <v>1115</v>
      </c>
      <c r="E361" s="20" t="s">
        <v>163</v>
      </c>
      <c r="F361" s="6">
        <f>'Пр.4 ведом.20'!G1000</f>
        <v>7.8</v>
      </c>
      <c r="G361" s="358">
        <f>'Пр.4 ведом.20'!H1000</f>
        <v>7.71</v>
      </c>
      <c r="H361" s="358">
        <f t="shared" si="164"/>
        <v>98.846153846153854</v>
      </c>
    </row>
    <row r="362" spans="1:8" ht="31.5" x14ac:dyDescent="0.25">
      <c r="A362" s="29" t="s">
        <v>1005</v>
      </c>
      <c r="B362" s="20" t="s">
        <v>250</v>
      </c>
      <c r="C362" s="20" t="s">
        <v>229</v>
      </c>
      <c r="D362" s="20" t="s">
        <v>1098</v>
      </c>
      <c r="E362" s="20"/>
      <c r="F362" s="6">
        <f>F363+F365</f>
        <v>9208.4</v>
      </c>
      <c r="G362" s="358">
        <f t="shared" ref="G362" si="181">G363+G365</f>
        <v>4706.6400000000003</v>
      </c>
      <c r="H362" s="358">
        <f t="shared" si="164"/>
        <v>51.1124625342079</v>
      </c>
    </row>
    <row r="363" spans="1:8" ht="31.5" x14ac:dyDescent="0.25">
      <c r="A363" s="25" t="s">
        <v>147</v>
      </c>
      <c r="B363" s="20" t="s">
        <v>250</v>
      </c>
      <c r="C363" s="20" t="s">
        <v>229</v>
      </c>
      <c r="D363" s="20" t="s">
        <v>1098</v>
      </c>
      <c r="E363" s="20" t="s">
        <v>148</v>
      </c>
      <c r="F363" s="6">
        <f t="shared" ref="F363:G363" si="182">F364</f>
        <v>9208.4</v>
      </c>
      <c r="G363" s="358">
        <f t="shared" si="182"/>
        <v>4706.6400000000003</v>
      </c>
      <c r="H363" s="358">
        <f t="shared" si="164"/>
        <v>51.1124625342079</v>
      </c>
    </row>
    <row r="364" spans="1:8" ht="47.25" x14ac:dyDescent="0.25">
      <c r="A364" s="25" t="s">
        <v>149</v>
      </c>
      <c r="B364" s="20" t="s">
        <v>250</v>
      </c>
      <c r="C364" s="20" t="s">
        <v>229</v>
      </c>
      <c r="D364" s="20" t="s">
        <v>1098</v>
      </c>
      <c r="E364" s="20" t="s">
        <v>150</v>
      </c>
      <c r="F364" s="6">
        <f>'Пр.4 ведом.20'!G1003</f>
        <v>9208.4</v>
      </c>
      <c r="G364" s="358">
        <f>'Пр.4 ведом.20'!H1003</f>
        <v>4706.6400000000003</v>
      </c>
      <c r="H364" s="358">
        <f t="shared" si="164"/>
        <v>51.1124625342079</v>
      </c>
    </row>
    <row r="365" spans="1:8" ht="15.75" hidden="1" x14ac:dyDescent="0.25">
      <c r="A365" s="25" t="s">
        <v>151</v>
      </c>
      <c r="B365" s="20" t="s">
        <v>250</v>
      </c>
      <c r="C365" s="20" t="s">
        <v>229</v>
      </c>
      <c r="D365" s="20" t="s">
        <v>1098</v>
      </c>
      <c r="E365" s="20" t="s">
        <v>161</v>
      </c>
      <c r="F365" s="6">
        <f>F366</f>
        <v>0</v>
      </c>
      <c r="G365" s="358">
        <f t="shared" ref="G365" si="183">G366</f>
        <v>0</v>
      </c>
      <c r="H365" s="358" t="e">
        <f t="shared" si="164"/>
        <v>#DIV/0!</v>
      </c>
    </row>
    <row r="366" spans="1:8" ht="15.75" hidden="1" x14ac:dyDescent="0.25">
      <c r="A366" s="25" t="s">
        <v>162</v>
      </c>
      <c r="B366" s="20" t="s">
        <v>250</v>
      </c>
      <c r="C366" s="20" t="s">
        <v>229</v>
      </c>
      <c r="D366" s="20" t="s">
        <v>1098</v>
      </c>
      <c r="E366" s="20" t="s">
        <v>163</v>
      </c>
      <c r="F366" s="6">
        <f>'Пр.4 ведом.20'!G1005</f>
        <v>0</v>
      </c>
      <c r="G366" s="358">
        <f>'Пр.4 ведом.20'!H1005</f>
        <v>0</v>
      </c>
      <c r="H366" s="358" t="e">
        <f t="shared" si="164"/>
        <v>#DIV/0!</v>
      </c>
    </row>
    <row r="367" spans="1:8" ht="47.25" x14ac:dyDescent="0.25">
      <c r="A367" s="23" t="s">
        <v>1171</v>
      </c>
      <c r="B367" s="24" t="s">
        <v>250</v>
      </c>
      <c r="C367" s="24" t="s">
        <v>229</v>
      </c>
      <c r="D367" s="24" t="s">
        <v>1116</v>
      </c>
      <c r="E367" s="24"/>
      <c r="F367" s="4">
        <f>F368+F373+F376+F381</f>
        <v>22200</v>
      </c>
      <c r="G367" s="4">
        <f t="shared" ref="G367" si="184">G368+G373+G376+G381</f>
        <v>4846.1000000000004</v>
      </c>
      <c r="H367" s="4">
        <f t="shared" si="164"/>
        <v>21.82927927927928</v>
      </c>
    </row>
    <row r="368" spans="1:8" ht="47.25" x14ac:dyDescent="0.25">
      <c r="A368" s="25" t="s">
        <v>873</v>
      </c>
      <c r="B368" s="20" t="s">
        <v>250</v>
      </c>
      <c r="C368" s="20" t="s">
        <v>229</v>
      </c>
      <c r="D368" s="20" t="s">
        <v>1117</v>
      </c>
      <c r="E368" s="20"/>
      <c r="F368" s="6">
        <f>F369+F371</f>
        <v>22200</v>
      </c>
      <c r="G368" s="358">
        <f t="shared" ref="G368" si="185">G369+G371</f>
        <v>4846.1000000000004</v>
      </c>
      <c r="H368" s="358">
        <f t="shared" si="164"/>
        <v>21.82927927927928</v>
      </c>
    </row>
    <row r="369" spans="1:8" ht="31.5" x14ac:dyDescent="0.25">
      <c r="A369" s="25" t="s">
        <v>147</v>
      </c>
      <c r="B369" s="20" t="s">
        <v>250</v>
      </c>
      <c r="C369" s="20" t="s">
        <v>229</v>
      </c>
      <c r="D369" s="20" t="s">
        <v>1117</v>
      </c>
      <c r="E369" s="20" t="s">
        <v>148</v>
      </c>
      <c r="F369" s="6">
        <f>F370</f>
        <v>13787.233399999999</v>
      </c>
      <c r="G369" s="358">
        <f t="shared" ref="G369" si="186">G370</f>
        <v>4846.1000000000004</v>
      </c>
      <c r="H369" s="358">
        <f t="shared" si="164"/>
        <v>35.149183736890976</v>
      </c>
    </row>
    <row r="370" spans="1:8" ht="47.25" x14ac:dyDescent="0.25">
      <c r="A370" s="25" t="s">
        <v>149</v>
      </c>
      <c r="B370" s="20" t="s">
        <v>250</v>
      </c>
      <c r="C370" s="20" t="s">
        <v>229</v>
      </c>
      <c r="D370" s="20" t="s">
        <v>1117</v>
      </c>
      <c r="E370" s="20" t="s">
        <v>150</v>
      </c>
      <c r="F370" s="6">
        <f>'Пр.4 ведом.20'!G1009</f>
        <v>13787.233399999999</v>
      </c>
      <c r="G370" s="358">
        <f>'Пр.4 ведом.20'!H1009</f>
        <v>4846.1000000000004</v>
      </c>
      <c r="H370" s="358">
        <f t="shared" si="164"/>
        <v>35.149183736890976</v>
      </c>
    </row>
    <row r="371" spans="1:8" ht="31.5" x14ac:dyDescent="0.25">
      <c r="A371" s="335" t="s">
        <v>884</v>
      </c>
      <c r="B371" s="20" t="s">
        <v>250</v>
      </c>
      <c r="C371" s="20" t="s">
        <v>229</v>
      </c>
      <c r="D371" s="20" t="s">
        <v>1117</v>
      </c>
      <c r="E371" s="20" t="s">
        <v>883</v>
      </c>
      <c r="F371" s="6">
        <f>F372</f>
        <v>8412.7666000000008</v>
      </c>
      <c r="G371" s="358">
        <f t="shared" ref="G371" si="187">G372</f>
        <v>0</v>
      </c>
      <c r="H371" s="358">
        <f t="shared" si="164"/>
        <v>0</v>
      </c>
    </row>
    <row r="372" spans="1:8" ht="63" x14ac:dyDescent="0.25">
      <c r="A372" s="335" t="s">
        <v>1224</v>
      </c>
      <c r="B372" s="20" t="s">
        <v>250</v>
      </c>
      <c r="C372" s="20" t="s">
        <v>229</v>
      </c>
      <c r="D372" s="20" t="s">
        <v>1117</v>
      </c>
      <c r="E372" s="20" t="s">
        <v>1246</v>
      </c>
      <c r="F372" s="6">
        <f>'Пр.4 ведом.20'!G1011</f>
        <v>8412.7666000000008</v>
      </c>
      <c r="G372" s="358">
        <f>'Пр.4 ведом.20'!H1011</f>
        <v>0</v>
      </c>
      <c r="H372" s="358">
        <f t="shared" si="164"/>
        <v>0</v>
      </c>
    </row>
    <row r="373" spans="1:8" ht="49.7" hidden="1" customHeight="1" x14ac:dyDescent="0.25">
      <c r="A373" s="25" t="s">
        <v>824</v>
      </c>
      <c r="B373" s="20" t="s">
        <v>250</v>
      </c>
      <c r="C373" s="20" t="s">
        <v>229</v>
      </c>
      <c r="D373" s="20" t="s">
        <v>1118</v>
      </c>
      <c r="E373" s="20"/>
      <c r="F373" s="6">
        <f>F374</f>
        <v>0</v>
      </c>
      <c r="G373" s="358">
        <f t="shared" ref="G373:G374" si="188">G374</f>
        <v>0</v>
      </c>
      <c r="H373" s="358" t="e">
        <f t="shared" si="164"/>
        <v>#DIV/0!</v>
      </c>
    </row>
    <row r="374" spans="1:8" ht="31.5" hidden="1" x14ac:dyDescent="0.25">
      <c r="A374" s="25" t="s">
        <v>147</v>
      </c>
      <c r="B374" s="20" t="s">
        <v>250</v>
      </c>
      <c r="C374" s="20" t="s">
        <v>229</v>
      </c>
      <c r="D374" s="20" t="s">
        <v>1118</v>
      </c>
      <c r="E374" s="20" t="s">
        <v>148</v>
      </c>
      <c r="F374" s="6">
        <f>F375</f>
        <v>0</v>
      </c>
      <c r="G374" s="358">
        <f t="shared" si="188"/>
        <v>0</v>
      </c>
      <c r="H374" s="358" t="e">
        <f t="shared" si="164"/>
        <v>#DIV/0!</v>
      </c>
    </row>
    <row r="375" spans="1:8" ht="47.25" hidden="1" x14ac:dyDescent="0.25">
      <c r="A375" s="25" t="s">
        <v>149</v>
      </c>
      <c r="B375" s="20" t="s">
        <v>250</v>
      </c>
      <c r="C375" s="20" t="s">
        <v>229</v>
      </c>
      <c r="D375" s="20" t="s">
        <v>1118</v>
      </c>
      <c r="E375" s="20" t="s">
        <v>150</v>
      </c>
      <c r="F375" s="6">
        <f>'Пр.4 ведом.20'!G1014</f>
        <v>0</v>
      </c>
      <c r="G375" s="358">
        <f>'Пр.4 ведом.20'!H1014</f>
        <v>0</v>
      </c>
      <c r="H375" s="358" t="e">
        <f t="shared" si="164"/>
        <v>#DIV/0!</v>
      </c>
    </row>
    <row r="376" spans="1:8" ht="47.25" hidden="1" x14ac:dyDescent="0.25">
      <c r="A376" s="98" t="s">
        <v>879</v>
      </c>
      <c r="B376" s="20" t="s">
        <v>250</v>
      </c>
      <c r="C376" s="20" t="s">
        <v>229</v>
      </c>
      <c r="D376" s="20" t="s">
        <v>1119</v>
      </c>
      <c r="E376" s="20"/>
      <c r="F376" s="6">
        <f>F377+F379</f>
        <v>0</v>
      </c>
      <c r="G376" s="358">
        <f t="shared" ref="G376" si="189">G377+G379</f>
        <v>0</v>
      </c>
      <c r="H376" s="358" t="e">
        <f t="shared" si="164"/>
        <v>#DIV/0!</v>
      </c>
    </row>
    <row r="377" spans="1:8" ht="31.5" hidden="1" x14ac:dyDescent="0.25">
      <c r="A377" s="25" t="s">
        <v>884</v>
      </c>
      <c r="B377" s="20" t="s">
        <v>250</v>
      </c>
      <c r="C377" s="20" t="s">
        <v>229</v>
      </c>
      <c r="D377" s="20" t="s">
        <v>1119</v>
      </c>
      <c r="E377" s="20" t="s">
        <v>883</v>
      </c>
      <c r="F377" s="6">
        <f>F378</f>
        <v>0</v>
      </c>
      <c r="G377" s="358">
        <f t="shared" ref="G377" si="190">G378</f>
        <v>0</v>
      </c>
      <c r="H377" s="358" t="e">
        <f t="shared" si="164"/>
        <v>#DIV/0!</v>
      </c>
    </row>
    <row r="378" spans="1:8" ht="31.7" hidden="1" customHeight="1" x14ac:dyDescent="0.25">
      <c r="A378" s="25" t="s">
        <v>1224</v>
      </c>
      <c r="B378" s="20" t="s">
        <v>250</v>
      </c>
      <c r="C378" s="20" t="s">
        <v>229</v>
      </c>
      <c r="D378" s="20" t="s">
        <v>1119</v>
      </c>
      <c r="E378" s="20" t="s">
        <v>1246</v>
      </c>
      <c r="F378" s="6">
        <f>'Пр.4 ведом.20'!G1017</f>
        <v>0</v>
      </c>
      <c r="G378" s="358">
        <f>'Пр.4 ведом.20'!H1017</f>
        <v>0</v>
      </c>
      <c r="H378" s="358" t="e">
        <f t="shared" si="164"/>
        <v>#DIV/0!</v>
      </c>
    </row>
    <row r="379" spans="1:8" ht="21.2" hidden="1" customHeight="1" x14ac:dyDescent="0.25">
      <c r="A379" s="25" t="s">
        <v>151</v>
      </c>
      <c r="B379" s="20" t="s">
        <v>250</v>
      </c>
      <c r="C379" s="20" t="s">
        <v>229</v>
      </c>
      <c r="D379" s="20" t="s">
        <v>1119</v>
      </c>
      <c r="E379" s="20" t="s">
        <v>161</v>
      </c>
      <c r="F379" s="6">
        <f>F380</f>
        <v>0</v>
      </c>
      <c r="G379" s="358">
        <f t="shared" ref="G379" si="191">G380</f>
        <v>0</v>
      </c>
      <c r="H379" s="358" t="e">
        <f t="shared" si="164"/>
        <v>#DIV/0!</v>
      </c>
    </row>
    <row r="380" spans="1:8" ht="21.75" hidden="1" customHeight="1" x14ac:dyDescent="0.25">
      <c r="A380" s="25" t="s">
        <v>727</v>
      </c>
      <c r="B380" s="20" t="s">
        <v>250</v>
      </c>
      <c r="C380" s="20" t="s">
        <v>229</v>
      </c>
      <c r="D380" s="20" t="s">
        <v>1119</v>
      </c>
      <c r="E380" s="20" t="s">
        <v>154</v>
      </c>
      <c r="F380" s="6">
        <f>'Пр.4 ведом.20'!G1019</f>
        <v>0</v>
      </c>
      <c r="G380" s="358">
        <f>'Пр.4 ведом.20'!H1019</f>
        <v>0</v>
      </c>
      <c r="H380" s="358" t="e">
        <f t="shared" si="164"/>
        <v>#DIV/0!</v>
      </c>
    </row>
    <row r="381" spans="1:8" ht="31.5" hidden="1" x14ac:dyDescent="0.25">
      <c r="A381" s="25" t="s">
        <v>1247</v>
      </c>
      <c r="B381" s="20" t="s">
        <v>250</v>
      </c>
      <c r="C381" s="20" t="s">
        <v>229</v>
      </c>
      <c r="D381" s="20" t="s">
        <v>1248</v>
      </c>
      <c r="E381" s="20"/>
      <c r="F381" s="6">
        <f t="shared" ref="F381:G382" si="192">F382</f>
        <v>0</v>
      </c>
      <c r="G381" s="358">
        <f t="shared" si="192"/>
        <v>0</v>
      </c>
      <c r="H381" s="358" t="e">
        <f t="shared" si="164"/>
        <v>#DIV/0!</v>
      </c>
    </row>
    <row r="382" spans="1:8" ht="31.5" hidden="1" x14ac:dyDescent="0.25">
      <c r="A382" s="25" t="s">
        <v>147</v>
      </c>
      <c r="B382" s="20" t="s">
        <v>250</v>
      </c>
      <c r="C382" s="20" t="s">
        <v>229</v>
      </c>
      <c r="D382" s="20" t="s">
        <v>1248</v>
      </c>
      <c r="E382" s="20" t="s">
        <v>148</v>
      </c>
      <c r="F382" s="6">
        <f t="shared" si="192"/>
        <v>0</v>
      </c>
      <c r="G382" s="358">
        <f t="shared" si="192"/>
        <v>0</v>
      </c>
      <c r="H382" s="358" t="e">
        <f t="shared" si="164"/>
        <v>#DIV/0!</v>
      </c>
    </row>
    <row r="383" spans="1:8" ht="47.25" hidden="1" x14ac:dyDescent="0.25">
      <c r="A383" s="25" t="s">
        <v>149</v>
      </c>
      <c r="B383" s="20" t="s">
        <v>250</v>
      </c>
      <c r="C383" s="20" t="s">
        <v>229</v>
      </c>
      <c r="D383" s="20" t="s">
        <v>1248</v>
      </c>
      <c r="E383" s="20" t="s">
        <v>150</v>
      </c>
      <c r="F383" s="6">
        <f>'Пр.4 ведом.20'!G1022</f>
        <v>0</v>
      </c>
      <c r="G383" s="358">
        <f>'Пр.4 ведом.20'!H1022</f>
        <v>0</v>
      </c>
      <c r="H383" s="358" t="e">
        <f t="shared" si="164"/>
        <v>#DIV/0!</v>
      </c>
    </row>
    <row r="384" spans="1:8" ht="63" x14ac:dyDescent="0.25">
      <c r="A384" s="23" t="s">
        <v>1178</v>
      </c>
      <c r="B384" s="24" t="s">
        <v>250</v>
      </c>
      <c r="C384" s="24" t="s">
        <v>229</v>
      </c>
      <c r="D384" s="24" t="s">
        <v>534</v>
      </c>
      <c r="E384" s="24"/>
      <c r="F384" s="4">
        <f>F385+F389+F393+F397+F401+F405+F409</f>
        <v>269</v>
      </c>
      <c r="G384" s="4">
        <f t="shared" ref="G384" si="193">G385+G389+G393+G397+G401+G405+G409</f>
        <v>199</v>
      </c>
      <c r="H384" s="4">
        <f t="shared" si="164"/>
        <v>73.977695167286257</v>
      </c>
    </row>
    <row r="385" spans="1:8" ht="31.5" hidden="1" x14ac:dyDescent="0.25">
      <c r="A385" s="23" t="s">
        <v>1099</v>
      </c>
      <c r="B385" s="24" t="s">
        <v>250</v>
      </c>
      <c r="C385" s="24" t="s">
        <v>229</v>
      </c>
      <c r="D385" s="24" t="s">
        <v>1101</v>
      </c>
      <c r="E385" s="24"/>
      <c r="F385" s="4">
        <f>F386</f>
        <v>0</v>
      </c>
      <c r="G385" s="4">
        <f t="shared" ref="G385" si="194">G386</f>
        <v>0</v>
      </c>
      <c r="H385" s="4" t="e">
        <f t="shared" si="164"/>
        <v>#DIV/0!</v>
      </c>
    </row>
    <row r="386" spans="1:8" ht="15.75" hidden="1" x14ac:dyDescent="0.25">
      <c r="A386" s="45" t="s">
        <v>1100</v>
      </c>
      <c r="B386" s="40" t="s">
        <v>250</v>
      </c>
      <c r="C386" s="40" t="s">
        <v>229</v>
      </c>
      <c r="D386" s="20" t="s">
        <v>1102</v>
      </c>
      <c r="E386" s="40"/>
      <c r="F386" s="6">
        <f t="shared" ref="F386:G387" si="195">F387</f>
        <v>0</v>
      </c>
      <c r="G386" s="358">
        <f t="shared" si="195"/>
        <v>0</v>
      </c>
      <c r="H386" s="4" t="e">
        <f t="shared" si="164"/>
        <v>#DIV/0!</v>
      </c>
    </row>
    <row r="387" spans="1:8" ht="31.5" hidden="1" x14ac:dyDescent="0.25">
      <c r="A387" s="31" t="s">
        <v>147</v>
      </c>
      <c r="B387" s="40" t="s">
        <v>250</v>
      </c>
      <c r="C387" s="40" t="s">
        <v>229</v>
      </c>
      <c r="D387" s="20" t="s">
        <v>1102</v>
      </c>
      <c r="E387" s="40" t="s">
        <v>148</v>
      </c>
      <c r="F387" s="6">
        <f t="shared" si="195"/>
        <v>0</v>
      </c>
      <c r="G387" s="358">
        <f t="shared" si="195"/>
        <v>0</v>
      </c>
      <c r="H387" s="4" t="e">
        <f t="shared" si="164"/>
        <v>#DIV/0!</v>
      </c>
    </row>
    <row r="388" spans="1:8" ht="47.25" hidden="1" x14ac:dyDescent="0.25">
      <c r="A388" s="31" t="s">
        <v>149</v>
      </c>
      <c r="B388" s="40" t="s">
        <v>250</v>
      </c>
      <c r="C388" s="40" t="s">
        <v>229</v>
      </c>
      <c r="D388" s="20" t="s">
        <v>1102</v>
      </c>
      <c r="E388" s="40" t="s">
        <v>150</v>
      </c>
      <c r="F388" s="6">
        <f>'Пр.4 ведом.20'!G1027</f>
        <v>0</v>
      </c>
      <c r="G388" s="358">
        <f>'Пр.4 ведом.20'!H1027</f>
        <v>0</v>
      </c>
      <c r="H388" s="4" t="e">
        <f t="shared" si="164"/>
        <v>#DIV/0!</v>
      </c>
    </row>
    <row r="389" spans="1:8" ht="31.5" x14ac:dyDescent="0.25">
      <c r="A389" s="34" t="s">
        <v>1103</v>
      </c>
      <c r="B389" s="7" t="s">
        <v>250</v>
      </c>
      <c r="C389" s="7" t="s">
        <v>229</v>
      </c>
      <c r="D389" s="24" t="s">
        <v>1104</v>
      </c>
      <c r="E389" s="7"/>
      <c r="F389" s="4">
        <f>F390</f>
        <v>225</v>
      </c>
      <c r="G389" s="4">
        <f t="shared" ref="G389:G391" si="196">G390</f>
        <v>155</v>
      </c>
      <c r="H389" s="4">
        <f t="shared" si="164"/>
        <v>68.888888888888886</v>
      </c>
    </row>
    <row r="390" spans="1:8" ht="15.75" x14ac:dyDescent="0.25">
      <c r="A390" s="45" t="s">
        <v>539</v>
      </c>
      <c r="B390" s="40" t="s">
        <v>250</v>
      </c>
      <c r="C390" s="40" t="s">
        <v>229</v>
      </c>
      <c r="D390" s="20" t="s">
        <v>1107</v>
      </c>
      <c r="E390" s="40"/>
      <c r="F390" s="6">
        <f>F391</f>
        <v>225</v>
      </c>
      <c r="G390" s="358">
        <f t="shared" si="196"/>
        <v>155</v>
      </c>
      <c r="H390" s="358">
        <f t="shared" si="164"/>
        <v>68.888888888888886</v>
      </c>
    </row>
    <row r="391" spans="1:8" ht="31.5" x14ac:dyDescent="0.25">
      <c r="A391" s="31" t="s">
        <v>147</v>
      </c>
      <c r="B391" s="40" t="s">
        <v>250</v>
      </c>
      <c r="C391" s="40" t="s">
        <v>229</v>
      </c>
      <c r="D391" s="20" t="s">
        <v>1107</v>
      </c>
      <c r="E391" s="40" t="s">
        <v>148</v>
      </c>
      <c r="F391" s="6">
        <f>F392</f>
        <v>225</v>
      </c>
      <c r="G391" s="358">
        <f t="shared" si="196"/>
        <v>155</v>
      </c>
      <c r="H391" s="358">
        <f t="shared" si="164"/>
        <v>68.888888888888886</v>
      </c>
    </row>
    <row r="392" spans="1:8" ht="47.25" x14ac:dyDescent="0.25">
      <c r="A392" s="31" t="s">
        <v>149</v>
      </c>
      <c r="B392" s="40" t="s">
        <v>250</v>
      </c>
      <c r="C392" s="40" t="s">
        <v>229</v>
      </c>
      <c r="D392" s="20" t="s">
        <v>1107</v>
      </c>
      <c r="E392" s="40" t="s">
        <v>150</v>
      </c>
      <c r="F392" s="6">
        <f>'Пр.4 ведом.20'!G1031</f>
        <v>225</v>
      </c>
      <c r="G392" s="358">
        <f>'Пр.4 ведом.20'!H1031</f>
        <v>155</v>
      </c>
      <c r="H392" s="358">
        <f t="shared" si="164"/>
        <v>68.888888888888886</v>
      </c>
    </row>
    <row r="393" spans="1:8" ht="31.5" hidden="1" x14ac:dyDescent="0.25">
      <c r="A393" s="58" t="s">
        <v>1105</v>
      </c>
      <c r="B393" s="7" t="s">
        <v>250</v>
      </c>
      <c r="C393" s="7" t="s">
        <v>229</v>
      </c>
      <c r="D393" s="24" t="s">
        <v>1106</v>
      </c>
      <c r="E393" s="7"/>
      <c r="F393" s="4">
        <f>F394</f>
        <v>0</v>
      </c>
      <c r="G393" s="4">
        <f t="shared" ref="G393:G395" si="197">G394</f>
        <v>0</v>
      </c>
      <c r="H393" s="358" t="e">
        <f t="shared" si="164"/>
        <v>#DIV/0!</v>
      </c>
    </row>
    <row r="394" spans="1:8" ht="15.75" hidden="1" x14ac:dyDescent="0.25">
      <c r="A394" s="45" t="s">
        <v>541</v>
      </c>
      <c r="B394" s="40" t="s">
        <v>250</v>
      </c>
      <c r="C394" s="40" t="s">
        <v>229</v>
      </c>
      <c r="D394" s="20" t="s">
        <v>1108</v>
      </c>
      <c r="E394" s="40"/>
      <c r="F394" s="6">
        <f>F395</f>
        <v>0</v>
      </c>
      <c r="G394" s="358">
        <f t="shared" si="197"/>
        <v>0</v>
      </c>
      <c r="H394" s="358" t="e">
        <f t="shared" si="164"/>
        <v>#DIV/0!</v>
      </c>
    </row>
    <row r="395" spans="1:8" ht="31.5" hidden="1" x14ac:dyDescent="0.25">
      <c r="A395" s="31" t="s">
        <v>147</v>
      </c>
      <c r="B395" s="40" t="s">
        <v>250</v>
      </c>
      <c r="C395" s="40" t="s">
        <v>229</v>
      </c>
      <c r="D395" s="20" t="s">
        <v>1108</v>
      </c>
      <c r="E395" s="40" t="s">
        <v>148</v>
      </c>
      <c r="F395" s="6">
        <f>F396</f>
        <v>0</v>
      </c>
      <c r="G395" s="358">
        <f t="shared" si="197"/>
        <v>0</v>
      </c>
      <c r="H395" s="358" t="e">
        <f t="shared" ref="H395:H458" si="198">G395/F395*100</f>
        <v>#DIV/0!</v>
      </c>
    </row>
    <row r="396" spans="1:8" ht="47.25" hidden="1" x14ac:dyDescent="0.25">
      <c r="A396" s="31" t="s">
        <v>149</v>
      </c>
      <c r="B396" s="40" t="s">
        <v>250</v>
      </c>
      <c r="C396" s="40" t="s">
        <v>229</v>
      </c>
      <c r="D396" s="20" t="s">
        <v>1108</v>
      </c>
      <c r="E396" s="40" t="s">
        <v>150</v>
      </c>
      <c r="F396" s="6">
        <f>'Пр.4 ведом.20'!G1035</f>
        <v>0</v>
      </c>
      <c r="G396" s="358">
        <f>'Пр.4 ведом.20'!H1035</f>
        <v>0</v>
      </c>
      <c r="H396" s="358" t="e">
        <f t="shared" si="198"/>
        <v>#DIV/0!</v>
      </c>
    </row>
    <row r="397" spans="1:8" ht="31.5" x14ac:dyDescent="0.25">
      <c r="A397" s="58" t="s">
        <v>1109</v>
      </c>
      <c r="B397" s="7" t="s">
        <v>250</v>
      </c>
      <c r="C397" s="7" t="s">
        <v>229</v>
      </c>
      <c r="D397" s="24" t="s">
        <v>1110</v>
      </c>
      <c r="E397" s="7"/>
      <c r="F397" s="4">
        <f>F398</f>
        <v>44</v>
      </c>
      <c r="G397" s="4">
        <f t="shared" ref="G397:G399" si="199">G398</f>
        <v>44</v>
      </c>
      <c r="H397" s="4">
        <f t="shared" si="198"/>
        <v>100</v>
      </c>
    </row>
    <row r="398" spans="1:8" ht="15.75" x14ac:dyDescent="0.25">
      <c r="A398" s="45" t="s">
        <v>543</v>
      </c>
      <c r="B398" s="40" t="s">
        <v>250</v>
      </c>
      <c r="C398" s="40" t="s">
        <v>229</v>
      </c>
      <c r="D398" s="20" t="s">
        <v>1111</v>
      </c>
      <c r="E398" s="40"/>
      <c r="F398" s="6">
        <f>F399</f>
        <v>44</v>
      </c>
      <c r="G398" s="358">
        <f t="shared" si="199"/>
        <v>44</v>
      </c>
      <c r="H398" s="358">
        <f t="shared" si="198"/>
        <v>100</v>
      </c>
    </row>
    <row r="399" spans="1:8" ht="31.5" x14ac:dyDescent="0.25">
      <c r="A399" s="31" t="s">
        <v>147</v>
      </c>
      <c r="B399" s="40" t="s">
        <v>250</v>
      </c>
      <c r="C399" s="40" t="s">
        <v>229</v>
      </c>
      <c r="D399" s="20" t="s">
        <v>1111</v>
      </c>
      <c r="E399" s="40" t="s">
        <v>148</v>
      </c>
      <c r="F399" s="6">
        <f>F400</f>
        <v>44</v>
      </c>
      <c r="G399" s="358">
        <f t="shared" si="199"/>
        <v>44</v>
      </c>
      <c r="H399" s="358">
        <f t="shared" si="198"/>
        <v>100</v>
      </c>
    </row>
    <row r="400" spans="1:8" ht="47.25" x14ac:dyDescent="0.25">
      <c r="A400" s="31" t="s">
        <v>149</v>
      </c>
      <c r="B400" s="40" t="s">
        <v>250</v>
      </c>
      <c r="C400" s="40" t="s">
        <v>229</v>
      </c>
      <c r="D400" s="20" t="s">
        <v>1111</v>
      </c>
      <c r="E400" s="40" t="s">
        <v>150</v>
      </c>
      <c r="F400" s="6">
        <f>'Пр.4 ведом.20'!G1039</f>
        <v>44</v>
      </c>
      <c r="G400" s="358">
        <f>'Пр.4 ведом.20'!H1039</f>
        <v>44</v>
      </c>
      <c r="H400" s="358">
        <f t="shared" si="198"/>
        <v>100</v>
      </c>
    </row>
    <row r="401" spans="1:8" ht="31.5" hidden="1" x14ac:dyDescent="0.25">
      <c r="A401" s="34" t="s">
        <v>1172</v>
      </c>
      <c r="B401" s="7" t="s">
        <v>250</v>
      </c>
      <c r="C401" s="7" t="s">
        <v>229</v>
      </c>
      <c r="D401" s="24" t="s">
        <v>1173</v>
      </c>
      <c r="E401" s="7"/>
      <c r="F401" s="4">
        <f>F402</f>
        <v>0</v>
      </c>
      <c r="G401" s="4">
        <f t="shared" ref="G401:G403" si="200">G402</f>
        <v>0</v>
      </c>
      <c r="H401" s="358" t="e">
        <f t="shared" si="198"/>
        <v>#DIV/0!</v>
      </c>
    </row>
    <row r="402" spans="1:8" ht="18" hidden="1" customHeight="1" x14ac:dyDescent="0.25">
      <c r="A402" s="45" t="s">
        <v>545</v>
      </c>
      <c r="B402" s="40" t="s">
        <v>250</v>
      </c>
      <c r="C402" s="40" t="s">
        <v>229</v>
      </c>
      <c r="D402" s="20" t="s">
        <v>1176</v>
      </c>
      <c r="E402" s="40"/>
      <c r="F402" s="6">
        <f>F403</f>
        <v>0</v>
      </c>
      <c r="G402" s="358">
        <f t="shared" si="200"/>
        <v>0</v>
      </c>
      <c r="H402" s="358" t="e">
        <f t="shared" si="198"/>
        <v>#DIV/0!</v>
      </c>
    </row>
    <row r="403" spans="1:8" ht="31.5" hidden="1" x14ac:dyDescent="0.25">
      <c r="A403" s="31" t="s">
        <v>147</v>
      </c>
      <c r="B403" s="40" t="s">
        <v>250</v>
      </c>
      <c r="C403" s="40" t="s">
        <v>229</v>
      </c>
      <c r="D403" s="20" t="s">
        <v>1176</v>
      </c>
      <c r="E403" s="40" t="s">
        <v>148</v>
      </c>
      <c r="F403" s="6">
        <f>F404</f>
        <v>0</v>
      </c>
      <c r="G403" s="358">
        <f t="shared" si="200"/>
        <v>0</v>
      </c>
      <c r="H403" s="358" t="e">
        <f t="shared" si="198"/>
        <v>#DIV/0!</v>
      </c>
    </row>
    <row r="404" spans="1:8" ht="47.25" hidden="1" x14ac:dyDescent="0.25">
      <c r="A404" s="31" t="s">
        <v>149</v>
      </c>
      <c r="B404" s="40" t="s">
        <v>250</v>
      </c>
      <c r="C404" s="40" t="s">
        <v>229</v>
      </c>
      <c r="D404" s="20" t="s">
        <v>1176</v>
      </c>
      <c r="E404" s="40" t="s">
        <v>150</v>
      </c>
      <c r="F404" s="6">
        <f>'Пр.4 ведом.20'!G1043</f>
        <v>0</v>
      </c>
      <c r="G404" s="358">
        <f>'Пр.4 ведом.20'!H1043</f>
        <v>0</v>
      </c>
      <c r="H404" s="358" t="e">
        <f t="shared" si="198"/>
        <v>#DIV/0!</v>
      </c>
    </row>
    <row r="405" spans="1:8" ht="31.5" hidden="1" x14ac:dyDescent="0.25">
      <c r="A405" s="228" t="s">
        <v>1174</v>
      </c>
      <c r="B405" s="7" t="s">
        <v>250</v>
      </c>
      <c r="C405" s="7" t="s">
        <v>229</v>
      </c>
      <c r="D405" s="24" t="s">
        <v>1175</v>
      </c>
      <c r="E405" s="7"/>
      <c r="F405" s="4">
        <f>F406</f>
        <v>0</v>
      </c>
      <c r="G405" s="4">
        <f t="shared" ref="G405:G407" si="201">G406</f>
        <v>0</v>
      </c>
      <c r="H405" s="358" t="e">
        <f t="shared" si="198"/>
        <v>#DIV/0!</v>
      </c>
    </row>
    <row r="406" spans="1:8" ht="31.5" hidden="1" x14ac:dyDescent="0.25">
      <c r="A406" s="178" t="s">
        <v>547</v>
      </c>
      <c r="B406" s="40" t="s">
        <v>250</v>
      </c>
      <c r="C406" s="40" t="s">
        <v>229</v>
      </c>
      <c r="D406" s="20" t="s">
        <v>1177</v>
      </c>
      <c r="E406" s="40"/>
      <c r="F406" s="6">
        <f>F407</f>
        <v>0</v>
      </c>
      <c r="G406" s="358">
        <f t="shared" si="201"/>
        <v>0</v>
      </c>
      <c r="H406" s="358" t="e">
        <f t="shared" si="198"/>
        <v>#DIV/0!</v>
      </c>
    </row>
    <row r="407" spans="1:8" ht="31.5" hidden="1" x14ac:dyDescent="0.25">
      <c r="A407" s="31" t="s">
        <v>147</v>
      </c>
      <c r="B407" s="40" t="s">
        <v>250</v>
      </c>
      <c r="C407" s="40" t="s">
        <v>229</v>
      </c>
      <c r="D407" s="20" t="s">
        <v>1177</v>
      </c>
      <c r="E407" s="40" t="s">
        <v>148</v>
      </c>
      <c r="F407" s="6">
        <f>F408</f>
        <v>0</v>
      </c>
      <c r="G407" s="358">
        <f t="shared" si="201"/>
        <v>0</v>
      </c>
      <c r="H407" s="358" t="e">
        <f t="shared" si="198"/>
        <v>#DIV/0!</v>
      </c>
    </row>
    <row r="408" spans="1:8" ht="47.25" hidden="1" x14ac:dyDescent="0.25">
      <c r="A408" s="31" t="s">
        <v>149</v>
      </c>
      <c r="B408" s="40" t="s">
        <v>250</v>
      </c>
      <c r="C408" s="40" t="s">
        <v>229</v>
      </c>
      <c r="D408" s="20" t="s">
        <v>1177</v>
      </c>
      <c r="E408" s="40" t="s">
        <v>150</v>
      </c>
      <c r="F408" s="6">
        <f>'Пр.4 ведом.20'!G1047</f>
        <v>0</v>
      </c>
      <c r="G408" s="358">
        <f>'Пр.4 ведом.20'!H1047</f>
        <v>0</v>
      </c>
      <c r="H408" s="358" t="e">
        <f t="shared" si="198"/>
        <v>#DIV/0!</v>
      </c>
    </row>
    <row r="409" spans="1:8" ht="31.5" hidden="1" x14ac:dyDescent="0.25">
      <c r="A409" s="228" t="s">
        <v>1113</v>
      </c>
      <c r="B409" s="7" t="s">
        <v>250</v>
      </c>
      <c r="C409" s="7" t="s">
        <v>229</v>
      </c>
      <c r="D409" s="24" t="s">
        <v>1114</v>
      </c>
      <c r="E409" s="7"/>
      <c r="F409" s="4">
        <f>F410</f>
        <v>0</v>
      </c>
      <c r="G409" s="4">
        <f t="shared" ref="G409:G411" si="202">G410</f>
        <v>0</v>
      </c>
      <c r="H409" s="358" t="e">
        <f t="shared" si="198"/>
        <v>#DIV/0!</v>
      </c>
    </row>
    <row r="410" spans="1:8" ht="15.75" hidden="1" x14ac:dyDescent="0.25">
      <c r="A410" s="178" t="s">
        <v>549</v>
      </c>
      <c r="B410" s="40" t="s">
        <v>250</v>
      </c>
      <c r="C410" s="40" t="s">
        <v>229</v>
      </c>
      <c r="D410" s="20" t="s">
        <v>1112</v>
      </c>
      <c r="E410" s="40"/>
      <c r="F410" s="6">
        <f>F411</f>
        <v>0</v>
      </c>
      <c r="G410" s="358">
        <f t="shared" si="202"/>
        <v>0</v>
      </c>
      <c r="H410" s="358" t="e">
        <f t="shared" si="198"/>
        <v>#DIV/0!</v>
      </c>
    </row>
    <row r="411" spans="1:8" ht="31.5" hidden="1" x14ac:dyDescent="0.25">
      <c r="A411" s="25" t="s">
        <v>147</v>
      </c>
      <c r="B411" s="40" t="s">
        <v>250</v>
      </c>
      <c r="C411" s="40" t="s">
        <v>229</v>
      </c>
      <c r="D411" s="20" t="s">
        <v>1112</v>
      </c>
      <c r="E411" s="40" t="s">
        <v>148</v>
      </c>
      <c r="F411" s="6">
        <f>F412</f>
        <v>0</v>
      </c>
      <c r="G411" s="358">
        <f t="shared" si="202"/>
        <v>0</v>
      </c>
      <c r="H411" s="358" t="e">
        <f t="shared" si="198"/>
        <v>#DIV/0!</v>
      </c>
    </row>
    <row r="412" spans="1:8" s="213" customFormat="1" ht="47.25" hidden="1" x14ac:dyDescent="0.25">
      <c r="A412" s="25" t="s">
        <v>149</v>
      </c>
      <c r="B412" s="40" t="s">
        <v>250</v>
      </c>
      <c r="C412" s="40" t="s">
        <v>229</v>
      </c>
      <c r="D412" s="20" t="s">
        <v>1112</v>
      </c>
      <c r="E412" s="40" t="s">
        <v>150</v>
      </c>
      <c r="F412" s="6">
        <f>'Пр.4 ведом.20'!G1051</f>
        <v>0</v>
      </c>
      <c r="G412" s="358">
        <f>'Пр.4 ведом.20'!H1051</f>
        <v>0</v>
      </c>
      <c r="H412" s="358" t="e">
        <f t="shared" si="198"/>
        <v>#DIV/0!</v>
      </c>
    </row>
    <row r="413" spans="1:8" s="213" customFormat="1" ht="47.25" hidden="1" x14ac:dyDescent="0.25">
      <c r="A413" s="23" t="s">
        <v>1362</v>
      </c>
      <c r="B413" s="7" t="s">
        <v>250</v>
      </c>
      <c r="C413" s="7" t="s">
        <v>229</v>
      </c>
      <c r="D413" s="24" t="s">
        <v>1361</v>
      </c>
      <c r="E413" s="7"/>
      <c r="F413" s="4">
        <f>F414</f>
        <v>0</v>
      </c>
      <c r="G413" s="4">
        <f t="shared" ref="G413:G416" si="203">G414</f>
        <v>0</v>
      </c>
      <c r="H413" s="358" t="e">
        <f t="shared" si="198"/>
        <v>#DIV/0!</v>
      </c>
    </row>
    <row r="414" spans="1:8" s="213" customFormat="1" ht="31.5" hidden="1" x14ac:dyDescent="0.25">
      <c r="A414" s="23" t="s">
        <v>1363</v>
      </c>
      <c r="B414" s="7" t="s">
        <v>250</v>
      </c>
      <c r="C414" s="7" t="s">
        <v>229</v>
      </c>
      <c r="D414" s="24" t="s">
        <v>1364</v>
      </c>
      <c r="E414" s="7"/>
      <c r="F414" s="4">
        <f>F415</f>
        <v>0</v>
      </c>
      <c r="G414" s="4">
        <f t="shared" si="203"/>
        <v>0</v>
      </c>
      <c r="H414" s="358" t="e">
        <f t="shared" si="198"/>
        <v>#DIV/0!</v>
      </c>
    </row>
    <row r="415" spans="1:8" s="213" customFormat="1" ht="15.75" hidden="1" x14ac:dyDescent="0.25">
      <c r="A415" s="25" t="s">
        <v>553</v>
      </c>
      <c r="B415" s="40" t="s">
        <v>250</v>
      </c>
      <c r="C415" s="40" t="s">
        <v>229</v>
      </c>
      <c r="D415" s="20" t="s">
        <v>1365</v>
      </c>
      <c r="E415" s="40"/>
      <c r="F415" s="6">
        <f>F416</f>
        <v>0</v>
      </c>
      <c r="G415" s="358">
        <f t="shared" si="203"/>
        <v>0</v>
      </c>
      <c r="H415" s="358" t="e">
        <f t="shared" si="198"/>
        <v>#DIV/0!</v>
      </c>
    </row>
    <row r="416" spans="1:8" s="213" customFormat="1" ht="31.5" hidden="1" x14ac:dyDescent="0.25">
      <c r="A416" s="25" t="s">
        <v>147</v>
      </c>
      <c r="B416" s="40" t="s">
        <v>250</v>
      </c>
      <c r="C416" s="40" t="s">
        <v>229</v>
      </c>
      <c r="D416" s="20" t="s">
        <v>1365</v>
      </c>
      <c r="E416" s="40" t="s">
        <v>148</v>
      </c>
      <c r="F416" s="6">
        <f>F417</f>
        <v>0</v>
      </c>
      <c r="G416" s="358">
        <f t="shared" si="203"/>
        <v>0</v>
      </c>
      <c r="H416" s="358" t="e">
        <f t="shared" si="198"/>
        <v>#DIV/0!</v>
      </c>
    </row>
    <row r="417" spans="1:8" s="213" customFormat="1" ht="47.25" hidden="1" x14ac:dyDescent="0.25">
      <c r="A417" s="25" t="s">
        <v>149</v>
      </c>
      <c r="B417" s="40" t="s">
        <v>250</v>
      </c>
      <c r="C417" s="40" t="s">
        <v>229</v>
      </c>
      <c r="D417" s="20" t="s">
        <v>1365</v>
      </c>
      <c r="E417" s="40" t="s">
        <v>150</v>
      </c>
      <c r="F417" s="6">
        <f>'Пр.4 ведом.20'!G1056</f>
        <v>0</v>
      </c>
      <c r="G417" s="358">
        <f>'Пр.4 ведом.20'!H1056</f>
        <v>0</v>
      </c>
      <c r="H417" s="358" t="e">
        <f t="shared" si="198"/>
        <v>#DIV/0!</v>
      </c>
    </row>
    <row r="418" spans="1:8" ht="15.75" x14ac:dyDescent="0.25">
      <c r="A418" s="41" t="s">
        <v>557</v>
      </c>
      <c r="B418" s="7" t="s">
        <v>250</v>
      </c>
      <c r="C418" s="7" t="s">
        <v>231</v>
      </c>
      <c r="D418" s="7"/>
      <c r="E418" s="7"/>
      <c r="F418" s="4">
        <f>F419+F426+F464</f>
        <v>4563.8</v>
      </c>
      <c r="G418" s="4">
        <f t="shared" ref="G418" si="204">G419+G426+G464</f>
        <v>1810.2570000000003</v>
      </c>
      <c r="H418" s="4">
        <f t="shared" si="198"/>
        <v>39.665563784565499</v>
      </c>
    </row>
    <row r="419" spans="1:8" s="213" customFormat="1" ht="15.75" x14ac:dyDescent="0.25">
      <c r="A419" s="23" t="s">
        <v>157</v>
      </c>
      <c r="B419" s="24" t="s">
        <v>250</v>
      </c>
      <c r="C419" s="24" t="s">
        <v>231</v>
      </c>
      <c r="D419" s="24" t="s">
        <v>912</v>
      </c>
      <c r="E419" s="24"/>
      <c r="F419" s="4">
        <f>F420</f>
        <v>416</v>
      </c>
      <c r="G419" s="4">
        <f t="shared" ref="G419:G420" si="205">G420</f>
        <v>126.4</v>
      </c>
      <c r="H419" s="4">
        <f t="shared" si="198"/>
        <v>30.384615384615387</v>
      </c>
    </row>
    <row r="420" spans="1:8" s="213" customFormat="1" ht="31.5" x14ac:dyDescent="0.25">
      <c r="A420" s="23" t="s">
        <v>916</v>
      </c>
      <c r="B420" s="24" t="s">
        <v>250</v>
      </c>
      <c r="C420" s="24" t="s">
        <v>231</v>
      </c>
      <c r="D420" s="24" t="s">
        <v>911</v>
      </c>
      <c r="E420" s="24"/>
      <c r="F420" s="4">
        <f>F421</f>
        <v>416</v>
      </c>
      <c r="G420" s="4">
        <f t="shared" si="205"/>
        <v>126.4</v>
      </c>
      <c r="H420" s="4">
        <f t="shared" si="198"/>
        <v>30.384615384615387</v>
      </c>
    </row>
    <row r="421" spans="1:8" s="213" customFormat="1" ht="15.75" x14ac:dyDescent="0.25">
      <c r="A421" s="25" t="s">
        <v>580</v>
      </c>
      <c r="B421" s="20" t="s">
        <v>250</v>
      </c>
      <c r="C421" s="20" t="s">
        <v>231</v>
      </c>
      <c r="D421" s="20" t="s">
        <v>1261</v>
      </c>
      <c r="E421" s="20"/>
      <c r="F421" s="6">
        <f>F422+F424</f>
        <v>416</v>
      </c>
      <c r="G421" s="358">
        <f t="shared" ref="G421" si="206">G422+G424</f>
        <v>126.4</v>
      </c>
      <c r="H421" s="358">
        <f t="shared" si="198"/>
        <v>30.384615384615387</v>
      </c>
    </row>
    <row r="422" spans="1:8" s="213" customFormat="1" ht="31.5" x14ac:dyDescent="0.25">
      <c r="A422" s="25" t="s">
        <v>147</v>
      </c>
      <c r="B422" s="20" t="s">
        <v>250</v>
      </c>
      <c r="C422" s="20" t="s">
        <v>231</v>
      </c>
      <c r="D422" s="20" t="s">
        <v>1261</v>
      </c>
      <c r="E422" s="20" t="s">
        <v>148</v>
      </c>
      <c r="F422" s="6">
        <f>F423</f>
        <v>386</v>
      </c>
      <c r="G422" s="358">
        <f t="shared" ref="G422" si="207">G423</f>
        <v>96.4</v>
      </c>
      <c r="H422" s="358">
        <f t="shared" si="198"/>
        <v>24.974093264248705</v>
      </c>
    </row>
    <row r="423" spans="1:8" s="213" customFormat="1" ht="47.25" x14ac:dyDescent="0.25">
      <c r="A423" s="25" t="s">
        <v>149</v>
      </c>
      <c r="B423" s="20" t="s">
        <v>250</v>
      </c>
      <c r="C423" s="20" t="s">
        <v>231</v>
      </c>
      <c r="D423" s="20" t="s">
        <v>1261</v>
      </c>
      <c r="E423" s="20" t="s">
        <v>150</v>
      </c>
      <c r="F423" s="6">
        <f>'Пр.4 ведом.20'!G1062</f>
        <v>386</v>
      </c>
      <c r="G423" s="358">
        <f>'Пр.4 ведом.20'!H1062</f>
        <v>96.4</v>
      </c>
      <c r="H423" s="358">
        <f t="shared" si="198"/>
        <v>24.974093264248705</v>
      </c>
    </row>
    <row r="424" spans="1:8" s="324" customFormat="1" ht="15.75" x14ac:dyDescent="0.25">
      <c r="A424" s="338" t="s">
        <v>151</v>
      </c>
      <c r="B424" s="331" t="s">
        <v>250</v>
      </c>
      <c r="C424" s="331" t="s">
        <v>231</v>
      </c>
      <c r="D424" s="331" t="s">
        <v>1261</v>
      </c>
      <c r="E424" s="331" t="s">
        <v>161</v>
      </c>
      <c r="F424" s="6">
        <f>F425</f>
        <v>30</v>
      </c>
      <c r="G424" s="358">
        <f t="shared" ref="G424" si="208">G425</f>
        <v>30</v>
      </c>
      <c r="H424" s="358">
        <f t="shared" si="198"/>
        <v>100</v>
      </c>
    </row>
    <row r="425" spans="1:8" s="324" customFormat="1" ht="15.75" x14ac:dyDescent="0.25">
      <c r="A425" s="338" t="s">
        <v>584</v>
      </c>
      <c r="B425" s="331" t="s">
        <v>250</v>
      </c>
      <c r="C425" s="331" t="s">
        <v>231</v>
      </c>
      <c r="D425" s="331" t="s">
        <v>1261</v>
      </c>
      <c r="E425" s="331" t="s">
        <v>154</v>
      </c>
      <c r="F425" s="6">
        <f>'Пр.4 ведом.20'!G1064</f>
        <v>30</v>
      </c>
      <c r="G425" s="358">
        <f>'Пр.4 ведом.20'!H1064</f>
        <v>30</v>
      </c>
      <c r="H425" s="358">
        <f t="shared" si="198"/>
        <v>100</v>
      </c>
    </row>
    <row r="426" spans="1:8" ht="48.2" customHeight="1" x14ac:dyDescent="0.25">
      <c r="A426" s="23" t="s">
        <v>558</v>
      </c>
      <c r="B426" s="7" t="s">
        <v>250</v>
      </c>
      <c r="C426" s="7" t="s">
        <v>231</v>
      </c>
      <c r="D426" s="7" t="s">
        <v>559</v>
      </c>
      <c r="E426" s="7"/>
      <c r="F426" s="4">
        <f t="shared" ref="F426:G426" si="209">F427+F441</f>
        <v>4147.8</v>
      </c>
      <c r="G426" s="4">
        <f t="shared" si="209"/>
        <v>1683.8570000000002</v>
      </c>
      <c r="H426" s="4">
        <f t="shared" si="198"/>
        <v>40.596388446887509</v>
      </c>
    </row>
    <row r="427" spans="1:8" ht="47.25" x14ac:dyDescent="0.25">
      <c r="A427" s="23" t="s">
        <v>560</v>
      </c>
      <c r="B427" s="24" t="s">
        <v>250</v>
      </c>
      <c r="C427" s="24" t="s">
        <v>231</v>
      </c>
      <c r="D427" s="24" t="s">
        <v>561</v>
      </c>
      <c r="E427" s="24"/>
      <c r="F427" s="4">
        <f>F428</f>
        <v>1689</v>
      </c>
      <c r="G427" s="4">
        <f t="shared" ref="G427" si="210">G428</f>
        <v>1156.0700000000002</v>
      </c>
      <c r="H427" s="4">
        <f t="shared" si="198"/>
        <v>68.447010065127301</v>
      </c>
    </row>
    <row r="428" spans="1:8" s="213" customFormat="1" ht="31.5" x14ac:dyDescent="0.25">
      <c r="A428" s="23" t="s">
        <v>1122</v>
      </c>
      <c r="B428" s="24" t="s">
        <v>250</v>
      </c>
      <c r="C428" s="24" t="s">
        <v>231</v>
      </c>
      <c r="D428" s="24" t="s">
        <v>1120</v>
      </c>
      <c r="E428" s="24"/>
      <c r="F428" s="4">
        <f>F429+F432+F438</f>
        <v>1689</v>
      </c>
      <c r="G428" s="4">
        <f t="shared" ref="G428" si="211">G429+G432+G438</f>
        <v>1156.0700000000002</v>
      </c>
      <c r="H428" s="4">
        <f t="shared" si="198"/>
        <v>68.447010065127301</v>
      </c>
    </row>
    <row r="429" spans="1:8" ht="24" customHeight="1" x14ac:dyDescent="0.25">
      <c r="A429" s="25" t="s">
        <v>562</v>
      </c>
      <c r="B429" s="20" t="s">
        <v>250</v>
      </c>
      <c r="C429" s="20" t="s">
        <v>231</v>
      </c>
      <c r="D429" s="20" t="s">
        <v>1121</v>
      </c>
      <c r="E429" s="20"/>
      <c r="F429" s="6">
        <f t="shared" ref="F429:G430" si="212">F430</f>
        <v>635.59999999999991</v>
      </c>
      <c r="G429" s="358">
        <f t="shared" si="212"/>
        <v>635.42700000000002</v>
      </c>
      <c r="H429" s="358">
        <f t="shared" si="198"/>
        <v>99.972781623662698</v>
      </c>
    </row>
    <row r="430" spans="1:8" ht="31.5" x14ac:dyDescent="0.25">
      <c r="A430" s="25" t="s">
        <v>147</v>
      </c>
      <c r="B430" s="20" t="s">
        <v>250</v>
      </c>
      <c r="C430" s="20" t="s">
        <v>231</v>
      </c>
      <c r="D430" s="20" t="s">
        <v>1121</v>
      </c>
      <c r="E430" s="20" t="s">
        <v>148</v>
      </c>
      <c r="F430" s="6">
        <f t="shared" si="212"/>
        <v>635.59999999999991</v>
      </c>
      <c r="G430" s="358">
        <f t="shared" si="212"/>
        <v>635.42700000000002</v>
      </c>
      <c r="H430" s="358">
        <f t="shared" si="198"/>
        <v>99.972781623662698</v>
      </c>
    </row>
    <row r="431" spans="1:8" ht="47.25" x14ac:dyDescent="0.25">
      <c r="A431" s="25" t="s">
        <v>149</v>
      </c>
      <c r="B431" s="20" t="s">
        <v>250</v>
      </c>
      <c r="C431" s="20" t="s">
        <v>231</v>
      </c>
      <c r="D431" s="20" t="s">
        <v>1121</v>
      </c>
      <c r="E431" s="20" t="s">
        <v>150</v>
      </c>
      <c r="F431" s="6">
        <f>'Пр.4 ведом.20'!G1070</f>
        <v>635.59999999999991</v>
      </c>
      <c r="G431" s="358">
        <f>'Пр.4 ведом.20'!H1070</f>
        <v>635.42700000000002</v>
      </c>
      <c r="H431" s="358">
        <f t="shared" si="198"/>
        <v>99.972781623662698</v>
      </c>
    </row>
    <row r="432" spans="1:8" ht="15.75" x14ac:dyDescent="0.25">
      <c r="A432" s="25" t="s">
        <v>564</v>
      </c>
      <c r="B432" s="20" t="s">
        <v>250</v>
      </c>
      <c r="C432" s="20" t="s">
        <v>231</v>
      </c>
      <c r="D432" s="20" t="s">
        <v>1123</v>
      </c>
      <c r="E432" s="20"/>
      <c r="F432" s="6">
        <f>F433+F435</f>
        <v>1037.4000000000001</v>
      </c>
      <c r="G432" s="358">
        <f t="shared" ref="G432" si="213">G433+G435</f>
        <v>520.64300000000003</v>
      </c>
      <c r="H432" s="358">
        <f t="shared" si="198"/>
        <v>50.187295160979374</v>
      </c>
    </row>
    <row r="433" spans="1:8" ht="31.5" x14ac:dyDescent="0.25">
      <c r="A433" s="25" t="s">
        <v>147</v>
      </c>
      <c r="B433" s="20" t="s">
        <v>250</v>
      </c>
      <c r="C433" s="20" t="s">
        <v>231</v>
      </c>
      <c r="D433" s="20" t="s">
        <v>1123</v>
      </c>
      <c r="E433" s="20" t="s">
        <v>148</v>
      </c>
      <c r="F433" s="6">
        <f t="shared" ref="F433:G433" si="214">F434</f>
        <v>1037.4000000000001</v>
      </c>
      <c r="G433" s="358">
        <f t="shared" si="214"/>
        <v>520.64300000000003</v>
      </c>
      <c r="H433" s="358">
        <f t="shared" si="198"/>
        <v>50.187295160979374</v>
      </c>
    </row>
    <row r="434" spans="1:8" ht="47.25" x14ac:dyDescent="0.25">
      <c r="A434" s="25" t="s">
        <v>149</v>
      </c>
      <c r="B434" s="20" t="s">
        <v>250</v>
      </c>
      <c r="C434" s="20" t="s">
        <v>231</v>
      </c>
      <c r="D434" s="20" t="s">
        <v>1123</v>
      </c>
      <c r="E434" s="20" t="s">
        <v>150</v>
      </c>
      <c r="F434" s="6">
        <f>'Пр.4 ведом.20'!G1073</f>
        <v>1037.4000000000001</v>
      </c>
      <c r="G434" s="358">
        <f>'Пр.4 ведом.20'!H1073</f>
        <v>520.64300000000003</v>
      </c>
      <c r="H434" s="358">
        <f t="shared" si="198"/>
        <v>50.187295160979374</v>
      </c>
    </row>
    <row r="435" spans="1:8" ht="15.75" hidden="1" x14ac:dyDescent="0.25">
      <c r="A435" s="29" t="s">
        <v>151</v>
      </c>
      <c r="B435" s="20" t="s">
        <v>250</v>
      </c>
      <c r="C435" s="20" t="s">
        <v>231</v>
      </c>
      <c r="D435" s="20" t="s">
        <v>1123</v>
      </c>
      <c r="E435" s="20" t="s">
        <v>161</v>
      </c>
      <c r="F435" s="6">
        <f>F437+F436</f>
        <v>0</v>
      </c>
      <c r="G435" s="358">
        <f t="shared" ref="G435" si="215">G437+G436</f>
        <v>0</v>
      </c>
      <c r="H435" s="358" t="e">
        <f t="shared" si="198"/>
        <v>#DIV/0!</v>
      </c>
    </row>
    <row r="436" spans="1:8" s="213" customFormat="1" ht="47.25" hidden="1" x14ac:dyDescent="0.25">
      <c r="A436" s="25" t="s">
        <v>882</v>
      </c>
      <c r="B436" s="20" t="s">
        <v>250</v>
      </c>
      <c r="C436" s="20" t="s">
        <v>231</v>
      </c>
      <c r="D436" s="20" t="s">
        <v>1123</v>
      </c>
      <c r="E436" s="20" t="s">
        <v>163</v>
      </c>
      <c r="F436" s="6">
        <f>'Пр.4 ведом.20'!G1075</f>
        <v>0</v>
      </c>
      <c r="G436" s="358">
        <f>'Пр.4 ведом.20'!H1075</f>
        <v>0</v>
      </c>
      <c r="H436" s="358" t="e">
        <f t="shared" si="198"/>
        <v>#DIV/0!</v>
      </c>
    </row>
    <row r="437" spans="1:8" ht="15.75" hidden="1" x14ac:dyDescent="0.25">
      <c r="A437" s="29" t="s">
        <v>584</v>
      </c>
      <c r="B437" s="20" t="s">
        <v>250</v>
      </c>
      <c r="C437" s="20" t="s">
        <v>231</v>
      </c>
      <c r="D437" s="20" t="s">
        <v>1123</v>
      </c>
      <c r="E437" s="20" t="s">
        <v>154</v>
      </c>
      <c r="F437" s="6">
        <f>'Пр.4 ведом.20'!G1076</f>
        <v>0</v>
      </c>
      <c r="G437" s="358">
        <f>'Пр.4 ведом.20'!H1076</f>
        <v>0</v>
      </c>
      <c r="H437" s="358" t="e">
        <f t="shared" si="198"/>
        <v>#DIV/0!</v>
      </c>
    </row>
    <row r="438" spans="1:8" ht="15.75" x14ac:dyDescent="0.25">
      <c r="A438" s="25" t="s">
        <v>566</v>
      </c>
      <c r="B438" s="20" t="s">
        <v>250</v>
      </c>
      <c r="C438" s="20" t="s">
        <v>231</v>
      </c>
      <c r="D438" s="20" t="s">
        <v>1124</v>
      </c>
      <c r="E438" s="20"/>
      <c r="F438" s="6">
        <f t="shared" ref="F438:G439" si="216">F439</f>
        <v>16</v>
      </c>
      <c r="G438" s="358">
        <f t="shared" si="216"/>
        <v>0</v>
      </c>
      <c r="H438" s="358">
        <f t="shared" si="198"/>
        <v>0</v>
      </c>
    </row>
    <row r="439" spans="1:8" ht="31.5" x14ac:dyDescent="0.25">
      <c r="A439" s="25" t="s">
        <v>147</v>
      </c>
      <c r="B439" s="20" t="s">
        <v>250</v>
      </c>
      <c r="C439" s="20" t="s">
        <v>231</v>
      </c>
      <c r="D439" s="20" t="s">
        <v>1124</v>
      </c>
      <c r="E439" s="20" t="s">
        <v>148</v>
      </c>
      <c r="F439" s="6">
        <f t="shared" si="216"/>
        <v>16</v>
      </c>
      <c r="G439" s="358">
        <f t="shared" si="216"/>
        <v>0</v>
      </c>
      <c r="H439" s="358">
        <f t="shared" si="198"/>
        <v>0</v>
      </c>
    </row>
    <row r="440" spans="1:8" ht="47.25" x14ac:dyDescent="0.25">
      <c r="A440" s="25" t="s">
        <v>149</v>
      </c>
      <c r="B440" s="20" t="s">
        <v>250</v>
      </c>
      <c r="C440" s="20" t="s">
        <v>231</v>
      </c>
      <c r="D440" s="20" t="s">
        <v>1124</v>
      </c>
      <c r="E440" s="20" t="s">
        <v>150</v>
      </c>
      <c r="F440" s="6">
        <f>'Пр.4 ведом.20'!G1079</f>
        <v>16</v>
      </c>
      <c r="G440" s="358">
        <f>'Пр.4 ведом.20'!H1079</f>
        <v>0</v>
      </c>
      <c r="H440" s="358">
        <f t="shared" si="198"/>
        <v>0</v>
      </c>
    </row>
    <row r="441" spans="1:8" ht="47.25" x14ac:dyDescent="0.25">
      <c r="A441" s="23" t="s">
        <v>568</v>
      </c>
      <c r="B441" s="24" t="s">
        <v>250</v>
      </c>
      <c r="C441" s="24" t="s">
        <v>231</v>
      </c>
      <c r="D441" s="24" t="s">
        <v>569</v>
      </c>
      <c r="E441" s="24"/>
      <c r="F441" s="4">
        <f>F442+F457</f>
        <v>2458.8000000000002</v>
      </c>
      <c r="G441" s="4">
        <f t="shared" ref="G441" si="217">G442+G457</f>
        <v>527.78700000000003</v>
      </c>
      <c r="H441" s="4">
        <f t="shared" si="198"/>
        <v>21.465226939970716</v>
      </c>
    </row>
    <row r="442" spans="1:8" s="213" customFormat="1" ht="31.5" x14ac:dyDescent="0.25">
      <c r="A442" s="23" t="s">
        <v>1140</v>
      </c>
      <c r="B442" s="24" t="s">
        <v>250</v>
      </c>
      <c r="C442" s="24" t="s">
        <v>231</v>
      </c>
      <c r="D442" s="24" t="s">
        <v>1125</v>
      </c>
      <c r="E442" s="24"/>
      <c r="F442" s="4">
        <f>F443+F446+F449+F454</f>
        <v>544.29999999999995</v>
      </c>
      <c r="G442" s="4">
        <f t="shared" ref="G442" si="218">G443+G446+G449+G454</f>
        <v>527.78700000000003</v>
      </c>
      <c r="H442" s="4">
        <f t="shared" si="198"/>
        <v>96.966195112989169</v>
      </c>
    </row>
    <row r="443" spans="1:8" ht="15.75" x14ac:dyDescent="0.25">
      <c r="A443" s="25" t="s">
        <v>566</v>
      </c>
      <c r="B443" s="20" t="s">
        <v>250</v>
      </c>
      <c r="C443" s="20" t="s">
        <v>231</v>
      </c>
      <c r="D443" s="20" t="s">
        <v>1126</v>
      </c>
      <c r="E443" s="20"/>
      <c r="F443" s="6">
        <f>F444</f>
        <v>11</v>
      </c>
      <c r="G443" s="358">
        <f t="shared" ref="G443" si="219">G444</f>
        <v>0</v>
      </c>
      <c r="H443" s="358">
        <f t="shared" si="198"/>
        <v>0</v>
      </c>
    </row>
    <row r="444" spans="1:8" ht="31.5" x14ac:dyDescent="0.25">
      <c r="A444" s="25" t="s">
        <v>147</v>
      </c>
      <c r="B444" s="20" t="s">
        <v>250</v>
      </c>
      <c r="C444" s="20" t="s">
        <v>231</v>
      </c>
      <c r="D444" s="20" t="s">
        <v>1126</v>
      </c>
      <c r="E444" s="20" t="s">
        <v>148</v>
      </c>
      <c r="F444" s="6">
        <f t="shared" ref="F444:G444" si="220">F445</f>
        <v>11</v>
      </c>
      <c r="G444" s="358">
        <f t="shared" si="220"/>
        <v>0</v>
      </c>
      <c r="H444" s="358">
        <f t="shared" si="198"/>
        <v>0</v>
      </c>
    </row>
    <row r="445" spans="1:8" ht="47.25" x14ac:dyDescent="0.25">
      <c r="A445" s="25" t="s">
        <v>149</v>
      </c>
      <c r="B445" s="20" t="s">
        <v>250</v>
      </c>
      <c r="C445" s="20" t="s">
        <v>231</v>
      </c>
      <c r="D445" s="20" t="s">
        <v>1126</v>
      </c>
      <c r="E445" s="20" t="s">
        <v>150</v>
      </c>
      <c r="F445" s="6">
        <f>'Пр.4 ведом.20'!G1095</f>
        <v>11</v>
      </c>
      <c r="G445" s="358">
        <f>'Пр.4 ведом.20'!H1095</f>
        <v>0</v>
      </c>
      <c r="H445" s="358">
        <f t="shared" si="198"/>
        <v>0</v>
      </c>
    </row>
    <row r="446" spans="1:8" ht="15.75" x14ac:dyDescent="0.25">
      <c r="A446" s="25" t="s">
        <v>571</v>
      </c>
      <c r="B446" s="20" t="s">
        <v>250</v>
      </c>
      <c r="C446" s="20" t="s">
        <v>231</v>
      </c>
      <c r="D446" s="20" t="s">
        <v>1127</v>
      </c>
      <c r="E446" s="20"/>
      <c r="F446" s="6">
        <f t="shared" ref="F446:G447" si="221">F447</f>
        <v>43</v>
      </c>
      <c r="G446" s="358">
        <f t="shared" si="221"/>
        <v>38.130000000000003</v>
      </c>
      <c r="H446" s="358">
        <f t="shared" si="198"/>
        <v>88.67441860465118</v>
      </c>
    </row>
    <row r="447" spans="1:8" ht="31.5" x14ac:dyDescent="0.25">
      <c r="A447" s="25" t="s">
        <v>147</v>
      </c>
      <c r="B447" s="20" t="s">
        <v>250</v>
      </c>
      <c r="C447" s="20" t="s">
        <v>231</v>
      </c>
      <c r="D447" s="20" t="s">
        <v>1127</v>
      </c>
      <c r="E447" s="20" t="s">
        <v>148</v>
      </c>
      <c r="F447" s="6">
        <f t="shared" si="221"/>
        <v>43</v>
      </c>
      <c r="G447" s="358">
        <f t="shared" si="221"/>
        <v>38.130000000000003</v>
      </c>
      <c r="H447" s="358">
        <f t="shared" si="198"/>
        <v>88.67441860465118</v>
      </c>
    </row>
    <row r="448" spans="1:8" ht="47.25" x14ac:dyDescent="0.25">
      <c r="A448" s="25" t="s">
        <v>149</v>
      </c>
      <c r="B448" s="20" t="s">
        <v>250</v>
      </c>
      <c r="C448" s="20" t="s">
        <v>231</v>
      </c>
      <c r="D448" s="20" t="s">
        <v>1127</v>
      </c>
      <c r="E448" s="20" t="s">
        <v>150</v>
      </c>
      <c r="F448" s="6">
        <f>'Пр.4 ведом.20'!G1084</f>
        <v>43</v>
      </c>
      <c r="G448" s="358">
        <f>'Пр.4 ведом.20'!H1084</f>
        <v>38.130000000000003</v>
      </c>
      <c r="H448" s="358">
        <f t="shared" si="198"/>
        <v>88.67441860465118</v>
      </c>
    </row>
    <row r="449" spans="1:8" ht="47.25" x14ac:dyDescent="0.25">
      <c r="A449" s="99" t="s">
        <v>573</v>
      </c>
      <c r="B449" s="20" t="s">
        <v>250</v>
      </c>
      <c r="C449" s="20" t="s">
        <v>231</v>
      </c>
      <c r="D449" s="20" t="s">
        <v>1128</v>
      </c>
      <c r="E449" s="20"/>
      <c r="F449" s="6">
        <f>F450+F452</f>
        <v>490.3</v>
      </c>
      <c r="G449" s="358">
        <f t="shared" ref="G449" si="222">G450+G452</f>
        <v>489.65699999999998</v>
      </c>
      <c r="H449" s="358">
        <f t="shared" si="198"/>
        <v>99.86885580256984</v>
      </c>
    </row>
    <row r="450" spans="1:8" ht="31.5" x14ac:dyDescent="0.25">
      <c r="A450" s="25" t="s">
        <v>147</v>
      </c>
      <c r="B450" s="20" t="s">
        <v>250</v>
      </c>
      <c r="C450" s="20" t="s">
        <v>231</v>
      </c>
      <c r="D450" s="20" t="s">
        <v>1128</v>
      </c>
      <c r="E450" s="20" t="s">
        <v>148</v>
      </c>
      <c r="F450" s="6">
        <f t="shared" ref="F450:G450" si="223">F451</f>
        <v>490.3</v>
      </c>
      <c r="G450" s="358">
        <f t="shared" si="223"/>
        <v>489.65699999999998</v>
      </c>
      <c r="H450" s="358">
        <f t="shared" si="198"/>
        <v>99.86885580256984</v>
      </c>
    </row>
    <row r="451" spans="1:8" ht="47.25" x14ac:dyDescent="0.25">
      <c r="A451" s="25" t="s">
        <v>149</v>
      </c>
      <c r="B451" s="20" t="s">
        <v>250</v>
      </c>
      <c r="C451" s="20" t="s">
        <v>231</v>
      </c>
      <c r="D451" s="20" t="s">
        <v>1128</v>
      </c>
      <c r="E451" s="20" t="s">
        <v>150</v>
      </c>
      <c r="F451" s="6">
        <f>'Пр.4 ведом.20'!G1087</f>
        <v>490.3</v>
      </c>
      <c r="G451" s="358">
        <f>'Пр.4 ведом.20'!H1087</f>
        <v>489.65699999999998</v>
      </c>
      <c r="H451" s="358">
        <f t="shared" si="198"/>
        <v>99.86885580256984</v>
      </c>
    </row>
    <row r="452" spans="1:8" s="213" customFormat="1" ht="15.75" hidden="1" x14ac:dyDescent="0.25">
      <c r="A452" s="29" t="s">
        <v>151</v>
      </c>
      <c r="B452" s="20" t="s">
        <v>250</v>
      </c>
      <c r="C452" s="20" t="s">
        <v>231</v>
      </c>
      <c r="D452" s="20" t="s">
        <v>1128</v>
      </c>
      <c r="E452" s="20" t="s">
        <v>161</v>
      </c>
      <c r="F452" s="6">
        <f>F453</f>
        <v>0</v>
      </c>
      <c r="G452" s="358">
        <f t="shared" ref="G452" si="224">G453</f>
        <v>0</v>
      </c>
      <c r="H452" s="358" t="e">
        <f t="shared" si="198"/>
        <v>#DIV/0!</v>
      </c>
    </row>
    <row r="453" spans="1:8" s="213" customFormat="1" ht="15.75" hidden="1" x14ac:dyDescent="0.25">
      <c r="A453" s="29" t="s">
        <v>584</v>
      </c>
      <c r="B453" s="20" t="s">
        <v>250</v>
      </c>
      <c r="C453" s="20" t="s">
        <v>231</v>
      </c>
      <c r="D453" s="20" t="s">
        <v>1128</v>
      </c>
      <c r="E453" s="20" t="s">
        <v>154</v>
      </c>
      <c r="F453" s="6">
        <f>'Пр.4 ведом.20'!G1089</f>
        <v>0</v>
      </c>
      <c r="G453" s="358">
        <f>'Пр.4 ведом.20'!H1089</f>
        <v>0</v>
      </c>
      <c r="H453" s="358" t="e">
        <f t="shared" si="198"/>
        <v>#DIV/0!</v>
      </c>
    </row>
    <row r="454" spans="1:8" ht="15.75" hidden="1" x14ac:dyDescent="0.25">
      <c r="A454" s="99" t="s">
        <v>575</v>
      </c>
      <c r="B454" s="20" t="s">
        <v>250</v>
      </c>
      <c r="C454" s="20" t="s">
        <v>231</v>
      </c>
      <c r="D454" s="20" t="s">
        <v>1129</v>
      </c>
      <c r="E454" s="20"/>
      <c r="F454" s="6">
        <f t="shared" ref="F454:G455" si="225">F455</f>
        <v>0</v>
      </c>
      <c r="G454" s="358">
        <f t="shared" si="225"/>
        <v>0</v>
      </c>
      <c r="H454" s="358" t="e">
        <f t="shared" si="198"/>
        <v>#DIV/0!</v>
      </c>
    </row>
    <row r="455" spans="1:8" ht="31.5" hidden="1" x14ac:dyDescent="0.25">
      <c r="A455" s="25" t="s">
        <v>147</v>
      </c>
      <c r="B455" s="20" t="s">
        <v>250</v>
      </c>
      <c r="C455" s="20" t="s">
        <v>231</v>
      </c>
      <c r="D455" s="20" t="s">
        <v>1129</v>
      </c>
      <c r="E455" s="20" t="s">
        <v>148</v>
      </c>
      <c r="F455" s="6">
        <f t="shared" si="225"/>
        <v>0</v>
      </c>
      <c r="G455" s="358">
        <f t="shared" si="225"/>
        <v>0</v>
      </c>
      <c r="H455" s="358" t="e">
        <f t="shared" si="198"/>
        <v>#DIV/0!</v>
      </c>
    </row>
    <row r="456" spans="1:8" ht="47.25" hidden="1" x14ac:dyDescent="0.25">
      <c r="A456" s="25" t="s">
        <v>149</v>
      </c>
      <c r="B456" s="20" t="s">
        <v>250</v>
      </c>
      <c r="C456" s="20" t="s">
        <v>231</v>
      </c>
      <c r="D456" s="20" t="s">
        <v>1129</v>
      </c>
      <c r="E456" s="20" t="s">
        <v>150</v>
      </c>
      <c r="F456" s="6">
        <f>'Пр.4 ведом.20'!G1092</f>
        <v>0</v>
      </c>
      <c r="G456" s="358">
        <f>'Пр.4 ведом.20'!H1092</f>
        <v>0</v>
      </c>
      <c r="H456" s="358" t="e">
        <f t="shared" si="198"/>
        <v>#DIV/0!</v>
      </c>
    </row>
    <row r="457" spans="1:8" s="213" customFormat="1" ht="31.5" x14ac:dyDescent="0.25">
      <c r="A457" s="23" t="s">
        <v>950</v>
      </c>
      <c r="B457" s="7" t="s">
        <v>250</v>
      </c>
      <c r="C457" s="7" t="s">
        <v>231</v>
      </c>
      <c r="D457" s="24" t="s">
        <v>1130</v>
      </c>
      <c r="E457" s="24"/>
      <c r="F457" s="4">
        <f>F458+F461</f>
        <v>1914.5</v>
      </c>
      <c r="G457" s="4">
        <f t="shared" ref="G457" si="226">G458+G461</f>
        <v>0</v>
      </c>
      <c r="H457" s="4">
        <f t="shared" si="198"/>
        <v>0</v>
      </c>
    </row>
    <row r="458" spans="1:8" s="213" customFormat="1" ht="31.5" hidden="1" x14ac:dyDescent="0.25">
      <c r="A458" s="25" t="s">
        <v>707</v>
      </c>
      <c r="B458" s="20" t="s">
        <v>250</v>
      </c>
      <c r="C458" s="20" t="s">
        <v>231</v>
      </c>
      <c r="D458" s="20" t="s">
        <v>1131</v>
      </c>
      <c r="E458" s="20"/>
      <c r="F458" s="6">
        <f t="shared" ref="F458:G459" si="227">F459</f>
        <v>0</v>
      </c>
      <c r="G458" s="358">
        <f t="shared" si="227"/>
        <v>0</v>
      </c>
      <c r="H458" s="358" t="e">
        <f t="shared" si="198"/>
        <v>#DIV/0!</v>
      </c>
    </row>
    <row r="459" spans="1:8" s="213" customFormat="1" ht="31.5" hidden="1" x14ac:dyDescent="0.25">
      <c r="A459" s="25" t="s">
        <v>147</v>
      </c>
      <c r="B459" s="20" t="s">
        <v>250</v>
      </c>
      <c r="C459" s="20" t="s">
        <v>231</v>
      </c>
      <c r="D459" s="20" t="s">
        <v>1131</v>
      </c>
      <c r="E459" s="20" t="s">
        <v>148</v>
      </c>
      <c r="F459" s="6">
        <f>F460</f>
        <v>0</v>
      </c>
      <c r="G459" s="358">
        <f t="shared" si="227"/>
        <v>0</v>
      </c>
      <c r="H459" s="358" t="e">
        <f t="shared" ref="H459:H522" si="228">G459/F459*100</f>
        <v>#DIV/0!</v>
      </c>
    </row>
    <row r="460" spans="1:8" s="213" customFormat="1" ht="47.25" hidden="1" x14ac:dyDescent="0.25">
      <c r="A460" s="25" t="s">
        <v>149</v>
      </c>
      <c r="B460" s="20" t="s">
        <v>250</v>
      </c>
      <c r="C460" s="20" t="s">
        <v>231</v>
      </c>
      <c r="D460" s="20" t="s">
        <v>1131</v>
      </c>
      <c r="E460" s="20" t="s">
        <v>150</v>
      </c>
      <c r="F460" s="6">
        <f>'Пр.4 ведом.20'!G1099</f>
        <v>0</v>
      </c>
      <c r="G460" s="358">
        <f>'Пр.4 ведом.20'!H1099</f>
        <v>0</v>
      </c>
      <c r="H460" s="358" t="e">
        <f t="shared" si="228"/>
        <v>#DIV/0!</v>
      </c>
    </row>
    <row r="461" spans="1:8" s="213" customFormat="1" ht="63" x14ac:dyDescent="0.25">
      <c r="A461" s="25" t="s">
        <v>1249</v>
      </c>
      <c r="B461" s="20" t="s">
        <v>250</v>
      </c>
      <c r="C461" s="20" t="s">
        <v>231</v>
      </c>
      <c r="D461" s="20" t="s">
        <v>1250</v>
      </c>
      <c r="E461" s="20"/>
      <c r="F461" s="6">
        <f>F462</f>
        <v>1914.5</v>
      </c>
      <c r="G461" s="358">
        <f t="shared" ref="G461:G462" si="229">G462</f>
        <v>0</v>
      </c>
      <c r="H461" s="358">
        <f t="shared" si="228"/>
        <v>0</v>
      </c>
    </row>
    <row r="462" spans="1:8" s="213" customFormat="1" ht="31.5" x14ac:dyDescent="0.25">
      <c r="A462" s="25" t="s">
        <v>147</v>
      </c>
      <c r="B462" s="20" t="s">
        <v>250</v>
      </c>
      <c r="C462" s="20" t="s">
        <v>231</v>
      </c>
      <c r="D462" s="20" t="s">
        <v>1250</v>
      </c>
      <c r="E462" s="20" t="s">
        <v>148</v>
      </c>
      <c r="F462" s="6">
        <f>F463</f>
        <v>1914.5</v>
      </c>
      <c r="G462" s="358">
        <f t="shared" si="229"/>
        <v>0</v>
      </c>
      <c r="H462" s="358">
        <f t="shared" si="228"/>
        <v>0</v>
      </c>
    </row>
    <row r="463" spans="1:8" s="213" customFormat="1" ht="47.25" x14ac:dyDescent="0.25">
      <c r="A463" s="25" t="s">
        <v>149</v>
      </c>
      <c r="B463" s="20" t="s">
        <v>250</v>
      </c>
      <c r="C463" s="20" t="s">
        <v>231</v>
      </c>
      <c r="D463" s="20" t="s">
        <v>1250</v>
      </c>
      <c r="E463" s="20" t="s">
        <v>150</v>
      </c>
      <c r="F463" s="6">
        <f>'Пр.4 ведом.20'!G1102</f>
        <v>1914.5</v>
      </c>
      <c r="G463" s="358">
        <f>'Пр.4 ведом.20'!H1102</f>
        <v>0</v>
      </c>
      <c r="H463" s="358">
        <f t="shared" si="228"/>
        <v>0</v>
      </c>
    </row>
    <row r="464" spans="1:8" ht="63" hidden="1" x14ac:dyDescent="0.25">
      <c r="A464" s="23" t="s">
        <v>822</v>
      </c>
      <c r="B464" s="24" t="s">
        <v>250</v>
      </c>
      <c r="C464" s="24" t="s">
        <v>231</v>
      </c>
      <c r="D464" s="24" t="s">
        <v>734</v>
      </c>
      <c r="E464" s="24"/>
      <c r="F464" s="4">
        <f t="shared" ref="F464:G464" si="230">F466</f>
        <v>0</v>
      </c>
      <c r="G464" s="4">
        <f t="shared" si="230"/>
        <v>0</v>
      </c>
      <c r="H464" s="358" t="e">
        <f t="shared" si="228"/>
        <v>#DIV/0!</v>
      </c>
    </row>
    <row r="465" spans="1:8" s="213" customFormat="1" ht="31.5" hidden="1" x14ac:dyDescent="0.25">
      <c r="A465" s="23" t="s">
        <v>1245</v>
      </c>
      <c r="B465" s="24" t="s">
        <v>250</v>
      </c>
      <c r="C465" s="24" t="s">
        <v>231</v>
      </c>
      <c r="D465" s="24" t="s">
        <v>881</v>
      </c>
      <c r="E465" s="20"/>
      <c r="F465" s="4">
        <f>F466</f>
        <v>0</v>
      </c>
      <c r="G465" s="4">
        <f t="shared" ref="G465" si="231">G466</f>
        <v>0</v>
      </c>
      <c r="H465" s="358" t="e">
        <f t="shared" si="228"/>
        <v>#DIV/0!</v>
      </c>
    </row>
    <row r="466" spans="1:8" ht="31.5" hidden="1" x14ac:dyDescent="0.25">
      <c r="A466" s="268" t="s">
        <v>733</v>
      </c>
      <c r="B466" s="20" t="s">
        <v>250</v>
      </c>
      <c r="C466" s="20" t="s">
        <v>231</v>
      </c>
      <c r="D466" s="20" t="s">
        <v>881</v>
      </c>
      <c r="E466" s="20"/>
      <c r="F466" s="6">
        <f t="shared" ref="F466:G467" si="232">F467</f>
        <v>0</v>
      </c>
      <c r="G466" s="358">
        <f t="shared" si="232"/>
        <v>0</v>
      </c>
      <c r="H466" s="358" t="e">
        <f t="shared" si="228"/>
        <v>#DIV/0!</v>
      </c>
    </row>
    <row r="467" spans="1:8" ht="31.5" hidden="1" x14ac:dyDescent="0.25">
      <c r="A467" s="25" t="s">
        <v>147</v>
      </c>
      <c r="B467" s="20" t="s">
        <v>250</v>
      </c>
      <c r="C467" s="20" t="s">
        <v>231</v>
      </c>
      <c r="D467" s="20" t="s">
        <v>881</v>
      </c>
      <c r="E467" s="20" t="s">
        <v>148</v>
      </c>
      <c r="F467" s="6">
        <f t="shared" si="232"/>
        <v>0</v>
      </c>
      <c r="G467" s="358">
        <f t="shared" si="232"/>
        <v>0</v>
      </c>
      <c r="H467" s="358" t="e">
        <f t="shared" si="228"/>
        <v>#DIV/0!</v>
      </c>
    </row>
    <row r="468" spans="1:8" ht="47.25" hidden="1" x14ac:dyDescent="0.25">
      <c r="A468" s="25" t="s">
        <v>149</v>
      </c>
      <c r="B468" s="20" t="s">
        <v>250</v>
      </c>
      <c r="C468" s="20" t="s">
        <v>231</v>
      </c>
      <c r="D468" s="20" t="s">
        <v>881</v>
      </c>
      <c r="E468" s="20" t="s">
        <v>150</v>
      </c>
      <c r="F468" s="6">
        <f>'Пр.4 ведом.20'!G1107</f>
        <v>0</v>
      </c>
      <c r="G468" s="358">
        <f>'Пр.4 ведом.20'!H1107</f>
        <v>0</v>
      </c>
      <c r="H468" s="358" t="e">
        <f t="shared" si="228"/>
        <v>#DIV/0!</v>
      </c>
    </row>
    <row r="469" spans="1:8" ht="31.5" x14ac:dyDescent="0.25">
      <c r="A469" s="41" t="s">
        <v>585</v>
      </c>
      <c r="B469" s="7" t="s">
        <v>250</v>
      </c>
      <c r="C469" s="7" t="s">
        <v>250</v>
      </c>
      <c r="D469" s="7"/>
      <c r="E469" s="7"/>
      <c r="F469" s="4">
        <f>F470+F482+F501</f>
        <v>23428.5</v>
      </c>
      <c r="G469" s="4">
        <f t="shared" ref="G469" si="233">G470+G482+G501</f>
        <v>16143.080999999998</v>
      </c>
      <c r="H469" s="4">
        <f t="shared" si="228"/>
        <v>68.903604584160306</v>
      </c>
    </row>
    <row r="470" spans="1:8" ht="31.5" x14ac:dyDescent="0.25">
      <c r="A470" s="23" t="s">
        <v>990</v>
      </c>
      <c r="B470" s="24" t="s">
        <v>250</v>
      </c>
      <c r="C470" s="24" t="s">
        <v>250</v>
      </c>
      <c r="D470" s="24" t="s">
        <v>904</v>
      </c>
      <c r="E470" s="24"/>
      <c r="F470" s="4">
        <f>F471</f>
        <v>11676.5</v>
      </c>
      <c r="G470" s="4">
        <f t="shared" ref="G470" si="234">G471</f>
        <v>7584.195999999999</v>
      </c>
      <c r="H470" s="4">
        <f t="shared" si="228"/>
        <v>64.952648481993734</v>
      </c>
    </row>
    <row r="471" spans="1:8" ht="15.75" x14ac:dyDescent="0.25">
      <c r="A471" s="23" t="s">
        <v>991</v>
      </c>
      <c r="B471" s="24" t="s">
        <v>250</v>
      </c>
      <c r="C471" s="24" t="s">
        <v>250</v>
      </c>
      <c r="D471" s="24" t="s">
        <v>905</v>
      </c>
      <c r="E471" s="24"/>
      <c r="F471" s="4">
        <f>F472+F479</f>
        <v>11676.5</v>
      </c>
      <c r="G471" s="4">
        <f t="shared" ref="G471" si="235">G472+G479</f>
        <v>7584.195999999999</v>
      </c>
      <c r="H471" s="4">
        <f t="shared" si="228"/>
        <v>64.952648481993734</v>
      </c>
    </row>
    <row r="472" spans="1:8" ht="31.5" x14ac:dyDescent="0.25">
      <c r="A472" s="25" t="s">
        <v>967</v>
      </c>
      <c r="B472" s="20" t="s">
        <v>250</v>
      </c>
      <c r="C472" s="20" t="s">
        <v>250</v>
      </c>
      <c r="D472" s="20" t="s">
        <v>906</v>
      </c>
      <c r="E472" s="20"/>
      <c r="F472" s="6">
        <f t="shared" ref="F472:G472" si="236">F473+F475+F477</f>
        <v>11035.5</v>
      </c>
      <c r="G472" s="358">
        <f t="shared" si="236"/>
        <v>6949.1079999999993</v>
      </c>
      <c r="H472" s="358">
        <f t="shared" si="228"/>
        <v>62.970486158307267</v>
      </c>
    </row>
    <row r="473" spans="1:8" ht="81.75" customHeight="1" x14ac:dyDescent="0.25">
      <c r="A473" s="25" t="s">
        <v>143</v>
      </c>
      <c r="B473" s="20" t="s">
        <v>250</v>
      </c>
      <c r="C473" s="20" t="s">
        <v>250</v>
      </c>
      <c r="D473" s="20" t="s">
        <v>906</v>
      </c>
      <c r="E473" s="20" t="s">
        <v>144</v>
      </c>
      <c r="F473" s="303">
        <f t="shared" ref="F473:G473" si="237">F474</f>
        <v>10963.5</v>
      </c>
      <c r="G473" s="303">
        <f t="shared" si="237"/>
        <v>6920.4579999999996</v>
      </c>
      <c r="H473" s="358">
        <f t="shared" si="228"/>
        <v>63.122707164682815</v>
      </c>
    </row>
    <row r="474" spans="1:8" ht="31.5" x14ac:dyDescent="0.25">
      <c r="A474" s="25" t="s">
        <v>145</v>
      </c>
      <c r="B474" s="20" t="s">
        <v>250</v>
      </c>
      <c r="C474" s="20" t="s">
        <v>250</v>
      </c>
      <c r="D474" s="20" t="s">
        <v>906</v>
      </c>
      <c r="E474" s="20" t="s">
        <v>146</v>
      </c>
      <c r="F474" s="303">
        <f>'Пр.4 ведом.20'!G1113</f>
        <v>10963.5</v>
      </c>
      <c r="G474" s="303">
        <f>'Пр.4 ведом.20'!H1113</f>
        <v>6920.4579999999996</v>
      </c>
      <c r="H474" s="358">
        <f t="shared" si="228"/>
        <v>63.122707164682815</v>
      </c>
    </row>
    <row r="475" spans="1:8" ht="31.5" x14ac:dyDescent="0.25">
      <c r="A475" s="25" t="s">
        <v>147</v>
      </c>
      <c r="B475" s="20" t="s">
        <v>250</v>
      </c>
      <c r="C475" s="20" t="s">
        <v>250</v>
      </c>
      <c r="D475" s="20" t="s">
        <v>906</v>
      </c>
      <c r="E475" s="20" t="s">
        <v>148</v>
      </c>
      <c r="F475" s="303">
        <f t="shared" ref="F475:G475" si="238">F476</f>
        <v>25</v>
      </c>
      <c r="G475" s="303">
        <f t="shared" si="238"/>
        <v>0</v>
      </c>
      <c r="H475" s="358">
        <f t="shared" si="228"/>
        <v>0</v>
      </c>
    </row>
    <row r="476" spans="1:8" ht="47.25" x14ac:dyDescent="0.25">
      <c r="A476" s="25" t="s">
        <v>149</v>
      </c>
      <c r="B476" s="20" t="s">
        <v>250</v>
      </c>
      <c r="C476" s="20" t="s">
        <v>250</v>
      </c>
      <c r="D476" s="20" t="s">
        <v>906</v>
      </c>
      <c r="E476" s="20" t="s">
        <v>150</v>
      </c>
      <c r="F476" s="303">
        <f>'Пр.4 ведом.20'!G1115</f>
        <v>25</v>
      </c>
      <c r="G476" s="303">
        <f>'Пр.4 ведом.20'!H1115</f>
        <v>0</v>
      </c>
      <c r="H476" s="358">
        <f t="shared" si="228"/>
        <v>0</v>
      </c>
    </row>
    <row r="477" spans="1:8" ht="15.75" x14ac:dyDescent="0.25">
      <c r="A477" s="25" t="s">
        <v>151</v>
      </c>
      <c r="B477" s="20" t="s">
        <v>250</v>
      </c>
      <c r="C477" s="20" t="s">
        <v>250</v>
      </c>
      <c r="D477" s="20" t="s">
        <v>906</v>
      </c>
      <c r="E477" s="20" t="s">
        <v>161</v>
      </c>
      <c r="F477" s="303">
        <f t="shared" ref="F477:G477" si="239">F478</f>
        <v>47</v>
      </c>
      <c r="G477" s="303">
        <f t="shared" si="239"/>
        <v>28.65</v>
      </c>
      <c r="H477" s="358">
        <f t="shared" si="228"/>
        <v>60.957446808510639</v>
      </c>
    </row>
    <row r="478" spans="1:8" ht="15.75" x14ac:dyDescent="0.25">
      <c r="A478" s="25" t="s">
        <v>584</v>
      </c>
      <c r="B478" s="20" t="s">
        <v>250</v>
      </c>
      <c r="C478" s="20" t="s">
        <v>250</v>
      </c>
      <c r="D478" s="20" t="s">
        <v>906</v>
      </c>
      <c r="E478" s="20" t="s">
        <v>154</v>
      </c>
      <c r="F478" s="303">
        <f>'Пр.4 ведом.20'!G1117</f>
        <v>47</v>
      </c>
      <c r="G478" s="303">
        <f>'Пр.4 ведом.20'!H1117</f>
        <v>28.65</v>
      </c>
      <c r="H478" s="358">
        <f t="shared" si="228"/>
        <v>60.957446808510639</v>
      </c>
    </row>
    <row r="479" spans="1:8" s="213" customFormat="1" ht="47.25" x14ac:dyDescent="0.25">
      <c r="A479" s="25" t="s">
        <v>885</v>
      </c>
      <c r="B479" s="20" t="s">
        <v>250</v>
      </c>
      <c r="C479" s="20" t="s">
        <v>250</v>
      </c>
      <c r="D479" s="20" t="s">
        <v>908</v>
      </c>
      <c r="E479" s="20"/>
      <c r="F479" s="303">
        <f>F480</f>
        <v>641</v>
      </c>
      <c r="G479" s="303">
        <f t="shared" ref="G479:G480" si="240">G480</f>
        <v>635.08799999999997</v>
      </c>
      <c r="H479" s="358">
        <f t="shared" si="228"/>
        <v>99.077691107644313</v>
      </c>
    </row>
    <row r="480" spans="1:8" s="213" customFormat="1" ht="78.75" x14ac:dyDescent="0.25">
      <c r="A480" s="25" t="s">
        <v>143</v>
      </c>
      <c r="B480" s="20" t="s">
        <v>250</v>
      </c>
      <c r="C480" s="20" t="s">
        <v>250</v>
      </c>
      <c r="D480" s="20" t="s">
        <v>908</v>
      </c>
      <c r="E480" s="20" t="s">
        <v>144</v>
      </c>
      <c r="F480" s="303">
        <f>F481</f>
        <v>641</v>
      </c>
      <c r="G480" s="303">
        <f t="shared" si="240"/>
        <v>635.08799999999997</v>
      </c>
      <c r="H480" s="358">
        <f t="shared" si="228"/>
        <v>99.077691107644313</v>
      </c>
    </row>
    <row r="481" spans="1:8" s="213" customFormat="1" ht="31.5" x14ac:dyDescent="0.25">
      <c r="A481" s="25" t="s">
        <v>145</v>
      </c>
      <c r="B481" s="20" t="s">
        <v>250</v>
      </c>
      <c r="C481" s="20" t="s">
        <v>250</v>
      </c>
      <c r="D481" s="20" t="s">
        <v>908</v>
      </c>
      <c r="E481" s="20" t="s">
        <v>146</v>
      </c>
      <c r="F481" s="303">
        <f>'Пр.4 ведом.20'!G1120</f>
        <v>641</v>
      </c>
      <c r="G481" s="303">
        <f>'Пр.4 ведом.20'!H1120</f>
        <v>635.08799999999997</v>
      </c>
      <c r="H481" s="358">
        <f t="shared" si="228"/>
        <v>99.077691107644313</v>
      </c>
    </row>
    <row r="482" spans="1:8" ht="15.75" x14ac:dyDescent="0.25">
      <c r="A482" s="23" t="s">
        <v>157</v>
      </c>
      <c r="B482" s="24" t="s">
        <v>250</v>
      </c>
      <c r="C482" s="24" t="s">
        <v>250</v>
      </c>
      <c r="D482" s="24" t="s">
        <v>912</v>
      </c>
      <c r="E482" s="24"/>
      <c r="F482" s="4">
        <f>F483+F492</f>
        <v>11695</v>
      </c>
      <c r="G482" s="4">
        <f t="shared" ref="G482" si="241">G483+G492</f>
        <v>8558.8850000000002</v>
      </c>
      <c r="H482" s="4">
        <f t="shared" si="228"/>
        <v>73.18413852073536</v>
      </c>
    </row>
    <row r="483" spans="1:8" ht="31.5" x14ac:dyDescent="0.25">
      <c r="A483" s="23" t="s">
        <v>916</v>
      </c>
      <c r="B483" s="24" t="s">
        <v>250</v>
      </c>
      <c r="C483" s="24" t="s">
        <v>250</v>
      </c>
      <c r="D483" s="24" t="s">
        <v>911</v>
      </c>
      <c r="E483" s="24"/>
      <c r="F483" s="305">
        <f>F484+F489</f>
        <v>1462</v>
      </c>
      <c r="G483" s="305">
        <f t="shared" ref="G483" si="242">G484+G489</f>
        <v>1285.9369999999999</v>
      </c>
      <c r="H483" s="4">
        <f t="shared" si="228"/>
        <v>87.957387140902867</v>
      </c>
    </row>
    <row r="484" spans="1:8" ht="31.5" x14ac:dyDescent="0.25">
      <c r="A484" s="25" t="s">
        <v>586</v>
      </c>
      <c r="B484" s="20" t="s">
        <v>250</v>
      </c>
      <c r="C484" s="20" t="s">
        <v>250</v>
      </c>
      <c r="D484" s="20" t="s">
        <v>1132</v>
      </c>
      <c r="E484" s="20"/>
      <c r="F484" s="303">
        <f>F487+F485</f>
        <v>1462</v>
      </c>
      <c r="G484" s="303">
        <f t="shared" ref="G484" si="243">G487+G485</f>
        <v>1285.9369999999999</v>
      </c>
      <c r="H484" s="358">
        <f t="shared" si="228"/>
        <v>87.957387140902867</v>
      </c>
    </row>
    <row r="485" spans="1:8" s="213" customFormat="1" ht="31.5" x14ac:dyDescent="0.25">
      <c r="A485" s="25" t="s">
        <v>147</v>
      </c>
      <c r="B485" s="20" t="s">
        <v>250</v>
      </c>
      <c r="C485" s="20" t="s">
        <v>250</v>
      </c>
      <c r="D485" s="20" t="s">
        <v>1132</v>
      </c>
      <c r="E485" s="20" t="s">
        <v>148</v>
      </c>
      <c r="F485" s="303">
        <f>F486</f>
        <v>480</v>
      </c>
      <c r="G485" s="303">
        <f t="shared" ref="G485" si="244">G486</f>
        <v>480</v>
      </c>
      <c r="H485" s="358">
        <f t="shared" si="228"/>
        <v>100</v>
      </c>
    </row>
    <row r="486" spans="1:8" s="213" customFormat="1" ht="47.25" x14ac:dyDescent="0.25">
      <c r="A486" s="25" t="s">
        <v>149</v>
      </c>
      <c r="B486" s="20" t="s">
        <v>250</v>
      </c>
      <c r="C486" s="20" t="s">
        <v>250</v>
      </c>
      <c r="D486" s="20" t="s">
        <v>1132</v>
      </c>
      <c r="E486" s="20" t="s">
        <v>150</v>
      </c>
      <c r="F486" s="303">
        <f>'Пр.4 ведом.20'!G1125</f>
        <v>480</v>
      </c>
      <c r="G486" s="303">
        <f>'Пр.4 ведом.20'!H1125</f>
        <v>480</v>
      </c>
      <c r="H486" s="358">
        <f t="shared" si="228"/>
        <v>100</v>
      </c>
    </row>
    <row r="487" spans="1:8" ht="15.75" x14ac:dyDescent="0.25">
      <c r="A487" s="25" t="s">
        <v>151</v>
      </c>
      <c r="B487" s="20" t="s">
        <v>250</v>
      </c>
      <c r="C487" s="20" t="s">
        <v>250</v>
      </c>
      <c r="D487" s="20" t="s">
        <v>1132</v>
      </c>
      <c r="E487" s="20" t="s">
        <v>161</v>
      </c>
      <c r="F487" s="303">
        <f>F488</f>
        <v>982</v>
      </c>
      <c r="G487" s="303">
        <f t="shared" ref="G487" si="245">G488</f>
        <v>805.93700000000001</v>
      </c>
      <c r="H487" s="358">
        <f t="shared" si="228"/>
        <v>82.070977596741344</v>
      </c>
    </row>
    <row r="488" spans="1:8" ht="47.25" x14ac:dyDescent="0.25">
      <c r="A488" s="25" t="s">
        <v>200</v>
      </c>
      <c r="B488" s="20" t="s">
        <v>250</v>
      </c>
      <c r="C488" s="20" t="s">
        <v>250</v>
      </c>
      <c r="D488" s="20" t="s">
        <v>1132</v>
      </c>
      <c r="E488" s="20" t="s">
        <v>176</v>
      </c>
      <c r="F488" s="6">
        <f>'Пр.4 ведом.20'!G1127</f>
        <v>982</v>
      </c>
      <c r="G488" s="358">
        <f>'Пр.4 ведом.20'!H1127</f>
        <v>805.93700000000001</v>
      </c>
      <c r="H488" s="358">
        <f t="shared" si="228"/>
        <v>82.070977596741344</v>
      </c>
    </row>
    <row r="489" spans="1:8" ht="31.5" hidden="1" x14ac:dyDescent="0.25">
      <c r="A489" s="25" t="s">
        <v>868</v>
      </c>
      <c r="B489" s="20" t="s">
        <v>250</v>
      </c>
      <c r="C489" s="20" t="s">
        <v>250</v>
      </c>
      <c r="D489" s="20" t="s">
        <v>1251</v>
      </c>
      <c r="E489" s="20"/>
      <c r="F489" s="303">
        <f t="shared" ref="F489:G490" si="246">F490</f>
        <v>0</v>
      </c>
      <c r="G489" s="303">
        <f t="shared" si="246"/>
        <v>0</v>
      </c>
      <c r="H489" s="358" t="e">
        <f t="shared" si="228"/>
        <v>#DIV/0!</v>
      </c>
    </row>
    <row r="490" spans="1:8" ht="15.75" hidden="1" x14ac:dyDescent="0.25">
      <c r="A490" s="25" t="s">
        <v>151</v>
      </c>
      <c r="B490" s="20" t="s">
        <v>250</v>
      </c>
      <c r="C490" s="20" t="s">
        <v>250</v>
      </c>
      <c r="D490" s="20" t="s">
        <v>1251</v>
      </c>
      <c r="E490" s="20" t="s">
        <v>161</v>
      </c>
      <c r="F490" s="303">
        <f>F491</f>
        <v>0</v>
      </c>
      <c r="G490" s="303">
        <f t="shared" si="246"/>
        <v>0</v>
      </c>
      <c r="H490" s="358" t="e">
        <f t="shared" si="228"/>
        <v>#DIV/0!</v>
      </c>
    </row>
    <row r="491" spans="1:8" ht="47.25" hidden="1" x14ac:dyDescent="0.25">
      <c r="A491" s="25" t="s">
        <v>200</v>
      </c>
      <c r="B491" s="20" t="s">
        <v>250</v>
      </c>
      <c r="C491" s="20" t="s">
        <v>250</v>
      </c>
      <c r="D491" s="20" t="s">
        <v>1251</v>
      </c>
      <c r="E491" s="20" t="s">
        <v>176</v>
      </c>
      <c r="F491" s="303">
        <f>'Пр.4 ведом.20'!G1130</f>
        <v>0</v>
      </c>
      <c r="G491" s="303">
        <f>'Пр.4 ведом.20'!H1130</f>
        <v>0</v>
      </c>
      <c r="H491" s="358" t="e">
        <f t="shared" si="228"/>
        <v>#DIV/0!</v>
      </c>
    </row>
    <row r="492" spans="1:8" ht="31.5" x14ac:dyDescent="0.25">
      <c r="A492" s="23" t="s">
        <v>1002</v>
      </c>
      <c r="B492" s="24" t="s">
        <v>250</v>
      </c>
      <c r="C492" s="24" t="s">
        <v>250</v>
      </c>
      <c r="D492" s="24" t="s">
        <v>987</v>
      </c>
      <c r="E492" s="24"/>
      <c r="F492" s="305">
        <f>F493+F498</f>
        <v>10233</v>
      </c>
      <c r="G492" s="305">
        <f t="shared" ref="G492" si="247">G493+G498</f>
        <v>7272.9480000000003</v>
      </c>
      <c r="H492" s="4">
        <f t="shared" si="228"/>
        <v>71.07346819114629</v>
      </c>
    </row>
    <row r="493" spans="1:8" ht="31.5" x14ac:dyDescent="0.25">
      <c r="A493" s="25" t="s">
        <v>974</v>
      </c>
      <c r="B493" s="20" t="s">
        <v>250</v>
      </c>
      <c r="C493" s="20" t="s">
        <v>250</v>
      </c>
      <c r="D493" s="20" t="s">
        <v>988</v>
      </c>
      <c r="E493" s="20"/>
      <c r="F493" s="303">
        <f>F494+F496</f>
        <v>10107</v>
      </c>
      <c r="G493" s="303">
        <f t="shared" ref="G493" si="248">G494+G496</f>
        <v>7146.9480000000003</v>
      </c>
      <c r="H493" s="358">
        <f t="shared" si="228"/>
        <v>70.712852478480258</v>
      </c>
    </row>
    <row r="494" spans="1:8" ht="78.75" x14ac:dyDescent="0.25">
      <c r="A494" s="25" t="s">
        <v>143</v>
      </c>
      <c r="B494" s="20" t="s">
        <v>250</v>
      </c>
      <c r="C494" s="20" t="s">
        <v>250</v>
      </c>
      <c r="D494" s="20" t="s">
        <v>988</v>
      </c>
      <c r="E494" s="20" t="s">
        <v>144</v>
      </c>
      <c r="F494" s="303">
        <f>F495</f>
        <v>8484.1</v>
      </c>
      <c r="G494" s="303">
        <f t="shared" ref="G494" si="249">G495</f>
        <v>6125.25</v>
      </c>
      <c r="H494" s="358">
        <f t="shared" si="228"/>
        <v>72.196815219056816</v>
      </c>
    </row>
    <row r="495" spans="1:8" ht="31.5" x14ac:dyDescent="0.25">
      <c r="A495" s="25" t="s">
        <v>358</v>
      </c>
      <c r="B495" s="20" t="s">
        <v>250</v>
      </c>
      <c r="C495" s="20" t="s">
        <v>250</v>
      </c>
      <c r="D495" s="20" t="s">
        <v>988</v>
      </c>
      <c r="E495" s="20" t="s">
        <v>225</v>
      </c>
      <c r="F495" s="303">
        <f>'Пр.4 ведом.20'!G1134</f>
        <v>8484.1</v>
      </c>
      <c r="G495" s="303">
        <f>'Пр.4 ведом.20'!H1134</f>
        <v>6125.25</v>
      </c>
      <c r="H495" s="358">
        <f t="shared" si="228"/>
        <v>72.196815219056816</v>
      </c>
    </row>
    <row r="496" spans="1:8" s="213" customFormat="1" ht="31.5" x14ac:dyDescent="0.25">
      <c r="A496" s="25" t="s">
        <v>147</v>
      </c>
      <c r="B496" s="20" t="s">
        <v>250</v>
      </c>
      <c r="C496" s="20" t="s">
        <v>250</v>
      </c>
      <c r="D496" s="20" t="s">
        <v>988</v>
      </c>
      <c r="E496" s="20" t="s">
        <v>148</v>
      </c>
      <c r="F496" s="303">
        <f>F497</f>
        <v>1622.9</v>
      </c>
      <c r="G496" s="303">
        <f t="shared" ref="G496" si="250">G497</f>
        <v>1021.698</v>
      </c>
      <c r="H496" s="358">
        <f t="shared" si="228"/>
        <v>62.955080411608847</v>
      </c>
    </row>
    <row r="497" spans="1:10" s="213" customFormat="1" ht="47.25" x14ac:dyDescent="0.25">
      <c r="A497" s="25" t="s">
        <v>149</v>
      </c>
      <c r="B497" s="20" t="s">
        <v>250</v>
      </c>
      <c r="C497" s="20" t="s">
        <v>250</v>
      </c>
      <c r="D497" s="20" t="s">
        <v>988</v>
      </c>
      <c r="E497" s="20" t="s">
        <v>150</v>
      </c>
      <c r="F497" s="303">
        <f>'Пр.4 ведом.20'!G1136</f>
        <v>1622.9</v>
      </c>
      <c r="G497" s="303">
        <f>'Пр.4 ведом.20'!H1136</f>
        <v>1021.698</v>
      </c>
      <c r="H497" s="358">
        <f t="shared" si="228"/>
        <v>62.955080411608847</v>
      </c>
    </row>
    <row r="498" spans="1:10" s="213" customFormat="1" ht="47.25" x14ac:dyDescent="0.25">
      <c r="A498" s="25" t="s">
        <v>885</v>
      </c>
      <c r="B498" s="20" t="s">
        <v>250</v>
      </c>
      <c r="C498" s="20" t="s">
        <v>250</v>
      </c>
      <c r="D498" s="20" t="s">
        <v>989</v>
      </c>
      <c r="E498" s="20"/>
      <c r="F498" s="303">
        <f>F499</f>
        <v>126</v>
      </c>
      <c r="G498" s="303">
        <f t="shared" ref="G498:G499" si="251">G499</f>
        <v>126</v>
      </c>
      <c r="H498" s="358">
        <f t="shared" si="228"/>
        <v>100</v>
      </c>
    </row>
    <row r="499" spans="1:10" s="213" customFormat="1" ht="78.75" x14ac:dyDescent="0.25">
      <c r="A499" s="25" t="s">
        <v>143</v>
      </c>
      <c r="B499" s="20" t="s">
        <v>250</v>
      </c>
      <c r="C499" s="20" t="s">
        <v>250</v>
      </c>
      <c r="D499" s="20" t="s">
        <v>989</v>
      </c>
      <c r="E499" s="20" t="s">
        <v>144</v>
      </c>
      <c r="F499" s="303">
        <f>F500</f>
        <v>126</v>
      </c>
      <c r="G499" s="303">
        <f t="shared" si="251"/>
        <v>126</v>
      </c>
      <c r="H499" s="358">
        <f t="shared" si="228"/>
        <v>100</v>
      </c>
    </row>
    <row r="500" spans="1:10" s="213" customFormat="1" ht="31.5" x14ac:dyDescent="0.25">
      <c r="A500" s="25" t="s">
        <v>145</v>
      </c>
      <c r="B500" s="20" t="s">
        <v>250</v>
      </c>
      <c r="C500" s="20" t="s">
        <v>250</v>
      </c>
      <c r="D500" s="20" t="s">
        <v>989</v>
      </c>
      <c r="E500" s="20" t="s">
        <v>146</v>
      </c>
      <c r="F500" s="303">
        <f>'Пр.4 ведом.20'!G1139</f>
        <v>126</v>
      </c>
      <c r="G500" s="303">
        <f>'Пр.4 ведом.20'!H1139</f>
        <v>126</v>
      </c>
      <c r="H500" s="358">
        <f t="shared" si="228"/>
        <v>100</v>
      </c>
    </row>
    <row r="501" spans="1:10" s="213" customFormat="1" ht="63" x14ac:dyDescent="0.25">
      <c r="A501" s="34" t="s">
        <v>805</v>
      </c>
      <c r="B501" s="24" t="s">
        <v>250</v>
      </c>
      <c r="C501" s="24" t="s">
        <v>250</v>
      </c>
      <c r="D501" s="24" t="s">
        <v>340</v>
      </c>
      <c r="E501" s="24"/>
      <c r="F501" s="21">
        <f>F502</f>
        <v>57</v>
      </c>
      <c r="G501" s="332">
        <f t="shared" ref="G501:G504" si="252">G502</f>
        <v>0</v>
      </c>
      <c r="H501" s="4">
        <f t="shared" si="228"/>
        <v>0</v>
      </c>
    </row>
    <row r="502" spans="1:10" s="213" customFormat="1" ht="63" x14ac:dyDescent="0.25">
      <c r="A502" s="34" t="s">
        <v>1162</v>
      </c>
      <c r="B502" s="24" t="s">
        <v>250</v>
      </c>
      <c r="C502" s="24" t="s">
        <v>250</v>
      </c>
      <c r="D502" s="24" t="s">
        <v>1025</v>
      </c>
      <c r="E502" s="24"/>
      <c r="F502" s="21">
        <f>F503</f>
        <v>57</v>
      </c>
      <c r="G502" s="332">
        <f t="shared" si="252"/>
        <v>0</v>
      </c>
      <c r="H502" s="4">
        <f t="shared" si="228"/>
        <v>0</v>
      </c>
    </row>
    <row r="503" spans="1:10" s="213" customFormat="1" ht="47.25" x14ac:dyDescent="0.25">
      <c r="A503" s="31" t="s">
        <v>1273</v>
      </c>
      <c r="B503" s="20" t="s">
        <v>250</v>
      </c>
      <c r="C503" s="20" t="s">
        <v>250</v>
      </c>
      <c r="D503" s="20" t="s">
        <v>1192</v>
      </c>
      <c r="E503" s="20"/>
      <c r="F503" s="26">
        <f>F504</f>
        <v>57</v>
      </c>
      <c r="G503" s="336">
        <f t="shared" si="252"/>
        <v>0</v>
      </c>
      <c r="H503" s="358">
        <f t="shared" si="228"/>
        <v>0</v>
      </c>
    </row>
    <row r="504" spans="1:10" s="213" customFormat="1" ht="31.5" x14ac:dyDescent="0.25">
      <c r="A504" s="25" t="s">
        <v>147</v>
      </c>
      <c r="B504" s="20" t="s">
        <v>250</v>
      </c>
      <c r="C504" s="20" t="s">
        <v>250</v>
      </c>
      <c r="D504" s="20" t="s">
        <v>1192</v>
      </c>
      <c r="E504" s="20" t="s">
        <v>148</v>
      </c>
      <c r="F504" s="26">
        <f>F505</f>
        <v>57</v>
      </c>
      <c r="G504" s="336">
        <f t="shared" si="252"/>
        <v>0</v>
      </c>
      <c r="H504" s="358">
        <f t="shared" si="228"/>
        <v>0</v>
      </c>
    </row>
    <row r="505" spans="1:10" s="213" customFormat="1" ht="47.25" x14ac:dyDescent="0.25">
      <c r="A505" s="25" t="s">
        <v>149</v>
      </c>
      <c r="B505" s="20" t="s">
        <v>250</v>
      </c>
      <c r="C505" s="20" t="s">
        <v>250</v>
      </c>
      <c r="D505" s="20" t="s">
        <v>1192</v>
      </c>
      <c r="E505" s="20" t="s">
        <v>150</v>
      </c>
      <c r="F505" s="26">
        <f>'Пр.4 ведом.20'!G1144</f>
        <v>57</v>
      </c>
      <c r="G505" s="336">
        <f>'Пр.4 ведом.20'!H1144</f>
        <v>0</v>
      </c>
      <c r="H505" s="358">
        <f t="shared" si="228"/>
        <v>0</v>
      </c>
    </row>
    <row r="506" spans="1:10" ht="15.75" x14ac:dyDescent="0.25">
      <c r="A506" s="41" t="s">
        <v>279</v>
      </c>
      <c r="B506" s="7" t="s">
        <v>280</v>
      </c>
      <c r="C506" s="40"/>
      <c r="D506" s="40"/>
      <c r="E506" s="40"/>
      <c r="F506" s="4">
        <f>F507+F578+F799+F693+F770</f>
        <v>375807.03757000004</v>
      </c>
      <c r="G506" s="4">
        <f t="shared" ref="G506" si="253">G507+G578+G799+G693+G770</f>
        <v>243840.8996</v>
      </c>
      <c r="H506" s="4">
        <f t="shared" si="228"/>
        <v>64.884601729838749</v>
      </c>
      <c r="I506">
        <f>'Пр.4 ведом.20'!H557+'Пр.4 ведом.20'!H277</f>
        <v>243840.8996</v>
      </c>
      <c r="J506" s="22">
        <f>G506-I506</f>
        <v>0</v>
      </c>
    </row>
    <row r="507" spans="1:10" ht="15.75" x14ac:dyDescent="0.25">
      <c r="A507" s="41" t="s">
        <v>420</v>
      </c>
      <c r="B507" s="7" t="s">
        <v>280</v>
      </c>
      <c r="C507" s="7" t="s">
        <v>134</v>
      </c>
      <c r="D507" s="7"/>
      <c r="E507" s="7"/>
      <c r="F507" s="4">
        <f>F508+F561+F573</f>
        <v>111081.2</v>
      </c>
      <c r="G507" s="4">
        <f t="shared" ref="G507" si="254">G508+G561+G573</f>
        <v>69592.958599999998</v>
      </c>
      <c r="H507" s="4">
        <f t="shared" si="228"/>
        <v>62.650528262208184</v>
      </c>
    </row>
    <row r="508" spans="1:10" ht="47.25" x14ac:dyDescent="0.25">
      <c r="A508" s="23" t="s">
        <v>421</v>
      </c>
      <c r="B508" s="24" t="s">
        <v>280</v>
      </c>
      <c r="C508" s="24" t="s">
        <v>134</v>
      </c>
      <c r="D508" s="24" t="s">
        <v>422</v>
      </c>
      <c r="E508" s="24"/>
      <c r="F508" s="4">
        <f>F509+F533</f>
        <v>110522.9</v>
      </c>
      <c r="G508" s="4">
        <f t="shared" ref="G508" si="255">G509+G533</f>
        <v>69203.7886</v>
      </c>
      <c r="H508" s="4">
        <f t="shared" si="228"/>
        <v>62.614886688641</v>
      </c>
    </row>
    <row r="509" spans="1:10" ht="35.450000000000003" customHeight="1" x14ac:dyDescent="0.25">
      <c r="A509" s="23" t="s">
        <v>423</v>
      </c>
      <c r="B509" s="24" t="s">
        <v>280</v>
      </c>
      <c r="C509" s="24" t="s">
        <v>134</v>
      </c>
      <c r="D509" s="24" t="s">
        <v>424</v>
      </c>
      <c r="E509" s="24"/>
      <c r="F509" s="4">
        <f>F510+F517</f>
        <v>99136.36</v>
      </c>
      <c r="G509" s="4">
        <f t="shared" ref="G509" si="256">G510+G517</f>
        <v>62395.79</v>
      </c>
      <c r="H509" s="4">
        <f t="shared" si="228"/>
        <v>62.939359484249778</v>
      </c>
    </row>
    <row r="510" spans="1:10" s="213" customFormat="1" ht="31.5" x14ac:dyDescent="0.25">
      <c r="A510" s="23" t="s">
        <v>1028</v>
      </c>
      <c r="B510" s="24" t="s">
        <v>280</v>
      </c>
      <c r="C510" s="24" t="s">
        <v>134</v>
      </c>
      <c r="D510" s="24" t="s">
        <v>1006</v>
      </c>
      <c r="E510" s="24"/>
      <c r="F510" s="4">
        <f>F511+F514</f>
        <v>13295.859999999999</v>
      </c>
      <c r="G510" s="4">
        <f t="shared" ref="G510" si="257">G511+G514</f>
        <v>8220.0830000000005</v>
      </c>
      <c r="H510" s="4">
        <f t="shared" si="228"/>
        <v>61.824379919764503</v>
      </c>
    </row>
    <row r="511" spans="1:10" ht="52.5" customHeight="1" x14ac:dyDescent="0.25">
      <c r="A511" s="25" t="s">
        <v>1063</v>
      </c>
      <c r="B511" s="20" t="s">
        <v>280</v>
      </c>
      <c r="C511" s="20" t="s">
        <v>134</v>
      </c>
      <c r="D511" s="20" t="s">
        <v>1062</v>
      </c>
      <c r="E511" s="20"/>
      <c r="F511" s="6">
        <f>F512</f>
        <v>9050.8599999999988</v>
      </c>
      <c r="G511" s="358">
        <f t="shared" ref="G511:G512" si="258">G512</f>
        <v>5654.2280000000001</v>
      </c>
      <c r="H511" s="358">
        <f t="shared" si="228"/>
        <v>62.471720919338061</v>
      </c>
    </row>
    <row r="512" spans="1:10" ht="40.700000000000003" customHeight="1" x14ac:dyDescent="0.25">
      <c r="A512" s="25" t="s">
        <v>288</v>
      </c>
      <c r="B512" s="20" t="s">
        <v>280</v>
      </c>
      <c r="C512" s="20" t="s">
        <v>134</v>
      </c>
      <c r="D512" s="20" t="s">
        <v>1062</v>
      </c>
      <c r="E512" s="20" t="s">
        <v>289</v>
      </c>
      <c r="F512" s="6">
        <f>F513</f>
        <v>9050.8599999999988</v>
      </c>
      <c r="G512" s="358">
        <f t="shared" si="258"/>
        <v>5654.2280000000001</v>
      </c>
      <c r="H512" s="358">
        <f t="shared" si="228"/>
        <v>62.471720919338061</v>
      </c>
    </row>
    <row r="513" spans="1:8" ht="15.75" x14ac:dyDescent="0.25">
      <c r="A513" s="25" t="s">
        <v>290</v>
      </c>
      <c r="B513" s="20" t="s">
        <v>280</v>
      </c>
      <c r="C513" s="20" t="s">
        <v>134</v>
      </c>
      <c r="D513" s="20" t="s">
        <v>1062</v>
      </c>
      <c r="E513" s="20" t="s">
        <v>291</v>
      </c>
      <c r="F513" s="303">
        <f>'Пр.4 ведом.20'!G564</f>
        <v>9050.8599999999988</v>
      </c>
      <c r="G513" s="303">
        <f>'Пр.4 ведом.20'!H564</f>
        <v>5654.2280000000001</v>
      </c>
      <c r="H513" s="358">
        <f t="shared" si="228"/>
        <v>62.471720919338061</v>
      </c>
    </row>
    <row r="514" spans="1:8" s="213" customFormat="1" ht="51" customHeight="1" x14ac:dyDescent="0.25">
      <c r="A514" s="25" t="s">
        <v>1238</v>
      </c>
      <c r="B514" s="20" t="s">
        <v>280</v>
      </c>
      <c r="C514" s="20" t="s">
        <v>134</v>
      </c>
      <c r="D514" s="20" t="s">
        <v>1064</v>
      </c>
      <c r="E514" s="20"/>
      <c r="F514" s="303">
        <f>F515</f>
        <v>4245</v>
      </c>
      <c r="G514" s="303">
        <f t="shared" ref="G514:G515" si="259">G515</f>
        <v>2565.855</v>
      </c>
      <c r="H514" s="358">
        <f t="shared" si="228"/>
        <v>60.444169611307416</v>
      </c>
    </row>
    <row r="515" spans="1:8" s="213" customFormat="1" ht="31.5" x14ac:dyDescent="0.25">
      <c r="A515" s="25" t="s">
        <v>288</v>
      </c>
      <c r="B515" s="20" t="s">
        <v>280</v>
      </c>
      <c r="C515" s="20" t="s">
        <v>134</v>
      </c>
      <c r="D515" s="20" t="s">
        <v>1064</v>
      </c>
      <c r="E515" s="20" t="s">
        <v>289</v>
      </c>
      <c r="F515" s="303">
        <f>F516</f>
        <v>4245</v>
      </c>
      <c r="G515" s="303">
        <f t="shared" si="259"/>
        <v>2565.855</v>
      </c>
      <c r="H515" s="358">
        <f t="shared" si="228"/>
        <v>60.444169611307416</v>
      </c>
    </row>
    <row r="516" spans="1:8" s="213" customFormat="1" ht="15.75" x14ac:dyDescent="0.25">
      <c r="A516" s="25" t="s">
        <v>290</v>
      </c>
      <c r="B516" s="20" t="s">
        <v>280</v>
      </c>
      <c r="C516" s="20" t="s">
        <v>134</v>
      </c>
      <c r="D516" s="20" t="s">
        <v>1064</v>
      </c>
      <c r="E516" s="20" t="s">
        <v>291</v>
      </c>
      <c r="F516" s="303">
        <f>'Пр.4 ведом.20'!G567</f>
        <v>4245</v>
      </c>
      <c r="G516" s="303">
        <f>'Пр.4 ведом.20'!H567</f>
        <v>2565.855</v>
      </c>
      <c r="H516" s="358">
        <f t="shared" si="228"/>
        <v>60.444169611307416</v>
      </c>
    </row>
    <row r="517" spans="1:8" ht="47.25" x14ac:dyDescent="0.25">
      <c r="A517" s="23" t="s">
        <v>971</v>
      </c>
      <c r="B517" s="24" t="s">
        <v>280</v>
      </c>
      <c r="C517" s="24" t="s">
        <v>134</v>
      </c>
      <c r="D517" s="24" t="s">
        <v>1021</v>
      </c>
      <c r="E517" s="24"/>
      <c r="F517" s="4">
        <f>F521+F524+F527+F530+F518</f>
        <v>85840.5</v>
      </c>
      <c r="G517" s="4">
        <f t="shared" ref="G517" si="260">G521+G524+G527+G530+G518</f>
        <v>54175.707000000002</v>
      </c>
      <c r="H517" s="4">
        <f t="shared" si="228"/>
        <v>63.112058993132614</v>
      </c>
    </row>
    <row r="518" spans="1:8" s="324" customFormat="1" ht="94.5" x14ac:dyDescent="0.25">
      <c r="A518" s="31" t="s">
        <v>309</v>
      </c>
      <c r="B518" s="331" t="s">
        <v>280</v>
      </c>
      <c r="C518" s="331" t="s">
        <v>134</v>
      </c>
      <c r="D518" s="331" t="s">
        <v>1517</v>
      </c>
      <c r="E518" s="331"/>
      <c r="F518" s="6">
        <f>F519</f>
        <v>1966.1</v>
      </c>
      <c r="G518" s="358">
        <f t="shared" ref="G518:G519" si="261">G519</f>
        <v>1700.3</v>
      </c>
      <c r="H518" s="358">
        <f t="shared" si="228"/>
        <v>86.480850414526216</v>
      </c>
    </row>
    <row r="519" spans="1:8" s="324" customFormat="1" ht="31.5" x14ac:dyDescent="0.25">
      <c r="A519" s="335" t="s">
        <v>288</v>
      </c>
      <c r="B519" s="331" t="s">
        <v>280</v>
      </c>
      <c r="C519" s="331" t="s">
        <v>134</v>
      </c>
      <c r="D519" s="331" t="s">
        <v>1517</v>
      </c>
      <c r="E519" s="331" t="s">
        <v>289</v>
      </c>
      <c r="F519" s="6">
        <f>F520</f>
        <v>1966.1</v>
      </c>
      <c r="G519" s="358">
        <f t="shared" si="261"/>
        <v>1700.3</v>
      </c>
      <c r="H519" s="358">
        <f t="shared" si="228"/>
        <v>86.480850414526216</v>
      </c>
    </row>
    <row r="520" spans="1:8" s="324" customFormat="1" ht="15.75" x14ac:dyDescent="0.25">
      <c r="A520" s="335" t="s">
        <v>290</v>
      </c>
      <c r="B520" s="331" t="s">
        <v>280</v>
      </c>
      <c r="C520" s="331" t="s">
        <v>134</v>
      </c>
      <c r="D520" s="331" t="s">
        <v>1517</v>
      </c>
      <c r="E520" s="331" t="s">
        <v>291</v>
      </c>
      <c r="F520" s="6">
        <f>'Пр.4 ведом.20'!G571</f>
        <v>1966.1</v>
      </c>
      <c r="G520" s="358">
        <f>'Пр.4 ведом.20'!H571</f>
        <v>1700.3</v>
      </c>
      <c r="H520" s="358">
        <f t="shared" si="228"/>
        <v>86.480850414526216</v>
      </c>
    </row>
    <row r="521" spans="1:8" ht="47.25" customHeight="1" x14ac:dyDescent="0.25">
      <c r="A521" s="31" t="s">
        <v>305</v>
      </c>
      <c r="B521" s="20" t="s">
        <v>280</v>
      </c>
      <c r="C521" s="20" t="s">
        <v>134</v>
      </c>
      <c r="D521" s="20" t="s">
        <v>1020</v>
      </c>
      <c r="E521" s="20"/>
      <c r="F521" s="6">
        <f t="shared" ref="F521:G522" si="262">F522</f>
        <v>559.70000000000005</v>
      </c>
      <c r="G521" s="358">
        <f t="shared" si="262"/>
        <v>328.7</v>
      </c>
      <c r="H521" s="358">
        <f t="shared" si="228"/>
        <v>58.727889941039834</v>
      </c>
    </row>
    <row r="522" spans="1:8" ht="39.75" customHeight="1" x14ac:dyDescent="0.25">
      <c r="A522" s="25" t="s">
        <v>288</v>
      </c>
      <c r="B522" s="20" t="s">
        <v>280</v>
      </c>
      <c r="C522" s="20" t="s">
        <v>134</v>
      </c>
      <c r="D522" s="20" t="s">
        <v>1020</v>
      </c>
      <c r="E522" s="20" t="s">
        <v>289</v>
      </c>
      <c r="F522" s="6">
        <f t="shared" si="262"/>
        <v>559.70000000000005</v>
      </c>
      <c r="G522" s="358">
        <f t="shared" si="262"/>
        <v>328.7</v>
      </c>
      <c r="H522" s="358">
        <f t="shared" si="228"/>
        <v>58.727889941039834</v>
      </c>
    </row>
    <row r="523" spans="1:8" ht="15.75" customHeight="1" x14ac:dyDescent="0.25">
      <c r="A523" s="25" t="s">
        <v>290</v>
      </c>
      <c r="B523" s="20" t="s">
        <v>280</v>
      </c>
      <c r="C523" s="20" t="s">
        <v>134</v>
      </c>
      <c r="D523" s="20" t="s">
        <v>1020</v>
      </c>
      <c r="E523" s="20" t="s">
        <v>291</v>
      </c>
      <c r="F523" s="6">
        <f>'Пр.4 ведом.20'!G574</f>
        <v>559.70000000000005</v>
      </c>
      <c r="G523" s="358">
        <f>'Пр.4 ведом.20'!H574</f>
        <v>328.7</v>
      </c>
      <c r="H523" s="358">
        <f t="shared" ref="H523:H586" si="263">G523/F523*100</f>
        <v>58.727889941039834</v>
      </c>
    </row>
    <row r="524" spans="1:8" ht="71.45" customHeight="1" x14ac:dyDescent="0.25">
      <c r="A524" s="31" t="s">
        <v>307</v>
      </c>
      <c r="B524" s="20" t="s">
        <v>280</v>
      </c>
      <c r="C524" s="20" t="s">
        <v>134</v>
      </c>
      <c r="D524" s="20" t="s">
        <v>1023</v>
      </c>
      <c r="E524" s="20"/>
      <c r="F524" s="6">
        <f t="shared" ref="F524:G525" si="264">F525</f>
        <v>1629.3</v>
      </c>
      <c r="G524" s="358">
        <f t="shared" si="264"/>
        <v>1030.07</v>
      </c>
      <c r="H524" s="358">
        <f t="shared" si="263"/>
        <v>63.221628920395254</v>
      </c>
    </row>
    <row r="525" spans="1:8" ht="47.25" customHeight="1" x14ac:dyDescent="0.25">
      <c r="A525" s="25" t="s">
        <v>288</v>
      </c>
      <c r="B525" s="20" t="s">
        <v>280</v>
      </c>
      <c r="C525" s="20" t="s">
        <v>134</v>
      </c>
      <c r="D525" s="20" t="s">
        <v>1023</v>
      </c>
      <c r="E525" s="20" t="s">
        <v>289</v>
      </c>
      <c r="F525" s="6">
        <f t="shared" si="264"/>
        <v>1629.3</v>
      </c>
      <c r="G525" s="358">
        <f t="shared" si="264"/>
        <v>1030.07</v>
      </c>
      <c r="H525" s="358">
        <f t="shared" si="263"/>
        <v>63.221628920395254</v>
      </c>
    </row>
    <row r="526" spans="1:8" ht="15.75" customHeight="1" x14ac:dyDescent="0.25">
      <c r="A526" s="25" t="s">
        <v>290</v>
      </c>
      <c r="B526" s="20" t="s">
        <v>280</v>
      </c>
      <c r="C526" s="20" t="s">
        <v>134</v>
      </c>
      <c r="D526" s="20" t="s">
        <v>1023</v>
      </c>
      <c r="E526" s="20" t="s">
        <v>291</v>
      </c>
      <c r="F526" s="6">
        <f>'Пр.4 ведом.20'!G577</f>
        <v>1629.3</v>
      </c>
      <c r="G526" s="358">
        <f>'Пр.4 ведом.20'!H577</f>
        <v>1030.07</v>
      </c>
      <c r="H526" s="358">
        <f t="shared" si="263"/>
        <v>63.221628920395254</v>
      </c>
    </row>
    <row r="527" spans="1:8" ht="94.5" x14ac:dyDescent="0.25">
      <c r="A527" s="31" t="s">
        <v>1455</v>
      </c>
      <c r="B527" s="20" t="s">
        <v>280</v>
      </c>
      <c r="C527" s="20" t="s">
        <v>134</v>
      </c>
      <c r="D527" s="20" t="s">
        <v>1022</v>
      </c>
      <c r="E527" s="20"/>
      <c r="F527" s="6">
        <f t="shared" ref="F527:G528" si="265">F528</f>
        <v>80735.399999999994</v>
      </c>
      <c r="G527" s="358">
        <f t="shared" si="265"/>
        <v>50166.637000000002</v>
      </c>
      <c r="H527" s="358">
        <f t="shared" si="263"/>
        <v>62.137100949521532</v>
      </c>
    </row>
    <row r="528" spans="1:8" ht="31.5" x14ac:dyDescent="0.25">
      <c r="A528" s="25" t="s">
        <v>288</v>
      </c>
      <c r="B528" s="20" t="s">
        <v>280</v>
      </c>
      <c r="C528" s="20" t="s">
        <v>134</v>
      </c>
      <c r="D528" s="20" t="s">
        <v>1022</v>
      </c>
      <c r="E528" s="20" t="s">
        <v>289</v>
      </c>
      <c r="F528" s="6">
        <f t="shared" si="265"/>
        <v>80735.399999999994</v>
      </c>
      <c r="G528" s="358">
        <f t="shared" si="265"/>
        <v>50166.637000000002</v>
      </c>
      <c r="H528" s="358">
        <f t="shared" si="263"/>
        <v>62.137100949521532</v>
      </c>
    </row>
    <row r="529" spans="1:8" ht="15.75" x14ac:dyDescent="0.25">
      <c r="A529" s="25" t="s">
        <v>290</v>
      </c>
      <c r="B529" s="20" t="s">
        <v>280</v>
      </c>
      <c r="C529" s="20" t="s">
        <v>134</v>
      </c>
      <c r="D529" s="20" t="s">
        <v>1022</v>
      </c>
      <c r="E529" s="20" t="s">
        <v>291</v>
      </c>
      <c r="F529" s="6">
        <f>'Пр.4 ведом.20'!G580</f>
        <v>80735.399999999994</v>
      </c>
      <c r="G529" s="358">
        <f>'Пр.4 ведом.20'!H580</f>
        <v>50166.637000000002</v>
      </c>
      <c r="H529" s="358">
        <f t="shared" si="263"/>
        <v>62.137100949521532</v>
      </c>
    </row>
    <row r="530" spans="1:8" ht="94.5" x14ac:dyDescent="0.25">
      <c r="A530" s="31" t="s">
        <v>309</v>
      </c>
      <c r="B530" s="20" t="s">
        <v>280</v>
      </c>
      <c r="C530" s="20" t="s">
        <v>134</v>
      </c>
      <c r="D530" s="20" t="s">
        <v>1024</v>
      </c>
      <c r="E530" s="20"/>
      <c r="F530" s="6">
        <f t="shared" ref="F530:G531" si="266">F531</f>
        <v>950.00000000000045</v>
      </c>
      <c r="G530" s="358">
        <f t="shared" si="266"/>
        <v>950</v>
      </c>
      <c r="H530" s="358">
        <f t="shared" si="263"/>
        <v>99.999999999999957</v>
      </c>
    </row>
    <row r="531" spans="1:8" ht="31.5" x14ac:dyDescent="0.25">
      <c r="A531" s="25" t="s">
        <v>288</v>
      </c>
      <c r="B531" s="20" t="s">
        <v>280</v>
      </c>
      <c r="C531" s="20" t="s">
        <v>134</v>
      </c>
      <c r="D531" s="20" t="s">
        <v>1024</v>
      </c>
      <c r="E531" s="20" t="s">
        <v>289</v>
      </c>
      <c r="F531" s="6">
        <f t="shared" si="266"/>
        <v>950.00000000000045</v>
      </c>
      <c r="G531" s="358">
        <f t="shared" si="266"/>
        <v>950</v>
      </c>
      <c r="H531" s="358">
        <f t="shared" si="263"/>
        <v>99.999999999999957</v>
      </c>
    </row>
    <row r="532" spans="1:8" ht="15.75" x14ac:dyDescent="0.25">
      <c r="A532" s="25" t="s">
        <v>290</v>
      </c>
      <c r="B532" s="20" t="s">
        <v>280</v>
      </c>
      <c r="C532" s="20" t="s">
        <v>134</v>
      </c>
      <c r="D532" s="20" t="s">
        <v>1024</v>
      </c>
      <c r="E532" s="20" t="s">
        <v>291</v>
      </c>
      <c r="F532" s="6">
        <f>'Пр.4 ведом.20'!G583</f>
        <v>950.00000000000045</v>
      </c>
      <c r="G532" s="358">
        <f>'Пр.4 ведом.20'!H583</f>
        <v>950</v>
      </c>
      <c r="H532" s="358">
        <f t="shared" si="263"/>
        <v>99.999999999999957</v>
      </c>
    </row>
    <row r="533" spans="1:8" ht="31.7" customHeight="1" x14ac:dyDescent="0.25">
      <c r="A533" s="23" t="s">
        <v>427</v>
      </c>
      <c r="B533" s="24" t="s">
        <v>280</v>
      </c>
      <c r="C533" s="24" t="s">
        <v>134</v>
      </c>
      <c r="D533" s="24" t="s">
        <v>428</v>
      </c>
      <c r="E533" s="24"/>
      <c r="F533" s="4">
        <f>F534+F544+F554+F566</f>
        <v>11386.54</v>
      </c>
      <c r="G533" s="4">
        <f t="shared" ref="G533" si="267">G534+G544+G554+G566</f>
        <v>6807.9986000000008</v>
      </c>
      <c r="H533" s="4">
        <f t="shared" si="263"/>
        <v>59.789879981100491</v>
      </c>
    </row>
    <row r="534" spans="1:8" ht="36" customHeight="1" x14ac:dyDescent="0.25">
      <c r="A534" s="23" t="s">
        <v>1007</v>
      </c>
      <c r="B534" s="24" t="s">
        <v>280</v>
      </c>
      <c r="C534" s="24" t="s">
        <v>134</v>
      </c>
      <c r="D534" s="24" t="s">
        <v>1008</v>
      </c>
      <c r="E534" s="24"/>
      <c r="F534" s="4">
        <f>F535+F538+F541</f>
        <v>4747.54</v>
      </c>
      <c r="G534" s="4">
        <f t="shared" ref="G534" si="268">G535+G538+G541</f>
        <v>3064.1356000000001</v>
      </c>
      <c r="H534" s="4">
        <f t="shared" si="263"/>
        <v>64.541543620485569</v>
      </c>
    </row>
    <row r="535" spans="1:8" ht="40.700000000000003" customHeight="1" x14ac:dyDescent="0.25">
      <c r="A535" s="25" t="s">
        <v>294</v>
      </c>
      <c r="B535" s="20" t="s">
        <v>280</v>
      </c>
      <c r="C535" s="20" t="s">
        <v>134</v>
      </c>
      <c r="D535" s="20" t="s">
        <v>1009</v>
      </c>
      <c r="E535" s="20"/>
      <c r="F535" s="6">
        <f>F536</f>
        <v>574</v>
      </c>
      <c r="G535" s="358">
        <f t="shared" ref="G535" si="269">G536</f>
        <v>374</v>
      </c>
      <c r="H535" s="358">
        <f t="shared" si="263"/>
        <v>65.156794425087099</v>
      </c>
    </row>
    <row r="536" spans="1:8" ht="42" customHeight="1" x14ac:dyDescent="0.25">
      <c r="A536" s="25" t="s">
        <v>288</v>
      </c>
      <c r="B536" s="20" t="s">
        <v>280</v>
      </c>
      <c r="C536" s="20" t="s">
        <v>134</v>
      </c>
      <c r="D536" s="20" t="s">
        <v>1009</v>
      </c>
      <c r="E536" s="20" t="s">
        <v>289</v>
      </c>
      <c r="F536" s="6">
        <f t="shared" ref="F536:G536" si="270">F537</f>
        <v>574</v>
      </c>
      <c r="G536" s="358">
        <f t="shared" si="270"/>
        <v>374</v>
      </c>
      <c r="H536" s="358">
        <f t="shared" si="263"/>
        <v>65.156794425087099</v>
      </c>
    </row>
    <row r="537" spans="1:8" ht="20.25" customHeight="1" x14ac:dyDescent="0.25">
      <c r="A537" s="25" t="s">
        <v>290</v>
      </c>
      <c r="B537" s="20" t="s">
        <v>280</v>
      </c>
      <c r="C537" s="20" t="s">
        <v>134</v>
      </c>
      <c r="D537" s="20" t="s">
        <v>1009</v>
      </c>
      <c r="E537" s="20" t="s">
        <v>291</v>
      </c>
      <c r="F537" s="6">
        <f>'Пр.4 ведом.20'!G588</f>
        <v>574</v>
      </c>
      <c r="G537" s="358">
        <f>'Пр.4 ведом.20'!H588</f>
        <v>374</v>
      </c>
      <c r="H537" s="358">
        <f t="shared" si="263"/>
        <v>65.156794425087099</v>
      </c>
    </row>
    <row r="538" spans="1:8" ht="39.200000000000003" customHeight="1" x14ac:dyDescent="0.25">
      <c r="A538" s="25" t="s">
        <v>296</v>
      </c>
      <c r="B538" s="20" t="s">
        <v>280</v>
      </c>
      <c r="C538" s="20" t="s">
        <v>134</v>
      </c>
      <c r="D538" s="20" t="s">
        <v>1010</v>
      </c>
      <c r="E538" s="20"/>
      <c r="F538" s="6">
        <f>F539</f>
        <v>67.400000000000006</v>
      </c>
      <c r="G538" s="358">
        <f t="shared" ref="G538" si="271">G539</f>
        <v>67.315600000000003</v>
      </c>
      <c r="H538" s="358">
        <f t="shared" si="263"/>
        <v>99.874777448071214</v>
      </c>
    </row>
    <row r="539" spans="1:8" ht="35.450000000000003" customHeight="1" x14ac:dyDescent="0.25">
      <c r="A539" s="25" t="s">
        <v>288</v>
      </c>
      <c r="B539" s="20" t="s">
        <v>280</v>
      </c>
      <c r="C539" s="20" t="s">
        <v>134</v>
      </c>
      <c r="D539" s="20" t="s">
        <v>1010</v>
      </c>
      <c r="E539" s="20" t="s">
        <v>289</v>
      </c>
      <c r="F539" s="6">
        <f t="shared" ref="F539:G539" si="272">F540</f>
        <v>67.400000000000006</v>
      </c>
      <c r="G539" s="358">
        <f t="shared" si="272"/>
        <v>67.315600000000003</v>
      </c>
      <c r="H539" s="358">
        <f t="shared" si="263"/>
        <v>99.874777448071214</v>
      </c>
    </row>
    <row r="540" spans="1:8" ht="17.45" customHeight="1" x14ac:dyDescent="0.25">
      <c r="A540" s="25" t="s">
        <v>290</v>
      </c>
      <c r="B540" s="20" t="s">
        <v>280</v>
      </c>
      <c r="C540" s="20" t="s">
        <v>134</v>
      </c>
      <c r="D540" s="20" t="s">
        <v>1010</v>
      </c>
      <c r="E540" s="20" t="s">
        <v>291</v>
      </c>
      <c r="F540" s="6">
        <f>'Пр.4 ведом.20'!G591</f>
        <v>67.400000000000006</v>
      </c>
      <c r="G540" s="358">
        <f>'Пр.4 ведом.20'!H591</f>
        <v>67.315600000000003</v>
      </c>
      <c r="H540" s="358">
        <f t="shared" si="263"/>
        <v>99.874777448071214</v>
      </c>
    </row>
    <row r="541" spans="1:8" ht="38.25" customHeight="1" x14ac:dyDescent="0.25">
      <c r="A541" s="29" t="s">
        <v>431</v>
      </c>
      <c r="B541" s="20" t="s">
        <v>280</v>
      </c>
      <c r="C541" s="20" t="s">
        <v>134</v>
      </c>
      <c r="D541" s="20" t="s">
        <v>1011</v>
      </c>
      <c r="E541" s="20"/>
      <c r="F541" s="6">
        <f>F542</f>
        <v>4106.1400000000003</v>
      </c>
      <c r="G541" s="358">
        <f t="shared" ref="G541:G542" si="273">G542</f>
        <v>2622.82</v>
      </c>
      <c r="H541" s="358">
        <f t="shared" si="263"/>
        <v>63.875561963303738</v>
      </c>
    </row>
    <row r="542" spans="1:8" ht="34.5" customHeight="1" x14ac:dyDescent="0.25">
      <c r="A542" s="25" t="s">
        <v>288</v>
      </c>
      <c r="B542" s="20" t="s">
        <v>280</v>
      </c>
      <c r="C542" s="20" t="s">
        <v>134</v>
      </c>
      <c r="D542" s="20" t="s">
        <v>1011</v>
      </c>
      <c r="E542" s="20" t="s">
        <v>289</v>
      </c>
      <c r="F542" s="6">
        <f>F543</f>
        <v>4106.1400000000003</v>
      </c>
      <c r="G542" s="358">
        <f t="shared" si="273"/>
        <v>2622.82</v>
      </c>
      <c r="H542" s="358">
        <f t="shared" si="263"/>
        <v>63.875561963303738</v>
      </c>
    </row>
    <row r="543" spans="1:8" ht="15.75" x14ac:dyDescent="0.25">
      <c r="A543" s="25" t="s">
        <v>290</v>
      </c>
      <c r="B543" s="20" t="s">
        <v>280</v>
      </c>
      <c r="C543" s="20" t="s">
        <v>134</v>
      </c>
      <c r="D543" s="20" t="s">
        <v>1011</v>
      </c>
      <c r="E543" s="20" t="s">
        <v>291</v>
      </c>
      <c r="F543" s="6">
        <f>'Пр.4 ведом.20'!G594</f>
        <v>4106.1400000000003</v>
      </c>
      <c r="G543" s="358">
        <f>'Пр.4 ведом.20'!H594</f>
        <v>2622.82</v>
      </c>
      <c r="H543" s="358">
        <f t="shared" si="263"/>
        <v>63.875561963303738</v>
      </c>
    </row>
    <row r="544" spans="1:8" ht="31.5" x14ac:dyDescent="0.25">
      <c r="A544" s="227" t="s">
        <v>1077</v>
      </c>
      <c r="B544" s="24" t="s">
        <v>280</v>
      </c>
      <c r="C544" s="24" t="s">
        <v>134</v>
      </c>
      <c r="D544" s="24" t="s">
        <v>1012</v>
      </c>
      <c r="E544" s="24"/>
      <c r="F544" s="4">
        <f>F545+F548+F551</f>
        <v>4610</v>
      </c>
      <c r="G544" s="4">
        <f t="shared" ref="G544" si="274">G545+G548+G551</f>
        <v>3537.2</v>
      </c>
      <c r="H544" s="4">
        <f t="shared" si="263"/>
        <v>76.728850325379611</v>
      </c>
    </row>
    <row r="545" spans="1:8" ht="31.5" hidden="1" x14ac:dyDescent="0.25">
      <c r="A545" s="25" t="s">
        <v>300</v>
      </c>
      <c r="B545" s="20" t="s">
        <v>280</v>
      </c>
      <c r="C545" s="20" t="s">
        <v>134</v>
      </c>
      <c r="D545" s="20" t="s">
        <v>1013</v>
      </c>
      <c r="E545" s="20"/>
      <c r="F545" s="6">
        <f>F546</f>
        <v>0</v>
      </c>
      <c r="G545" s="358">
        <f t="shared" ref="G545:G546" si="275">G546</f>
        <v>0</v>
      </c>
      <c r="H545" s="358" t="e">
        <f t="shared" si="263"/>
        <v>#DIV/0!</v>
      </c>
    </row>
    <row r="546" spans="1:8" ht="31.5" hidden="1" x14ac:dyDescent="0.25">
      <c r="A546" s="25" t="s">
        <v>288</v>
      </c>
      <c r="B546" s="20" t="s">
        <v>280</v>
      </c>
      <c r="C546" s="20" t="s">
        <v>134</v>
      </c>
      <c r="D546" s="20" t="s">
        <v>1013</v>
      </c>
      <c r="E546" s="20" t="s">
        <v>289</v>
      </c>
      <c r="F546" s="6">
        <f>F547</f>
        <v>0</v>
      </c>
      <c r="G546" s="358">
        <f t="shared" si="275"/>
        <v>0</v>
      </c>
      <c r="H546" s="358" t="e">
        <f t="shared" si="263"/>
        <v>#DIV/0!</v>
      </c>
    </row>
    <row r="547" spans="1:8" ht="15.75" hidden="1" x14ac:dyDescent="0.25">
      <c r="A547" s="25" t="s">
        <v>290</v>
      </c>
      <c r="B547" s="20" t="s">
        <v>280</v>
      </c>
      <c r="C547" s="20" t="s">
        <v>134</v>
      </c>
      <c r="D547" s="20" t="s">
        <v>1013</v>
      </c>
      <c r="E547" s="20" t="s">
        <v>291</v>
      </c>
      <c r="F547" s="6">
        <f>'Пр.4 ведом.20'!G598</f>
        <v>0</v>
      </c>
      <c r="G547" s="358">
        <f>'Пр.4 ведом.20'!H598</f>
        <v>0</v>
      </c>
      <c r="H547" s="358" t="e">
        <f t="shared" si="263"/>
        <v>#DIV/0!</v>
      </c>
    </row>
    <row r="548" spans="1:8" ht="31.5" x14ac:dyDescent="0.25">
      <c r="A548" s="60" t="s">
        <v>787</v>
      </c>
      <c r="B548" s="20" t="s">
        <v>280</v>
      </c>
      <c r="C548" s="20" t="s">
        <v>134</v>
      </c>
      <c r="D548" s="20" t="s">
        <v>1014</v>
      </c>
      <c r="E548" s="20"/>
      <c r="F548" s="6">
        <f>F549</f>
        <v>2850</v>
      </c>
      <c r="G548" s="358">
        <f t="shared" ref="G548:G549" si="276">G549</f>
        <v>2800</v>
      </c>
      <c r="H548" s="358">
        <f t="shared" si="263"/>
        <v>98.245614035087712</v>
      </c>
    </row>
    <row r="549" spans="1:8" ht="31.5" x14ac:dyDescent="0.25">
      <c r="A549" s="29" t="s">
        <v>288</v>
      </c>
      <c r="B549" s="20" t="s">
        <v>280</v>
      </c>
      <c r="C549" s="20" t="s">
        <v>134</v>
      </c>
      <c r="D549" s="20" t="s">
        <v>1014</v>
      </c>
      <c r="E549" s="20" t="s">
        <v>289</v>
      </c>
      <c r="F549" s="6">
        <f>F550</f>
        <v>2850</v>
      </c>
      <c r="G549" s="358">
        <f t="shared" si="276"/>
        <v>2800</v>
      </c>
      <c r="H549" s="358">
        <f t="shared" si="263"/>
        <v>98.245614035087712</v>
      </c>
    </row>
    <row r="550" spans="1:8" ht="15.75" x14ac:dyDescent="0.25">
      <c r="A550" s="192" t="s">
        <v>290</v>
      </c>
      <c r="B550" s="20" t="s">
        <v>280</v>
      </c>
      <c r="C550" s="20" t="s">
        <v>134</v>
      </c>
      <c r="D550" s="20" t="s">
        <v>1014</v>
      </c>
      <c r="E550" s="20" t="s">
        <v>291</v>
      </c>
      <c r="F550" s="6">
        <f>'Пр.4 ведом.20'!G601</f>
        <v>2850</v>
      </c>
      <c r="G550" s="358">
        <f>'Пр.4 ведом.20'!H601</f>
        <v>2800</v>
      </c>
      <c r="H550" s="358">
        <f t="shared" si="263"/>
        <v>98.245614035087712</v>
      </c>
    </row>
    <row r="551" spans="1:8" ht="47.25" x14ac:dyDescent="0.25">
      <c r="A551" s="60" t="s">
        <v>788</v>
      </c>
      <c r="B551" s="20" t="s">
        <v>280</v>
      </c>
      <c r="C551" s="20" t="s">
        <v>134</v>
      </c>
      <c r="D551" s="20" t="s">
        <v>1015</v>
      </c>
      <c r="E551" s="20"/>
      <c r="F551" s="6">
        <f>F552</f>
        <v>1760</v>
      </c>
      <c r="G551" s="358">
        <f t="shared" ref="G551:G552" si="277">G552</f>
        <v>737.2</v>
      </c>
      <c r="H551" s="358">
        <f t="shared" si="263"/>
        <v>41.88636363636364</v>
      </c>
    </row>
    <row r="552" spans="1:8" ht="31.5" x14ac:dyDescent="0.25">
      <c r="A552" s="29" t="s">
        <v>288</v>
      </c>
      <c r="B552" s="20" t="s">
        <v>280</v>
      </c>
      <c r="C552" s="20" t="s">
        <v>134</v>
      </c>
      <c r="D552" s="20" t="s">
        <v>1015</v>
      </c>
      <c r="E552" s="20" t="s">
        <v>289</v>
      </c>
      <c r="F552" s="6">
        <f>F553</f>
        <v>1760</v>
      </c>
      <c r="G552" s="358">
        <f t="shared" si="277"/>
        <v>737.2</v>
      </c>
      <c r="H552" s="358">
        <f t="shared" si="263"/>
        <v>41.88636363636364</v>
      </c>
    </row>
    <row r="553" spans="1:8" ht="15.75" x14ac:dyDescent="0.25">
      <c r="A553" s="192" t="s">
        <v>290</v>
      </c>
      <c r="B553" s="20" t="s">
        <v>280</v>
      </c>
      <c r="C553" s="20" t="s">
        <v>134</v>
      </c>
      <c r="D553" s="20" t="s">
        <v>1015</v>
      </c>
      <c r="E553" s="20" t="s">
        <v>291</v>
      </c>
      <c r="F553" s="6">
        <f>'Пр.4 ведом.20'!G604</f>
        <v>1760</v>
      </c>
      <c r="G553" s="358">
        <f>'Пр.4 ведом.20'!H604</f>
        <v>737.2</v>
      </c>
      <c r="H553" s="358">
        <f t="shared" si="263"/>
        <v>41.88636363636364</v>
      </c>
    </row>
    <row r="554" spans="1:8" ht="65.25" customHeight="1" x14ac:dyDescent="0.25">
      <c r="A554" s="23" t="s">
        <v>1016</v>
      </c>
      <c r="B554" s="24" t="s">
        <v>280</v>
      </c>
      <c r="C554" s="24" t="s">
        <v>134</v>
      </c>
      <c r="D554" s="24" t="s">
        <v>1017</v>
      </c>
      <c r="E554" s="24"/>
      <c r="F554" s="4">
        <f>F555+F558</f>
        <v>291.10000000000002</v>
      </c>
      <c r="G554" s="4">
        <f t="shared" ref="G554" si="278">G555+G558</f>
        <v>25</v>
      </c>
      <c r="H554" s="4">
        <f t="shared" si="263"/>
        <v>8.5881140501545854</v>
      </c>
    </row>
    <row r="555" spans="1:8" ht="126" x14ac:dyDescent="0.25">
      <c r="A555" s="25" t="s">
        <v>1463</v>
      </c>
      <c r="B555" s="20" t="s">
        <v>280</v>
      </c>
      <c r="C555" s="20" t="s">
        <v>134</v>
      </c>
      <c r="D555" s="20" t="s">
        <v>1018</v>
      </c>
      <c r="E555" s="20"/>
      <c r="F555" s="6">
        <f>F556</f>
        <v>124.4</v>
      </c>
      <c r="G555" s="358">
        <f t="shared" ref="G555:G556" si="279">G556</f>
        <v>0</v>
      </c>
      <c r="H555" s="358">
        <f t="shared" si="263"/>
        <v>0</v>
      </c>
    </row>
    <row r="556" spans="1:8" ht="31.5" x14ac:dyDescent="0.25">
      <c r="A556" s="29" t="s">
        <v>288</v>
      </c>
      <c r="B556" s="20" t="s">
        <v>280</v>
      </c>
      <c r="C556" s="20" t="s">
        <v>134</v>
      </c>
      <c r="D556" s="20" t="s">
        <v>1018</v>
      </c>
      <c r="E556" s="20" t="s">
        <v>289</v>
      </c>
      <c r="F556" s="6">
        <f>F557</f>
        <v>124.4</v>
      </c>
      <c r="G556" s="358">
        <f t="shared" si="279"/>
        <v>0</v>
      </c>
      <c r="H556" s="358">
        <f t="shared" si="263"/>
        <v>0</v>
      </c>
    </row>
    <row r="557" spans="1:8" ht="15.75" x14ac:dyDescent="0.25">
      <c r="A557" s="192" t="s">
        <v>290</v>
      </c>
      <c r="B557" s="20" t="s">
        <v>280</v>
      </c>
      <c r="C557" s="20" t="s">
        <v>134</v>
      </c>
      <c r="D557" s="20" t="s">
        <v>1018</v>
      </c>
      <c r="E557" s="20" t="s">
        <v>291</v>
      </c>
      <c r="F557" s="6">
        <f>'Пр.4 ведом.20'!G608</f>
        <v>124.4</v>
      </c>
      <c r="G557" s="358">
        <f>'Пр.4 ведом.20'!H608</f>
        <v>0</v>
      </c>
      <c r="H557" s="358">
        <f t="shared" si="263"/>
        <v>0</v>
      </c>
    </row>
    <row r="558" spans="1:8" ht="126" x14ac:dyDescent="0.25">
      <c r="A558" s="25" t="s">
        <v>439</v>
      </c>
      <c r="B558" s="20" t="s">
        <v>280</v>
      </c>
      <c r="C558" s="20" t="s">
        <v>134</v>
      </c>
      <c r="D558" s="20" t="s">
        <v>1019</v>
      </c>
      <c r="E558" s="20"/>
      <c r="F558" s="6">
        <f t="shared" ref="F558:G559" si="280">F559</f>
        <v>166.7</v>
      </c>
      <c r="G558" s="358">
        <f t="shared" si="280"/>
        <v>25</v>
      </c>
      <c r="H558" s="358">
        <f t="shared" si="263"/>
        <v>14.997000599880025</v>
      </c>
    </row>
    <row r="559" spans="1:8" ht="31.5" x14ac:dyDescent="0.25">
      <c r="A559" s="25" t="s">
        <v>288</v>
      </c>
      <c r="B559" s="20" t="s">
        <v>280</v>
      </c>
      <c r="C559" s="20" t="s">
        <v>134</v>
      </c>
      <c r="D559" s="20" t="s">
        <v>1019</v>
      </c>
      <c r="E559" s="20" t="s">
        <v>289</v>
      </c>
      <c r="F559" s="6">
        <f t="shared" si="280"/>
        <v>166.7</v>
      </c>
      <c r="G559" s="358">
        <f t="shared" si="280"/>
        <v>25</v>
      </c>
      <c r="H559" s="358">
        <f t="shared" si="263"/>
        <v>14.997000599880025</v>
      </c>
    </row>
    <row r="560" spans="1:8" ht="15.75" x14ac:dyDescent="0.25">
      <c r="A560" s="25" t="s">
        <v>290</v>
      </c>
      <c r="B560" s="20" t="s">
        <v>280</v>
      </c>
      <c r="C560" s="20" t="s">
        <v>134</v>
      </c>
      <c r="D560" s="20" t="s">
        <v>1019</v>
      </c>
      <c r="E560" s="20" t="s">
        <v>291</v>
      </c>
      <c r="F560" s="6">
        <f>'Пр.4 ведом.20'!G611</f>
        <v>166.7</v>
      </c>
      <c r="G560" s="358">
        <f>'Пр.4 ведом.20'!H611</f>
        <v>25</v>
      </c>
      <c r="H560" s="358">
        <f t="shared" si="263"/>
        <v>14.997000599880025</v>
      </c>
    </row>
    <row r="561" spans="1:8" ht="65.25" hidden="1" customHeight="1" x14ac:dyDescent="0.25">
      <c r="A561" s="34" t="s">
        <v>805</v>
      </c>
      <c r="B561" s="24" t="s">
        <v>280</v>
      </c>
      <c r="C561" s="24" t="s">
        <v>134</v>
      </c>
      <c r="D561" s="24" t="s">
        <v>340</v>
      </c>
      <c r="E561" s="24"/>
      <c r="F561" s="4">
        <f>F562</f>
        <v>0</v>
      </c>
      <c r="G561" s="4">
        <f t="shared" ref="G561:G563" si="281">G562</f>
        <v>0</v>
      </c>
      <c r="H561" s="358" t="e">
        <f t="shared" si="263"/>
        <v>#DIV/0!</v>
      </c>
    </row>
    <row r="562" spans="1:8" ht="63" hidden="1" x14ac:dyDescent="0.25">
      <c r="A562" s="34" t="s">
        <v>1162</v>
      </c>
      <c r="B562" s="24" t="s">
        <v>280</v>
      </c>
      <c r="C562" s="24" t="s">
        <v>134</v>
      </c>
      <c r="D562" s="24" t="s">
        <v>1025</v>
      </c>
      <c r="E562" s="24"/>
      <c r="F562" s="4">
        <f>F563</f>
        <v>0</v>
      </c>
      <c r="G562" s="4">
        <f t="shared" si="281"/>
        <v>0</v>
      </c>
      <c r="H562" s="358" t="e">
        <f t="shared" si="263"/>
        <v>#DIV/0!</v>
      </c>
    </row>
    <row r="563" spans="1:8" ht="47.25" hidden="1" x14ac:dyDescent="0.25">
      <c r="A563" s="31" t="s">
        <v>1161</v>
      </c>
      <c r="B563" s="20" t="s">
        <v>280</v>
      </c>
      <c r="C563" s="20" t="s">
        <v>134</v>
      </c>
      <c r="D563" s="20" t="s">
        <v>1026</v>
      </c>
      <c r="E563" s="20"/>
      <c r="F563" s="6">
        <f>F564</f>
        <v>0</v>
      </c>
      <c r="G563" s="358">
        <f t="shared" si="281"/>
        <v>0</v>
      </c>
      <c r="H563" s="358" t="e">
        <f t="shared" si="263"/>
        <v>#DIV/0!</v>
      </c>
    </row>
    <row r="564" spans="1:8" ht="31.5" hidden="1" x14ac:dyDescent="0.25">
      <c r="A564" s="31" t="s">
        <v>288</v>
      </c>
      <c r="B564" s="20" t="s">
        <v>280</v>
      </c>
      <c r="C564" s="20" t="s">
        <v>134</v>
      </c>
      <c r="D564" s="20" t="s">
        <v>1026</v>
      </c>
      <c r="E564" s="20" t="s">
        <v>289</v>
      </c>
      <c r="F564" s="6">
        <f t="shared" ref="F564:G564" si="282">F565</f>
        <v>0</v>
      </c>
      <c r="G564" s="358">
        <f t="shared" si="282"/>
        <v>0</v>
      </c>
      <c r="H564" s="358" t="e">
        <f t="shared" si="263"/>
        <v>#DIV/0!</v>
      </c>
    </row>
    <row r="565" spans="1:8" ht="15.75" hidden="1" x14ac:dyDescent="0.25">
      <c r="A565" s="31" t="s">
        <v>290</v>
      </c>
      <c r="B565" s="20" t="s">
        <v>280</v>
      </c>
      <c r="C565" s="20" t="s">
        <v>134</v>
      </c>
      <c r="D565" s="20" t="s">
        <v>1026</v>
      </c>
      <c r="E565" s="20" t="s">
        <v>291</v>
      </c>
      <c r="F565" s="6">
        <f>'Пр.4 ведом.20'!G623</f>
        <v>0</v>
      </c>
      <c r="G565" s="358">
        <f>'Пр.4 ведом.20'!H623</f>
        <v>0</v>
      </c>
      <c r="H565" s="358" t="e">
        <f t="shared" si="263"/>
        <v>#DIV/0!</v>
      </c>
    </row>
    <row r="566" spans="1:8" s="213" customFormat="1" ht="94.5" x14ac:dyDescent="0.25">
      <c r="A566" s="23" t="s">
        <v>1400</v>
      </c>
      <c r="B566" s="24" t="s">
        <v>280</v>
      </c>
      <c r="C566" s="24" t="s">
        <v>134</v>
      </c>
      <c r="D566" s="24" t="s">
        <v>1398</v>
      </c>
      <c r="E566" s="24"/>
      <c r="F566" s="21">
        <f>F567+F570</f>
        <v>1737.8999999999999</v>
      </c>
      <c r="G566" s="332">
        <f t="shared" ref="G566" si="283">G567+G570</f>
        <v>181.66300000000001</v>
      </c>
      <c r="H566" s="4">
        <f t="shared" si="263"/>
        <v>10.453018010242248</v>
      </c>
    </row>
    <row r="567" spans="1:8" s="213" customFormat="1" ht="94.5" x14ac:dyDescent="0.25">
      <c r="A567" s="151" t="s">
        <v>1464</v>
      </c>
      <c r="B567" s="20" t="s">
        <v>280</v>
      </c>
      <c r="C567" s="20" t="s">
        <v>134</v>
      </c>
      <c r="D567" s="20" t="s">
        <v>1402</v>
      </c>
      <c r="E567" s="20"/>
      <c r="F567" s="26">
        <f>F568</f>
        <v>71.3</v>
      </c>
      <c r="G567" s="336">
        <f t="shared" ref="G567:G568" si="284">G568</f>
        <v>0</v>
      </c>
      <c r="H567" s="358">
        <f t="shared" si="263"/>
        <v>0</v>
      </c>
    </row>
    <row r="568" spans="1:8" s="213" customFormat="1" ht="31.5" x14ac:dyDescent="0.25">
      <c r="A568" s="25" t="s">
        <v>288</v>
      </c>
      <c r="B568" s="20" t="s">
        <v>280</v>
      </c>
      <c r="C568" s="20" t="s">
        <v>134</v>
      </c>
      <c r="D568" s="20" t="s">
        <v>1402</v>
      </c>
      <c r="E568" s="20" t="s">
        <v>289</v>
      </c>
      <c r="F568" s="26">
        <f>F569</f>
        <v>71.3</v>
      </c>
      <c r="G568" s="336">
        <f t="shared" si="284"/>
        <v>0</v>
      </c>
      <c r="H568" s="358">
        <f t="shared" si="263"/>
        <v>0</v>
      </c>
    </row>
    <row r="569" spans="1:8" s="213" customFormat="1" ht="15.75" x14ac:dyDescent="0.25">
      <c r="A569" s="25" t="s">
        <v>290</v>
      </c>
      <c r="B569" s="20" t="s">
        <v>280</v>
      </c>
      <c r="C569" s="20" t="s">
        <v>134</v>
      </c>
      <c r="D569" s="20" t="s">
        <v>1402</v>
      </c>
      <c r="E569" s="20" t="s">
        <v>291</v>
      </c>
      <c r="F569" s="26">
        <f>'Пр.4 ведом.20'!G615</f>
        <v>71.3</v>
      </c>
      <c r="G569" s="336">
        <f>'Пр.4 ведом.20'!H615</f>
        <v>0</v>
      </c>
      <c r="H569" s="358">
        <f t="shared" si="263"/>
        <v>0</v>
      </c>
    </row>
    <row r="570" spans="1:8" s="213" customFormat="1" ht="97.5" customHeight="1" x14ac:dyDescent="0.25">
      <c r="A570" s="151" t="s">
        <v>1399</v>
      </c>
      <c r="B570" s="20" t="s">
        <v>280</v>
      </c>
      <c r="C570" s="20" t="s">
        <v>134</v>
      </c>
      <c r="D570" s="20" t="s">
        <v>1401</v>
      </c>
      <c r="E570" s="20"/>
      <c r="F570" s="26">
        <f>F571</f>
        <v>1666.6</v>
      </c>
      <c r="G570" s="336">
        <f t="shared" ref="G570:G571" si="285">G571</f>
        <v>181.66300000000001</v>
      </c>
      <c r="H570" s="358">
        <f t="shared" si="263"/>
        <v>10.900216008640347</v>
      </c>
    </row>
    <row r="571" spans="1:8" s="213" customFormat="1" ht="31.5" x14ac:dyDescent="0.25">
      <c r="A571" s="25" t="s">
        <v>288</v>
      </c>
      <c r="B571" s="20" t="s">
        <v>280</v>
      </c>
      <c r="C571" s="20" t="s">
        <v>134</v>
      </c>
      <c r="D571" s="20" t="s">
        <v>1401</v>
      </c>
      <c r="E571" s="20" t="s">
        <v>289</v>
      </c>
      <c r="F571" s="26">
        <f>F572</f>
        <v>1666.6</v>
      </c>
      <c r="G571" s="336">
        <f t="shared" si="285"/>
        <v>181.66300000000001</v>
      </c>
      <c r="H571" s="358">
        <f t="shared" si="263"/>
        <v>10.900216008640347</v>
      </c>
    </row>
    <row r="572" spans="1:8" s="213" customFormat="1" ht="15.75" x14ac:dyDescent="0.25">
      <c r="A572" s="25" t="s">
        <v>290</v>
      </c>
      <c r="B572" s="20" t="s">
        <v>280</v>
      </c>
      <c r="C572" s="20" t="s">
        <v>134</v>
      </c>
      <c r="D572" s="20" t="s">
        <v>1401</v>
      </c>
      <c r="E572" s="20" t="s">
        <v>291</v>
      </c>
      <c r="F572" s="26">
        <v>1666.6</v>
      </c>
      <c r="G572" s="336">
        <f>'Пр.4 ведом.20'!H618</f>
        <v>181.66300000000001</v>
      </c>
      <c r="H572" s="358">
        <f t="shared" si="263"/>
        <v>10.900216008640347</v>
      </c>
    </row>
    <row r="573" spans="1:8" ht="63" x14ac:dyDescent="0.25">
      <c r="A573" s="41" t="s">
        <v>730</v>
      </c>
      <c r="B573" s="24" t="s">
        <v>280</v>
      </c>
      <c r="C573" s="24" t="s">
        <v>134</v>
      </c>
      <c r="D573" s="24" t="s">
        <v>728</v>
      </c>
      <c r="E573" s="231"/>
      <c r="F573" s="4">
        <f>F574</f>
        <v>558.29999999999995</v>
      </c>
      <c r="G573" s="4">
        <f t="shared" ref="G573" si="286">G574</f>
        <v>389.17</v>
      </c>
      <c r="H573" s="4">
        <f t="shared" si="263"/>
        <v>69.706251119469826</v>
      </c>
    </row>
    <row r="574" spans="1:8" ht="47.25" x14ac:dyDescent="0.25">
      <c r="A574" s="41" t="s">
        <v>949</v>
      </c>
      <c r="B574" s="24" t="s">
        <v>280</v>
      </c>
      <c r="C574" s="24" t="s">
        <v>134</v>
      </c>
      <c r="D574" s="24" t="s">
        <v>947</v>
      </c>
      <c r="E574" s="231"/>
      <c r="F574" s="4">
        <f t="shared" ref="F574:G576" si="287">F575</f>
        <v>558.29999999999995</v>
      </c>
      <c r="G574" s="4">
        <f t="shared" si="287"/>
        <v>389.17</v>
      </c>
      <c r="H574" s="4">
        <f t="shared" si="263"/>
        <v>69.706251119469826</v>
      </c>
    </row>
    <row r="575" spans="1:8" ht="47.25" x14ac:dyDescent="0.25">
      <c r="A575" s="99" t="s">
        <v>803</v>
      </c>
      <c r="B575" s="20" t="s">
        <v>280</v>
      </c>
      <c r="C575" s="20" t="s">
        <v>134</v>
      </c>
      <c r="D575" s="20" t="s">
        <v>1027</v>
      </c>
      <c r="E575" s="32"/>
      <c r="F575" s="6">
        <f t="shared" si="287"/>
        <v>558.29999999999995</v>
      </c>
      <c r="G575" s="358">
        <f t="shared" si="287"/>
        <v>389.17</v>
      </c>
      <c r="H575" s="358">
        <f t="shared" si="263"/>
        <v>69.706251119469826</v>
      </c>
    </row>
    <row r="576" spans="1:8" ht="31.5" x14ac:dyDescent="0.25">
      <c r="A576" s="29" t="s">
        <v>288</v>
      </c>
      <c r="B576" s="20" t="s">
        <v>280</v>
      </c>
      <c r="C576" s="20" t="s">
        <v>134</v>
      </c>
      <c r="D576" s="20" t="s">
        <v>1027</v>
      </c>
      <c r="E576" s="32" t="s">
        <v>289</v>
      </c>
      <c r="F576" s="6">
        <f>F577</f>
        <v>558.29999999999995</v>
      </c>
      <c r="G576" s="358">
        <f t="shared" si="287"/>
        <v>389.17</v>
      </c>
      <c r="H576" s="358">
        <f t="shared" si="263"/>
        <v>69.706251119469826</v>
      </c>
    </row>
    <row r="577" spans="1:9" ht="24.75" customHeight="1" x14ac:dyDescent="0.25">
      <c r="A577" s="192" t="s">
        <v>290</v>
      </c>
      <c r="B577" s="20" t="s">
        <v>280</v>
      </c>
      <c r="C577" s="20" t="s">
        <v>134</v>
      </c>
      <c r="D577" s="20" t="s">
        <v>1027</v>
      </c>
      <c r="E577" s="32" t="s">
        <v>291</v>
      </c>
      <c r="F577" s="6">
        <f>'Пр.4 ведом.20'!G628</f>
        <v>558.29999999999995</v>
      </c>
      <c r="G577" s="358">
        <f>'Пр.4 ведом.20'!H628</f>
        <v>389.17</v>
      </c>
      <c r="H577" s="358">
        <f t="shared" si="263"/>
        <v>69.706251119469826</v>
      </c>
    </row>
    <row r="578" spans="1:9" ht="15.75" x14ac:dyDescent="0.25">
      <c r="A578" s="41" t="s">
        <v>441</v>
      </c>
      <c r="B578" s="7" t="s">
        <v>280</v>
      </c>
      <c r="C578" s="7" t="s">
        <v>229</v>
      </c>
      <c r="D578" s="7"/>
      <c r="E578" s="7"/>
      <c r="F578" s="4">
        <f>F579+F683+F688</f>
        <v>183999.23757</v>
      </c>
      <c r="G578" s="4">
        <f t="shared" ref="G578" si="288">G579+G683+G688</f>
        <v>119573.52</v>
      </c>
      <c r="H578" s="4">
        <f t="shared" si="263"/>
        <v>64.985877973820351</v>
      </c>
      <c r="I578">
        <f>'Пр.4 ведом.20'!H629</f>
        <v>119573.52</v>
      </c>
    </row>
    <row r="579" spans="1:9" ht="47.25" x14ac:dyDescent="0.25">
      <c r="A579" s="23" t="s">
        <v>442</v>
      </c>
      <c r="B579" s="24" t="s">
        <v>280</v>
      </c>
      <c r="C579" s="24" t="s">
        <v>229</v>
      </c>
      <c r="D579" s="24" t="s">
        <v>422</v>
      </c>
      <c r="E579" s="24"/>
      <c r="F579" s="4">
        <f>F580+F613</f>
        <v>183125.93757000001</v>
      </c>
      <c r="G579" s="4">
        <f t="shared" ref="G579" si="289">G580+G613</f>
        <v>118885.262</v>
      </c>
      <c r="H579" s="4">
        <f t="shared" si="263"/>
        <v>64.919947210949317</v>
      </c>
    </row>
    <row r="580" spans="1:9" ht="36" customHeight="1" x14ac:dyDescent="0.25">
      <c r="A580" s="23" t="s">
        <v>423</v>
      </c>
      <c r="B580" s="24" t="s">
        <v>280</v>
      </c>
      <c r="C580" s="24" t="s">
        <v>229</v>
      </c>
      <c r="D580" s="24" t="s">
        <v>424</v>
      </c>
      <c r="E580" s="24"/>
      <c r="F580" s="4">
        <f>F581+F591</f>
        <v>166083.49857</v>
      </c>
      <c r="G580" s="4">
        <f t="shared" ref="G580" si="290">G581+G591</f>
        <v>112362.311</v>
      </c>
      <c r="H580" s="4">
        <f t="shared" si="263"/>
        <v>67.654108907539737</v>
      </c>
    </row>
    <row r="581" spans="1:9" ht="31.5" x14ac:dyDescent="0.25">
      <c r="A581" s="23" t="s">
        <v>1028</v>
      </c>
      <c r="B581" s="24" t="s">
        <v>280</v>
      </c>
      <c r="C581" s="24" t="s">
        <v>229</v>
      </c>
      <c r="D581" s="24" t="s">
        <v>1006</v>
      </c>
      <c r="E581" s="24"/>
      <c r="F581" s="4">
        <f>F582+F585+F588</f>
        <v>27339.028570000002</v>
      </c>
      <c r="G581" s="4">
        <f t="shared" ref="G581" si="291">G582+G585+G588</f>
        <v>16770.868000000002</v>
      </c>
      <c r="H581" s="4">
        <f t="shared" si="263"/>
        <v>61.344052357453606</v>
      </c>
    </row>
    <row r="582" spans="1:9" ht="47.25" x14ac:dyDescent="0.25">
      <c r="A582" s="25" t="s">
        <v>1068</v>
      </c>
      <c r="B582" s="20" t="s">
        <v>280</v>
      </c>
      <c r="C582" s="20" t="s">
        <v>229</v>
      </c>
      <c r="D582" s="20" t="s">
        <v>1065</v>
      </c>
      <c r="E582" s="20"/>
      <c r="F582" s="303">
        <f t="shared" ref="F582:G582" si="292">F583</f>
        <v>9301.4285700000019</v>
      </c>
      <c r="G582" s="303">
        <f t="shared" si="292"/>
        <v>6122.4759999999997</v>
      </c>
      <c r="H582" s="358">
        <f t="shared" si="263"/>
        <v>65.822964224515886</v>
      </c>
    </row>
    <row r="583" spans="1:9" ht="39.75" customHeight="1" x14ac:dyDescent="0.25">
      <c r="A583" s="25" t="s">
        <v>288</v>
      </c>
      <c r="B583" s="20" t="s">
        <v>280</v>
      </c>
      <c r="C583" s="20" t="s">
        <v>229</v>
      </c>
      <c r="D583" s="20" t="s">
        <v>1065</v>
      </c>
      <c r="E583" s="20" t="s">
        <v>289</v>
      </c>
      <c r="F583" s="303">
        <f>'Пр.4 ведом.20'!G635</f>
        <v>9301.4285700000019</v>
      </c>
      <c r="G583" s="303">
        <f>'Пр.4 ведом.20'!H635</f>
        <v>6122.4759999999997</v>
      </c>
      <c r="H583" s="358">
        <f t="shared" si="263"/>
        <v>65.822964224515886</v>
      </c>
    </row>
    <row r="584" spans="1:9" ht="15.75" x14ac:dyDescent="0.25">
      <c r="A584" s="25" t="s">
        <v>290</v>
      </c>
      <c r="B584" s="20" t="s">
        <v>280</v>
      </c>
      <c r="C584" s="20" t="s">
        <v>229</v>
      </c>
      <c r="D584" s="20" t="s">
        <v>1065</v>
      </c>
      <c r="E584" s="20" t="s">
        <v>291</v>
      </c>
      <c r="F584" s="6">
        <f>'Пр.4 ведом.20'!G635</f>
        <v>9301.4285700000019</v>
      </c>
      <c r="G584" s="358">
        <f>'Пр.4 ведом.20'!H635</f>
        <v>6122.4759999999997</v>
      </c>
      <c r="H584" s="358">
        <f t="shared" si="263"/>
        <v>65.822964224515886</v>
      </c>
    </row>
    <row r="585" spans="1:9" ht="47.25" customHeight="1" x14ac:dyDescent="0.25">
      <c r="A585" s="25" t="s">
        <v>1069</v>
      </c>
      <c r="B585" s="20" t="s">
        <v>280</v>
      </c>
      <c r="C585" s="20" t="s">
        <v>229</v>
      </c>
      <c r="D585" s="20" t="s">
        <v>1066</v>
      </c>
      <c r="E585" s="20"/>
      <c r="F585" s="6">
        <f t="shared" ref="F585:G586" si="293">F586</f>
        <v>11361.7</v>
      </c>
      <c r="G585" s="358">
        <f t="shared" si="293"/>
        <v>6401.2929999999997</v>
      </c>
      <c r="H585" s="358">
        <f t="shared" si="263"/>
        <v>56.340978902805027</v>
      </c>
    </row>
    <row r="586" spans="1:9" ht="35.450000000000003" customHeight="1" x14ac:dyDescent="0.25">
      <c r="A586" s="25" t="s">
        <v>288</v>
      </c>
      <c r="B586" s="20" t="s">
        <v>280</v>
      </c>
      <c r="C586" s="20" t="s">
        <v>229</v>
      </c>
      <c r="D586" s="20" t="s">
        <v>1066</v>
      </c>
      <c r="E586" s="20" t="s">
        <v>289</v>
      </c>
      <c r="F586" s="6">
        <f t="shared" si="293"/>
        <v>11361.7</v>
      </c>
      <c r="G586" s="358">
        <f t="shared" si="293"/>
        <v>6401.2929999999997</v>
      </c>
      <c r="H586" s="358">
        <f t="shared" si="263"/>
        <v>56.340978902805027</v>
      </c>
    </row>
    <row r="587" spans="1:9" ht="15.75" customHeight="1" x14ac:dyDescent="0.25">
      <c r="A587" s="25" t="s">
        <v>290</v>
      </c>
      <c r="B587" s="20" t="s">
        <v>280</v>
      </c>
      <c r="C587" s="20" t="s">
        <v>229</v>
      </c>
      <c r="D587" s="20" t="s">
        <v>1066</v>
      </c>
      <c r="E587" s="20" t="s">
        <v>291</v>
      </c>
      <c r="F587" s="6">
        <f>'Пр.4 ведом.20'!G638</f>
        <v>11361.7</v>
      </c>
      <c r="G587" s="358">
        <f>'Пр.4 ведом.20'!H638</f>
        <v>6401.2929999999997</v>
      </c>
      <c r="H587" s="358">
        <f t="shared" ref="H587:H650" si="294">G587/F587*100</f>
        <v>56.340978902805027</v>
      </c>
    </row>
    <row r="588" spans="1:9" ht="52.5" customHeight="1" x14ac:dyDescent="0.25">
      <c r="A588" s="25" t="s">
        <v>1070</v>
      </c>
      <c r="B588" s="20" t="s">
        <v>280</v>
      </c>
      <c r="C588" s="20" t="s">
        <v>229</v>
      </c>
      <c r="D588" s="20" t="s">
        <v>1067</v>
      </c>
      <c r="E588" s="20"/>
      <c r="F588" s="6">
        <f>F589</f>
        <v>6675.9</v>
      </c>
      <c r="G588" s="358">
        <f t="shared" ref="G588" si="295">G589</f>
        <v>4247.0990000000002</v>
      </c>
      <c r="H588" s="358">
        <f t="shared" si="294"/>
        <v>63.618373552629613</v>
      </c>
    </row>
    <row r="589" spans="1:9" ht="34.5" customHeight="1" x14ac:dyDescent="0.25">
      <c r="A589" s="25" t="s">
        <v>288</v>
      </c>
      <c r="B589" s="20" t="s">
        <v>280</v>
      </c>
      <c r="C589" s="20" t="s">
        <v>229</v>
      </c>
      <c r="D589" s="20" t="s">
        <v>1067</v>
      </c>
      <c r="E589" s="20" t="s">
        <v>289</v>
      </c>
      <c r="F589" s="6">
        <f t="shared" ref="F589:G589" si="296">F590</f>
        <v>6675.9</v>
      </c>
      <c r="G589" s="358">
        <f t="shared" si="296"/>
        <v>4247.0990000000002</v>
      </c>
      <c r="H589" s="358">
        <f t="shared" si="294"/>
        <v>63.618373552629613</v>
      </c>
    </row>
    <row r="590" spans="1:9" ht="15" customHeight="1" x14ac:dyDescent="0.25">
      <c r="A590" s="25" t="s">
        <v>290</v>
      </c>
      <c r="B590" s="20" t="s">
        <v>280</v>
      </c>
      <c r="C590" s="20" t="s">
        <v>229</v>
      </c>
      <c r="D590" s="20" t="s">
        <v>1067</v>
      </c>
      <c r="E590" s="20" t="s">
        <v>291</v>
      </c>
      <c r="F590" s="6">
        <f>'Пр.4 ведом.20'!G641</f>
        <v>6675.9</v>
      </c>
      <c r="G590" s="358">
        <f>'Пр.4 ведом.20'!H641</f>
        <v>4247.0990000000002</v>
      </c>
      <c r="H590" s="358">
        <f t="shared" si="294"/>
        <v>63.618373552629613</v>
      </c>
    </row>
    <row r="591" spans="1:9" ht="47.25" customHeight="1" x14ac:dyDescent="0.25">
      <c r="A591" s="23" t="s">
        <v>971</v>
      </c>
      <c r="B591" s="24" t="s">
        <v>280</v>
      </c>
      <c r="C591" s="24" t="s">
        <v>229</v>
      </c>
      <c r="D591" s="24" t="s">
        <v>1021</v>
      </c>
      <c r="E591" s="24"/>
      <c r="F591" s="4">
        <f>F598+F601+F604+F607+F610+F595+F592</f>
        <v>138744.47</v>
      </c>
      <c r="G591" s="4">
        <f t="shared" ref="G591" si="297">G598+G601+G604+G607+G610+G595+G592</f>
        <v>95591.442999999999</v>
      </c>
      <c r="H591" s="4">
        <f t="shared" si="294"/>
        <v>68.897479661711927</v>
      </c>
    </row>
    <row r="592" spans="1:9" s="324" customFormat="1" ht="47.25" customHeight="1" x14ac:dyDescent="0.25">
      <c r="A592" s="335" t="s">
        <v>1525</v>
      </c>
      <c r="B592" s="331" t="s">
        <v>280</v>
      </c>
      <c r="C592" s="331" t="s">
        <v>229</v>
      </c>
      <c r="D592" s="331" t="s">
        <v>1526</v>
      </c>
      <c r="E592" s="331"/>
      <c r="F592" s="6">
        <f>F593</f>
        <v>1125.9000000000001</v>
      </c>
      <c r="G592" s="358">
        <f t="shared" ref="G592:G593" si="298">G593</f>
        <v>341.8</v>
      </c>
      <c r="H592" s="358">
        <f t="shared" si="294"/>
        <v>30.357935873523402</v>
      </c>
    </row>
    <row r="593" spans="1:8" s="324" customFormat="1" ht="31.5" x14ac:dyDescent="0.25">
      <c r="A593" s="335" t="s">
        <v>288</v>
      </c>
      <c r="B593" s="331" t="s">
        <v>280</v>
      </c>
      <c r="C593" s="331" t="s">
        <v>229</v>
      </c>
      <c r="D593" s="331" t="s">
        <v>1526</v>
      </c>
      <c r="E593" s="331" t="s">
        <v>289</v>
      </c>
      <c r="F593" s="6">
        <f>F594</f>
        <v>1125.9000000000001</v>
      </c>
      <c r="G593" s="358">
        <f t="shared" si="298"/>
        <v>341.8</v>
      </c>
      <c r="H593" s="358">
        <f t="shared" si="294"/>
        <v>30.357935873523402</v>
      </c>
    </row>
    <row r="594" spans="1:8" s="324" customFormat="1" ht="15.75" x14ac:dyDescent="0.25">
      <c r="A594" s="335" t="s">
        <v>290</v>
      </c>
      <c r="B594" s="331" t="s">
        <v>280</v>
      </c>
      <c r="C594" s="331" t="s">
        <v>229</v>
      </c>
      <c r="D594" s="331" t="s">
        <v>1526</v>
      </c>
      <c r="E594" s="331" t="s">
        <v>291</v>
      </c>
      <c r="F594" s="6">
        <f>'Пр.4 ведом.20'!G645</f>
        <v>1125.9000000000001</v>
      </c>
      <c r="G594" s="358">
        <f>'Пр.4 ведом.20'!H645</f>
        <v>341.8</v>
      </c>
      <c r="H594" s="358">
        <f t="shared" si="294"/>
        <v>30.357935873523402</v>
      </c>
    </row>
    <row r="595" spans="1:8" s="324" customFormat="1" ht="94.5" x14ac:dyDescent="0.25">
      <c r="A595" s="31" t="s">
        <v>309</v>
      </c>
      <c r="B595" s="331" t="s">
        <v>280</v>
      </c>
      <c r="C595" s="331" t="s">
        <v>229</v>
      </c>
      <c r="D595" s="331" t="s">
        <v>1517</v>
      </c>
      <c r="E595" s="331"/>
      <c r="F595" s="6">
        <f>F596</f>
        <v>3821</v>
      </c>
      <c r="G595" s="358">
        <f t="shared" ref="G595:G596" si="299">G596</f>
        <v>2595.3560000000002</v>
      </c>
      <c r="H595" s="358">
        <f t="shared" si="294"/>
        <v>67.923475529965984</v>
      </c>
    </row>
    <row r="596" spans="1:8" s="324" customFormat="1" ht="31.5" x14ac:dyDescent="0.25">
      <c r="A596" s="335" t="s">
        <v>288</v>
      </c>
      <c r="B596" s="331" t="s">
        <v>280</v>
      </c>
      <c r="C596" s="331" t="s">
        <v>229</v>
      </c>
      <c r="D596" s="331" t="s">
        <v>1517</v>
      </c>
      <c r="E596" s="331" t="s">
        <v>289</v>
      </c>
      <c r="F596" s="6">
        <f>F597</f>
        <v>3821</v>
      </c>
      <c r="G596" s="358">
        <f t="shared" si="299"/>
        <v>2595.3560000000002</v>
      </c>
      <c r="H596" s="358">
        <f t="shared" si="294"/>
        <v>67.923475529965984</v>
      </c>
    </row>
    <row r="597" spans="1:8" s="324" customFormat="1" ht="15.75" x14ac:dyDescent="0.25">
      <c r="A597" s="335" t="s">
        <v>290</v>
      </c>
      <c r="B597" s="331" t="s">
        <v>280</v>
      </c>
      <c r="C597" s="331" t="s">
        <v>229</v>
      </c>
      <c r="D597" s="331" t="s">
        <v>1517</v>
      </c>
      <c r="E597" s="331" t="s">
        <v>291</v>
      </c>
      <c r="F597" s="6">
        <f>'Пр.4 ведом.20'!G648</f>
        <v>3821</v>
      </c>
      <c r="G597" s="358">
        <f>'Пр.4 ведом.20'!H648</f>
        <v>2595.3560000000002</v>
      </c>
      <c r="H597" s="358">
        <f t="shared" si="294"/>
        <v>67.923475529965984</v>
      </c>
    </row>
    <row r="598" spans="1:8" ht="90" customHeight="1" x14ac:dyDescent="0.25">
      <c r="A598" s="31" t="s">
        <v>1456</v>
      </c>
      <c r="B598" s="20" t="s">
        <v>280</v>
      </c>
      <c r="C598" s="20" t="s">
        <v>229</v>
      </c>
      <c r="D598" s="20" t="s">
        <v>1049</v>
      </c>
      <c r="E598" s="20"/>
      <c r="F598" s="6">
        <f>F599</f>
        <v>128341.87</v>
      </c>
      <c r="G598" s="358">
        <f t="shared" ref="G598" si="300">G599</f>
        <v>88824.786999999997</v>
      </c>
      <c r="H598" s="358">
        <f t="shared" si="294"/>
        <v>69.209515959211132</v>
      </c>
    </row>
    <row r="599" spans="1:8" ht="35.450000000000003" customHeight="1" x14ac:dyDescent="0.25">
      <c r="A599" s="25" t="s">
        <v>288</v>
      </c>
      <c r="B599" s="20" t="s">
        <v>280</v>
      </c>
      <c r="C599" s="20" t="s">
        <v>229</v>
      </c>
      <c r="D599" s="20" t="s">
        <v>1049</v>
      </c>
      <c r="E599" s="20" t="s">
        <v>289</v>
      </c>
      <c r="F599" s="6">
        <f t="shared" ref="F599:G599" si="301">F600</f>
        <v>128341.87</v>
      </c>
      <c r="G599" s="358">
        <f t="shared" si="301"/>
        <v>88824.786999999997</v>
      </c>
      <c r="H599" s="358">
        <f t="shared" si="294"/>
        <v>69.209515959211132</v>
      </c>
    </row>
    <row r="600" spans="1:8" ht="15.75" customHeight="1" x14ac:dyDescent="0.25">
      <c r="A600" s="25" t="s">
        <v>290</v>
      </c>
      <c r="B600" s="20" t="s">
        <v>280</v>
      </c>
      <c r="C600" s="20" t="s">
        <v>229</v>
      </c>
      <c r="D600" s="20" t="s">
        <v>1049</v>
      </c>
      <c r="E600" s="20" t="s">
        <v>291</v>
      </c>
      <c r="F600" s="6">
        <f>'Пр.4 ведом.20'!G651</f>
        <v>128341.87</v>
      </c>
      <c r="G600" s="358">
        <f>'Пр.4 ведом.20'!H651</f>
        <v>88824.786999999997</v>
      </c>
      <c r="H600" s="358">
        <f t="shared" si="294"/>
        <v>69.209515959211132</v>
      </c>
    </row>
    <row r="601" spans="1:8" ht="72" customHeight="1" x14ac:dyDescent="0.25">
      <c r="A601" s="31" t="s">
        <v>305</v>
      </c>
      <c r="B601" s="20" t="s">
        <v>280</v>
      </c>
      <c r="C601" s="20" t="s">
        <v>229</v>
      </c>
      <c r="D601" s="20" t="s">
        <v>1020</v>
      </c>
      <c r="E601" s="20"/>
      <c r="F601" s="6">
        <f>F602</f>
        <v>1245.5999999999999</v>
      </c>
      <c r="G601" s="358">
        <f t="shared" ref="G601" si="302">G602</f>
        <v>649.6</v>
      </c>
      <c r="H601" s="358">
        <f t="shared" si="294"/>
        <v>52.15157353885678</v>
      </c>
    </row>
    <row r="602" spans="1:8" ht="31.7" customHeight="1" x14ac:dyDescent="0.25">
      <c r="A602" s="25" t="s">
        <v>288</v>
      </c>
      <c r="B602" s="20" t="s">
        <v>280</v>
      </c>
      <c r="C602" s="20" t="s">
        <v>229</v>
      </c>
      <c r="D602" s="20" t="s">
        <v>1020</v>
      </c>
      <c r="E602" s="20" t="s">
        <v>289</v>
      </c>
      <c r="F602" s="6">
        <f t="shared" ref="F602:G602" si="303">F603</f>
        <v>1245.5999999999999</v>
      </c>
      <c r="G602" s="358">
        <f t="shared" si="303"/>
        <v>649.6</v>
      </c>
      <c r="H602" s="358">
        <f t="shared" si="294"/>
        <v>52.15157353885678</v>
      </c>
    </row>
    <row r="603" spans="1:8" ht="18" customHeight="1" x14ac:dyDescent="0.25">
      <c r="A603" s="25" t="s">
        <v>290</v>
      </c>
      <c r="B603" s="20" t="s">
        <v>280</v>
      </c>
      <c r="C603" s="20" t="s">
        <v>229</v>
      </c>
      <c r="D603" s="20" t="s">
        <v>1020</v>
      </c>
      <c r="E603" s="20" t="s">
        <v>291</v>
      </c>
      <c r="F603" s="6">
        <f>'Пр.4 ведом.20'!G654</f>
        <v>1245.5999999999999</v>
      </c>
      <c r="G603" s="358">
        <f>'Пр.4 ведом.20'!H654</f>
        <v>649.6</v>
      </c>
      <c r="H603" s="358">
        <f t="shared" si="294"/>
        <v>52.15157353885678</v>
      </c>
    </row>
    <row r="604" spans="1:8" ht="67.7" customHeight="1" x14ac:dyDescent="0.25">
      <c r="A604" s="31" t="s">
        <v>307</v>
      </c>
      <c r="B604" s="20" t="s">
        <v>280</v>
      </c>
      <c r="C604" s="20" t="s">
        <v>229</v>
      </c>
      <c r="D604" s="20" t="s">
        <v>1023</v>
      </c>
      <c r="E604" s="20"/>
      <c r="F604" s="6">
        <f>F605</f>
        <v>2266.6999999999998</v>
      </c>
      <c r="G604" s="358">
        <f t="shared" ref="G604" si="304">G605</f>
        <v>1488.9</v>
      </c>
      <c r="H604" s="358">
        <f t="shared" si="294"/>
        <v>65.685798738253851</v>
      </c>
    </row>
    <row r="605" spans="1:8" ht="34.5" customHeight="1" x14ac:dyDescent="0.25">
      <c r="A605" s="25" t="s">
        <v>288</v>
      </c>
      <c r="B605" s="20" t="s">
        <v>280</v>
      </c>
      <c r="C605" s="20" t="s">
        <v>229</v>
      </c>
      <c r="D605" s="20" t="s">
        <v>1023</v>
      </c>
      <c r="E605" s="20" t="s">
        <v>289</v>
      </c>
      <c r="F605" s="6">
        <f t="shared" ref="F605:G605" si="305">F606</f>
        <v>2266.6999999999998</v>
      </c>
      <c r="G605" s="358">
        <f t="shared" si="305"/>
        <v>1488.9</v>
      </c>
      <c r="H605" s="358">
        <f t="shared" si="294"/>
        <v>65.685798738253851</v>
      </c>
    </row>
    <row r="606" spans="1:8" ht="15.75" x14ac:dyDescent="0.25">
      <c r="A606" s="25" t="s">
        <v>290</v>
      </c>
      <c r="B606" s="20" t="s">
        <v>280</v>
      </c>
      <c r="C606" s="20" t="s">
        <v>229</v>
      </c>
      <c r="D606" s="20" t="s">
        <v>1023</v>
      </c>
      <c r="E606" s="20" t="s">
        <v>291</v>
      </c>
      <c r="F606" s="6">
        <f>'Пр.4 ведом.20'!G657</f>
        <v>2266.6999999999998</v>
      </c>
      <c r="G606" s="358">
        <f>'Пр.4 ведом.20'!H657</f>
        <v>1488.9</v>
      </c>
      <c r="H606" s="358">
        <f t="shared" si="294"/>
        <v>65.685798738253851</v>
      </c>
    </row>
    <row r="607" spans="1:8" ht="47.25" x14ac:dyDescent="0.25">
      <c r="A607" s="31" t="s">
        <v>478</v>
      </c>
      <c r="B607" s="20" t="s">
        <v>280</v>
      </c>
      <c r="C607" s="20" t="s">
        <v>229</v>
      </c>
      <c r="D607" s="20" t="s">
        <v>1050</v>
      </c>
      <c r="E607" s="20"/>
      <c r="F607" s="6">
        <f>F608</f>
        <v>923.4</v>
      </c>
      <c r="G607" s="358">
        <f t="shared" ref="G607" si="306">G608</f>
        <v>671</v>
      </c>
      <c r="H607" s="358">
        <f t="shared" si="294"/>
        <v>72.666233484946943</v>
      </c>
    </row>
    <row r="608" spans="1:8" ht="36" customHeight="1" x14ac:dyDescent="0.25">
      <c r="A608" s="25" t="s">
        <v>288</v>
      </c>
      <c r="B608" s="20" t="s">
        <v>280</v>
      </c>
      <c r="C608" s="20" t="s">
        <v>229</v>
      </c>
      <c r="D608" s="20" t="s">
        <v>1050</v>
      </c>
      <c r="E608" s="20" t="s">
        <v>289</v>
      </c>
      <c r="F608" s="6">
        <f t="shared" ref="F608:G608" si="307">F609</f>
        <v>923.4</v>
      </c>
      <c r="G608" s="358">
        <f t="shared" si="307"/>
        <v>671</v>
      </c>
      <c r="H608" s="358">
        <f t="shared" si="294"/>
        <v>72.666233484946943</v>
      </c>
    </row>
    <row r="609" spans="1:8" ht="15.75" x14ac:dyDescent="0.25">
      <c r="A609" s="25" t="s">
        <v>290</v>
      </c>
      <c r="B609" s="20" t="s">
        <v>280</v>
      </c>
      <c r="C609" s="20" t="s">
        <v>229</v>
      </c>
      <c r="D609" s="20" t="s">
        <v>1050</v>
      </c>
      <c r="E609" s="20" t="s">
        <v>291</v>
      </c>
      <c r="F609" s="6">
        <f>'Пр.4 ведом.20'!G660</f>
        <v>923.4</v>
      </c>
      <c r="G609" s="358">
        <f>'Пр.4 ведом.20'!H660</f>
        <v>671</v>
      </c>
      <c r="H609" s="358">
        <f t="shared" si="294"/>
        <v>72.666233484946943</v>
      </c>
    </row>
    <row r="610" spans="1:8" ht="94.5" x14ac:dyDescent="0.25">
      <c r="A610" s="31" t="s">
        <v>480</v>
      </c>
      <c r="B610" s="20" t="s">
        <v>280</v>
      </c>
      <c r="C610" s="20" t="s">
        <v>229</v>
      </c>
      <c r="D610" s="20" t="s">
        <v>1024</v>
      </c>
      <c r="E610" s="20"/>
      <c r="F610" s="6">
        <f>F611</f>
        <v>1019.9999999999991</v>
      </c>
      <c r="G610" s="358">
        <f t="shared" ref="G610:G611" si="308">G611</f>
        <v>1020</v>
      </c>
      <c r="H610" s="358">
        <f t="shared" si="294"/>
        <v>100.00000000000009</v>
      </c>
    </row>
    <row r="611" spans="1:8" ht="37.5" customHeight="1" x14ac:dyDescent="0.25">
      <c r="A611" s="25" t="s">
        <v>288</v>
      </c>
      <c r="B611" s="20" t="s">
        <v>280</v>
      </c>
      <c r="C611" s="20" t="s">
        <v>229</v>
      </c>
      <c r="D611" s="20" t="s">
        <v>1024</v>
      </c>
      <c r="E611" s="20" t="s">
        <v>289</v>
      </c>
      <c r="F611" s="6">
        <f>F612</f>
        <v>1019.9999999999991</v>
      </c>
      <c r="G611" s="358">
        <f t="shared" si="308"/>
        <v>1020</v>
      </c>
      <c r="H611" s="358">
        <f t="shared" si="294"/>
        <v>100.00000000000009</v>
      </c>
    </row>
    <row r="612" spans="1:8" ht="15.75" x14ac:dyDescent="0.25">
      <c r="A612" s="25" t="s">
        <v>290</v>
      </c>
      <c r="B612" s="20" t="s">
        <v>280</v>
      </c>
      <c r="C612" s="20" t="s">
        <v>229</v>
      </c>
      <c r="D612" s="20" t="s">
        <v>1024</v>
      </c>
      <c r="E612" s="20" t="s">
        <v>291</v>
      </c>
      <c r="F612" s="6">
        <f>'Пр.4 ведом.20'!G663</f>
        <v>1019.9999999999991</v>
      </c>
      <c r="G612" s="358">
        <f>'Пр.4 ведом.20'!H663</f>
        <v>1020</v>
      </c>
      <c r="H612" s="358">
        <f t="shared" si="294"/>
        <v>100.00000000000009</v>
      </c>
    </row>
    <row r="613" spans="1:8" ht="31.5" x14ac:dyDescent="0.25">
      <c r="A613" s="269" t="s">
        <v>446</v>
      </c>
      <c r="B613" s="24" t="s">
        <v>280</v>
      </c>
      <c r="C613" s="24" t="s">
        <v>229</v>
      </c>
      <c r="D613" s="24" t="s">
        <v>447</v>
      </c>
      <c r="E613" s="24"/>
      <c r="F613" s="4">
        <f>F614+F627+F634+F641+F648+F676+F655+F662+F669</f>
        <v>17042.438999999998</v>
      </c>
      <c r="G613" s="4">
        <f t="shared" ref="G613" si="309">G614+G627+G634+G641+G648+G676+G655+G662+G669</f>
        <v>6522.951</v>
      </c>
      <c r="H613" s="4">
        <f t="shared" si="294"/>
        <v>38.274750462653849</v>
      </c>
    </row>
    <row r="614" spans="1:8" ht="31.5" x14ac:dyDescent="0.25">
      <c r="A614" s="23" t="s">
        <v>1268</v>
      </c>
      <c r="B614" s="24" t="s">
        <v>280</v>
      </c>
      <c r="C614" s="24" t="s">
        <v>229</v>
      </c>
      <c r="D614" s="24" t="s">
        <v>1030</v>
      </c>
      <c r="E614" s="24"/>
      <c r="F614" s="4">
        <f>F615+F618+F621+F624</f>
        <v>2271.33</v>
      </c>
      <c r="G614" s="4">
        <f t="shared" ref="G614" si="310">G615+G618+G621+G624</f>
        <v>1969.1310000000001</v>
      </c>
      <c r="H614" s="4">
        <f t="shared" si="294"/>
        <v>86.69506412542431</v>
      </c>
    </row>
    <row r="615" spans="1:8" ht="36" hidden="1" customHeight="1" x14ac:dyDescent="0.25">
      <c r="A615" s="25" t="s">
        <v>456</v>
      </c>
      <c r="B615" s="20" t="s">
        <v>280</v>
      </c>
      <c r="C615" s="20" t="s">
        <v>229</v>
      </c>
      <c r="D615" s="20" t="s">
        <v>1034</v>
      </c>
      <c r="E615" s="20"/>
      <c r="F615" s="6">
        <f t="shared" ref="F615:G616" si="311">F616</f>
        <v>0</v>
      </c>
      <c r="G615" s="358">
        <f t="shared" si="311"/>
        <v>0</v>
      </c>
      <c r="H615" s="358" t="e">
        <f t="shared" si="294"/>
        <v>#DIV/0!</v>
      </c>
    </row>
    <row r="616" spans="1:8" ht="35.450000000000003" hidden="1" customHeight="1" x14ac:dyDescent="0.25">
      <c r="A616" s="25" t="s">
        <v>288</v>
      </c>
      <c r="B616" s="20" t="s">
        <v>280</v>
      </c>
      <c r="C616" s="20" t="s">
        <v>229</v>
      </c>
      <c r="D616" s="20" t="s">
        <v>1034</v>
      </c>
      <c r="E616" s="20" t="s">
        <v>289</v>
      </c>
      <c r="F616" s="6">
        <f>F617</f>
        <v>0</v>
      </c>
      <c r="G616" s="358">
        <f t="shared" si="311"/>
        <v>0</v>
      </c>
      <c r="H616" s="358" t="e">
        <f t="shared" si="294"/>
        <v>#DIV/0!</v>
      </c>
    </row>
    <row r="617" spans="1:8" ht="15.75" hidden="1" x14ac:dyDescent="0.25">
      <c r="A617" s="25" t="s">
        <v>290</v>
      </c>
      <c r="B617" s="20" t="s">
        <v>280</v>
      </c>
      <c r="C617" s="20" t="s">
        <v>229</v>
      </c>
      <c r="D617" s="20" t="s">
        <v>1034</v>
      </c>
      <c r="E617" s="20" t="s">
        <v>291</v>
      </c>
      <c r="F617" s="6">
        <f>'Пр.4 ведом.20'!G668</f>
        <v>0</v>
      </c>
      <c r="G617" s="358">
        <f>'Пр.4 ведом.20'!H668</f>
        <v>0</v>
      </c>
      <c r="H617" s="358" t="e">
        <f t="shared" si="294"/>
        <v>#DIV/0!</v>
      </c>
    </row>
    <row r="618" spans="1:8" ht="31.5" x14ac:dyDescent="0.25">
      <c r="A618" s="25" t="s">
        <v>294</v>
      </c>
      <c r="B618" s="20" t="s">
        <v>280</v>
      </c>
      <c r="C618" s="20" t="s">
        <v>229</v>
      </c>
      <c r="D618" s="20" t="s">
        <v>1035</v>
      </c>
      <c r="E618" s="20"/>
      <c r="F618" s="6">
        <f t="shared" ref="F618:G619" si="312">F619</f>
        <v>1522</v>
      </c>
      <c r="G618" s="358">
        <f t="shared" si="312"/>
        <v>1322</v>
      </c>
      <c r="H618" s="358">
        <f t="shared" si="294"/>
        <v>86.859395532194483</v>
      </c>
    </row>
    <row r="619" spans="1:8" ht="37.5" customHeight="1" x14ac:dyDescent="0.25">
      <c r="A619" s="25" t="s">
        <v>288</v>
      </c>
      <c r="B619" s="20" t="s">
        <v>280</v>
      </c>
      <c r="C619" s="20" t="s">
        <v>229</v>
      </c>
      <c r="D619" s="20" t="s">
        <v>1035</v>
      </c>
      <c r="E619" s="20" t="s">
        <v>289</v>
      </c>
      <c r="F619" s="6">
        <f>F620</f>
        <v>1522</v>
      </c>
      <c r="G619" s="358">
        <f t="shared" si="312"/>
        <v>1322</v>
      </c>
      <c r="H619" s="358">
        <f t="shared" si="294"/>
        <v>86.859395532194483</v>
      </c>
    </row>
    <row r="620" spans="1:8" ht="15.75" x14ac:dyDescent="0.25">
      <c r="A620" s="25" t="s">
        <v>290</v>
      </c>
      <c r="B620" s="20" t="s">
        <v>280</v>
      </c>
      <c r="C620" s="20" t="s">
        <v>229</v>
      </c>
      <c r="D620" s="20" t="s">
        <v>1035</v>
      </c>
      <c r="E620" s="20" t="s">
        <v>291</v>
      </c>
      <c r="F620" s="6">
        <f>'Пр.4 ведом.20'!G671</f>
        <v>1522</v>
      </c>
      <c r="G620" s="358">
        <f>'Пр.4 ведом.20'!H671</f>
        <v>1322</v>
      </c>
      <c r="H620" s="358">
        <f t="shared" si="294"/>
        <v>86.859395532194483</v>
      </c>
    </row>
    <row r="621" spans="1:8" ht="31.5" x14ac:dyDescent="0.25">
      <c r="A621" s="25" t="s">
        <v>296</v>
      </c>
      <c r="B621" s="20" t="s">
        <v>280</v>
      </c>
      <c r="C621" s="20" t="s">
        <v>229</v>
      </c>
      <c r="D621" s="20" t="s">
        <v>1036</v>
      </c>
      <c r="E621" s="20"/>
      <c r="F621" s="6">
        <f t="shared" ref="F621:G622" si="313">F622</f>
        <v>525.33000000000004</v>
      </c>
      <c r="G621" s="358">
        <f t="shared" si="313"/>
        <v>525.33100000000002</v>
      </c>
      <c r="H621" s="358">
        <f t="shared" si="294"/>
        <v>100.0001903565378</v>
      </c>
    </row>
    <row r="622" spans="1:8" ht="31.7" customHeight="1" x14ac:dyDescent="0.25">
      <c r="A622" s="25" t="s">
        <v>288</v>
      </c>
      <c r="B622" s="20" t="s">
        <v>280</v>
      </c>
      <c r="C622" s="20" t="s">
        <v>229</v>
      </c>
      <c r="D622" s="20" t="s">
        <v>1036</v>
      </c>
      <c r="E622" s="20" t="s">
        <v>289</v>
      </c>
      <c r="F622" s="6">
        <f>F623</f>
        <v>525.33000000000004</v>
      </c>
      <c r="G622" s="358">
        <f t="shared" si="313"/>
        <v>525.33100000000002</v>
      </c>
      <c r="H622" s="358">
        <f t="shared" si="294"/>
        <v>100.0001903565378</v>
      </c>
    </row>
    <row r="623" spans="1:8" ht="15.75" x14ac:dyDescent="0.25">
      <c r="A623" s="25" t="s">
        <v>290</v>
      </c>
      <c r="B623" s="20" t="s">
        <v>280</v>
      </c>
      <c r="C623" s="20" t="s">
        <v>229</v>
      </c>
      <c r="D623" s="20" t="s">
        <v>1036</v>
      </c>
      <c r="E623" s="20" t="s">
        <v>291</v>
      </c>
      <c r="F623" s="6">
        <f>'Пр.4 ведом.20'!G674</f>
        <v>525.33000000000004</v>
      </c>
      <c r="G623" s="358">
        <f>'Пр.4 ведом.20'!H674</f>
        <v>525.33100000000002</v>
      </c>
      <c r="H623" s="358">
        <f t="shared" si="294"/>
        <v>100.0001903565378</v>
      </c>
    </row>
    <row r="624" spans="1:8" ht="31.5" x14ac:dyDescent="0.25">
      <c r="A624" s="25" t="s">
        <v>298</v>
      </c>
      <c r="B624" s="20" t="s">
        <v>280</v>
      </c>
      <c r="C624" s="20" t="s">
        <v>229</v>
      </c>
      <c r="D624" s="20" t="s">
        <v>1037</v>
      </c>
      <c r="E624" s="20"/>
      <c r="F624" s="6">
        <f t="shared" ref="F624:G625" si="314">F625</f>
        <v>224</v>
      </c>
      <c r="G624" s="358">
        <f t="shared" si="314"/>
        <v>121.8</v>
      </c>
      <c r="H624" s="358">
        <f t="shared" si="294"/>
        <v>54.374999999999993</v>
      </c>
    </row>
    <row r="625" spans="1:8" ht="36" customHeight="1" x14ac:dyDescent="0.25">
      <c r="A625" s="25" t="s">
        <v>288</v>
      </c>
      <c r="B625" s="20" t="s">
        <v>280</v>
      </c>
      <c r="C625" s="20" t="s">
        <v>229</v>
      </c>
      <c r="D625" s="20" t="s">
        <v>1037</v>
      </c>
      <c r="E625" s="20" t="s">
        <v>289</v>
      </c>
      <c r="F625" s="6">
        <f>F626</f>
        <v>224</v>
      </c>
      <c r="G625" s="358">
        <f t="shared" si="314"/>
        <v>121.8</v>
      </c>
      <c r="H625" s="358">
        <f t="shared" si="294"/>
        <v>54.374999999999993</v>
      </c>
    </row>
    <row r="626" spans="1:8" ht="15" customHeight="1" x14ac:dyDescent="0.25">
      <c r="A626" s="25" t="s">
        <v>290</v>
      </c>
      <c r="B626" s="20" t="s">
        <v>280</v>
      </c>
      <c r="C626" s="20" t="s">
        <v>229</v>
      </c>
      <c r="D626" s="20" t="s">
        <v>1037</v>
      </c>
      <c r="E626" s="20" t="s">
        <v>291</v>
      </c>
      <c r="F626" s="6">
        <f>'Пр.4 ведом.20'!G677</f>
        <v>224</v>
      </c>
      <c r="G626" s="358">
        <f>'Пр.4 ведом.20'!H677</f>
        <v>121.8</v>
      </c>
      <c r="H626" s="358">
        <f t="shared" si="294"/>
        <v>54.374999999999993</v>
      </c>
    </row>
    <row r="627" spans="1:8" ht="35.450000000000003" customHeight="1" x14ac:dyDescent="0.25">
      <c r="A627" s="23" t="s">
        <v>1031</v>
      </c>
      <c r="B627" s="24" t="s">
        <v>280</v>
      </c>
      <c r="C627" s="24" t="s">
        <v>229</v>
      </c>
      <c r="D627" s="24" t="s">
        <v>1032</v>
      </c>
      <c r="E627" s="24"/>
      <c r="F627" s="4">
        <f>F628+F631</f>
        <v>3865.2</v>
      </c>
      <c r="G627" s="4">
        <f t="shared" ref="G627" si="315">G628+G631</f>
        <v>370.28499999999997</v>
      </c>
      <c r="H627" s="4">
        <f t="shared" si="294"/>
        <v>9.5799699886163712</v>
      </c>
    </row>
    <row r="628" spans="1:8" s="213" customFormat="1" ht="49.7" customHeight="1" x14ac:dyDescent="0.25">
      <c r="A628" s="29" t="s">
        <v>619</v>
      </c>
      <c r="B628" s="20" t="s">
        <v>280</v>
      </c>
      <c r="C628" s="20" t="s">
        <v>229</v>
      </c>
      <c r="D628" s="20" t="s">
        <v>1038</v>
      </c>
      <c r="E628" s="20"/>
      <c r="F628" s="6">
        <f>F629</f>
        <v>2200</v>
      </c>
      <c r="G628" s="358">
        <f t="shared" ref="G628:G629" si="316">G629</f>
        <v>233.505</v>
      </c>
      <c r="H628" s="358">
        <f t="shared" si="294"/>
        <v>10.613863636363636</v>
      </c>
    </row>
    <row r="629" spans="1:8" s="213" customFormat="1" ht="38.25" customHeight="1" x14ac:dyDescent="0.25">
      <c r="A629" s="25" t="s">
        <v>288</v>
      </c>
      <c r="B629" s="20" t="s">
        <v>280</v>
      </c>
      <c r="C629" s="20" t="s">
        <v>229</v>
      </c>
      <c r="D629" s="20" t="s">
        <v>1038</v>
      </c>
      <c r="E629" s="20" t="s">
        <v>289</v>
      </c>
      <c r="F629" s="6">
        <f>F630</f>
        <v>2200</v>
      </c>
      <c r="G629" s="358">
        <f t="shared" si="316"/>
        <v>233.505</v>
      </c>
      <c r="H629" s="358">
        <f t="shared" si="294"/>
        <v>10.613863636363636</v>
      </c>
    </row>
    <row r="630" spans="1:8" s="213" customFormat="1" ht="14.25" customHeight="1" x14ac:dyDescent="0.25">
      <c r="A630" s="25" t="s">
        <v>290</v>
      </c>
      <c r="B630" s="20" t="s">
        <v>280</v>
      </c>
      <c r="C630" s="20" t="s">
        <v>229</v>
      </c>
      <c r="D630" s="20" t="s">
        <v>1038</v>
      </c>
      <c r="E630" s="20" t="s">
        <v>291</v>
      </c>
      <c r="F630" s="6">
        <f>'Пр.4 ведом.20'!G681</f>
        <v>2200</v>
      </c>
      <c r="G630" s="358">
        <f>'Пр.4 ведом.20'!H681</f>
        <v>233.505</v>
      </c>
      <c r="H630" s="358">
        <f t="shared" si="294"/>
        <v>10.613863636363636</v>
      </c>
    </row>
    <row r="631" spans="1:8" ht="30.75" customHeight="1" x14ac:dyDescent="0.25">
      <c r="A631" s="25" t="s">
        <v>472</v>
      </c>
      <c r="B631" s="20" t="s">
        <v>280</v>
      </c>
      <c r="C631" s="20" t="s">
        <v>229</v>
      </c>
      <c r="D631" s="20" t="s">
        <v>1039</v>
      </c>
      <c r="E631" s="20"/>
      <c r="F631" s="6">
        <f>F632</f>
        <v>1665.2</v>
      </c>
      <c r="G631" s="358">
        <f t="shared" ref="G631:G632" si="317">G632</f>
        <v>136.78</v>
      </c>
      <c r="H631" s="358">
        <f t="shared" si="294"/>
        <v>8.2140283449435501</v>
      </c>
    </row>
    <row r="632" spans="1:8" ht="35.450000000000003" customHeight="1" x14ac:dyDescent="0.25">
      <c r="A632" s="25" t="s">
        <v>288</v>
      </c>
      <c r="B632" s="20" t="s">
        <v>280</v>
      </c>
      <c r="C632" s="20" t="s">
        <v>229</v>
      </c>
      <c r="D632" s="20" t="s">
        <v>1039</v>
      </c>
      <c r="E632" s="20" t="s">
        <v>289</v>
      </c>
      <c r="F632" s="6">
        <f>F633</f>
        <v>1665.2</v>
      </c>
      <c r="G632" s="358">
        <f t="shared" si="317"/>
        <v>136.78</v>
      </c>
      <c r="H632" s="358">
        <f t="shared" si="294"/>
        <v>8.2140283449435501</v>
      </c>
    </row>
    <row r="633" spans="1:8" ht="18" customHeight="1" x14ac:dyDescent="0.25">
      <c r="A633" s="25" t="s">
        <v>290</v>
      </c>
      <c r="B633" s="20" t="s">
        <v>280</v>
      </c>
      <c r="C633" s="20" t="s">
        <v>229</v>
      </c>
      <c r="D633" s="20" t="s">
        <v>1039</v>
      </c>
      <c r="E633" s="20" t="s">
        <v>291</v>
      </c>
      <c r="F633" s="6">
        <f>'Пр.4 ведом.20'!G684</f>
        <v>1665.2</v>
      </c>
      <c r="G633" s="358">
        <f>'Пр.4 ведом.20'!H684</f>
        <v>136.78</v>
      </c>
      <c r="H633" s="358">
        <f t="shared" si="294"/>
        <v>8.2140283449435501</v>
      </c>
    </row>
    <row r="634" spans="1:8" ht="32.25" customHeight="1" x14ac:dyDescent="0.25">
      <c r="A634" s="23" t="s">
        <v>1033</v>
      </c>
      <c r="B634" s="24" t="s">
        <v>280</v>
      </c>
      <c r="C634" s="24" t="s">
        <v>229</v>
      </c>
      <c r="D634" s="24" t="s">
        <v>1040</v>
      </c>
      <c r="E634" s="24"/>
      <c r="F634" s="4">
        <f>F635+F638</f>
        <v>1364.7</v>
      </c>
      <c r="G634" s="4">
        <f t="shared" ref="G634" si="318">G635+G638</f>
        <v>311.59800000000001</v>
      </c>
      <c r="H634" s="4">
        <f t="shared" si="294"/>
        <v>22.83271048582106</v>
      </c>
    </row>
    <row r="635" spans="1:8" ht="48.75" customHeight="1" x14ac:dyDescent="0.25">
      <c r="A635" s="25" t="s">
        <v>454</v>
      </c>
      <c r="B635" s="20" t="s">
        <v>280</v>
      </c>
      <c r="C635" s="20" t="s">
        <v>229</v>
      </c>
      <c r="D635" s="20" t="s">
        <v>1041</v>
      </c>
      <c r="E635" s="20"/>
      <c r="F635" s="6">
        <f>F636</f>
        <v>868</v>
      </c>
      <c r="G635" s="358">
        <f t="shared" ref="G635:G636" si="319">G636</f>
        <v>239.554</v>
      </c>
      <c r="H635" s="358">
        <f t="shared" si="294"/>
        <v>27.598387096774196</v>
      </c>
    </row>
    <row r="636" spans="1:8" ht="37.5" customHeight="1" x14ac:dyDescent="0.25">
      <c r="A636" s="25" t="s">
        <v>288</v>
      </c>
      <c r="B636" s="20" t="s">
        <v>280</v>
      </c>
      <c r="C636" s="20" t="s">
        <v>229</v>
      </c>
      <c r="D636" s="20" t="s">
        <v>1041</v>
      </c>
      <c r="E636" s="20" t="s">
        <v>289</v>
      </c>
      <c r="F636" s="6">
        <f>F637</f>
        <v>868</v>
      </c>
      <c r="G636" s="358">
        <f t="shared" si="319"/>
        <v>239.554</v>
      </c>
      <c r="H636" s="358">
        <f t="shared" si="294"/>
        <v>27.598387096774196</v>
      </c>
    </row>
    <row r="637" spans="1:8" ht="15" customHeight="1" x14ac:dyDescent="0.25">
      <c r="A637" s="25" t="s">
        <v>290</v>
      </c>
      <c r="B637" s="20" t="s">
        <v>280</v>
      </c>
      <c r="C637" s="20" t="s">
        <v>229</v>
      </c>
      <c r="D637" s="20" t="s">
        <v>1041</v>
      </c>
      <c r="E637" s="20" t="s">
        <v>291</v>
      </c>
      <c r="F637" s="6">
        <f>'Пр.4 ведом.20'!G688</f>
        <v>868</v>
      </c>
      <c r="G637" s="358">
        <f>'Пр.4 ведом.20'!H688</f>
        <v>239.554</v>
      </c>
      <c r="H637" s="358">
        <f t="shared" si="294"/>
        <v>27.598387096774196</v>
      </c>
    </row>
    <row r="638" spans="1:8" ht="54" customHeight="1" x14ac:dyDescent="0.25">
      <c r="A638" s="25" t="s">
        <v>474</v>
      </c>
      <c r="B638" s="20" t="s">
        <v>280</v>
      </c>
      <c r="C638" s="20" t="s">
        <v>229</v>
      </c>
      <c r="D638" s="20" t="s">
        <v>1042</v>
      </c>
      <c r="E638" s="20"/>
      <c r="F638" s="6">
        <f>F639</f>
        <v>496.7</v>
      </c>
      <c r="G638" s="358">
        <f t="shared" ref="G638:G639" si="320">G639</f>
        <v>72.043999999999997</v>
      </c>
      <c r="H638" s="358">
        <f t="shared" si="294"/>
        <v>14.504529897322326</v>
      </c>
    </row>
    <row r="639" spans="1:8" ht="36" customHeight="1" x14ac:dyDescent="0.25">
      <c r="A639" s="270" t="s">
        <v>288</v>
      </c>
      <c r="B639" s="20" t="s">
        <v>280</v>
      </c>
      <c r="C639" s="20" t="s">
        <v>229</v>
      </c>
      <c r="D639" s="20" t="s">
        <v>1042</v>
      </c>
      <c r="E639" s="20" t="s">
        <v>289</v>
      </c>
      <c r="F639" s="6">
        <f>F640</f>
        <v>496.7</v>
      </c>
      <c r="G639" s="358">
        <f t="shared" si="320"/>
        <v>72.043999999999997</v>
      </c>
      <c r="H639" s="358">
        <f t="shared" si="294"/>
        <v>14.504529897322326</v>
      </c>
    </row>
    <row r="640" spans="1:8" ht="15.75" x14ac:dyDescent="0.25">
      <c r="A640" s="25" t="s">
        <v>290</v>
      </c>
      <c r="B640" s="20" t="s">
        <v>280</v>
      </c>
      <c r="C640" s="20" t="s">
        <v>229</v>
      </c>
      <c r="D640" s="20" t="s">
        <v>1042</v>
      </c>
      <c r="E640" s="20" t="s">
        <v>291</v>
      </c>
      <c r="F640" s="6">
        <f>'Пр.4 ведом.20'!G691</f>
        <v>496.7</v>
      </c>
      <c r="G640" s="358">
        <f>'Пр.4 ведом.20'!H691</f>
        <v>72.043999999999997</v>
      </c>
      <c r="H640" s="358">
        <f t="shared" si="294"/>
        <v>14.504529897322326</v>
      </c>
    </row>
    <row r="641" spans="1:8" ht="31.5" x14ac:dyDescent="0.25">
      <c r="A641" s="227" t="s">
        <v>1077</v>
      </c>
      <c r="B641" s="24" t="s">
        <v>280</v>
      </c>
      <c r="C641" s="24" t="s">
        <v>229</v>
      </c>
      <c r="D641" s="24" t="s">
        <v>1043</v>
      </c>
      <c r="E641" s="24"/>
      <c r="F641" s="4">
        <f>F642+F645</f>
        <v>2634</v>
      </c>
      <c r="G641" s="4">
        <f t="shared" ref="G641" si="321">G642+G645</f>
        <v>2567</v>
      </c>
      <c r="H641" s="4">
        <f t="shared" si="294"/>
        <v>97.456340167046321</v>
      </c>
    </row>
    <row r="642" spans="1:8" ht="33.75" hidden="1" customHeight="1" x14ac:dyDescent="0.25">
      <c r="A642" s="25" t="s">
        <v>300</v>
      </c>
      <c r="B642" s="20" t="s">
        <v>280</v>
      </c>
      <c r="C642" s="20" t="s">
        <v>229</v>
      </c>
      <c r="D642" s="20" t="s">
        <v>1045</v>
      </c>
      <c r="E642" s="20"/>
      <c r="F642" s="6">
        <f t="shared" ref="F642:G643" si="322">F643</f>
        <v>0</v>
      </c>
      <c r="G642" s="358">
        <f t="shared" si="322"/>
        <v>0</v>
      </c>
      <c r="H642" s="358" t="e">
        <f t="shared" si="294"/>
        <v>#DIV/0!</v>
      </c>
    </row>
    <row r="643" spans="1:8" ht="33.75" hidden="1" customHeight="1" x14ac:dyDescent="0.25">
      <c r="A643" s="25" t="s">
        <v>288</v>
      </c>
      <c r="B643" s="20" t="s">
        <v>280</v>
      </c>
      <c r="C643" s="20" t="s">
        <v>229</v>
      </c>
      <c r="D643" s="20" t="s">
        <v>1045</v>
      </c>
      <c r="E643" s="20" t="s">
        <v>289</v>
      </c>
      <c r="F643" s="6">
        <f t="shared" si="322"/>
        <v>0</v>
      </c>
      <c r="G643" s="358">
        <f t="shared" si="322"/>
        <v>0</v>
      </c>
      <c r="H643" s="358" t="e">
        <f t="shared" si="294"/>
        <v>#DIV/0!</v>
      </c>
    </row>
    <row r="644" spans="1:8" ht="15.75" hidden="1" customHeight="1" x14ac:dyDescent="0.25">
      <c r="A644" s="25" t="s">
        <v>290</v>
      </c>
      <c r="B644" s="20" t="s">
        <v>280</v>
      </c>
      <c r="C644" s="20" t="s">
        <v>229</v>
      </c>
      <c r="D644" s="20" t="s">
        <v>1045</v>
      </c>
      <c r="E644" s="20" t="s">
        <v>291</v>
      </c>
      <c r="F644" s="6">
        <f>'Пр.4 ведом.20'!G695</f>
        <v>0</v>
      </c>
      <c r="G644" s="358">
        <f>'Пр.4 ведом.20'!H695</f>
        <v>0</v>
      </c>
      <c r="H644" s="358" t="e">
        <f t="shared" si="294"/>
        <v>#DIV/0!</v>
      </c>
    </row>
    <row r="645" spans="1:8" ht="36" customHeight="1" x14ac:dyDescent="0.25">
      <c r="A645" s="60" t="s">
        <v>787</v>
      </c>
      <c r="B645" s="20" t="s">
        <v>280</v>
      </c>
      <c r="C645" s="20" t="s">
        <v>229</v>
      </c>
      <c r="D645" s="20" t="s">
        <v>1046</v>
      </c>
      <c r="E645" s="20"/>
      <c r="F645" s="6">
        <f t="shared" ref="F645:G646" si="323">F646</f>
        <v>2634</v>
      </c>
      <c r="G645" s="358">
        <f t="shared" si="323"/>
        <v>2567</v>
      </c>
      <c r="H645" s="358">
        <f t="shared" si="294"/>
        <v>97.456340167046321</v>
      </c>
    </row>
    <row r="646" spans="1:8" ht="33.75" customHeight="1" x14ac:dyDescent="0.25">
      <c r="A646" s="29" t="s">
        <v>288</v>
      </c>
      <c r="B646" s="20" t="s">
        <v>280</v>
      </c>
      <c r="C646" s="20" t="s">
        <v>229</v>
      </c>
      <c r="D646" s="20" t="s">
        <v>1046</v>
      </c>
      <c r="E646" s="20" t="s">
        <v>289</v>
      </c>
      <c r="F646" s="6">
        <f t="shared" si="323"/>
        <v>2634</v>
      </c>
      <c r="G646" s="358">
        <f t="shared" si="323"/>
        <v>2567</v>
      </c>
      <c r="H646" s="358">
        <f t="shared" si="294"/>
        <v>97.456340167046321</v>
      </c>
    </row>
    <row r="647" spans="1:8" ht="15.75" customHeight="1" x14ac:dyDescent="0.25">
      <c r="A647" s="192" t="s">
        <v>290</v>
      </c>
      <c r="B647" s="20" t="s">
        <v>280</v>
      </c>
      <c r="C647" s="20" t="s">
        <v>229</v>
      </c>
      <c r="D647" s="20" t="s">
        <v>1046</v>
      </c>
      <c r="E647" s="20" t="s">
        <v>291</v>
      </c>
      <c r="F647" s="6">
        <f>'Пр.4 ведом.20'!G698</f>
        <v>2634</v>
      </c>
      <c r="G647" s="358">
        <f>'Пр.4 ведом.20'!H698</f>
        <v>2567</v>
      </c>
      <c r="H647" s="358">
        <f t="shared" si="294"/>
        <v>97.456340167046321</v>
      </c>
    </row>
    <row r="648" spans="1:8" ht="31.7" customHeight="1" x14ac:dyDescent="0.25">
      <c r="A648" s="225" t="s">
        <v>1048</v>
      </c>
      <c r="B648" s="24" t="s">
        <v>280</v>
      </c>
      <c r="C648" s="24" t="s">
        <v>229</v>
      </c>
      <c r="D648" s="24" t="s">
        <v>1044</v>
      </c>
      <c r="E648" s="24"/>
      <c r="F648" s="4">
        <f>F649+F652</f>
        <v>752.8</v>
      </c>
      <c r="G648" s="4">
        <f t="shared" ref="G648" si="324">G649+G652</f>
        <v>131.09800000000001</v>
      </c>
      <c r="H648" s="4">
        <f t="shared" si="294"/>
        <v>17.414718384697135</v>
      </c>
    </row>
    <row r="649" spans="1:8" ht="51" customHeight="1" x14ac:dyDescent="0.25">
      <c r="A649" s="192" t="s">
        <v>874</v>
      </c>
      <c r="B649" s="20" t="s">
        <v>280</v>
      </c>
      <c r="C649" s="20" t="s">
        <v>229</v>
      </c>
      <c r="D649" s="331" t="s">
        <v>1515</v>
      </c>
      <c r="E649" s="20"/>
      <c r="F649" s="6">
        <f t="shared" ref="F649:G650" si="325">F650</f>
        <v>678</v>
      </c>
      <c r="G649" s="358">
        <f t="shared" si="325"/>
        <v>116.298</v>
      </c>
      <c r="H649" s="358">
        <f t="shared" si="294"/>
        <v>17.153097345132743</v>
      </c>
    </row>
    <row r="650" spans="1:8" ht="33" customHeight="1" x14ac:dyDescent="0.25">
      <c r="A650" s="31" t="s">
        <v>288</v>
      </c>
      <c r="B650" s="20" t="s">
        <v>280</v>
      </c>
      <c r="C650" s="20" t="s">
        <v>229</v>
      </c>
      <c r="D650" s="331" t="s">
        <v>1515</v>
      </c>
      <c r="E650" s="20" t="s">
        <v>289</v>
      </c>
      <c r="F650" s="6">
        <f>F651</f>
        <v>678</v>
      </c>
      <c r="G650" s="358">
        <f t="shared" si="325"/>
        <v>116.298</v>
      </c>
      <c r="H650" s="358">
        <f t="shared" si="294"/>
        <v>17.153097345132743</v>
      </c>
    </row>
    <row r="651" spans="1:8" ht="15.75" x14ac:dyDescent="0.25">
      <c r="A651" s="31" t="s">
        <v>290</v>
      </c>
      <c r="B651" s="20" t="s">
        <v>280</v>
      </c>
      <c r="C651" s="20" t="s">
        <v>229</v>
      </c>
      <c r="D651" s="331" t="s">
        <v>1515</v>
      </c>
      <c r="E651" s="20" t="s">
        <v>291</v>
      </c>
      <c r="F651" s="6">
        <f>'Пр.4 ведом.20'!G702</f>
        <v>678</v>
      </c>
      <c r="G651" s="358">
        <f>'Пр.4 ведом.20'!H702</f>
        <v>116.298</v>
      </c>
      <c r="H651" s="358">
        <f t="shared" ref="H651:H714" si="326">G651/F651*100</f>
        <v>17.153097345132743</v>
      </c>
    </row>
    <row r="652" spans="1:8" s="324" customFormat="1" ht="31.5" x14ac:dyDescent="0.25">
      <c r="A652" s="31" t="s">
        <v>1514</v>
      </c>
      <c r="B652" s="331" t="s">
        <v>280</v>
      </c>
      <c r="C652" s="331" t="s">
        <v>229</v>
      </c>
      <c r="D652" s="331" t="s">
        <v>1516</v>
      </c>
      <c r="E652" s="331"/>
      <c r="F652" s="6">
        <f>F653</f>
        <v>74.8</v>
      </c>
      <c r="G652" s="358">
        <f t="shared" ref="G652:G653" si="327">G653</f>
        <v>14.8</v>
      </c>
      <c r="H652" s="358">
        <f t="shared" si="326"/>
        <v>19.786096256684495</v>
      </c>
    </row>
    <row r="653" spans="1:8" s="324" customFormat="1" ht="31.5" x14ac:dyDescent="0.25">
      <c r="A653" s="31" t="s">
        <v>288</v>
      </c>
      <c r="B653" s="331" t="s">
        <v>280</v>
      </c>
      <c r="C653" s="331" t="s">
        <v>229</v>
      </c>
      <c r="D653" s="331" t="s">
        <v>1516</v>
      </c>
      <c r="E653" s="331" t="s">
        <v>289</v>
      </c>
      <c r="F653" s="6">
        <f>F654</f>
        <v>74.8</v>
      </c>
      <c r="G653" s="358">
        <f t="shared" si="327"/>
        <v>14.8</v>
      </c>
      <c r="H653" s="358">
        <f t="shared" si="326"/>
        <v>19.786096256684495</v>
      </c>
    </row>
    <row r="654" spans="1:8" s="324" customFormat="1" ht="15.75" x14ac:dyDescent="0.25">
      <c r="A654" s="31" t="s">
        <v>290</v>
      </c>
      <c r="B654" s="331" t="s">
        <v>280</v>
      </c>
      <c r="C654" s="331" t="s">
        <v>229</v>
      </c>
      <c r="D654" s="331" t="s">
        <v>1516</v>
      </c>
      <c r="E654" s="331" t="s">
        <v>291</v>
      </c>
      <c r="F654" s="6">
        <f>'Пр.4 ведом.20'!G705</f>
        <v>74.8</v>
      </c>
      <c r="G654" s="358">
        <f>'Пр.4 ведом.20'!H705</f>
        <v>14.8</v>
      </c>
      <c r="H654" s="358">
        <f t="shared" si="326"/>
        <v>19.786096256684495</v>
      </c>
    </row>
    <row r="655" spans="1:8" s="357" customFormat="1" ht="31.5" x14ac:dyDescent="0.25">
      <c r="A655" s="225" t="s">
        <v>1564</v>
      </c>
      <c r="B655" s="334" t="s">
        <v>280</v>
      </c>
      <c r="C655" s="334" t="s">
        <v>229</v>
      </c>
      <c r="D655" s="334" t="s">
        <v>1555</v>
      </c>
      <c r="E655" s="334"/>
      <c r="F655" s="4">
        <f>F656+F659</f>
        <v>2372.5</v>
      </c>
      <c r="G655" s="4">
        <f t="shared" ref="G655" si="328">G656+G659</f>
        <v>0</v>
      </c>
      <c r="H655" s="4">
        <f t="shared" si="326"/>
        <v>0</v>
      </c>
    </row>
    <row r="656" spans="1:8" s="357" customFormat="1" ht="31.5" x14ac:dyDescent="0.25">
      <c r="A656" s="31" t="s">
        <v>1565</v>
      </c>
      <c r="B656" s="360" t="s">
        <v>280</v>
      </c>
      <c r="C656" s="360" t="s">
        <v>229</v>
      </c>
      <c r="D656" s="360" t="s">
        <v>1556</v>
      </c>
      <c r="E656" s="360"/>
      <c r="F656" s="358">
        <f>F657</f>
        <v>97.3</v>
      </c>
      <c r="G656" s="358">
        <f t="shared" ref="G656:G657" si="329">G657</f>
        <v>0</v>
      </c>
      <c r="H656" s="358">
        <f t="shared" si="326"/>
        <v>0</v>
      </c>
    </row>
    <row r="657" spans="1:8" s="357" customFormat="1" ht="31.5" x14ac:dyDescent="0.25">
      <c r="A657" s="31" t="s">
        <v>288</v>
      </c>
      <c r="B657" s="360" t="s">
        <v>280</v>
      </c>
      <c r="C657" s="360" t="s">
        <v>229</v>
      </c>
      <c r="D657" s="360" t="s">
        <v>1556</v>
      </c>
      <c r="E657" s="360" t="s">
        <v>289</v>
      </c>
      <c r="F657" s="358">
        <f>F658</f>
        <v>97.3</v>
      </c>
      <c r="G657" s="358">
        <f t="shared" si="329"/>
        <v>0</v>
      </c>
      <c r="H657" s="358">
        <f t="shared" si="326"/>
        <v>0</v>
      </c>
    </row>
    <row r="658" spans="1:8" s="357" customFormat="1" ht="15.75" x14ac:dyDescent="0.25">
      <c r="A658" s="31" t="s">
        <v>290</v>
      </c>
      <c r="B658" s="360" t="s">
        <v>280</v>
      </c>
      <c r="C658" s="360" t="s">
        <v>229</v>
      </c>
      <c r="D658" s="360" t="s">
        <v>1556</v>
      </c>
      <c r="E658" s="360" t="s">
        <v>291</v>
      </c>
      <c r="F658" s="358">
        <f>'Пр.4 ведом.20'!G709</f>
        <v>97.3</v>
      </c>
      <c r="G658" s="358">
        <f>'Пр.4 ведом.20'!H709</f>
        <v>0</v>
      </c>
      <c r="H658" s="358">
        <f t="shared" si="326"/>
        <v>0</v>
      </c>
    </row>
    <row r="659" spans="1:8" s="357" customFormat="1" ht="31.5" x14ac:dyDescent="0.25">
      <c r="A659" s="31" t="s">
        <v>1566</v>
      </c>
      <c r="B659" s="360" t="s">
        <v>280</v>
      </c>
      <c r="C659" s="360" t="s">
        <v>229</v>
      </c>
      <c r="D659" s="360" t="s">
        <v>1557</v>
      </c>
      <c r="E659" s="360"/>
      <c r="F659" s="358">
        <f>F660</f>
        <v>2275.1999999999998</v>
      </c>
      <c r="G659" s="358">
        <f t="shared" ref="G659:G660" si="330">G660</f>
        <v>0</v>
      </c>
      <c r="H659" s="358">
        <f t="shared" si="326"/>
        <v>0</v>
      </c>
    </row>
    <row r="660" spans="1:8" s="357" customFormat="1" ht="31.5" x14ac:dyDescent="0.25">
      <c r="A660" s="31" t="s">
        <v>288</v>
      </c>
      <c r="B660" s="360" t="s">
        <v>280</v>
      </c>
      <c r="C660" s="360" t="s">
        <v>229</v>
      </c>
      <c r="D660" s="360" t="s">
        <v>1557</v>
      </c>
      <c r="E660" s="360" t="s">
        <v>289</v>
      </c>
      <c r="F660" s="358">
        <f>F661</f>
        <v>2275.1999999999998</v>
      </c>
      <c r="G660" s="358">
        <f t="shared" si="330"/>
        <v>0</v>
      </c>
      <c r="H660" s="358">
        <f t="shared" si="326"/>
        <v>0</v>
      </c>
    </row>
    <row r="661" spans="1:8" s="357" customFormat="1" ht="15.75" x14ac:dyDescent="0.25">
      <c r="A661" s="31" t="s">
        <v>290</v>
      </c>
      <c r="B661" s="360" t="s">
        <v>280</v>
      </c>
      <c r="C661" s="360" t="s">
        <v>229</v>
      </c>
      <c r="D661" s="360" t="s">
        <v>1557</v>
      </c>
      <c r="E661" s="360" t="s">
        <v>291</v>
      </c>
      <c r="F661" s="358">
        <f>'Пр.4 ведом.20'!G712</f>
        <v>2275.1999999999998</v>
      </c>
      <c r="G661" s="358">
        <f>'Пр.4 ведом.20'!H712</f>
        <v>0</v>
      </c>
      <c r="H661" s="358">
        <f t="shared" si="326"/>
        <v>0</v>
      </c>
    </row>
    <row r="662" spans="1:8" s="357" customFormat="1" ht="31.5" x14ac:dyDescent="0.25">
      <c r="A662" s="225" t="s">
        <v>1558</v>
      </c>
      <c r="B662" s="334" t="s">
        <v>280</v>
      </c>
      <c r="C662" s="334" t="s">
        <v>229</v>
      </c>
      <c r="D662" s="334" t="s">
        <v>1561</v>
      </c>
      <c r="E662" s="334"/>
      <c r="F662" s="4">
        <f>F663+F666</f>
        <v>641.29999999999995</v>
      </c>
      <c r="G662" s="4">
        <f t="shared" ref="G662" si="331">G663+G666</f>
        <v>9</v>
      </c>
      <c r="H662" s="4">
        <f t="shared" si="326"/>
        <v>1.4033993450803057</v>
      </c>
    </row>
    <row r="663" spans="1:8" s="357" customFormat="1" ht="47.25" x14ac:dyDescent="0.25">
      <c r="A663" s="31" t="s">
        <v>1559</v>
      </c>
      <c r="B663" s="360" t="s">
        <v>280</v>
      </c>
      <c r="C663" s="360" t="s">
        <v>229</v>
      </c>
      <c r="D663" s="360" t="s">
        <v>1562</v>
      </c>
      <c r="E663" s="360"/>
      <c r="F663" s="358">
        <f>F664</f>
        <v>26.3</v>
      </c>
      <c r="G663" s="358">
        <f t="shared" ref="G663:G664" si="332">G664</f>
        <v>9</v>
      </c>
      <c r="H663" s="358">
        <f t="shared" si="326"/>
        <v>34.22053231939163</v>
      </c>
    </row>
    <row r="664" spans="1:8" s="357" customFormat="1" ht="31.5" x14ac:dyDescent="0.25">
      <c r="A664" s="31" t="s">
        <v>288</v>
      </c>
      <c r="B664" s="360" t="s">
        <v>280</v>
      </c>
      <c r="C664" s="360" t="s">
        <v>229</v>
      </c>
      <c r="D664" s="360" t="s">
        <v>1562</v>
      </c>
      <c r="E664" s="360" t="s">
        <v>289</v>
      </c>
      <c r="F664" s="358">
        <f>F665</f>
        <v>26.3</v>
      </c>
      <c r="G664" s="358">
        <f t="shared" si="332"/>
        <v>9</v>
      </c>
      <c r="H664" s="358">
        <f t="shared" si="326"/>
        <v>34.22053231939163</v>
      </c>
    </row>
    <row r="665" spans="1:8" s="357" customFormat="1" ht="15.75" x14ac:dyDescent="0.25">
      <c r="A665" s="31" t="s">
        <v>290</v>
      </c>
      <c r="B665" s="360" t="s">
        <v>280</v>
      </c>
      <c r="C665" s="360" t="s">
        <v>229</v>
      </c>
      <c r="D665" s="360" t="s">
        <v>1562</v>
      </c>
      <c r="E665" s="360" t="s">
        <v>291</v>
      </c>
      <c r="F665" s="358">
        <f>'Пр.4 ведом.20'!G716</f>
        <v>26.3</v>
      </c>
      <c r="G665" s="358">
        <f>'Пр.4 ведом.20'!H716</f>
        <v>9</v>
      </c>
      <c r="H665" s="358">
        <f t="shared" si="326"/>
        <v>34.22053231939163</v>
      </c>
    </row>
    <row r="666" spans="1:8" s="357" customFormat="1" ht="31.5" x14ac:dyDescent="0.25">
      <c r="A666" s="31" t="s">
        <v>1560</v>
      </c>
      <c r="B666" s="360" t="s">
        <v>280</v>
      </c>
      <c r="C666" s="360" t="s">
        <v>229</v>
      </c>
      <c r="D666" s="360" t="s">
        <v>1563</v>
      </c>
      <c r="E666" s="360"/>
      <c r="F666" s="358">
        <f>F667</f>
        <v>615</v>
      </c>
      <c r="G666" s="358">
        <f t="shared" ref="G666:G667" si="333">G667</f>
        <v>0</v>
      </c>
      <c r="H666" s="358">
        <f t="shared" si="326"/>
        <v>0</v>
      </c>
    </row>
    <row r="667" spans="1:8" s="357" customFormat="1" ht="31.5" x14ac:dyDescent="0.25">
      <c r="A667" s="31" t="s">
        <v>288</v>
      </c>
      <c r="B667" s="360" t="s">
        <v>280</v>
      </c>
      <c r="C667" s="360" t="s">
        <v>229</v>
      </c>
      <c r="D667" s="360" t="s">
        <v>1563</v>
      </c>
      <c r="E667" s="360" t="s">
        <v>289</v>
      </c>
      <c r="F667" s="358">
        <f>F668</f>
        <v>615</v>
      </c>
      <c r="G667" s="358">
        <f t="shared" si="333"/>
        <v>0</v>
      </c>
      <c r="H667" s="358">
        <f t="shared" si="326"/>
        <v>0</v>
      </c>
    </row>
    <row r="668" spans="1:8" s="357" customFormat="1" ht="15.75" x14ac:dyDescent="0.25">
      <c r="A668" s="31" t="s">
        <v>290</v>
      </c>
      <c r="B668" s="360" t="s">
        <v>280</v>
      </c>
      <c r="C668" s="360" t="s">
        <v>229</v>
      </c>
      <c r="D668" s="360" t="s">
        <v>1563</v>
      </c>
      <c r="E668" s="360" t="s">
        <v>291</v>
      </c>
      <c r="F668" s="358">
        <f>'Пр.4 ведом.20'!G719</f>
        <v>615</v>
      </c>
      <c r="G668" s="358">
        <f>'Пр.4 ведом.20'!H719</f>
        <v>0</v>
      </c>
      <c r="H668" s="358">
        <f t="shared" si="326"/>
        <v>0</v>
      </c>
    </row>
    <row r="669" spans="1:8" s="357" customFormat="1" ht="31.5" x14ac:dyDescent="0.25">
      <c r="A669" s="365" t="s">
        <v>1567</v>
      </c>
      <c r="B669" s="334" t="s">
        <v>280</v>
      </c>
      <c r="C669" s="334" t="s">
        <v>229</v>
      </c>
      <c r="D669" s="334" t="s">
        <v>1568</v>
      </c>
      <c r="E669" s="334"/>
      <c r="F669" s="4">
        <f>F670+F673</f>
        <v>1975.75</v>
      </c>
      <c r="G669" s="4">
        <f t="shared" ref="G669" si="334">G670+G673</f>
        <v>0</v>
      </c>
      <c r="H669" s="4">
        <f t="shared" si="326"/>
        <v>0</v>
      </c>
    </row>
    <row r="670" spans="1:8" s="357" customFormat="1" ht="63" x14ac:dyDescent="0.25">
      <c r="A670" s="364" t="s">
        <v>1569</v>
      </c>
      <c r="B670" s="360" t="s">
        <v>280</v>
      </c>
      <c r="C670" s="360" t="s">
        <v>229</v>
      </c>
      <c r="D670" s="360" t="s">
        <v>1570</v>
      </c>
      <c r="E670" s="360"/>
      <c r="F670" s="358">
        <f>F671</f>
        <v>81.05</v>
      </c>
      <c r="G670" s="358">
        <f t="shared" ref="G670:G671" si="335">G671</f>
        <v>0</v>
      </c>
      <c r="H670" s="358">
        <f t="shared" si="326"/>
        <v>0</v>
      </c>
    </row>
    <row r="671" spans="1:8" s="357" customFormat="1" ht="31.5" x14ac:dyDescent="0.25">
      <c r="A671" s="31" t="s">
        <v>288</v>
      </c>
      <c r="B671" s="360" t="s">
        <v>280</v>
      </c>
      <c r="C671" s="360" t="s">
        <v>229</v>
      </c>
      <c r="D671" s="360" t="s">
        <v>1570</v>
      </c>
      <c r="E671" s="360" t="s">
        <v>289</v>
      </c>
      <c r="F671" s="358">
        <f>F672</f>
        <v>81.05</v>
      </c>
      <c r="G671" s="358">
        <f t="shared" si="335"/>
        <v>0</v>
      </c>
      <c r="H671" s="358">
        <f t="shared" si="326"/>
        <v>0</v>
      </c>
    </row>
    <row r="672" spans="1:8" s="357" customFormat="1" ht="15.75" x14ac:dyDescent="0.25">
      <c r="A672" s="31" t="s">
        <v>290</v>
      </c>
      <c r="B672" s="360" t="s">
        <v>280</v>
      </c>
      <c r="C672" s="360" t="s">
        <v>229</v>
      </c>
      <c r="D672" s="360" t="s">
        <v>1570</v>
      </c>
      <c r="E672" s="360" t="s">
        <v>291</v>
      </c>
      <c r="F672" s="358">
        <f>'Пр.4 ведом.20'!G723</f>
        <v>81.05</v>
      </c>
      <c r="G672" s="358">
        <f>'Пр.4 ведом.20'!H723</f>
        <v>0</v>
      </c>
      <c r="H672" s="358">
        <f t="shared" si="326"/>
        <v>0</v>
      </c>
    </row>
    <row r="673" spans="1:8" s="357" customFormat="1" ht="63" x14ac:dyDescent="0.25">
      <c r="A673" s="364" t="s">
        <v>1572</v>
      </c>
      <c r="B673" s="360" t="s">
        <v>280</v>
      </c>
      <c r="C673" s="360" t="s">
        <v>229</v>
      </c>
      <c r="D673" s="360" t="s">
        <v>1571</v>
      </c>
      <c r="E673" s="360"/>
      <c r="F673" s="358">
        <f>F674</f>
        <v>1894.7</v>
      </c>
      <c r="G673" s="358">
        <f t="shared" ref="G673:G674" si="336">G674</f>
        <v>0</v>
      </c>
      <c r="H673" s="358">
        <f t="shared" si="326"/>
        <v>0</v>
      </c>
    </row>
    <row r="674" spans="1:8" s="357" customFormat="1" ht="31.5" x14ac:dyDescent="0.25">
      <c r="A674" s="31" t="s">
        <v>288</v>
      </c>
      <c r="B674" s="360" t="s">
        <v>280</v>
      </c>
      <c r="C674" s="360" t="s">
        <v>229</v>
      </c>
      <c r="D674" s="360" t="s">
        <v>1571</v>
      </c>
      <c r="E674" s="360" t="s">
        <v>289</v>
      </c>
      <c r="F674" s="358">
        <f>F675</f>
        <v>1894.7</v>
      </c>
      <c r="G674" s="358">
        <f t="shared" si="336"/>
        <v>0</v>
      </c>
      <c r="H674" s="358">
        <f t="shared" si="326"/>
        <v>0</v>
      </c>
    </row>
    <row r="675" spans="1:8" s="357" customFormat="1" ht="15.75" x14ac:dyDescent="0.25">
      <c r="A675" s="31" t="s">
        <v>290</v>
      </c>
      <c r="B675" s="360" t="s">
        <v>280</v>
      </c>
      <c r="C675" s="360" t="s">
        <v>229</v>
      </c>
      <c r="D675" s="360" t="s">
        <v>1571</v>
      </c>
      <c r="E675" s="360" t="s">
        <v>291</v>
      </c>
      <c r="F675" s="358">
        <f>'Пр.4 ведом.20'!G726</f>
        <v>1894.7</v>
      </c>
      <c r="G675" s="358">
        <f>'Пр.4 ведом.20'!H726</f>
        <v>0</v>
      </c>
      <c r="H675" s="358">
        <f t="shared" si="326"/>
        <v>0</v>
      </c>
    </row>
    <row r="676" spans="1:8" s="324" customFormat="1" ht="47.25" x14ac:dyDescent="0.25">
      <c r="A676" s="225" t="s">
        <v>1413</v>
      </c>
      <c r="B676" s="24" t="s">
        <v>280</v>
      </c>
      <c r="C676" s="24" t="s">
        <v>229</v>
      </c>
      <c r="D676" s="24" t="s">
        <v>1411</v>
      </c>
      <c r="E676" s="24"/>
      <c r="F676" s="21">
        <f>F677+F680</f>
        <v>1164.8589999999999</v>
      </c>
      <c r="G676" s="332">
        <f t="shared" ref="G676" si="337">G677+G680</f>
        <v>1164.8389999999999</v>
      </c>
      <c r="H676" s="4">
        <f t="shared" si="326"/>
        <v>99.998283054000524</v>
      </c>
    </row>
    <row r="677" spans="1:8" s="324" customFormat="1" ht="47.25" x14ac:dyDescent="0.25">
      <c r="A677" s="192" t="s">
        <v>1452</v>
      </c>
      <c r="B677" s="20" t="s">
        <v>280</v>
      </c>
      <c r="C677" s="20" t="s">
        <v>229</v>
      </c>
      <c r="D677" s="20" t="s">
        <v>1412</v>
      </c>
      <c r="E677" s="20"/>
      <c r="F677" s="26">
        <f>F678</f>
        <v>1164.8589999999999</v>
      </c>
      <c r="G677" s="336">
        <f t="shared" ref="G677:G678" si="338">G678</f>
        <v>1164.8389999999999</v>
      </c>
      <c r="H677" s="358">
        <f t="shared" si="326"/>
        <v>99.998283054000524</v>
      </c>
    </row>
    <row r="678" spans="1:8" s="324" customFormat="1" ht="31.5" x14ac:dyDescent="0.25">
      <c r="A678" s="31" t="s">
        <v>288</v>
      </c>
      <c r="B678" s="20" t="s">
        <v>280</v>
      </c>
      <c r="C678" s="20" t="s">
        <v>229</v>
      </c>
      <c r="D678" s="20" t="s">
        <v>1412</v>
      </c>
      <c r="E678" s="20" t="s">
        <v>289</v>
      </c>
      <c r="F678" s="26">
        <f>F679</f>
        <v>1164.8589999999999</v>
      </c>
      <c r="G678" s="336">
        <f t="shared" si="338"/>
        <v>1164.8389999999999</v>
      </c>
      <c r="H678" s="358">
        <f t="shared" si="326"/>
        <v>99.998283054000524</v>
      </c>
    </row>
    <row r="679" spans="1:8" s="324" customFormat="1" ht="15.75" x14ac:dyDescent="0.25">
      <c r="A679" s="31" t="s">
        <v>290</v>
      </c>
      <c r="B679" s="20" t="s">
        <v>280</v>
      </c>
      <c r="C679" s="20" t="s">
        <v>229</v>
      </c>
      <c r="D679" s="20" t="s">
        <v>1412</v>
      </c>
      <c r="E679" s="20" t="s">
        <v>291</v>
      </c>
      <c r="F679" s="26">
        <f>'Пр.4 ведом.20'!G730</f>
        <v>1164.8589999999999</v>
      </c>
      <c r="G679" s="336">
        <f>'Пр.4 ведом.20'!H730</f>
        <v>1164.8389999999999</v>
      </c>
      <c r="H679" s="358">
        <f t="shared" si="326"/>
        <v>99.998283054000524</v>
      </c>
    </row>
    <row r="680" spans="1:8" s="324" customFormat="1" ht="63" hidden="1" x14ac:dyDescent="0.25">
      <c r="A680" s="192" t="s">
        <v>1535</v>
      </c>
      <c r="B680" s="331" t="s">
        <v>280</v>
      </c>
      <c r="C680" s="331" t="s">
        <v>229</v>
      </c>
      <c r="D680" s="331" t="s">
        <v>1534</v>
      </c>
      <c r="E680" s="331"/>
      <c r="F680" s="336">
        <f>F681</f>
        <v>0</v>
      </c>
      <c r="G680" s="336">
        <f t="shared" ref="G680:G681" si="339">G681</f>
        <v>0</v>
      </c>
      <c r="H680" s="358" t="e">
        <f t="shared" si="326"/>
        <v>#DIV/0!</v>
      </c>
    </row>
    <row r="681" spans="1:8" s="324" customFormat="1" ht="31.5" hidden="1" x14ac:dyDescent="0.25">
      <c r="A681" s="31" t="s">
        <v>288</v>
      </c>
      <c r="B681" s="331" t="s">
        <v>280</v>
      </c>
      <c r="C681" s="331" t="s">
        <v>229</v>
      </c>
      <c r="D681" s="331" t="s">
        <v>1534</v>
      </c>
      <c r="E681" s="331" t="s">
        <v>289</v>
      </c>
      <c r="F681" s="336">
        <f>F682</f>
        <v>0</v>
      </c>
      <c r="G681" s="336">
        <f t="shared" si="339"/>
        <v>0</v>
      </c>
      <c r="H681" s="358" t="e">
        <f t="shared" si="326"/>
        <v>#DIV/0!</v>
      </c>
    </row>
    <row r="682" spans="1:8" s="324" customFormat="1" ht="15.75" hidden="1" x14ac:dyDescent="0.25">
      <c r="A682" s="31" t="s">
        <v>290</v>
      </c>
      <c r="B682" s="331" t="s">
        <v>280</v>
      </c>
      <c r="C682" s="331" t="s">
        <v>229</v>
      </c>
      <c r="D682" s="331" t="s">
        <v>1534</v>
      </c>
      <c r="E682" s="331" t="s">
        <v>291</v>
      </c>
      <c r="F682" s="336">
        <f>'Пр.4 ведом.20'!G733</f>
        <v>0</v>
      </c>
      <c r="G682" s="336">
        <f>'Пр.4 ведом.20'!H733</f>
        <v>0</v>
      </c>
      <c r="H682" s="358" t="e">
        <f t="shared" si="326"/>
        <v>#DIV/0!</v>
      </c>
    </row>
    <row r="683" spans="1:8" ht="63" customHeight="1" x14ac:dyDescent="0.25">
      <c r="A683" s="34" t="s">
        <v>805</v>
      </c>
      <c r="B683" s="24" t="s">
        <v>280</v>
      </c>
      <c r="C683" s="24" t="s">
        <v>229</v>
      </c>
      <c r="D683" s="24" t="s">
        <v>340</v>
      </c>
      <c r="E683" s="24"/>
      <c r="F683" s="4">
        <f t="shared" ref="F683:G684" si="340">F684</f>
        <v>150</v>
      </c>
      <c r="G683" s="4">
        <f t="shared" si="340"/>
        <v>150</v>
      </c>
      <c r="H683" s="4">
        <f t="shared" si="326"/>
        <v>100</v>
      </c>
    </row>
    <row r="684" spans="1:8" ht="63" x14ac:dyDescent="0.25">
      <c r="A684" s="34" t="s">
        <v>1190</v>
      </c>
      <c r="B684" s="24" t="s">
        <v>280</v>
      </c>
      <c r="C684" s="24" t="s">
        <v>229</v>
      </c>
      <c r="D684" s="24" t="s">
        <v>1025</v>
      </c>
      <c r="E684" s="24"/>
      <c r="F684" s="4">
        <f>F685</f>
        <v>150</v>
      </c>
      <c r="G684" s="4">
        <f t="shared" si="340"/>
        <v>150</v>
      </c>
      <c r="H684" s="4">
        <f t="shared" si="326"/>
        <v>100</v>
      </c>
    </row>
    <row r="685" spans="1:8" ht="47.25" x14ac:dyDescent="0.25">
      <c r="A685" s="31" t="s">
        <v>1161</v>
      </c>
      <c r="B685" s="20" t="s">
        <v>280</v>
      </c>
      <c r="C685" s="20" t="s">
        <v>229</v>
      </c>
      <c r="D685" s="20" t="s">
        <v>1026</v>
      </c>
      <c r="E685" s="20"/>
      <c r="F685" s="6">
        <f t="shared" ref="F685:G686" si="341">F686</f>
        <v>150</v>
      </c>
      <c r="G685" s="358">
        <f t="shared" si="341"/>
        <v>150</v>
      </c>
      <c r="H685" s="358">
        <f t="shared" si="326"/>
        <v>100</v>
      </c>
    </row>
    <row r="686" spans="1:8" ht="31.5" x14ac:dyDescent="0.25">
      <c r="A686" s="31" t="s">
        <v>288</v>
      </c>
      <c r="B686" s="20" t="s">
        <v>280</v>
      </c>
      <c r="C686" s="20" t="s">
        <v>229</v>
      </c>
      <c r="D686" s="20" t="s">
        <v>1026</v>
      </c>
      <c r="E686" s="20" t="s">
        <v>289</v>
      </c>
      <c r="F686" s="6">
        <f t="shared" si="341"/>
        <v>150</v>
      </c>
      <c r="G686" s="358">
        <f t="shared" si="341"/>
        <v>150</v>
      </c>
      <c r="H686" s="358">
        <f t="shared" si="326"/>
        <v>100</v>
      </c>
    </row>
    <row r="687" spans="1:8" ht="15.75" x14ac:dyDescent="0.25">
      <c r="A687" s="31" t="s">
        <v>290</v>
      </c>
      <c r="B687" s="20" t="s">
        <v>280</v>
      </c>
      <c r="C687" s="20" t="s">
        <v>229</v>
      </c>
      <c r="D687" s="20" t="s">
        <v>1026</v>
      </c>
      <c r="E687" s="20" t="s">
        <v>291</v>
      </c>
      <c r="F687" s="6">
        <f>'Пр.4 ведом.20'!G738</f>
        <v>150</v>
      </c>
      <c r="G687" s="358">
        <f>'Пр.4 ведом.20'!H738</f>
        <v>150</v>
      </c>
      <c r="H687" s="358">
        <f t="shared" si="326"/>
        <v>100</v>
      </c>
    </row>
    <row r="688" spans="1:8" ht="63" x14ac:dyDescent="0.25">
      <c r="A688" s="41" t="s">
        <v>1179</v>
      </c>
      <c r="B688" s="24" t="s">
        <v>280</v>
      </c>
      <c r="C688" s="24" t="s">
        <v>229</v>
      </c>
      <c r="D688" s="24" t="s">
        <v>728</v>
      </c>
      <c r="E688" s="231"/>
      <c r="F688" s="4">
        <f t="shared" ref="F688:G690" si="342">F689</f>
        <v>723.3</v>
      </c>
      <c r="G688" s="4">
        <f t="shared" si="342"/>
        <v>538.25800000000004</v>
      </c>
      <c r="H688" s="4">
        <f t="shared" si="326"/>
        <v>74.416977740909729</v>
      </c>
    </row>
    <row r="689" spans="1:12" ht="47.25" x14ac:dyDescent="0.25">
      <c r="A689" s="41" t="s">
        <v>949</v>
      </c>
      <c r="B689" s="24" t="s">
        <v>280</v>
      </c>
      <c r="C689" s="24" t="s">
        <v>229</v>
      </c>
      <c r="D689" s="24" t="s">
        <v>947</v>
      </c>
      <c r="E689" s="231"/>
      <c r="F689" s="4">
        <f t="shared" si="342"/>
        <v>723.3</v>
      </c>
      <c r="G689" s="4">
        <f t="shared" si="342"/>
        <v>538.25800000000004</v>
      </c>
      <c r="H689" s="4">
        <f t="shared" si="326"/>
        <v>74.416977740909729</v>
      </c>
    </row>
    <row r="690" spans="1:12" ht="47.25" x14ac:dyDescent="0.25">
      <c r="A690" s="99" t="s">
        <v>803</v>
      </c>
      <c r="B690" s="20" t="s">
        <v>280</v>
      </c>
      <c r="C690" s="20" t="s">
        <v>229</v>
      </c>
      <c r="D690" s="20" t="s">
        <v>1027</v>
      </c>
      <c r="E690" s="32"/>
      <c r="F690" s="6">
        <f>F691</f>
        <v>723.3</v>
      </c>
      <c r="G690" s="358">
        <f t="shared" si="342"/>
        <v>538.25800000000004</v>
      </c>
      <c r="H690" s="358">
        <f t="shared" si="326"/>
        <v>74.416977740909729</v>
      </c>
    </row>
    <row r="691" spans="1:12" ht="36.75" customHeight="1" x14ac:dyDescent="0.25">
      <c r="A691" s="29" t="s">
        <v>288</v>
      </c>
      <c r="B691" s="20" t="s">
        <v>280</v>
      </c>
      <c r="C691" s="20" t="s">
        <v>229</v>
      </c>
      <c r="D691" s="20" t="s">
        <v>1027</v>
      </c>
      <c r="E691" s="32" t="s">
        <v>289</v>
      </c>
      <c r="F691" s="6">
        <f t="shared" ref="F691:G691" si="343">F692</f>
        <v>723.3</v>
      </c>
      <c r="G691" s="358">
        <f t="shared" si="343"/>
        <v>538.25800000000004</v>
      </c>
      <c r="H691" s="358">
        <f t="shared" si="326"/>
        <v>74.416977740909729</v>
      </c>
    </row>
    <row r="692" spans="1:12" ht="15.75" x14ac:dyDescent="0.25">
      <c r="A692" s="192" t="s">
        <v>290</v>
      </c>
      <c r="B692" s="20" t="s">
        <v>280</v>
      </c>
      <c r="C692" s="20" t="s">
        <v>229</v>
      </c>
      <c r="D692" s="20" t="s">
        <v>1027</v>
      </c>
      <c r="E692" s="32" t="s">
        <v>291</v>
      </c>
      <c r="F692" s="6">
        <f>'Пр.4 ведом.20'!G743</f>
        <v>723.3</v>
      </c>
      <c r="G692" s="358">
        <f>'Пр.4 ведом.20'!H743</f>
        <v>538.25800000000004</v>
      </c>
      <c r="H692" s="358">
        <f t="shared" si="326"/>
        <v>74.416977740909729</v>
      </c>
    </row>
    <row r="693" spans="1:12" ht="15.75" x14ac:dyDescent="0.25">
      <c r="A693" s="41" t="s">
        <v>281</v>
      </c>
      <c r="B693" s="7" t="s">
        <v>280</v>
      </c>
      <c r="C693" s="7" t="s">
        <v>231</v>
      </c>
      <c r="D693" s="24"/>
      <c r="E693" s="7"/>
      <c r="F693" s="4">
        <f>F694+F725+F762</f>
        <v>52941.19999999999</v>
      </c>
      <c r="G693" s="4">
        <f t="shared" ref="G693" si="344">G694+G725+G762</f>
        <v>36822.002999999997</v>
      </c>
      <c r="H693" s="4">
        <f t="shared" si="326"/>
        <v>69.552641421048264</v>
      </c>
    </row>
    <row r="694" spans="1:12" ht="47.25" x14ac:dyDescent="0.25">
      <c r="A694" s="23" t="s">
        <v>442</v>
      </c>
      <c r="B694" s="24" t="s">
        <v>280</v>
      </c>
      <c r="C694" s="24" t="s">
        <v>231</v>
      </c>
      <c r="D694" s="24" t="s">
        <v>422</v>
      </c>
      <c r="E694" s="24"/>
      <c r="F694" s="4">
        <f>F695+F713</f>
        <v>35001.399999999994</v>
      </c>
      <c r="G694" s="4">
        <f t="shared" ref="G694" si="345">G695+G713</f>
        <v>25773.053</v>
      </c>
      <c r="H694" s="4">
        <f t="shared" si="326"/>
        <v>73.634348911757826</v>
      </c>
      <c r="L694" s="22"/>
    </row>
    <row r="695" spans="1:12" ht="33.75" customHeight="1" x14ac:dyDescent="0.25">
      <c r="A695" s="23" t="s">
        <v>423</v>
      </c>
      <c r="B695" s="24" t="s">
        <v>280</v>
      </c>
      <c r="C695" s="24" t="s">
        <v>231</v>
      </c>
      <c r="D695" s="24" t="s">
        <v>424</v>
      </c>
      <c r="E695" s="24"/>
      <c r="F695" s="4">
        <f>F696+F700</f>
        <v>34237.199999999997</v>
      </c>
      <c r="G695" s="4">
        <f t="shared" ref="G695" si="346">G696+G700</f>
        <v>25173.053</v>
      </c>
      <c r="H695" s="4">
        <f t="shared" si="326"/>
        <v>73.525443085299031</v>
      </c>
      <c r="L695" s="22"/>
    </row>
    <row r="696" spans="1:12" ht="31.5" x14ac:dyDescent="0.25">
      <c r="A696" s="23" t="s">
        <v>1028</v>
      </c>
      <c r="B696" s="24" t="s">
        <v>280</v>
      </c>
      <c r="C696" s="24" t="s">
        <v>231</v>
      </c>
      <c r="D696" s="24" t="s">
        <v>1006</v>
      </c>
      <c r="E696" s="24"/>
      <c r="F696" s="4">
        <f t="shared" ref="F696:G697" si="347">F697</f>
        <v>32614.999999999996</v>
      </c>
      <c r="G696" s="4">
        <f t="shared" si="347"/>
        <v>23644.352999999999</v>
      </c>
      <c r="H696" s="4">
        <f t="shared" si="326"/>
        <v>72.495333435535798</v>
      </c>
    </row>
    <row r="697" spans="1:12" ht="47.25" x14ac:dyDescent="0.25">
      <c r="A697" s="25" t="s">
        <v>286</v>
      </c>
      <c r="B697" s="20" t="s">
        <v>280</v>
      </c>
      <c r="C697" s="20" t="s">
        <v>231</v>
      </c>
      <c r="D697" s="20" t="s">
        <v>1051</v>
      </c>
      <c r="E697" s="20"/>
      <c r="F697" s="6">
        <f t="shared" si="347"/>
        <v>32614.999999999996</v>
      </c>
      <c r="G697" s="358">
        <f t="shared" si="347"/>
        <v>23644.352999999999</v>
      </c>
      <c r="H697" s="358">
        <f t="shared" si="326"/>
        <v>72.495333435535798</v>
      </c>
    </row>
    <row r="698" spans="1:12" ht="40.700000000000003" customHeight="1" x14ac:dyDescent="0.25">
      <c r="A698" s="25" t="s">
        <v>288</v>
      </c>
      <c r="B698" s="20" t="s">
        <v>280</v>
      </c>
      <c r="C698" s="20" t="s">
        <v>231</v>
      </c>
      <c r="D698" s="20" t="s">
        <v>1051</v>
      </c>
      <c r="E698" s="20" t="s">
        <v>289</v>
      </c>
      <c r="F698" s="6">
        <f>'Пр.4 ведом.20'!G750</f>
        <v>32614.999999999996</v>
      </c>
      <c r="G698" s="358">
        <f>'Пр.4 ведом.20'!H750</f>
        <v>23644.352999999999</v>
      </c>
      <c r="H698" s="358">
        <f t="shared" si="326"/>
        <v>72.495333435535798</v>
      </c>
    </row>
    <row r="699" spans="1:12" ht="15.75" x14ac:dyDescent="0.25">
      <c r="A699" s="25" t="s">
        <v>290</v>
      </c>
      <c r="B699" s="20" t="s">
        <v>280</v>
      </c>
      <c r="C699" s="20" t="s">
        <v>231</v>
      </c>
      <c r="D699" s="20" t="s">
        <v>1051</v>
      </c>
      <c r="E699" s="20" t="s">
        <v>291</v>
      </c>
      <c r="F699" s="6">
        <f>'Пр.4 ведом.20'!G750</f>
        <v>32614.999999999996</v>
      </c>
      <c r="G699" s="358">
        <f>'Пр.4 ведом.20'!H750</f>
        <v>23644.352999999999</v>
      </c>
      <c r="H699" s="358">
        <f t="shared" si="326"/>
        <v>72.495333435535798</v>
      </c>
    </row>
    <row r="700" spans="1:12" ht="47.25" x14ac:dyDescent="0.25">
      <c r="A700" s="23" t="s">
        <v>971</v>
      </c>
      <c r="B700" s="24" t="s">
        <v>280</v>
      </c>
      <c r="C700" s="24" t="s">
        <v>231</v>
      </c>
      <c r="D700" s="24" t="s">
        <v>1021</v>
      </c>
      <c r="E700" s="24"/>
      <c r="F700" s="4">
        <f>F704+F707+F710+F701</f>
        <v>1622.2</v>
      </c>
      <c r="G700" s="4">
        <f t="shared" ref="G700" si="348">G704+G707+G710+G701</f>
        <v>1528.7</v>
      </c>
      <c r="H700" s="4">
        <f t="shared" si="326"/>
        <v>94.236222414005681</v>
      </c>
    </row>
    <row r="701" spans="1:12" s="324" customFormat="1" ht="94.5" x14ac:dyDescent="0.25">
      <c r="A701" s="31" t="s">
        <v>309</v>
      </c>
      <c r="B701" s="331" t="s">
        <v>280</v>
      </c>
      <c r="C701" s="331" t="s">
        <v>231</v>
      </c>
      <c r="D701" s="331" t="s">
        <v>1517</v>
      </c>
      <c r="E701" s="331"/>
      <c r="F701" s="6">
        <f>F702</f>
        <v>216.9</v>
      </c>
      <c r="G701" s="358">
        <f t="shared" ref="G701:G702" si="349">G702</f>
        <v>216.9</v>
      </c>
      <c r="H701" s="358">
        <f t="shared" si="326"/>
        <v>100</v>
      </c>
    </row>
    <row r="702" spans="1:12" s="324" customFormat="1" ht="31.5" x14ac:dyDescent="0.25">
      <c r="A702" s="335" t="s">
        <v>288</v>
      </c>
      <c r="B702" s="331" t="s">
        <v>280</v>
      </c>
      <c r="C702" s="331" t="s">
        <v>231</v>
      </c>
      <c r="D702" s="331" t="s">
        <v>1517</v>
      </c>
      <c r="E702" s="331" t="s">
        <v>289</v>
      </c>
      <c r="F702" s="6">
        <f>F703</f>
        <v>216.9</v>
      </c>
      <c r="G702" s="358">
        <f t="shared" si="349"/>
        <v>216.9</v>
      </c>
      <c r="H702" s="358">
        <f t="shared" si="326"/>
        <v>100</v>
      </c>
    </row>
    <row r="703" spans="1:12" s="324" customFormat="1" ht="15.75" x14ac:dyDescent="0.25">
      <c r="A703" s="335" t="s">
        <v>290</v>
      </c>
      <c r="B703" s="331" t="s">
        <v>280</v>
      </c>
      <c r="C703" s="331" t="s">
        <v>231</v>
      </c>
      <c r="D703" s="331" t="s">
        <v>1517</v>
      </c>
      <c r="E703" s="331" t="s">
        <v>291</v>
      </c>
      <c r="F703" s="6">
        <f>'Пр.4 ведом.20'!G754</f>
        <v>216.9</v>
      </c>
      <c r="G703" s="358">
        <f>'Пр.4 ведом.20'!H754</f>
        <v>216.9</v>
      </c>
      <c r="H703" s="358">
        <f t="shared" si="326"/>
        <v>100</v>
      </c>
    </row>
    <row r="704" spans="1:12" ht="63" x14ac:dyDescent="0.25">
      <c r="A704" s="31" t="s">
        <v>305</v>
      </c>
      <c r="B704" s="20" t="s">
        <v>280</v>
      </c>
      <c r="C704" s="20" t="s">
        <v>231</v>
      </c>
      <c r="D704" s="20" t="s">
        <v>1020</v>
      </c>
      <c r="E704" s="20"/>
      <c r="F704" s="6">
        <f t="shared" ref="F704:G705" si="350">F705</f>
        <v>169.3</v>
      </c>
      <c r="G704" s="358">
        <f t="shared" si="350"/>
        <v>161.30000000000001</v>
      </c>
      <c r="H704" s="358">
        <f t="shared" si="326"/>
        <v>95.274660366213823</v>
      </c>
    </row>
    <row r="705" spans="1:8" ht="31.5" x14ac:dyDescent="0.25">
      <c r="A705" s="25" t="s">
        <v>288</v>
      </c>
      <c r="B705" s="20" t="s">
        <v>280</v>
      </c>
      <c r="C705" s="20" t="s">
        <v>231</v>
      </c>
      <c r="D705" s="20" t="s">
        <v>1020</v>
      </c>
      <c r="E705" s="20" t="s">
        <v>289</v>
      </c>
      <c r="F705" s="6">
        <f>F706</f>
        <v>169.3</v>
      </c>
      <c r="G705" s="358">
        <f t="shared" si="350"/>
        <v>161.30000000000001</v>
      </c>
      <c r="H705" s="358">
        <f t="shared" si="326"/>
        <v>95.274660366213823</v>
      </c>
    </row>
    <row r="706" spans="1:8" ht="15.75" x14ac:dyDescent="0.25">
      <c r="A706" s="25" t="s">
        <v>290</v>
      </c>
      <c r="B706" s="20" t="s">
        <v>280</v>
      </c>
      <c r="C706" s="20" t="s">
        <v>231</v>
      </c>
      <c r="D706" s="20" t="s">
        <v>1020</v>
      </c>
      <c r="E706" s="20" t="s">
        <v>291</v>
      </c>
      <c r="F706" s="6">
        <f>'Пр.4 ведом.20'!G757</f>
        <v>169.3</v>
      </c>
      <c r="G706" s="358">
        <f>'Пр.4 ведом.20'!H757</f>
        <v>161.30000000000001</v>
      </c>
      <c r="H706" s="358">
        <f t="shared" si="326"/>
        <v>95.274660366213823</v>
      </c>
    </row>
    <row r="707" spans="1:8" ht="63" x14ac:dyDescent="0.25">
      <c r="A707" s="31" t="s">
        <v>307</v>
      </c>
      <c r="B707" s="20" t="s">
        <v>280</v>
      </c>
      <c r="C707" s="20" t="s">
        <v>231</v>
      </c>
      <c r="D707" s="20" t="s">
        <v>1023</v>
      </c>
      <c r="E707" s="20"/>
      <c r="F707" s="6">
        <f t="shared" ref="F707:G708" si="351">F708</f>
        <v>549.5</v>
      </c>
      <c r="G707" s="358">
        <f t="shared" si="351"/>
        <v>464</v>
      </c>
      <c r="H707" s="358">
        <f t="shared" si="326"/>
        <v>84.440400363967242</v>
      </c>
    </row>
    <row r="708" spans="1:8" ht="31.5" x14ac:dyDescent="0.25">
      <c r="A708" s="25" t="s">
        <v>288</v>
      </c>
      <c r="B708" s="20" t="s">
        <v>280</v>
      </c>
      <c r="C708" s="20" t="s">
        <v>231</v>
      </c>
      <c r="D708" s="20" t="s">
        <v>1023</v>
      </c>
      <c r="E708" s="20" t="s">
        <v>289</v>
      </c>
      <c r="F708" s="6">
        <f>F709</f>
        <v>549.5</v>
      </c>
      <c r="G708" s="358">
        <f t="shared" si="351"/>
        <v>464</v>
      </c>
      <c r="H708" s="358">
        <f t="shared" si="326"/>
        <v>84.440400363967242</v>
      </c>
    </row>
    <row r="709" spans="1:8" ht="15.75" x14ac:dyDescent="0.25">
      <c r="A709" s="25" t="s">
        <v>290</v>
      </c>
      <c r="B709" s="20" t="s">
        <v>280</v>
      </c>
      <c r="C709" s="20" t="s">
        <v>231</v>
      </c>
      <c r="D709" s="20" t="s">
        <v>1023</v>
      </c>
      <c r="E709" s="20" t="s">
        <v>291</v>
      </c>
      <c r="F709" s="6">
        <f>'Пр.4 ведом.20'!G760</f>
        <v>549.5</v>
      </c>
      <c r="G709" s="358">
        <f>'Пр.4 ведом.20'!H760</f>
        <v>464</v>
      </c>
      <c r="H709" s="358">
        <f t="shared" si="326"/>
        <v>84.440400363967242</v>
      </c>
    </row>
    <row r="710" spans="1:8" ht="94.5" x14ac:dyDescent="0.25">
      <c r="A710" s="31" t="s">
        <v>309</v>
      </c>
      <c r="B710" s="20" t="s">
        <v>280</v>
      </c>
      <c r="C710" s="20" t="s">
        <v>231</v>
      </c>
      <c r="D710" s="20" t="s">
        <v>1024</v>
      </c>
      <c r="E710" s="20"/>
      <c r="F710" s="6">
        <f>F711</f>
        <v>686.5</v>
      </c>
      <c r="G710" s="358">
        <f t="shared" ref="G710" si="352">G711</f>
        <v>686.5</v>
      </c>
      <c r="H710" s="358">
        <f t="shared" si="326"/>
        <v>100</v>
      </c>
    </row>
    <row r="711" spans="1:8" ht="31.5" x14ac:dyDescent="0.25">
      <c r="A711" s="25" t="s">
        <v>288</v>
      </c>
      <c r="B711" s="20" t="s">
        <v>280</v>
      </c>
      <c r="C711" s="20" t="s">
        <v>231</v>
      </c>
      <c r="D711" s="20" t="s">
        <v>1024</v>
      </c>
      <c r="E711" s="20" t="s">
        <v>289</v>
      </c>
      <c r="F711" s="6">
        <f t="shared" ref="F711:G711" si="353">F712</f>
        <v>686.5</v>
      </c>
      <c r="G711" s="358">
        <f t="shared" si="353"/>
        <v>686.5</v>
      </c>
      <c r="H711" s="358">
        <f t="shared" si="326"/>
        <v>100</v>
      </c>
    </row>
    <row r="712" spans="1:8" ht="15.75" x14ac:dyDescent="0.25">
      <c r="A712" s="25" t="s">
        <v>290</v>
      </c>
      <c r="B712" s="20" t="s">
        <v>280</v>
      </c>
      <c r="C712" s="20" t="s">
        <v>231</v>
      </c>
      <c r="D712" s="20" t="s">
        <v>1024</v>
      </c>
      <c r="E712" s="20" t="s">
        <v>291</v>
      </c>
      <c r="F712" s="6">
        <f>'Пр.4 ведом.20'!G763</f>
        <v>686.5</v>
      </c>
      <c r="G712" s="358">
        <f>'Пр.4 ведом.20'!H763</f>
        <v>686.5</v>
      </c>
      <c r="H712" s="358">
        <f t="shared" si="326"/>
        <v>100</v>
      </c>
    </row>
    <row r="713" spans="1:8" ht="30.2" customHeight="1" x14ac:dyDescent="0.25">
      <c r="A713" s="34" t="s">
        <v>721</v>
      </c>
      <c r="B713" s="24" t="s">
        <v>280</v>
      </c>
      <c r="C713" s="24" t="s">
        <v>231</v>
      </c>
      <c r="D713" s="24" t="s">
        <v>463</v>
      </c>
      <c r="E713" s="24"/>
      <c r="F713" s="4">
        <f>F714+F718</f>
        <v>764.2</v>
      </c>
      <c r="G713" s="4">
        <f t="shared" ref="G713" si="354">G714+G718</f>
        <v>600</v>
      </c>
      <c r="H713" s="4">
        <f t="shared" si="326"/>
        <v>78.513478147081912</v>
      </c>
    </row>
    <row r="714" spans="1:8" ht="31.7" customHeight="1" x14ac:dyDescent="0.25">
      <c r="A714" s="23" t="s">
        <v>1052</v>
      </c>
      <c r="B714" s="24" t="s">
        <v>280</v>
      </c>
      <c r="C714" s="24" t="s">
        <v>231</v>
      </c>
      <c r="D714" s="24" t="s">
        <v>1233</v>
      </c>
      <c r="E714" s="24"/>
      <c r="F714" s="4">
        <f>F715</f>
        <v>50</v>
      </c>
      <c r="G714" s="4">
        <f t="shared" ref="G714:G716" si="355">G715</f>
        <v>0</v>
      </c>
      <c r="H714" s="4">
        <f t="shared" si="326"/>
        <v>0</v>
      </c>
    </row>
    <row r="715" spans="1:8" ht="35.450000000000003" customHeight="1" x14ac:dyDescent="0.25">
      <c r="A715" s="335" t="s">
        <v>294</v>
      </c>
      <c r="B715" s="20" t="s">
        <v>280</v>
      </c>
      <c r="C715" s="20" t="s">
        <v>231</v>
      </c>
      <c r="D715" s="20" t="s">
        <v>1552</v>
      </c>
      <c r="E715" s="20"/>
      <c r="F715" s="6">
        <f>F716</f>
        <v>50</v>
      </c>
      <c r="G715" s="358">
        <f t="shared" si="355"/>
        <v>0</v>
      </c>
      <c r="H715" s="358">
        <f t="shared" ref="H715:H778" si="356">G715/F715*100</f>
        <v>0</v>
      </c>
    </row>
    <row r="716" spans="1:8" ht="39.75" customHeight="1" x14ac:dyDescent="0.25">
      <c r="A716" s="31" t="s">
        <v>288</v>
      </c>
      <c r="B716" s="20" t="s">
        <v>280</v>
      </c>
      <c r="C716" s="20" t="s">
        <v>231</v>
      </c>
      <c r="D716" s="331" t="s">
        <v>1552</v>
      </c>
      <c r="E716" s="20" t="s">
        <v>289</v>
      </c>
      <c r="F716" s="6">
        <f>F717</f>
        <v>50</v>
      </c>
      <c r="G716" s="358">
        <f t="shared" si="355"/>
        <v>0</v>
      </c>
      <c r="H716" s="358">
        <f t="shared" si="356"/>
        <v>0</v>
      </c>
    </row>
    <row r="717" spans="1:8" ht="19.5" customHeight="1" x14ac:dyDescent="0.25">
      <c r="A717" s="31" t="s">
        <v>290</v>
      </c>
      <c r="B717" s="20" t="s">
        <v>280</v>
      </c>
      <c r="C717" s="20" t="s">
        <v>231</v>
      </c>
      <c r="D717" s="331" t="s">
        <v>1552</v>
      </c>
      <c r="E717" s="20" t="s">
        <v>291</v>
      </c>
      <c r="F717" s="6">
        <f>'Пр.4 ведом.20'!G768</f>
        <v>50</v>
      </c>
      <c r="G717" s="358">
        <f>'Пр.4 ведом.20'!H768</f>
        <v>0</v>
      </c>
      <c r="H717" s="358">
        <f t="shared" si="356"/>
        <v>0</v>
      </c>
    </row>
    <row r="718" spans="1:8" ht="33" customHeight="1" x14ac:dyDescent="0.25">
      <c r="A718" s="227" t="s">
        <v>1077</v>
      </c>
      <c r="B718" s="24" t="s">
        <v>280</v>
      </c>
      <c r="C718" s="24" t="s">
        <v>231</v>
      </c>
      <c r="D718" s="24" t="s">
        <v>1053</v>
      </c>
      <c r="E718" s="24"/>
      <c r="F718" s="4">
        <f>F722+F719</f>
        <v>714.2</v>
      </c>
      <c r="G718" s="4">
        <f t="shared" ref="G718" si="357">G722+G719</f>
        <v>600</v>
      </c>
      <c r="H718" s="4">
        <f t="shared" si="356"/>
        <v>84.010081209745167</v>
      </c>
    </row>
    <row r="719" spans="1:8" s="324" customFormat="1" ht="33" customHeight="1" x14ac:dyDescent="0.25">
      <c r="A719" s="355" t="s">
        <v>1553</v>
      </c>
      <c r="B719" s="331" t="s">
        <v>280</v>
      </c>
      <c r="C719" s="331" t="s">
        <v>231</v>
      </c>
      <c r="D719" s="331" t="s">
        <v>1554</v>
      </c>
      <c r="E719" s="331"/>
      <c r="F719" s="6">
        <f>F720</f>
        <v>25.2</v>
      </c>
      <c r="G719" s="358">
        <f t="shared" ref="G719:G720" si="358">G720</f>
        <v>0</v>
      </c>
      <c r="H719" s="358">
        <f t="shared" si="356"/>
        <v>0</v>
      </c>
    </row>
    <row r="720" spans="1:8" s="324" customFormat="1" ht="33" customHeight="1" x14ac:dyDescent="0.25">
      <c r="A720" s="335" t="s">
        <v>288</v>
      </c>
      <c r="B720" s="331" t="s">
        <v>280</v>
      </c>
      <c r="C720" s="331" t="s">
        <v>231</v>
      </c>
      <c r="D720" s="331" t="s">
        <v>1554</v>
      </c>
      <c r="E720" s="331" t="s">
        <v>289</v>
      </c>
      <c r="F720" s="6">
        <f>F721</f>
        <v>25.2</v>
      </c>
      <c r="G720" s="358">
        <f t="shared" si="358"/>
        <v>0</v>
      </c>
      <c r="H720" s="358">
        <f t="shared" si="356"/>
        <v>0</v>
      </c>
    </row>
    <row r="721" spans="1:8" s="324" customFormat="1" ht="33" customHeight="1" x14ac:dyDescent="0.25">
      <c r="A721" s="31" t="s">
        <v>290</v>
      </c>
      <c r="B721" s="331" t="s">
        <v>280</v>
      </c>
      <c r="C721" s="331" t="s">
        <v>231</v>
      </c>
      <c r="D721" s="331" t="s">
        <v>1554</v>
      </c>
      <c r="E721" s="331" t="s">
        <v>291</v>
      </c>
      <c r="F721" s="6">
        <f>'Пр.4 ведом.20'!G772</f>
        <v>25.2</v>
      </c>
      <c r="G721" s="358">
        <f>'Пр.4 ведом.20'!H772</f>
        <v>0</v>
      </c>
      <c r="H721" s="358">
        <f t="shared" si="356"/>
        <v>0</v>
      </c>
    </row>
    <row r="722" spans="1:8" ht="46.5" customHeight="1" x14ac:dyDescent="0.25">
      <c r="A722" s="45" t="s">
        <v>787</v>
      </c>
      <c r="B722" s="20" t="s">
        <v>280</v>
      </c>
      <c r="C722" s="20" t="s">
        <v>231</v>
      </c>
      <c r="D722" s="20" t="s">
        <v>1054</v>
      </c>
      <c r="E722" s="20"/>
      <c r="F722" s="6">
        <f>F723</f>
        <v>689</v>
      </c>
      <c r="G722" s="358">
        <f t="shared" ref="G722" si="359">G723</f>
        <v>600</v>
      </c>
      <c r="H722" s="358">
        <f t="shared" si="356"/>
        <v>87.082728592162553</v>
      </c>
    </row>
    <row r="723" spans="1:8" ht="31.5" x14ac:dyDescent="0.25">
      <c r="A723" s="25" t="s">
        <v>288</v>
      </c>
      <c r="B723" s="20" t="s">
        <v>280</v>
      </c>
      <c r="C723" s="20" t="s">
        <v>231</v>
      </c>
      <c r="D723" s="20" t="s">
        <v>1054</v>
      </c>
      <c r="E723" s="20" t="s">
        <v>289</v>
      </c>
      <c r="F723" s="6">
        <f t="shared" ref="F723:G723" si="360">F724</f>
        <v>689</v>
      </c>
      <c r="G723" s="358">
        <f t="shared" si="360"/>
        <v>600</v>
      </c>
      <c r="H723" s="358">
        <f t="shared" si="356"/>
        <v>87.082728592162553</v>
      </c>
    </row>
    <row r="724" spans="1:8" ht="15.75" x14ac:dyDescent="0.25">
      <c r="A724" s="31" t="s">
        <v>290</v>
      </c>
      <c r="B724" s="20" t="s">
        <v>280</v>
      </c>
      <c r="C724" s="20" t="s">
        <v>231</v>
      </c>
      <c r="D724" s="20" t="s">
        <v>1054</v>
      </c>
      <c r="E724" s="20" t="s">
        <v>291</v>
      </c>
      <c r="F724" s="6">
        <f>'Пр.4 ведом.20'!G775</f>
        <v>689</v>
      </c>
      <c r="G724" s="358">
        <f>'Пр.4 ведом.20'!H775</f>
        <v>600</v>
      </c>
      <c r="H724" s="358">
        <f t="shared" si="356"/>
        <v>87.082728592162553</v>
      </c>
    </row>
    <row r="725" spans="1:8" s="213" customFormat="1" ht="34.5" customHeight="1" x14ac:dyDescent="0.25">
      <c r="A725" s="23" t="s">
        <v>282</v>
      </c>
      <c r="B725" s="24" t="s">
        <v>280</v>
      </c>
      <c r="C725" s="24" t="s">
        <v>231</v>
      </c>
      <c r="D725" s="24" t="s">
        <v>283</v>
      </c>
      <c r="E725" s="24"/>
      <c r="F725" s="4">
        <f>F726</f>
        <v>17311.7</v>
      </c>
      <c r="G725" s="4">
        <f t="shared" ref="G725" si="361">G726</f>
        <v>10595.047</v>
      </c>
      <c r="H725" s="4">
        <f t="shared" si="356"/>
        <v>61.201655527764466</v>
      </c>
    </row>
    <row r="726" spans="1:8" s="213" customFormat="1" ht="50.25" customHeight="1" x14ac:dyDescent="0.25">
      <c r="A726" s="23" t="s">
        <v>284</v>
      </c>
      <c r="B726" s="24" t="s">
        <v>280</v>
      </c>
      <c r="C726" s="24" t="s">
        <v>231</v>
      </c>
      <c r="D726" s="24" t="s">
        <v>285</v>
      </c>
      <c r="E726" s="24"/>
      <c r="F726" s="4">
        <f>F727+F735+F739+F745+F749</f>
        <v>17311.7</v>
      </c>
      <c r="G726" s="4">
        <f t="shared" ref="G726" si="362">G727+G735+G739+G745+G749</f>
        <v>10595.047</v>
      </c>
      <c r="H726" s="4">
        <f t="shared" si="356"/>
        <v>61.201655527764466</v>
      </c>
    </row>
    <row r="727" spans="1:8" s="213" customFormat="1" ht="36" customHeight="1" x14ac:dyDescent="0.25">
      <c r="A727" s="23" t="s">
        <v>941</v>
      </c>
      <c r="B727" s="24" t="s">
        <v>280</v>
      </c>
      <c r="C727" s="24" t="s">
        <v>231</v>
      </c>
      <c r="D727" s="24" t="s">
        <v>942</v>
      </c>
      <c r="E727" s="24"/>
      <c r="F727" s="4">
        <f>F728</f>
        <v>15679</v>
      </c>
      <c r="G727" s="4">
        <f t="shared" ref="G727" si="363">G728</f>
        <v>9698.2270000000008</v>
      </c>
      <c r="H727" s="4">
        <f t="shared" si="356"/>
        <v>61.854882326679004</v>
      </c>
    </row>
    <row r="728" spans="1:8" s="213" customFormat="1" ht="15.75" x14ac:dyDescent="0.25">
      <c r="A728" s="25" t="s">
        <v>832</v>
      </c>
      <c r="B728" s="20" t="s">
        <v>280</v>
      </c>
      <c r="C728" s="20" t="s">
        <v>231</v>
      </c>
      <c r="D728" s="20" t="s">
        <v>940</v>
      </c>
      <c r="E728" s="20"/>
      <c r="F728" s="6">
        <f>F729+F731+F733</f>
        <v>15679</v>
      </c>
      <c r="G728" s="358">
        <f t="shared" ref="G728" si="364">G729+G731+G733</f>
        <v>9698.2270000000008</v>
      </c>
      <c r="H728" s="358">
        <f t="shared" si="356"/>
        <v>61.854882326679004</v>
      </c>
    </row>
    <row r="729" spans="1:8" s="213" customFormat="1" ht="78.75" x14ac:dyDescent="0.25">
      <c r="A729" s="25" t="s">
        <v>143</v>
      </c>
      <c r="B729" s="20" t="s">
        <v>280</v>
      </c>
      <c r="C729" s="20" t="s">
        <v>231</v>
      </c>
      <c r="D729" s="20" t="s">
        <v>940</v>
      </c>
      <c r="E729" s="20" t="s">
        <v>144</v>
      </c>
      <c r="F729" s="6">
        <f>F730</f>
        <v>13412.5</v>
      </c>
      <c r="G729" s="358">
        <f t="shared" ref="G729" si="365">G730</f>
        <v>8369.7970000000005</v>
      </c>
      <c r="H729" s="358">
        <f t="shared" si="356"/>
        <v>62.402959925442694</v>
      </c>
    </row>
    <row r="730" spans="1:8" s="213" customFormat="1" ht="21.2" customHeight="1" x14ac:dyDescent="0.25">
      <c r="A730" s="46" t="s">
        <v>358</v>
      </c>
      <c r="B730" s="20" t="s">
        <v>280</v>
      </c>
      <c r="C730" s="20" t="s">
        <v>231</v>
      </c>
      <c r="D730" s="20" t="s">
        <v>940</v>
      </c>
      <c r="E730" s="20" t="s">
        <v>225</v>
      </c>
      <c r="F730" s="6">
        <f>'Пр.4 ведом.20'!G284</f>
        <v>13412.5</v>
      </c>
      <c r="G730" s="358">
        <f>'Пр.4 ведом.20'!H284</f>
        <v>8369.7970000000005</v>
      </c>
      <c r="H730" s="358">
        <f t="shared" si="356"/>
        <v>62.402959925442694</v>
      </c>
    </row>
    <row r="731" spans="1:8" s="213" customFormat="1" ht="31.5" x14ac:dyDescent="0.25">
      <c r="A731" s="25" t="s">
        <v>147</v>
      </c>
      <c r="B731" s="20" t="s">
        <v>280</v>
      </c>
      <c r="C731" s="20" t="s">
        <v>231</v>
      </c>
      <c r="D731" s="20" t="s">
        <v>940</v>
      </c>
      <c r="E731" s="20" t="s">
        <v>148</v>
      </c>
      <c r="F731" s="6">
        <f>F732</f>
        <v>2188.5</v>
      </c>
      <c r="G731" s="358">
        <f t="shared" ref="G731" si="366">G732</f>
        <v>1278.9000000000001</v>
      </c>
      <c r="H731" s="358">
        <f t="shared" si="356"/>
        <v>58.437285812200145</v>
      </c>
    </row>
    <row r="732" spans="1:8" s="213" customFormat="1" ht="47.25" x14ac:dyDescent="0.25">
      <c r="A732" s="25" t="s">
        <v>149</v>
      </c>
      <c r="B732" s="20" t="s">
        <v>280</v>
      </c>
      <c r="C732" s="20" t="s">
        <v>231</v>
      </c>
      <c r="D732" s="20" t="s">
        <v>940</v>
      </c>
      <c r="E732" s="20" t="s">
        <v>150</v>
      </c>
      <c r="F732" s="6">
        <f>'Пр.4 ведом.20'!G286</f>
        <v>2188.5</v>
      </c>
      <c r="G732" s="358">
        <f>'Пр.4 ведом.20'!H286</f>
        <v>1278.9000000000001</v>
      </c>
      <c r="H732" s="358">
        <f t="shared" si="356"/>
        <v>58.437285812200145</v>
      </c>
    </row>
    <row r="733" spans="1:8" s="213" customFormat="1" ht="15.75" x14ac:dyDescent="0.25">
      <c r="A733" s="25" t="s">
        <v>151</v>
      </c>
      <c r="B733" s="20" t="s">
        <v>280</v>
      </c>
      <c r="C733" s="20" t="s">
        <v>231</v>
      </c>
      <c r="D733" s="20" t="s">
        <v>940</v>
      </c>
      <c r="E733" s="20" t="s">
        <v>161</v>
      </c>
      <c r="F733" s="6">
        <f>F734</f>
        <v>78</v>
      </c>
      <c r="G733" s="358">
        <f t="shared" ref="G733" si="367">G734</f>
        <v>49.53</v>
      </c>
      <c r="H733" s="358">
        <f t="shared" si="356"/>
        <v>63.5</v>
      </c>
    </row>
    <row r="734" spans="1:8" s="213" customFormat="1" ht="15.75" x14ac:dyDescent="0.25">
      <c r="A734" s="25" t="s">
        <v>727</v>
      </c>
      <c r="B734" s="20" t="s">
        <v>280</v>
      </c>
      <c r="C734" s="20" t="s">
        <v>231</v>
      </c>
      <c r="D734" s="20" t="s">
        <v>940</v>
      </c>
      <c r="E734" s="20" t="s">
        <v>154</v>
      </c>
      <c r="F734" s="6">
        <f>'Пр.4 ведом.20'!G288</f>
        <v>78</v>
      </c>
      <c r="G734" s="358">
        <f>'Пр.4 ведом.20'!H288</f>
        <v>49.53</v>
      </c>
      <c r="H734" s="358">
        <f t="shared" si="356"/>
        <v>63.5</v>
      </c>
    </row>
    <row r="735" spans="1:8" s="213" customFormat="1" ht="47.25" x14ac:dyDescent="0.25">
      <c r="A735" s="224" t="s">
        <v>1189</v>
      </c>
      <c r="B735" s="24" t="s">
        <v>280</v>
      </c>
      <c r="C735" s="24" t="s">
        <v>231</v>
      </c>
      <c r="D735" s="24" t="s">
        <v>944</v>
      </c>
      <c r="E735" s="24"/>
      <c r="F735" s="4">
        <f>F736</f>
        <v>45</v>
      </c>
      <c r="G735" s="4">
        <f t="shared" ref="G735:G737" si="368">G736</f>
        <v>14.4</v>
      </c>
      <c r="H735" s="4">
        <f t="shared" si="356"/>
        <v>32</v>
      </c>
    </row>
    <row r="736" spans="1:8" s="213" customFormat="1" ht="31.5" x14ac:dyDescent="0.25">
      <c r="A736" s="208" t="s">
        <v>831</v>
      </c>
      <c r="B736" s="20" t="s">
        <v>280</v>
      </c>
      <c r="C736" s="20" t="s">
        <v>231</v>
      </c>
      <c r="D736" s="20" t="s">
        <v>943</v>
      </c>
      <c r="E736" s="20"/>
      <c r="F736" s="6">
        <f>F737</f>
        <v>45</v>
      </c>
      <c r="G736" s="358">
        <f t="shared" si="368"/>
        <v>14.4</v>
      </c>
      <c r="H736" s="358">
        <f t="shared" si="356"/>
        <v>32</v>
      </c>
    </row>
    <row r="737" spans="1:8" s="213" customFormat="1" ht="20.25" customHeight="1" x14ac:dyDescent="0.25">
      <c r="A737" s="25" t="s">
        <v>264</v>
      </c>
      <c r="B737" s="20" t="s">
        <v>280</v>
      </c>
      <c r="C737" s="20" t="s">
        <v>231</v>
      </c>
      <c r="D737" s="20" t="s">
        <v>943</v>
      </c>
      <c r="E737" s="20" t="s">
        <v>265</v>
      </c>
      <c r="F737" s="6">
        <f>F738</f>
        <v>45</v>
      </c>
      <c r="G737" s="358">
        <f t="shared" si="368"/>
        <v>14.4</v>
      </c>
      <c r="H737" s="358">
        <f t="shared" si="356"/>
        <v>32</v>
      </c>
    </row>
    <row r="738" spans="1:8" s="213" customFormat="1" ht="15.75" x14ac:dyDescent="0.25">
      <c r="A738" s="25" t="s">
        <v>865</v>
      </c>
      <c r="B738" s="20" t="s">
        <v>280</v>
      </c>
      <c r="C738" s="20" t="s">
        <v>231</v>
      </c>
      <c r="D738" s="20" t="s">
        <v>943</v>
      </c>
      <c r="E738" s="20" t="s">
        <v>864</v>
      </c>
      <c r="F738" s="6">
        <f>'Пр.4 ведом.20'!G292</f>
        <v>45</v>
      </c>
      <c r="G738" s="358">
        <f>'Пр.4 ведом.20'!H292</f>
        <v>14.4</v>
      </c>
      <c r="H738" s="358">
        <f t="shared" si="356"/>
        <v>32</v>
      </c>
    </row>
    <row r="739" spans="1:8" ht="47.25" x14ac:dyDescent="0.25">
      <c r="A739" s="229" t="s">
        <v>1168</v>
      </c>
      <c r="B739" s="24" t="s">
        <v>280</v>
      </c>
      <c r="C739" s="24" t="s">
        <v>231</v>
      </c>
      <c r="D739" s="24" t="s">
        <v>945</v>
      </c>
      <c r="E739" s="24"/>
      <c r="F739" s="4">
        <f>F740</f>
        <v>250.00000000000003</v>
      </c>
      <c r="G739" s="4">
        <f t="shared" ref="G739" si="369">G740</f>
        <v>66.849999999999994</v>
      </c>
      <c r="H739" s="4">
        <f t="shared" si="356"/>
        <v>26.74</v>
      </c>
    </row>
    <row r="740" spans="1:8" ht="31.5" x14ac:dyDescent="0.25">
      <c r="A740" s="31" t="s">
        <v>860</v>
      </c>
      <c r="B740" s="20" t="s">
        <v>280</v>
      </c>
      <c r="C740" s="20" t="s">
        <v>231</v>
      </c>
      <c r="D740" s="20" t="s">
        <v>946</v>
      </c>
      <c r="E740" s="20"/>
      <c r="F740" s="6">
        <f>F741+F743</f>
        <v>250.00000000000003</v>
      </c>
      <c r="G740" s="358">
        <f t="shared" ref="G740" si="370">G741+G743</f>
        <v>66.849999999999994</v>
      </c>
      <c r="H740" s="358">
        <f t="shared" si="356"/>
        <v>26.74</v>
      </c>
    </row>
    <row r="741" spans="1:8" ht="78.75" x14ac:dyDescent="0.25">
      <c r="A741" s="25" t="s">
        <v>143</v>
      </c>
      <c r="B741" s="20" t="s">
        <v>280</v>
      </c>
      <c r="C741" s="20" t="s">
        <v>231</v>
      </c>
      <c r="D741" s="20" t="s">
        <v>946</v>
      </c>
      <c r="E741" s="20" t="s">
        <v>144</v>
      </c>
      <c r="F741" s="6">
        <f>F742</f>
        <v>250.00000000000003</v>
      </c>
      <c r="G741" s="358">
        <f t="shared" ref="G741" si="371">G742</f>
        <v>66.849999999999994</v>
      </c>
      <c r="H741" s="358">
        <f t="shared" si="356"/>
        <v>26.74</v>
      </c>
    </row>
    <row r="742" spans="1:8" s="213" customFormat="1" ht="18.75" customHeight="1" x14ac:dyDescent="0.25">
      <c r="A742" s="46" t="s">
        <v>358</v>
      </c>
      <c r="B742" s="20" t="s">
        <v>280</v>
      </c>
      <c r="C742" s="20" t="s">
        <v>231</v>
      </c>
      <c r="D742" s="20" t="s">
        <v>946</v>
      </c>
      <c r="E742" s="20" t="s">
        <v>225</v>
      </c>
      <c r="F742" s="6">
        <f>'Пр.4 ведом.20'!G296</f>
        <v>250.00000000000003</v>
      </c>
      <c r="G742" s="358">
        <f>'Пр.4 ведом.20'!H296</f>
        <v>66.849999999999994</v>
      </c>
      <c r="H742" s="358">
        <f t="shared" si="356"/>
        <v>26.74</v>
      </c>
    </row>
    <row r="743" spans="1:8" s="213" customFormat="1" ht="31.5" hidden="1" x14ac:dyDescent="0.25">
      <c r="A743" s="25" t="s">
        <v>147</v>
      </c>
      <c r="B743" s="20" t="s">
        <v>280</v>
      </c>
      <c r="C743" s="20" t="s">
        <v>231</v>
      </c>
      <c r="D743" s="20" t="s">
        <v>946</v>
      </c>
      <c r="E743" s="20" t="s">
        <v>148</v>
      </c>
      <c r="F743" s="6">
        <f>F744</f>
        <v>0</v>
      </c>
      <c r="G743" s="358">
        <f t="shared" ref="G743" si="372">G744</f>
        <v>0</v>
      </c>
      <c r="H743" s="358" t="e">
        <f t="shared" si="356"/>
        <v>#DIV/0!</v>
      </c>
    </row>
    <row r="744" spans="1:8" s="213" customFormat="1" ht="47.25" hidden="1" x14ac:dyDescent="0.25">
      <c r="A744" s="25" t="s">
        <v>149</v>
      </c>
      <c r="B744" s="20" t="s">
        <v>280</v>
      </c>
      <c r="C744" s="20" t="s">
        <v>231</v>
      </c>
      <c r="D744" s="20" t="s">
        <v>946</v>
      </c>
      <c r="E744" s="20" t="s">
        <v>150</v>
      </c>
      <c r="F744" s="6">
        <f>'Пр.4 ведом.20'!G298</f>
        <v>0</v>
      </c>
      <c r="G744" s="358">
        <f>'Пр.4 ведом.20'!H298</f>
        <v>0</v>
      </c>
      <c r="H744" s="358" t="e">
        <f t="shared" si="356"/>
        <v>#DIV/0!</v>
      </c>
    </row>
    <row r="745" spans="1:8" s="213" customFormat="1" ht="31.5" x14ac:dyDescent="0.25">
      <c r="A745" s="23" t="s">
        <v>1076</v>
      </c>
      <c r="B745" s="24" t="s">
        <v>280</v>
      </c>
      <c r="C745" s="24" t="s">
        <v>231</v>
      </c>
      <c r="D745" s="24" t="s">
        <v>951</v>
      </c>
      <c r="E745" s="24"/>
      <c r="F745" s="4">
        <f>F746</f>
        <v>336</v>
      </c>
      <c r="G745" s="4">
        <f t="shared" ref="G745:G747" si="373">G746</f>
        <v>301.82</v>
      </c>
      <c r="H745" s="4">
        <f t="shared" si="356"/>
        <v>89.827380952380949</v>
      </c>
    </row>
    <row r="746" spans="1:8" s="213" customFormat="1" ht="47.25" x14ac:dyDescent="0.25">
      <c r="A746" s="25" t="s">
        <v>885</v>
      </c>
      <c r="B746" s="20" t="s">
        <v>280</v>
      </c>
      <c r="C746" s="20" t="s">
        <v>231</v>
      </c>
      <c r="D746" s="20" t="s">
        <v>1263</v>
      </c>
      <c r="E746" s="20"/>
      <c r="F746" s="6">
        <f>F747</f>
        <v>336</v>
      </c>
      <c r="G746" s="358">
        <f t="shared" si="373"/>
        <v>301.82</v>
      </c>
      <c r="H746" s="358">
        <f t="shared" si="356"/>
        <v>89.827380952380949</v>
      </c>
    </row>
    <row r="747" spans="1:8" s="213" customFormat="1" ht="78.75" x14ac:dyDescent="0.25">
      <c r="A747" s="25" t="s">
        <v>143</v>
      </c>
      <c r="B747" s="20" t="s">
        <v>280</v>
      </c>
      <c r="C747" s="20" t="s">
        <v>231</v>
      </c>
      <c r="D747" s="20" t="s">
        <v>1263</v>
      </c>
      <c r="E747" s="20" t="s">
        <v>144</v>
      </c>
      <c r="F747" s="6">
        <f>F748</f>
        <v>336</v>
      </c>
      <c r="G747" s="358">
        <f t="shared" si="373"/>
        <v>301.82</v>
      </c>
      <c r="H747" s="358">
        <f t="shared" si="356"/>
        <v>89.827380952380949</v>
      </c>
    </row>
    <row r="748" spans="1:8" s="213" customFormat="1" ht="31.5" x14ac:dyDescent="0.25">
      <c r="A748" s="25" t="s">
        <v>145</v>
      </c>
      <c r="B748" s="20" t="s">
        <v>280</v>
      </c>
      <c r="C748" s="20" t="s">
        <v>231</v>
      </c>
      <c r="D748" s="20" t="s">
        <v>1263</v>
      </c>
      <c r="E748" s="20" t="s">
        <v>225</v>
      </c>
      <c r="F748" s="6">
        <f>'Пр.4 ведом.20'!G302</f>
        <v>336</v>
      </c>
      <c r="G748" s="358">
        <f>'Пр.4 ведом.20'!H302</f>
        <v>301.82</v>
      </c>
      <c r="H748" s="358">
        <f t="shared" si="356"/>
        <v>89.827380952380949</v>
      </c>
    </row>
    <row r="749" spans="1:8" s="213" customFormat="1" ht="47.25" x14ac:dyDescent="0.25">
      <c r="A749" s="23" t="s">
        <v>971</v>
      </c>
      <c r="B749" s="24" t="s">
        <v>280</v>
      </c>
      <c r="C749" s="24" t="s">
        <v>231</v>
      </c>
      <c r="D749" s="24" t="s">
        <v>1264</v>
      </c>
      <c r="E749" s="24"/>
      <c r="F749" s="4">
        <f>F753+F756+F759+F750</f>
        <v>1001.7</v>
      </c>
      <c r="G749" s="4">
        <f t="shared" ref="G749" si="374">G753+G756+G759+G750</f>
        <v>513.75</v>
      </c>
      <c r="H749" s="4">
        <f t="shared" si="356"/>
        <v>51.287810721772985</v>
      </c>
    </row>
    <row r="750" spans="1:8" s="324" customFormat="1" ht="94.5" x14ac:dyDescent="0.25">
      <c r="A750" s="31" t="s">
        <v>309</v>
      </c>
      <c r="B750" s="331" t="s">
        <v>280</v>
      </c>
      <c r="C750" s="331" t="s">
        <v>231</v>
      </c>
      <c r="D750" s="331" t="s">
        <v>1518</v>
      </c>
      <c r="E750" s="331"/>
      <c r="F750" s="6">
        <f>F751</f>
        <v>422.5</v>
      </c>
      <c r="G750" s="358">
        <f t="shared" ref="G750:G751" si="375">G751</f>
        <v>120</v>
      </c>
      <c r="H750" s="358">
        <f t="shared" si="356"/>
        <v>28.402366863905325</v>
      </c>
    </row>
    <row r="751" spans="1:8" s="324" customFormat="1" ht="78.75" x14ac:dyDescent="0.25">
      <c r="A751" s="335" t="s">
        <v>143</v>
      </c>
      <c r="B751" s="331" t="s">
        <v>280</v>
      </c>
      <c r="C751" s="331" t="s">
        <v>231</v>
      </c>
      <c r="D751" s="331" t="s">
        <v>1518</v>
      </c>
      <c r="E751" s="331" t="s">
        <v>144</v>
      </c>
      <c r="F751" s="6">
        <f>F752</f>
        <v>422.5</v>
      </c>
      <c r="G751" s="358">
        <f t="shared" si="375"/>
        <v>120</v>
      </c>
      <c r="H751" s="358">
        <f t="shared" si="356"/>
        <v>28.402366863905325</v>
      </c>
    </row>
    <row r="752" spans="1:8" s="324" customFormat="1" ht="31.5" x14ac:dyDescent="0.25">
      <c r="A752" s="46" t="s">
        <v>358</v>
      </c>
      <c r="B752" s="331" t="s">
        <v>280</v>
      </c>
      <c r="C752" s="331" t="s">
        <v>231</v>
      </c>
      <c r="D752" s="331" t="s">
        <v>1518</v>
      </c>
      <c r="E752" s="331" t="s">
        <v>225</v>
      </c>
      <c r="F752" s="6">
        <f>'Пр.4 ведом.20'!G306</f>
        <v>422.5</v>
      </c>
      <c r="G752" s="358">
        <f>'Пр.4 ведом.20'!H306</f>
        <v>120</v>
      </c>
      <c r="H752" s="358">
        <f t="shared" si="356"/>
        <v>28.402366863905325</v>
      </c>
    </row>
    <row r="753" spans="1:8" s="213" customFormat="1" ht="63" x14ac:dyDescent="0.25">
      <c r="A753" s="31" t="s">
        <v>305</v>
      </c>
      <c r="B753" s="20" t="s">
        <v>280</v>
      </c>
      <c r="C753" s="20" t="s">
        <v>231</v>
      </c>
      <c r="D753" s="20" t="s">
        <v>1265</v>
      </c>
      <c r="E753" s="20"/>
      <c r="F753" s="6">
        <f>F754</f>
        <v>100.8</v>
      </c>
      <c r="G753" s="358">
        <f t="shared" ref="G753:G754" si="376">G754</f>
        <v>54.64</v>
      </c>
      <c r="H753" s="358">
        <f t="shared" si="356"/>
        <v>54.206349206349216</v>
      </c>
    </row>
    <row r="754" spans="1:8" s="213" customFormat="1" ht="78.75" x14ac:dyDescent="0.25">
      <c r="A754" s="25" t="s">
        <v>143</v>
      </c>
      <c r="B754" s="20" t="s">
        <v>280</v>
      </c>
      <c r="C754" s="20" t="s">
        <v>231</v>
      </c>
      <c r="D754" s="20" t="s">
        <v>1265</v>
      </c>
      <c r="E754" s="20" t="s">
        <v>144</v>
      </c>
      <c r="F754" s="6">
        <f>F755</f>
        <v>100.8</v>
      </c>
      <c r="G754" s="358">
        <f t="shared" si="376"/>
        <v>54.64</v>
      </c>
      <c r="H754" s="358">
        <f t="shared" si="356"/>
        <v>54.206349206349216</v>
      </c>
    </row>
    <row r="755" spans="1:8" s="213" customFormat="1" ht="21.2" customHeight="1" x14ac:dyDescent="0.25">
      <c r="A755" s="46" t="s">
        <v>358</v>
      </c>
      <c r="B755" s="20" t="s">
        <v>280</v>
      </c>
      <c r="C755" s="20" t="s">
        <v>231</v>
      </c>
      <c r="D755" s="20" t="s">
        <v>1265</v>
      </c>
      <c r="E755" s="20" t="s">
        <v>225</v>
      </c>
      <c r="F755" s="6">
        <f>'Пр.4 ведом.20'!G309</f>
        <v>100.8</v>
      </c>
      <c r="G755" s="358">
        <f>'Пр.4 ведом.20'!H309</f>
        <v>54.64</v>
      </c>
      <c r="H755" s="358">
        <f t="shared" si="356"/>
        <v>54.206349206349216</v>
      </c>
    </row>
    <row r="756" spans="1:8" s="213" customFormat="1" ht="63" x14ac:dyDescent="0.25">
      <c r="A756" s="31" t="s">
        <v>307</v>
      </c>
      <c r="B756" s="20" t="s">
        <v>280</v>
      </c>
      <c r="C756" s="20" t="s">
        <v>231</v>
      </c>
      <c r="D756" s="20" t="s">
        <v>1266</v>
      </c>
      <c r="E756" s="20"/>
      <c r="F756" s="6">
        <f>F757</f>
        <v>298.40000000000003</v>
      </c>
      <c r="G756" s="358">
        <f t="shared" ref="G756:G757" si="377">G757</f>
        <v>159.34</v>
      </c>
      <c r="H756" s="358">
        <f t="shared" si="356"/>
        <v>53.398123324396771</v>
      </c>
    </row>
    <row r="757" spans="1:8" s="213" customFormat="1" ht="78.75" x14ac:dyDescent="0.25">
      <c r="A757" s="25" t="s">
        <v>143</v>
      </c>
      <c r="B757" s="20" t="s">
        <v>280</v>
      </c>
      <c r="C757" s="20" t="s">
        <v>231</v>
      </c>
      <c r="D757" s="20" t="s">
        <v>1266</v>
      </c>
      <c r="E757" s="20" t="s">
        <v>144</v>
      </c>
      <c r="F757" s="6">
        <f>F758</f>
        <v>298.40000000000003</v>
      </c>
      <c r="G757" s="358">
        <f t="shared" si="377"/>
        <v>159.34</v>
      </c>
      <c r="H757" s="358">
        <f t="shared" si="356"/>
        <v>53.398123324396771</v>
      </c>
    </row>
    <row r="758" spans="1:8" s="213" customFormat="1" ht="21.2" customHeight="1" x14ac:dyDescent="0.25">
      <c r="A758" s="46" t="s">
        <v>358</v>
      </c>
      <c r="B758" s="20" t="s">
        <v>280</v>
      </c>
      <c r="C758" s="20" t="s">
        <v>231</v>
      </c>
      <c r="D758" s="20" t="s">
        <v>1266</v>
      </c>
      <c r="E758" s="20" t="s">
        <v>225</v>
      </c>
      <c r="F758" s="6">
        <f>'Пр.4 ведом.20'!G312</f>
        <v>298.40000000000003</v>
      </c>
      <c r="G758" s="358">
        <f>'Пр.4 ведом.20'!H312</f>
        <v>159.34</v>
      </c>
      <c r="H758" s="358">
        <f t="shared" si="356"/>
        <v>53.398123324396771</v>
      </c>
    </row>
    <row r="759" spans="1:8" s="213" customFormat="1" ht="94.5" x14ac:dyDescent="0.25">
      <c r="A759" s="31" t="s">
        <v>309</v>
      </c>
      <c r="B759" s="20" t="s">
        <v>280</v>
      </c>
      <c r="C759" s="20" t="s">
        <v>231</v>
      </c>
      <c r="D759" s="20" t="s">
        <v>1267</v>
      </c>
      <c r="E759" s="20"/>
      <c r="F759" s="6">
        <f>F760</f>
        <v>180</v>
      </c>
      <c r="G759" s="358">
        <f t="shared" ref="G759:G760" si="378">G760</f>
        <v>179.77</v>
      </c>
      <c r="H759" s="358">
        <f t="shared" si="356"/>
        <v>99.872222222222234</v>
      </c>
    </row>
    <row r="760" spans="1:8" s="213" customFormat="1" ht="78.75" x14ac:dyDescent="0.25">
      <c r="A760" s="25" t="s">
        <v>143</v>
      </c>
      <c r="B760" s="20" t="s">
        <v>280</v>
      </c>
      <c r="C760" s="20" t="s">
        <v>231</v>
      </c>
      <c r="D760" s="20" t="s">
        <v>1267</v>
      </c>
      <c r="E760" s="20" t="s">
        <v>144</v>
      </c>
      <c r="F760" s="6">
        <f>F761</f>
        <v>180</v>
      </c>
      <c r="G760" s="358">
        <f t="shared" si="378"/>
        <v>179.77</v>
      </c>
      <c r="H760" s="358">
        <f t="shared" si="356"/>
        <v>99.872222222222234</v>
      </c>
    </row>
    <row r="761" spans="1:8" s="213" customFormat="1" ht="20.25" customHeight="1" x14ac:dyDescent="0.25">
      <c r="A761" s="46" t="s">
        <v>358</v>
      </c>
      <c r="B761" s="20" t="s">
        <v>280</v>
      </c>
      <c r="C761" s="20" t="s">
        <v>231</v>
      </c>
      <c r="D761" s="20" t="s">
        <v>1267</v>
      </c>
      <c r="E761" s="20" t="s">
        <v>225</v>
      </c>
      <c r="F761" s="6">
        <f>'Пр.4 ведом.20'!G315</f>
        <v>180</v>
      </c>
      <c r="G761" s="358">
        <f>'Пр.4 ведом.20'!H315</f>
        <v>179.77</v>
      </c>
      <c r="H761" s="358">
        <f t="shared" si="356"/>
        <v>99.872222222222234</v>
      </c>
    </row>
    <row r="762" spans="1:8" s="213" customFormat="1" ht="63" x14ac:dyDescent="0.25">
      <c r="A762" s="41" t="s">
        <v>730</v>
      </c>
      <c r="B762" s="24" t="s">
        <v>280</v>
      </c>
      <c r="C762" s="24" t="s">
        <v>231</v>
      </c>
      <c r="D762" s="24" t="s">
        <v>728</v>
      </c>
      <c r="E762" s="24"/>
      <c r="F762" s="4">
        <f>F763</f>
        <v>628.09999999999991</v>
      </c>
      <c r="G762" s="4">
        <f t="shared" ref="G762" si="379">G763</f>
        <v>453.90300000000002</v>
      </c>
      <c r="H762" s="4">
        <f t="shared" si="356"/>
        <v>72.266040439420493</v>
      </c>
    </row>
    <row r="763" spans="1:8" s="213" customFormat="1" ht="47.25" x14ac:dyDescent="0.25">
      <c r="A763" s="41" t="s">
        <v>949</v>
      </c>
      <c r="B763" s="24" t="s">
        <v>280</v>
      </c>
      <c r="C763" s="24" t="s">
        <v>231</v>
      </c>
      <c r="D763" s="24" t="s">
        <v>947</v>
      </c>
      <c r="E763" s="24"/>
      <c r="F763" s="4">
        <f>F764+F767</f>
        <v>628.09999999999991</v>
      </c>
      <c r="G763" s="4">
        <f t="shared" ref="G763" si="380">G764+G767</f>
        <v>453.90300000000002</v>
      </c>
      <c r="H763" s="4">
        <f t="shared" si="356"/>
        <v>72.266040439420493</v>
      </c>
    </row>
    <row r="764" spans="1:8" s="213" customFormat="1" ht="35.450000000000003" customHeight="1" x14ac:dyDescent="0.25">
      <c r="A764" s="99" t="s">
        <v>1157</v>
      </c>
      <c r="B764" s="20" t="s">
        <v>280</v>
      </c>
      <c r="C764" s="20" t="s">
        <v>231</v>
      </c>
      <c r="D764" s="20" t="s">
        <v>948</v>
      </c>
      <c r="E764" s="32"/>
      <c r="F764" s="6">
        <f>F765</f>
        <v>327.39999999999998</v>
      </c>
      <c r="G764" s="358">
        <f t="shared" ref="G764:G765" si="381">G765</f>
        <v>237.61</v>
      </c>
      <c r="H764" s="358">
        <f t="shared" si="356"/>
        <v>72.574832009773985</v>
      </c>
    </row>
    <row r="765" spans="1:8" s="213" customFormat="1" ht="31.5" x14ac:dyDescent="0.25">
      <c r="A765" s="25" t="s">
        <v>147</v>
      </c>
      <c r="B765" s="20" t="s">
        <v>280</v>
      </c>
      <c r="C765" s="20" t="s">
        <v>231</v>
      </c>
      <c r="D765" s="20" t="s">
        <v>948</v>
      </c>
      <c r="E765" s="32" t="s">
        <v>148</v>
      </c>
      <c r="F765" s="6">
        <f>F766</f>
        <v>327.39999999999998</v>
      </c>
      <c r="G765" s="358">
        <f t="shared" si="381"/>
        <v>237.61</v>
      </c>
      <c r="H765" s="358">
        <f t="shared" si="356"/>
        <v>72.574832009773985</v>
      </c>
    </row>
    <row r="766" spans="1:8" s="213" customFormat="1" ht="36.75" customHeight="1" x14ac:dyDescent="0.25">
      <c r="A766" s="25" t="s">
        <v>149</v>
      </c>
      <c r="B766" s="20" t="s">
        <v>280</v>
      </c>
      <c r="C766" s="20" t="s">
        <v>231</v>
      </c>
      <c r="D766" s="20" t="s">
        <v>948</v>
      </c>
      <c r="E766" s="32" t="s">
        <v>150</v>
      </c>
      <c r="F766" s="6">
        <f>'Пр.4 ведом.20'!G320</f>
        <v>327.39999999999998</v>
      </c>
      <c r="G766" s="358">
        <f>'Пр.4 ведом.20'!H320</f>
        <v>237.61</v>
      </c>
      <c r="H766" s="358">
        <f t="shared" si="356"/>
        <v>72.574832009773985</v>
      </c>
    </row>
    <row r="767" spans="1:8" s="213" customFormat="1" ht="47.25" x14ac:dyDescent="0.25">
      <c r="A767" s="99" t="s">
        <v>803</v>
      </c>
      <c r="B767" s="20" t="s">
        <v>280</v>
      </c>
      <c r="C767" s="20" t="s">
        <v>231</v>
      </c>
      <c r="D767" s="20" t="s">
        <v>1027</v>
      </c>
      <c r="E767" s="32"/>
      <c r="F767" s="6">
        <f>F768</f>
        <v>300.7</v>
      </c>
      <c r="G767" s="358">
        <f t="shared" ref="G767:G768" si="382">G768</f>
        <v>216.29300000000001</v>
      </c>
      <c r="H767" s="358">
        <f t="shared" si="356"/>
        <v>71.929830395743267</v>
      </c>
    </row>
    <row r="768" spans="1:8" s="213" customFormat="1" ht="31.5" x14ac:dyDescent="0.25">
      <c r="A768" s="29" t="s">
        <v>288</v>
      </c>
      <c r="B768" s="20" t="s">
        <v>280</v>
      </c>
      <c r="C768" s="20" t="s">
        <v>231</v>
      </c>
      <c r="D768" s="20" t="s">
        <v>1027</v>
      </c>
      <c r="E768" s="32" t="s">
        <v>289</v>
      </c>
      <c r="F768" s="6">
        <f>F769</f>
        <v>300.7</v>
      </c>
      <c r="G768" s="358">
        <f t="shared" si="382"/>
        <v>216.29300000000001</v>
      </c>
      <c r="H768" s="358">
        <f t="shared" si="356"/>
        <v>71.929830395743267</v>
      </c>
    </row>
    <row r="769" spans="1:8" s="213" customFormat="1" ht="15.75" x14ac:dyDescent="0.25">
      <c r="A769" s="192" t="s">
        <v>290</v>
      </c>
      <c r="B769" s="20" t="s">
        <v>280</v>
      </c>
      <c r="C769" s="20" t="s">
        <v>231</v>
      </c>
      <c r="D769" s="20" t="s">
        <v>1027</v>
      </c>
      <c r="E769" s="32" t="s">
        <v>291</v>
      </c>
      <c r="F769" s="6">
        <f>'Пр.4 ведом.20'!G780</f>
        <v>300.7</v>
      </c>
      <c r="G769" s="358">
        <f>'Пр.4 ведом.20'!H780</f>
        <v>216.29300000000001</v>
      </c>
      <c r="H769" s="358">
        <f t="shared" si="356"/>
        <v>71.929830395743267</v>
      </c>
    </row>
    <row r="770" spans="1:8" s="213" customFormat="1" ht="15.75" x14ac:dyDescent="0.25">
      <c r="A770" s="23" t="s">
        <v>482</v>
      </c>
      <c r="B770" s="24" t="s">
        <v>280</v>
      </c>
      <c r="C770" s="24" t="s">
        <v>280</v>
      </c>
      <c r="D770" s="24"/>
      <c r="E770" s="231"/>
      <c r="F770" s="4">
        <f>F771+F790</f>
        <v>7138</v>
      </c>
      <c r="G770" s="4">
        <f t="shared" ref="G770" si="383">G771+G790</f>
        <v>3909.627</v>
      </c>
      <c r="H770" s="4">
        <f t="shared" si="356"/>
        <v>54.772022975623422</v>
      </c>
    </row>
    <row r="771" spans="1:8" s="213" customFormat="1" ht="47.25" x14ac:dyDescent="0.25">
      <c r="A771" s="23" t="s">
        <v>359</v>
      </c>
      <c r="B771" s="24" t="s">
        <v>280</v>
      </c>
      <c r="C771" s="24" t="s">
        <v>280</v>
      </c>
      <c r="D771" s="24" t="s">
        <v>360</v>
      </c>
      <c r="E771" s="24"/>
      <c r="F771" s="4">
        <f>F772</f>
        <v>475.2</v>
      </c>
      <c r="G771" s="4">
        <f t="shared" ref="G771" si="384">G772</f>
        <v>311.37</v>
      </c>
      <c r="H771" s="4">
        <f t="shared" si="356"/>
        <v>65.523989898989896</v>
      </c>
    </row>
    <row r="772" spans="1:8" s="213" customFormat="1" ht="31.5" x14ac:dyDescent="0.25">
      <c r="A772" s="23" t="s">
        <v>361</v>
      </c>
      <c r="B772" s="24" t="s">
        <v>280</v>
      </c>
      <c r="C772" s="24" t="s">
        <v>280</v>
      </c>
      <c r="D772" s="24" t="s">
        <v>362</v>
      </c>
      <c r="E772" s="24"/>
      <c r="F772" s="4">
        <f>F773+F780+F786</f>
        <v>475.2</v>
      </c>
      <c r="G772" s="4">
        <f t="shared" ref="G772" si="385">G773+G780+G786</f>
        <v>311.37</v>
      </c>
      <c r="H772" s="4">
        <f t="shared" si="356"/>
        <v>65.523989898989896</v>
      </c>
    </row>
    <row r="773" spans="1:8" s="213" customFormat="1" ht="47.25" hidden="1" x14ac:dyDescent="0.25">
      <c r="A773" s="219" t="s">
        <v>1196</v>
      </c>
      <c r="B773" s="24" t="s">
        <v>280</v>
      </c>
      <c r="C773" s="24" t="s">
        <v>280</v>
      </c>
      <c r="D773" s="24" t="s">
        <v>952</v>
      </c>
      <c r="E773" s="24"/>
      <c r="F773" s="4">
        <f>F774+F777</f>
        <v>0</v>
      </c>
      <c r="G773" s="4">
        <f t="shared" ref="G773" si="386">G774+G777</f>
        <v>0</v>
      </c>
      <c r="H773" s="358" t="e">
        <f t="shared" si="356"/>
        <v>#DIV/0!</v>
      </c>
    </row>
    <row r="774" spans="1:8" s="213" customFormat="1" ht="31.5" hidden="1" x14ac:dyDescent="0.25">
      <c r="A774" s="99" t="s">
        <v>1202</v>
      </c>
      <c r="B774" s="20" t="s">
        <v>280</v>
      </c>
      <c r="C774" s="20" t="s">
        <v>280</v>
      </c>
      <c r="D774" s="20" t="s">
        <v>953</v>
      </c>
      <c r="E774" s="20"/>
      <c r="F774" s="6">
        <f>F775</f>
        <v>0</v>
      </c>
      <c r="G774" s="358">
        <f t="shared" ref="G774:G775" si="387">G775</f>
        <v>0</v>
      </c>
      <c r="H774" s="358" t="e">
        <f t="shared" si="356"/>
        <v>#DIV/0!</v>
      </c>
    </row>
    <row r="775" spans="1:8" s="213" customFormat="1" ht="78.75" hidden="1" x14ac:dyDescent="0.25">
      <c r="A775" s="25" t="s">
        <v>143</v>
      </c>
      <c r="B775" s="20" t="s">
        <v>280</v>
      </c>
      <c r="C775" s="20" t="s">
        <v>280</v>
      </c>
      <c r="D775" s="20" t="s">
        <v>953</v>
      </c>
      <c r="E775" s="20" t="s">
        <v>144</v>
      </c>
      <c r="F775" s="6">
        <f>F776</f>
        <v>0</v>
      </c>
      <c r="G775" s="358">
        <f t="shared" si="387"/>
        <v>0</v>
      </c>
      <c r="H775" s="358" t="e">
        <f t="shared" si="356"/>
        <v>#DIV/0!</v>
      </c>
    </row>
    <row r="776" spans="1:8" s="213" customFormat="1" ht="17.45" hidden="1" customHeight="1" x14ac:dyDescent="0.25">
      <c r="A776" s="25" t="s">
        <v>358</v>
      </c>
      <c r="B776" s="20" t="s">
        <v>280</v>
      </c>
      <c r="C776" s="20" t="s">
        <v>280</v>
      </c>
      <c r="D776" s="20" t="s">
        <v>953</v>
      </c>
      <c r="E776" s="20" t="s">
        <v>225</v>
      </c>
      <c r="F776" s="6">
        <f>'Пр.4 ведом.20'!G327</f>
        <v>0</v>
      </c>
      <c r="G776" s="358">
        <f>'Пр.4 ведом.20'!H327</f>
        <v>0</v>
      </c>
      <c r="H776" s="358" t="e">
        <f t="shared" si="356"/>
        <v>#DIV/0!</v>
      </c>
    </row>
    <row r="777" spans="1:8" s="213" customFormat="1" ht="19.5" hidden="1" customHeight="1" x14ac:dyDescent="0.25">
      <c r="A777" s="25" t="s">
        <v>1197</v>
      </c>
      <c r="B777" s="20" t="s">
        <v>280</v>
      </c>
      <c r="C777" s="20" t="s">
        <v>280</v>
      </c>
      <c r="D777" s="20" t="s">
        <v>1221</v>
      </c>
      <c r="E777" s="20"/>
      <c r="F777" s="6">
        <f>F778</f>
        <v>0</v>
      </c>
      <c r="G777" s="358">
        <f t="shared" ref="G777:G778" si="388">G778</f>
        <v>0</v>
      </c>
      <c r="H777" s="358" t="e">
        <f t="shared" si="356"/>
        <v>#DIV/0!</v>
      </c>
    </row>
    <row r="778" spans="1:8" s="213" customFormat="1" ht="31.5" hidden="1" x14ac:dyDescent="0.25">
      <c r="A778" s="25" t="s">
        <v>147</v>
      </c>
      <c r="B778" s="20" t="s">
        <v>280</v>
      </c>
      <c r="C778" s="20" t="s">
        <v>280</v>
      </c>
      <c r="D778" s="20" t="s">
        <v>1221</v>
      </c>
      <c r="E778" s="20" t="s">
        <v>148</v>
      </c>
      <c r="F778" s="6">
        <f>F779</f>
        <v>0</v>
      </c>
      <c r="G778" s="358">
        <f t="shared" si="388"/>
        <v>0</v>
      </c>
      <c r="H778" s="358" t="e">
        <f t="shared" si="356"/>
        <v>#DIV/0!</v>
      </c>
    </row>
    <row r="779" spans="1:8" s="213" customFormat="1" ht="47.25" hidden="1" x14ac:dyDescent="0.25">
      <c r="A779" s="25" t="s">
        <v>149</v>
      </c>
      <c r="B779" s="20" t="s">
        <v>280</v>
      </c>
      <c r="C779" s="20" t="s">
        <v>280</v>
      </c>
      <c r="D779" s="20" t="s">
        <v>1221</v>
      </c>
      <c r="E779" s="20" t="s">
        <v>150</v>
      </c>
      <c r="F779" s="6">
        <f>'Пр.4 ведом.20'!G330</f>
        <v>0</v>
      </c>
      <c r="G779" s="358">
        <f>'Пр.4 ведом.20'!H330</f>
        <v>0</v>
      </c>
      <c r="H779" s="358" t="e">
        <f t="shared" ref="H779:H842" si="389">G779/F779*100</f>
        <v>#DIV/0!</v>
      </c>
    </row>
    <row r="780" spans="1:8" s="213" customFormat="1" ht="63" x14ac:dyDescent="0.25">
      <c r="A780" s="23" t="s">
        <v>1198</v>
      </c>
      <c r="B780" s="24" t="s">
        <v>280</v>
      </c>
      <c r="C780" s="24" t="s">
        <v>280</v>
      </c>
      <c r="D780" s="24" t="s">
        <v>954</v>
      </c>
      <c r="E780" s="24"/>
      <c r="F780" s="4">
        <f>F781</f>
        <v>450.2</v>
      </c>
      <c r="G780" s="4">
        <f t="shared" ref="G780" si="390">G781</f>
        <v>286.37</v>
      </c>
      <c r="H780" s="4">
        <f t="shared" si="389"/>
        <v>63.609506885828523</v>
      </c>
    </row>
    <row r="781" spans="1:8" s="213" customFormat="1" ht="15.75" x14ac:dyDescent="0.25">
      <c r="A781" s="25" t="s">
        <v>1199</v>
      </c>
      <c r="B781" s="20" t="s">
        <v>280</v>
      </c>
      <c r="C781" s="20" t="s">
        <v>280</v>
      </c>
      <c r="D781" s="20" t="s">
        <v>972</v>
      </c>
      <c r="E781" s="20"/>
      <c r="F781" s="6">
        <f>F782+F784</f>
        <v>450.2</v>
      </c>
      <c r="G781" s="358">
        <f t="shared" ref="G781" si="391">G782+G784</f>
        <v>286.37</v>
      </c>
      <c r="H781" s="358">
        <f t="shared" si="389"/>
        <v>63.609506885828523</v>
      </c>
    </row>
    <row r="782" spans="1:8" s="213" customFormat="1" ht="78.75" x14ac:dyDescent="0.25">
      <c r="A782" s="25" t="s">
        <v>143</v>
      </c>
      <c r="B782" s="20" t="s">
        <v>280</v>
      </c>
      <c r="C782" s="20" t="s">
        <v>280</v>
      </c>
      <c r="D782" s="20" t="s">
        <v>972</v>
      </c>
      <c r="E782" s="20" t="s">
        <v>144</v>
      </c>
      <c r="F782" s="6">
        <f>F783</f>
        <v>40</v>
      </c>
      <c r="G782" s="358">
        <f t="shared" ref="G782" si="392">G783</f>
        <v>286.37</v>
      </c>
      <c r="H782" s="358">
        <f t="shared" si="389"/>
        <v>715.92499999999995</v>
      </c>
    </row>
    <row r="783" spans="1:8" s="213" customFormat="1" ht="18.75" customHeight="1" x14ac:dyDescent="0.25">
      <c r="A783" s="25" t="s">
        <v>358</v>
      </c>
      <c r="B783" s="20" t="s">
        <v>280</v>
      </c>
      <c r="C783" s="20" t="s">
        <v>280</v>
      </c>
      <c r="D783" s="20" t="s">
        <v>972</v>
      </c>
      <c r="E783" s="20" t="s">
        <v>225</v>
      </c>
      <c r="F783" s="6">
        <f>'Пр.4 ведом.20'!G334</f>
        <v>40</v>
      </c>
      <c r="G783" s="358">
        <f>'Пр.4 ведом.20'!H334</f>
        <v>286.37</v>
      </c>
      <c r="H783" s="358">
        <f t="shared" si="389"/>
        <v>715.92499999999995</v>
      </c>
    </row>
    <row r="784" spans="1:8" s="213" customFormat="1" ht="31.5" x14ac:dyDescent="0.25">
      <c r="A784" s="25" t="s">
        <v>147</v>
      </c>
      <c r="B784" s="20" t="s">
        <v>280</v>
      </c>
      <c r="C784" s="20" t="s">
        <v>280</v>
      </c>
      <c r="D784" s="20" t="s">
        <v>972</v>
      </c>
      <c r="E784" s="20" t="s">
        <v>148</v>
      </c>
      <c r="F784" s="6">
        <f>F785</f>
        <v>410.2</v>
      </c>
      <c r="G784" s="358">
        <f t="shared" ref="G784" si="393">G785</f>
        <v>0</v>
      </c>
      <c r="H784" s="358">
        <f t="shared" si="389"/>
        <v>0</v>
      </c>
    </row>
    <row r="785" spans="1:8" s="213" customFormat="1" ht="47.25" x14ac:dyDescent="0.25">
      <c r="A785" s="25" t="s">
        <v>149</v>
      </c>
      <c r="B785" s="20" t="s">
        <v>280</v>
      </c>
      <c r="C785" s="20" t="s">
        <v>280</v>
      </c>
      <c r="D785" s="20" t="s">
        <v>972</v>
      </c>
      <c r="E785" s="20" t="s">
        <v>150</v>
      </c>
      <c r="F785" s="6">
        <f>'Пр.4 ведом.20'!G336</f>
        <v>410.2</v>
      </c>
      <c r="G785" s="358">
        <f>'Пр.4 ведом.20'!H336</f>
        <v>0</v>
      </c>
      <c r="H785" s="358">
        <f t="shared" si="389"/>
        <v>0</v>
      </c>
    </row>
    <row r="786" spans="1:8" s="213" customFormat="1" ht="31.5" x14ac:dyDescent="0.25">
      <c r="A786" s="23" t="s">
        <v>1204</v>
      </c>
      <c r="B786" s="24" t="s">
        <v>280</v>
      </c>
      <c r="C786" s="24" t="s">
        <v>280</v>
      </c>
      <c r="D786" s="24" t="s">
        <v>1200</v>
      </c>
      <c r="E786" s="24"/>
      <c r="F786" s="4">
        <f>F787</f>
        <v>25</v>
      </c>
      <c r="G786" s="4">
        <f t="shared" ref="G786:G788" si="394">G787</f>
        <v>25</v>
      </c>
      <c r="H786" s="4">
        <f t="shared" si="389"/>
        <v>100</v>
      </c>
    </row>
    <row r="787" spans="1:8" s="213" customFormat="1" ht="47.25" x14ac:dyDescent="0.25">
      <c r="A787" s="245" t="s">
        <v>1201</v>
      </c>
      <c r="B787" s="20" t="s">
        <v>280</v>
      </c>
      <c r="C787" s="20" t="s">
        <v>280</v>
      </c>
      <c r="D787" s="20" t="s">
        <v>1222</v>
      </c>
      <c r="E787" s="20"/>
      <c r="F787" s="6">
        <f>F788</f>
        <v>25</v>
      </c>
      <c r="G787" s="358">
        <f t="shared" si="394"/>
        <v>25</v>
      </c>
      <c r="H787" s="358">
        <f t="shared" si="389"/>
        <v>100</v>
      </c>
    </row>
    <row r="788" spans="1:8" s="213" customFormat="1" ht="21.2" customHeight="1" x14ac:dyDescent="0.25">
      <c r="A788" s="25" t="s">
        <v>264</v>
      </c>
      <c r="B788" s="20" t="s">
        <v>280</v>
      </c>
      <c r="C788" s="20" t="s">
        <v>280</v>
      </c>
      <c r="D788" s="20" t="s">
        <v>1222</v>
      </c>
      <c r="E788" s="20" t="s">
        <v>265</v>
      </c>
      <c r="F788" s="6">
        <f>F789</f>
        <v>25</v>
      </c>
      <c r="G788" s="358">
        <f t="shared" si="394"/>
        <v>25</v>
      </c>
      <c r="H788" s="358">
        <f t="shared" si="389"/>
        <v>100</v>
      </c>
    </row>
    <row r="789" spans="1:8" s="213" customFormat="1" ht="31.5" x14ac:dyDescent="0.25">
      <c r="A789" s="25" t="s">
        <v>364</v>
      </c>
      <c r="B789" s="20" t="s">
        <v>280</v>
      </c>
      <c r="C789" s="20" t="s">
        <v>280</v>
      </c>
      <c r="D789" s="20" t="s">
        <v>1222</v>
      </c>
      <c r="E789" s="20" t="s">
        <v>365</v>
      </c>
      <c r="F789" s="6">
        <f>'Пр.4 ведом.20'!G340</f>
        <v>25</v>
      </c>
      <c r="G789" s="358">
        <f>'Пр.4 ведом.20'!H340</f>
        <v>25</v>
      </c>
      <c r="H789" s="358">
        <f t="shared" si="389"/>
        <v>100</v>
      </c>
    </row>
    <row r="790" spans="1:8" ht="47.25" x14ac:dyDescent="0.25">
      <c r="A790" s="23" t="s">
        <v>442</v>
      </c>
      <c r="B790" s="24" t="s">
        <v>280</v>
      </c>
      <c r="C790" s="24" t="s">
        <v>280</v>
      </c>
      <c r="D790" s="24" t="s">
        <v>422</v>
      </c>
      <c r="E790" s="24"/>
      <c r="F790" s="4">
        <f>F791</f>
        <v>6662.8</v>
      </c>
      <c r="G790" s="4">
        <f t="shared" ref="G790:G791" si="395">G791</f>
        <v>3598.2570000000001</v>
      </c>
      <c r="H790" s="4">
        <f t="shared" si="389"/>
        <v>54.00517800324188</v>
      </c>
    </row>
    <row r="791" spans="1:8" ht="31.5" x14ac:dyDescent="0.25">
      <c r="A791" s="23" t="s">
        <v>483</v>
      </c>
      <c r="B791" s="24" t="s">
        <v>280</v>
      </c>
      <c r="C791" s="24" t="s">
        <v>484</v>
      </c>
      <c r="D791" s="24" t="s">
        <v>485</v>
      </c>
      <c r="E791" s="24"/>
      <c r="F791" s="4">
        <f>F792</f>
        <v>6662.8</v>
      </c>
      <c r="G791" s="4">
        <f t="shared" si="395"/>
        <v>3598.2570000000001</v>
      </c>
      <c r="H791" s="4">
        <f t="shared" si="389"/>
        <v>54.00517800324188</v>
      </c>
    </row>
    <row r="792" spans="1:8" ht="31.5" x14ac:dyDescent="0.25">
      <c r="A792" s="23" t="s">
        <v>1056</v>
      </c>
      <c r="B792" s="24" t="s">
        <v>280</v>
      </c>
      <c r="C792" s="24" t="s">
        <v>280</v>
      </c>
      <c r="D792" s="24" t="s">
        <v>1057</v>
      </c>
      <c r="E792" s="24"/>
      <c r="F792" s="4">
        <f>F793+F796</f>
        <v>6662.8</v>
      </c>
      <c r="G792" s="4">
        <f t="shared" ref="G792" si="396">G793+G796</f>
        <v>3598.2570000000001</v>
      </c>
      <c r="H792" s="4">
        <f t="shared" si="389"/>
        <v>54.00517800324188</v>
      </c>
    </row>
    <row r="793" spans="1:8" ht="42" customHeight="1" x14ac:dyDescent="0.25">
      <c r="A793" s="31" t="s">
        <v>1235</v>
      </c>
      <c r="B793" s="20" t="s">
        <v>280</v>
      </c>
      <c r="C793" s="20" t="s">
        <v>280</v>
      </c>
      <c r="D793" s="20" t="s">
        <v>1058</v>
      </c>
      <c r="E793" s="20"/>
      <c r="F793" s="6">
        <f>F794</f>
        <v>3584</v>
      </c>
      <c r="G793" s="358">
        <f t="shared" ref="G793:G794" si="397">G794</f>
        <v>1693</v>
      </c>
      <c r="H793" s="358">
        <f t="shared" si="389"/>
        <v>47.237723214285715</v>
      </c>
    </row>
    <row r="794" spans="1:8" ht="35.450000000000003" customHeight="1" x14ac:dyDescent="0.25">
      <c r="A794" s="25" t="s">
        <v>288</v>
      </c>
      <c r="B794" s="20" t="s">
        <v>280</v>
      </c>
      <c r="C794" s="20" t="s">
        <v>280</v>
      </c>
      <c r="D794" s="20" t="s">
        <v>1058</v>
      </c>
      <c r="E794" s="20" t="s">
        <v>289</v>
      </c>
      <c r="F794" s="6">
        <f>F795</f>
        <v>3584</v>
      </c>
      <c r="G794" s="358">
        <f t="shared" si="397"/>
        <v>1693</v>
      </c>
      <c r="H794" s="358">
        <f t="shared" si="389"/>
        <v>47.237723214285715</v>
      </c>
    </row>
    <row r="795" spans="1:8" ht="15.75" x14ac:dyDescent="0.25">
      <c r="A795" s="25" t="s">
        <v>290</v>
      </c>
      <c r="B795" s="20" t="s">
        <v>280</v>
      </c>
      <c r="C795" s="20" t="s">
        <v>280</v>
      </c>
      <c r="D795" s="20" t="s">
        <v>1058</v>
      </c>
      <c r="E795" s="20" t="s">
        <v>291</v>
      </c>
      <c r="F795" s="6">
        <f>'Пр.4 ведом.20'!G787</f>
        <v>3584</v>
      </c>
      <c r="G795" s="358">
        <f>'Пр.4 ведом.20'!H787</f>
        <v>1693</v>
      </c>
      <c r="H795" s="358">
        <f t="shared" si="389"/>
        <v>47.237723214285715</v>
      </c>
    </row>
    <row r="796" spans="1:8" ht="31.5" x14ac:dyDescent="0.25">
      <c r="A796" s="31" t="s">
        <v>490</v>
      </c>
      <c r="B796" s="20" t="s">
        <v>280</v>
      </c>
      <c r="C796" s="20" t="s">
        <v>280</v>
      </c>
      <c r="D796" s="20" t="s">
        <v>1059</v>
      </c>
      <c r="E796" s="20"/>
      <c r="F796" s="6">
        <f>F797</f>
        <v>3078.8</v>
      </c>
      <c r="G796" s="358">
        <f t="shared" ref="G796:G797" si="398">G797</f>
        <v>1905.2570000000001</v>
      </c>
      <c r="H796" s="358">
        <f t="shared" si="389"/>
        <v>61.883103806677923</v>
      </c>
    </row>
    <row r="797" spans="1:8" ht="31.5" x14ac:dyDescent="0.25">
      <c r="A797" s="25" t="s">
        <v>288</v>
      </c>
      <c r="B797" s="20" t="s">
        <v>280</v>
      </c>
      <c r="C797" s="20" t="s">
        <v>280</v>
      </c>
      <c r="D797" s="20" t="s">
        <v>1059</v>
      </c>
      <c r="E797" s="20" t="s">
        <v>289</v>
      </c>
      <c r="F797" s="6">
        <f>F798</f>
        <v>3078.8</v>
      </c>
      <c r="G797" s="358">
        <f t="shared" si="398"/>
        <v>1905.2570000000001</v>
      </c>
      <c r="H797" s="358">
        <f t="shared" si="389"/>
        <v>61.883103806677923</v>
      </c>
    </row>
    <row r="798" spans="1:8" ht="15.75" x14ac:dyDescent="0.25">
      <c r="A798" s="25" t="s">
        <v>290</v>
      </c>
      <c r="B798" s="20" t="s">
        <v>280</v>
      </c>
      <c r="C798" s="20" t="s">
        <v>280</v>
      </c>
      <c r="D798" s="20" t="s">
        <v>1059</v>
      </c>
      <c r="E798" s="20" t="s">
        <v>291</v>
      </c>
      <c r="F798" s="6">
        <f>'Пр.4 ведом.20'!G790</f>
        <v>3078.8</v>
      </c>
      <c r="G798" s="358">
        <f>'Пр.4 ведом.20'!H790</f>
        <v>1905.2570000000001</v>
      </c>
      <c r="H798" s="358">
        <f t="shared" si="389"/>
        <v>61.883103806677923</v>
      </c>
    </row>
    <row r="799" spans="1:8" ht="15" customHeight="1" x14ac:dyDescent="0.25">
      <c r="A799" s="23" t="s">
        <v>311</v>
      </c>
      <c r="B799" s="24" t="s">
        <v>280</v>
      </c>
      <c r="C799" s="24" t="s">
        <v>235</v>
      </c>
      <c r="D799" s="24"/>
      <c r="E799" s="24"/>
      <c r="F799" s="4">
        <f>F800+F810</f>
        <v>20647.399999999998</v>
      </c>
      <c r="G799" s="4">
        <f t="shared" ref="G799" si="399">G800+G810</f>
        <v>13942.790999999997</v>
      </c>
      <c r="H799" s="4">
        <f t="shared" si="389"/>
        <v>67.528071331015042</v>
      </c>
    </row>
    <row r="800" spans="1:8" ht="31.5" x14ac:dyDescent="0.25">
      <c r="A800" s="23" t="s">
        <v>990</v>
      </c>
      <c r="B800" s="24" t="s">
        <v>280</v>
      </c>
      <c r="C800" s="24" t="s">
        <v>235</v>
      </c>
      <c r="D800" s="24" t="s">
        <v>904</v>
      </c>
      <c r="E800" s="24"/>
      <c r="F800" s="4">
        <f>F801</f>
        <v>5934.2</v>
      </c>
      <c r="G800" s="4">
        <f t="shared" ref="G800" si="400">G801</f>
        <v>4310.1559999999999</v>
      </c>
      <c r="H800" s="4">
        <f t="shared" si="389"/>
        <v>72.632469414579887</v>
      </c>
    </row>
    <row r="801" spans="1:8" ht="15.75" x14ac:dyDescent="0.25">
      <c r="A801" s="23" t="s">
        <v>991</v>
      </c>
      <c r="B801" s="24" t="s">
        <v>280</v>
      </c>
      <c r="C801" s="24" t="s">
        <v>235</v>
      </c>
      <c r="D801" s="24" t="s">
        <v>905</v>
      </c>
      <c r="E801" s="24"/>
      <c r="F801" s="4">
        <f>F802+F807</f>
        <v>5934.2</v>
      </c>
      <c r="G801" s="4">
        <f t="shared" ref="G801" si="401">G802+G807</f>
        <v>4310.1559999999999</v>
      </c>
      <c r="H801" s="4">
        <f t="shared" si="389"/>
        <v>72.632469414579887</v>
      </c>
    </row>
    <row r="802" spans="1:8" ht="31.5" x14ac:dyDescent="0.25">
      <c r="A802" s="25" t="s">
        <v>967</v>
      </c>
      <c r="B802" s="20" t="s">
        <v>280</v>
      </c>
      <c r="C802" s="20" t="s">
        <v>235</v>
      </c>
      <c r="D802" s="20" t="s">
        <v>906</v>
      </c>
      <c r="E802" s="20"/>
      <c r="F802" s="6">
        <f>F803+F805</f>
        <v>5808.2</v>
      </c>
      <c r="G802" s="358">
        <f t="shared" ref="G802" si="402">G803+G805</f>
        <v>4268.1559999999999</v>
      </c>
      <c r="H802" s="358">
        <f t="shared" si="389"/>
        <v>73.485003959918743</v>
      </c>
    </row>
    <row r="803" spans="1:8" ht="78.75" x14ac:dyDescent="0.25">
      <c r="A803" s="25" t="s">
        <v>143</v>
      </c>
      <c r="B803" s="20" t="s">
        <v>280</v>
      </c>
      <c r="C803" s="20" t="s">
        <v>235</v>
      </c>
      <c r="D803" s="20" t="s">
        <v>906</v>
      </c>
      <c r="E803" s="20" t="s">
        <v>144</v>
      </c>
      <c r="F803" s="6">
        <f>F804</f>
        <v>5577.2</v>
      </c>
      <c r="G803" s="358">
        <f t="shared" ref="G803" si="403">G804</f>
        <v>4130</v>
      </c>
      <c r="H803" s="358">
        <f t="shared" si="389"/>
        <v>74.051495374022807</v>
      </c>
    </row>
    <row r="804" spans="1:8" ht="36.75" customHeight="1" x14ac:dyDescent="0.25">
      <c r="A804" s="25" t="s">
        <v>145</v>
      </c>
      <c r="B804" s="20" t="s">
        <v>280</v>
      </c>
      <c r="C804" s="20" t="s">
        <v>235</v>
      </c>
      <c r="D804" s="20" t="s">
        <v>906</v>
      </c>
      <c r="E804" s="20" t="s">
        <v>146</v>
      </c>
      <c r="F804" s="6">
        <f>'Пр.4 ведом.20'!G796</f>
        <v>5577.2</v>
      </c>
      <c r="G804" s="358">
        <f>'Пр.4 ведом.20'!H796</f>
        <v>4130</v>
      </c>
      <c r="H804" s="358">
        <f t="shared" si="389"/>
        <v>74.051495374022807</v>
      </c>
    </row>
    <row r="805" spans="1:8" ht="31.5" x14ac:dyDescent="0.25">
      <c r="A805" s="25" t="s">
        <v>147</v>
      </c>
      <c r="B805" s="20" t="s">
        <v>280</v>
      </c>
      <c r="C805" s="20" t="s">
        <v>235</v>
      </c>
      <c r="D805" s="20" t="s">
        <v>906</v>
      </c>
      <c r="E805" s="20" t="s">
        <v>148</v>
      </c>
      <c r="F805" s="6">
        <f>F806</f>
        <v>231</v>
      </c>
      <c r="G805" s="358">
        <f t="shared" ref="G805" si="404">G806</f>
        <v>138.15600000000001</v>
      </c>
      <c r="H805" s="358">
        <f t="shared" si="389"/>
        <v>59.807792207792211</v>
      </c>
    </row>
    <row r="806" spans="1:8" ht="47.25" x14ac:dyDescent="0.25">
      <c r="A806" s="25" t="s">
        <v>149</v>
      </c>
      <c r="B806" s="20" t="s">
        <v>280</v>
      </c>
      <c r="C806" s="20" t="s">
        <v>235</v>
      </c>
      <c r="D806" s="20" t="s">
        <v>906</v>
      </c>
      <c r="E806" s="20" t="s">
        <v>150</v>
      </c>
      <c r="F806" s="6">
        <f>'Пр.4 ведом.20'!G798</f>
        <v>231</v>
      </c>
      <c r="G806" s="358">
        <f>'Пр.4 ведом.20'!H798</f>
        <v>138.15600000000001</v>
      </c>
      <c r="H806" s="358">
        <f t="shared" si="389"/>
        <v>59.807792207792211</v>
      </c>
    </row>
    <row r="807" spans="1:8" ht="47.25" x14ac:dyDescent="0.25">
      <c r="A807" s="25" t="s">
        <v>885</v>
      </c>
      <c r="B807" s="20" t="s">
        <v>280</v>
      </c>
      <c r="C807" s="20" t="s">
        <v>235</v>
      </c>
      <c r="D807" s="20" t="s">
        <v>908</v>
      </c>
      <c r="E807" s="20"/>
      <c r="F807" s="6">
        <f>F808</f>
        <v>126</v>
      </c>
      <c r="G807" s="358">
        <f t="shared" ref="G807:G808" si="405">G808</f>
        <v>42</v>
      </c>
      <c r="H807" s="358">
        <f t="shared" si="389"/>
        <v>33.333333333333329</v>
      </c>
    </row>
    <row r="808" spans="1:8" ht="78.75" x14ac:dyDescent="0.25">
      <c r="A808" s="25" t="s">
        <v>143</v>
      </c>
      <c r="B808" s="20" t="s">
        <v>280</v>
      </c>
      <c r="C808" s="20" t="s">
        <v>235</v>
      </c>
      <c r="D808" s="20" t="s">
        <v>908</v>
      </c>
      <c r="E808" s="20" t="s">
        <v>144</v>
      </c>
      <c r="F808" s="6">
        <f>F809</f>
        <v>126</v>
      </c>
      <c r="G808" s="358">
        <f t="shared" si="405"/>
        <v>42</v>
      </c>
      <c r="H808" s="358">
        <f t="shared" si="389"/>
        <v>33.333333333333329</v>
      </c>
    </row>
    <row r="809" spans="1:8" ht="31.5" x14ac:dyDescent="0.25">
      <c r="A809" s="25" t="s">
        <v>145</v>
      </c>
      <c r="B809" s="20" t="s">
        <v>280</v>
      </c>
      <c r="C809" s="20" t="s">
        <v>235</v>
      </c>
      <c r="D809" s="20" t="s">
        <v>908</v>
      </c>
      <c r="E809" s="20" t="s">
        <v>146</v>
      </c>
      <c r="F809" s="6">
        <f>'Пр.4 ведом.20'!G801</f>
        <v>126</v>
      </c>
      <c r="G809" s="358">
        <f>'Пр.4 ведом.20'!H801</f>
        <v>42</v>
      </c>
      <c r="H809" s="358">
        <f t="shared" si="389"/>
        <v>33.333333333333329</v>
      </c>
    </row>
    <row r="810" spans="1:8" ht="15.75" x14ac:dyDescent="0.25">
      <c r="A810" s="23" t="s">
        <v>157</v>
      </c>
      <c r="B810" s="24" t="s">
        <v>280</v>
      </c>
      <c r="C810" s="24" t="s">
        <v>235</v>
      </c>
      <c r="D810" s="24" t="s">
        <v>912</v>
      </c>
      <c r="E810" s="24"/>
      <c r="F810" s="4">
        <f>F811+F815</f>
        <v>14713.199999999999</v>
      </c>
      <c r="G810" s="4">
        <f t="shared" ref="G810" si="406">G811+G815</f>
        <v>9632.6349999999984</v>
      </c>
      <c r="H810" s="4">
        <f t="shared" si="389"/>
        <v>65.469340456189002</v>
      </c>
    </row>
    <row r="811" spans="1:8" ht="31.5" x14ac:dyDescent="0.25">
      <c r="A811" s="23" t="s">
        <v>916</v>
      </c>
      <c r="B811" s="24" t="s">
        <v>280</v>
      </c>
      <c r="C811" s="24" t="s">
        <v>235</v>
      </c>
      <c r="D811" s="24" t="s">
        <v>911</v>
      </c>
      <c r="E811" s="24"/>
      <c r="F811" s="4">
        <f>F812</f>
        <v>550</v>
      </c>
      <c r="G811" s="4">
        <f t="shared" ref="G811:G813" si="407">G812</f>
        <v>328.185</v>
      </c>
      <c r="H811" s="4">
        <f t="shared" si="389"/>
        <v>59.67</v>
      </c>
    </row>
    <row r="812" spans="1:8" ht="15.75" x14ac:dyDescent="0.25">
      <c r="A812" s="25" t="s">
        <v>494</v>
      </c>
      <c r="B812" s="20" t="s">
        <v>280</v>
      </c>
      <c r="C812" s="20" t="s">
        <v>235</v>
      </c>
      <c r="D812" s="20" t="s">
        <v>1060</v>
      </c>
      <c r="E812" s="20"/>
      <c r="F812" s="6">
        <f>F813</f>
        <v>550</v>
      </c>
      <c r="G812" s="358">
        <f t="shared" si="407"/>
        <v>328.185</v>
      </c>
      <c r="H812" s="358">
        <f t="shared" si="389"/>
        <v>59.67</v>
      </c>
    </row>
    <row r="813" spans="1:8" ht="31.5" x14ac:dyDescent="0.25">
      <c r="A813" s="25" t="s">
        <v>147</v>
      </c>
      <c r="B813" s="20" t="s">
        <v>280</v>
      </c>
      <c r="C813" s="20" t="s">
        <v>235</v>
      </c>
      <c r="D813" s="20" t="s">
        <v>1060</v>
      </c>
      <c r="E813" s="20" t="s">
        <v>148</v>
      </c>
      <c r="F813" s="6">
        <f>F814</f>
        <v>550</v>
      </c>
      <c r="G813" s="358">
        <f t="shared" si="407"/>
        <v>328.185</v>
      </c>
      <c r="H813" s="358">
        <f t="shared" si="389"/>
        <v>59.67</v>
      </c>
    </row>
    <row r="814" spans="1:8" ht="39.75" customHeight="1" x14ac:dyDescent="0.25">
      <c r="A814" s="25" t="s">
        <v>149</v>
      </c>
      <c r="B814" s="20" t="s">
        <v>280</v>
      </c>
      <c r="C814" s="20" t="s">
        <v>235</v>
      </c>
      <c r="D814" s="20" t="s">
        <v>1060</v>
      </c>
      <c r="E814" s="20" t="s">
        <v>150</v>
      </c>
      <c r="F814" s="6">
        <f>'Пр.4 ведом.20'!G806</f>
        <v>550</v>
      </c>
      <c r="G814" s="358">
        <f>'Пр.4 ведом.20'!H806</f>
        <v>328.185</v>
      </c>
      <c r="H814" s="358">
        <f t="shared" si="389"/>
        <v>59.67</v>
      </c>
    </row>
    <row r="815" spans="1:8" ht="36.75" customHeight="1" x14ac:dyDescent="0.25">
      <c r="A815" s="23" t="s">
        <v>1002</v>
      </c>
      <c r="B815" s="24" t="s">
        <v>280</v>
      </c>
      <c r="C815" s="24" t="s">
        <v>235</v>
      </c>
      <c r="D815" s="24" t="s">
        <v>987</v>
      </c>
      <c r="E815" s="24"/>
      <c r="F815" s="4">
        <f>F816+F823</f>
        <v>14163.199999999999</v>
      </c>
      <c r="G815" s="4">
        <f t="shared" ref="G815" si="408">G816+G823</f>
        <v>9304.4499999999989</v>
      </c>
      <c r="H815" s="4">
        <f t="shared" si="389"/>
        <v>65.69454643018527</v>
      </c>
    </row>
    <row r="816" spans="1:8" ht="31.5" x14ac:dyDescent="0.25">
      <c r="A816" s="25" t="s">
        <v>974</v>
      </c>
      <c r="B816" s="20" t="s">
        <v>280</v>
      </c>
      <c r="C816" s="20" t="s">
        <v>235</v>
      </c>
      <c r="D816" s="20" t="s">
        <v>988</v>
      </c>
      <c r="E816" s="20"/>
      <c r="F816" s="303">
        <f>F817+F819+F821</f>
        <v>13827.199999999999</v>
      </c>
      <c r="G816" s="303">
        <f t="shared" ref="G816" si="409">G817+G819+G821</f>
        <v>9082.4499999999989</v>
      </c>
      <c r="H816" s="358">
        <f t="shared" si="389"/>
        <v>65.685388220319368</v>
      </c>
    </row>
    <row r="817" spans="1:10" ht="78.75" x14ac:dyDescent="0.25">
      <c r="A817" s="25" t="s">
        <v>143</v>
      </c>
      <c r="B817" s="20" t="s">
        <v>280</v>
      </c>
      <c r="C817" s="20" t="s">
        <v>235</v>
      </c>
      <c r="D817" s="20" t="s">
        <v>988</v>
      </c>
      <c r="E817" s="20" t="s">
        <v>144</v>
      </c>
      <c r="F817" s="303">
        <f>F818</f>
        <v>12735.199999999999</v>
      </c>
      <c r="G817" s="303">
        <f t="shared" ref="G817" si="410">G818</f>
        <v>8593.7749999999996</v>
      </c>
      <c r="H817" s="358">
        <f t="shared" si="389"/>
        <v>67.480487153715686</v>
      </c>
    </row>
    <row r="818" spans="1:10" ht="24" customHeight="1" x14ac:dyDescent="0.25">
      <c r="A818" s="25" t="s">
        <v>358</v>
      </c>
      <c r="B818" s="20" t="s">
        <v>280</v>
      </c>
      <c r="C818" s="20" t="s">
        <v>235</v>
      </c>
      <c r="D818" s="20" t="s">
        <v>988</v>
      </c>
      <c r="E818" s="20" t="s">
        <v>225</v>
      </c>
      <c r="F818" s="6">
        <f>'Пр.4 ведом.20'!G810</f>
        <v>12735.199999999999</v>
      </c>
      <c r="G818" s="358">
        <f>'Пр.4 ведом.20'!H810</f>
        <v>8593.7749999999996</v>
      </c>
      <c r="H818" s="358">
        <f t="shared" si="389"/>
        <v>67.480487153715686</v>
      </c>
    </row>
    <row r="819" spans="1:10" ht="31.5" x14ac:dyDescent="0.25">
      <c r="A819" s="25" t="s">
        <v>147</v>
      </c>
      <c r="B819" s="20" t="s">
        <v>280</v>
      </c>
      <c r="C819" s="20" t="s">
        <v>235</v>
      </c>
      <c r="D819" s="20" t="s">
        <v>988</v>
      </c>
      <c r="E819" s="20" t="s">
        <v>148</v>
      </c>
      <c r="F819" s="6">
        <f>F820</f>
        <v>1077</v>
      </c>
      <c r="G819" s="358">
        <f t="shared" ref="G819" si="411">G820</f>
        <v>487.375</v>
      </c>
      <c r="H819" s="358">
        <f t="shared" si="389"/>
        <v>45.253017641597026</v>
      </c>
    </row>
    <row r="820" spans="1:10" ht="31.7" customHeight="1" x14ac:dyDescent="0.25">
      <c r="A820" s="25" t="s">
        <v>149</v>
      </c>
      <c r="B820" s="20" t="s">
        <v>280</v>
      </c>
      <c r="C820" s="20" t="s">
        <v>235</v>
      </c>
      <c r="D820" s="20" t="s">
        <v>988</v>
      </c>
      <c r="E820" s="20" t="s">
        <v>150</v>
      </c>
      <c r="F820" s="6">
        <f>'Пр.4 ведом.20'!G812</f>
        <v>1077</v>
      </c>
      <c r="G820" s="358">
        <f>'Пр.4 ведом.20'!H812</f>
        <v>487.375</v>
      </c>
      <c r="H820" s="358">
        <f t="shared" si="389"/>
        <v>45.253017641597026</v>
      </c>
    </row>
    <row r="821" spans="1:10" ht="22.7" customHeight="1" x14ac:dyDescent="0.25">
      <c r="A821" s="25" t="s">
        <v>151</v>
      </c>
      <c r="B821" s="20" t="s">
        <v>280</v>
      </c>
      <c r="C821" s="20" t="s">
        <v>235</v>
      </c>
      <c r="D821" s="20" t="s">
        <v>988</v>
      </c>
      <c r="E821" s="20" t="s">
        <v>161</v>
      </c>
      <c r="F821" s="6">
        <f t="shared" ref="F821:G821" si="412">F822</f>
        <v>15</v>
      </c>
      <c r="G821" s="358">
        <f t="shared" si="412"/>
        <v>1.3</v>
      </c>
      <c r="H821" s="358">
        <f t="shared" si="389"/>
        <v>8.6666666666666679</v>
      </c>
    </row>
    <row r="822" spans="1:10" ht="15.75" customHeight="1" x14ac:dyDescent="0.25">
      <c r="A822" s="25" t="s">
        <v>584</v>
      </c>
      <c r="B822" s="20" t="s">
        <v>280</v>
      </c>
      <c r="C822" s="20" t="s">
        <v>235</v>
      </c>
      <c r="D822" s="20" t="s">
        <v>988</v>
      </c>
      <c r="E822" s="20" t="s">
        <v>154</v>
      </c>
      <c r="F822" s="6">
        <f>'Пр.4 ведом.20'!G814</f>
        <v>15</v>
      </c>
      <c r="G822" s="358">
        <f>'Пр.4 ведом.20'!H814</f>
        <v>1.3</v>
      </c>
      <c r="H822" s="358">
        <f t="shared" si="389"/>
        <v>8.6666666666666679</v>
      </c>
    </row>
    <row r="823" spans="1:10" ht="47.25" customHeight="1" x14ac:dyDescent="0.25">
      <c r="A823" s="25" t="s">
        <v>885</v>
      </c>
      <c r="B823" s="20" t="s">
        <v>280</v>
      </c>
      <c r="C823" s="20" t="s">
        <v>235</v>
      </c>
      <c r="D823" s="20" t="s">
        <v>989</v>
      </c>
      <c r="E823" s="20"/>
      <c r="F823" s="6">
        <f>F824</f>
        <v>336</v>
      </c>
      <c r="G823" s="358">
        <f t="shared" ref="G823:G824" si="413">G824</f>
        <v>222</v>
      </c>
      <c r="H823" s="358">
        <f t="shared" si="389"/>
        <v>66.071428571428569</v>
      </c>
    </row>
    <row r="824" spans="1:10" ht="78.75" x14ac:dyDescent="0.25">
      <c r="A824" s="25" t="s">
        <v>143</v>
      </c>
      <c r="B824" s="20" t="s">
        <v>280</v>
      </c>
      <c r="C824" s="20" t="s">
        <v>235</v>
      </c>
      <c r="D824" s="20" t="s">
        <v>989</v>
      </c>
      <c r="E824" s="20" t="s">
        <v>144</v>
      </c>
      <c r="F824" s="6">
        <f>F825</f>
        <v>336</v>
      </c>
      <c r="G824" s="358">
        <f t="shared" si="413"/>
        <v>222</v>
      </c>
      <c r="H824" s="358">
        <f t="shared" si="389"/>
        <v>66.071428571428569</v>
      </c>
    </row>
    <row r="825" spans="1:10" ht="31.5" x14ac:dyDescent="0.25">
      <c r="A825" s="25" t="s">
        <v>145</v>
      </c>
      <c r="B825" s="20" t="s">
        <v>280</v>
      </c>
      <c r="C825" s="20" t="s">
        <v>235</v>
      </c>
      <c r="D825" s="20" t="s">
        <v>989</v>
      </c>
      <c r="E825" s="20" t="s">
        <v>146</v>
      </c>
      <c r="F825" s="6">
        <f>'Пр.4 ведом.20'!G817</f>
        <v>336</v>
      </c>
      <c r="G825" s="358">
        <f>'Пр.4 ведом.20'!H817</f>
        <v>222</v>
      </c>
      <c r="H825" s="358">
        <f t="shared" si="389"/>
        <v>66.071428571428569</v>
      </c>
    </row>
    <row r="826" spans="1:10" ht="15.75" x14ac:dyDescent="0.25">
      <c r="A826" s="41" t="s">
        <v>314</v>
      </c>
      <c r="B826" s="7" t="s">
        <v>315</v>
      </c>
      <c r="C826" s="7"/>
      <c r="D826" s="7"/>
      <c r="E826" s="7"/>
      <c r="F826" s="4">
        <f>F827+F903</f>
        <v>72207.323000000004</v>
      </c>
      <c r="G826" s="4">
        <f t="shared" ref="G826" si="414">G827+G903</f>
        <v>49312.207999999999</v>
      </c>
      <c r="H826" s="4">
        <f t="shared" si="389"/>
        <v>68.292530385041417</v>
      </c>
      <c r="I826">
        <f>'Пр.4 ведом.20'!H341</f>
        <v>49312.207999999999</v>
      </c>
    </row>
    <row r="827" spans="1:10" ht="15.75" x14ac:dyDescent="0.25">
      <c r="A827" s="41" t="s">
        <v>316</v>
      </c>
      <c r="B827" s="7" t="s">
        <v>315</v>
      </c>
      <c r="C827" s="7" t="s">
        <v>134</v>
      </c>
      <c r="D827" s="7"/>
      <c r="E827" s="7"/>
      <c r="F827" s="4">
        <f>F828+F893+F898</f>
        <v>54306.523000000001</v>
      </c>
      <c r="G827" s="4">
        <f t="shared" ref="G827" si="415">G828+G893+G898</f>
        <v>37120.299999999996</v>
      </c>
      <c r="H827" s="4">
        <f t="shared" si="389"/>
        <v>68.353298921383711</v>
      </c>
      <c r="I827" s="22"/>
      <c r="J827" s="22"/>
    </row>
    <row r="828" spans="1:10" ht="34.5" customHeight="1" x14ac:dyDescent="0.25">
      <c r="A828" s="23" t="s">
        <v>282</v>
      </c>
      <c r="B828" s="24" t="s">
        <v>315</v>
      </c>
      <c r="C828" s="24" t="s">
        <v>134</v>
      </c>
      <c r="D828" s="24" t="s">
        <v>283</v>
      </c>
      <c r="E828" s="24"/>
      <c r="F828" s="4">
        <f>F829+F859</f>
        <v>53371.923000000003</v>
      </c>
      <c r="G828" s="4">
        <f t="shared" ref="G828" si="416">G829+G859</f>
        <v>36495.750999999997</v>
      </c>
      <c r="H828" s="4">
        <f t="shared" si="389"/>
        <v>68.380056307883081</v>
      </c>
    </row>
    <row r="829" spans="1:10" ht="63" x14ac:dyDescent="0.25">
      <c r="A829" s="23" t="s">
        <v>317</v>
      </c>
      <c r="B829" s="24" t="s">
        <v>315</v>
      </c>
      <c r="C829" s="24" t="s">
        <v>134</v>
      </c>
      <c r="D829" s="24" t="s">
        <v>318</v>
      </c>
      <c r="E829" s="24"/>
      <c r="F829" s="4">
        <f>F830+F838+F844+F848+F855</f>
        <v>29692.922999999999</v>
      </c>
      <c r="G829" s="4">
        <f t="shared" ref="G829" si="417">G830+G838+G844+G848+G855</f>
        <v>20516.516999999996</v>
      </c>
      <c r="H829" s="4">
        <f t="shared" si="389"/>
        <v>69.0956461241623</v>
      </c>
    </row>
    <row r="830" spans="1:10" ht="34.5" customHeight="1" x14ac:dyDescent="0.25">
      <c r="A830" s="23" t="s">
        <v>956</v>
      </c>
      <c r="B830" s="24" t="s">
        <v>315</v>
      </c>
      <c r="C830" s="24" t="s">
        <v>134</v>
      </c>
      <c r="D830" s="24" t="s">
        <v>957</v>
      </c>
      <c r="E830" s="24"/>
      <c r="F830" s="4">
        <f>F831</f>
        <v>25838</v>
      </c>
      <c r="G830" s="4">
        <f t="shared" ref="G830" si="418">G831</f>
        <v>17635.77</v>
      </c>
      <c r="H830" s="4">
        <f t="shared" si="389"/>
        <v>68.255166808576519</v>
      </c>
    </row>
    <row r="831" spans="1:10" ht="15.75" x14ac:dyDescent="0.25">
      <c r="A831" s="25" t="s">
        <v>832</v>
      </c>
      <c r="B831" s="20" t="s">
        <v>315</v>
      </c>
      <c r="C831" s="20" t="s">
        <v>134</v>
      </c>
      <c r="D831" s="20" t="s">
        <v>955</v>
      </c>
      <c r="E831" s="20"/>
      <c r="F831" s="6">
        <f>F832+F834+F836</f>
        <v>25838</v>
      </c>
      <c r="G831" s="358">
        <f t="shared" ref="G831" si="419">G832+G834+G836</f>
        <v>17635.77</v>
      </c>
      <c r="H831" s="358">
        <f t="shared" si="389"/>
        <v>68.255166808576519</v>
      </c>
    </row>
    <row r="832" spans="1:10" ht="78.75" x14ac:dyDescent="0.25">
      <c r="A832" s="25" t="s">
        <v>143</v>
      </c>
      <c r="B832" s="20" t="s">
        <v>315</v>
      </c>
      <c r="C832" s="20" t="s">
        <v>134</v>
      </c>
      <c r="D832" s="20" t="s">
        <v>955</v>
      </c>
      <c r="E832" s="20" t="s">
        <v>144</v>
      </c>
      <c r="F832" s="6">
        <f>F833</f>
        <v>20047.5</v>
      </c>
      <c r="G832" s="358">
        <f t="shared" ref="G832" si="420">G833</f>
        <v>13980.53</v>
      </c>
      <c r="H832" s="358">
        <f t="shared" si="389"/>
        <v>69.737024566654199</v>
      </c>
    </row>
    <row r="833" spans="1:12" ht="31.5" x14ac:dyDescent="0.25">
      <c r="A833" s="25" t="s">
        <v>224</v>
      </c>
      <c r="B833" s="20" t="s">
        <v>315</v>
      </c>
      <c r="C833" s="20" t="s">
        <v>134</v>
      </c>
      <c r="D833" s="20" t="s">
        <v>955</v>
      </c>
      <c r="E833" s="20" t="s">
        <v>225</v>
      </c>
      <c r="F833" s="6">
        <f>'Пр.4 ведом.20'!G348</f>
        <v>20047.5</v>
      </c>
      <c r="G833" s="358">
        <f>'Пр.4 ведом.20'!H348</f>
        <v>13980.53</v>
      </c>
      <c r="H833" s="358">
        <f t="shared" si="389"/>
        <v>69.737024566654199</v>
      </c>
    </row>
    <row r="834" spans="1:12" ht="31.5" x14ac:dyDescent="0.25">
      <c r="A834" s="25" t="s">
        <v>147</v>
      </c>
      <c r="B834" s="20" t="s">
        <v>315</v>
      </c>
      <c r="C834" s="20" t="s">
        <v>134</v>
      </c>
      <c r="D834" s="20" t="s">
        <v>955</v>
      </c>
      <c r="E834" s="20" t="s">
        <v>148</v>
      </c>
      <c r="F834" s="6">
        <f>F835</f>
        <v>5666.5</v>
      </c>
      <c r="G834" s="358">
        <f t="shared" ref="G834" si="421">G835</f>
        <v>3533.6</v>
      </c>
      <c r="H834" s="358">
        <f t="shared" si="389"/>
        <v>62.359481161210617</v>
      </c>
      <c r="L834" s="22"/>
    </row>
    <row r="835" spans="1:12" ht="47.25" x14ac:dyDescent="0.25">
      <c r="A835" s="25" t="s">
        <v>149</v>
      </c>
      <c r="B835" s="20" t="s">
        <v>315</v>
      </c>
      <c r="C835" s="20" t="s">
        <v>134</v>
      </c>
      <c r="D835" s="20" t="s">
        <v>955</v>
      </c>
      <c r="E835" s="20" t="s">
        <v>150</v>
      </c>
      <c r="F835" s="6">
        <f>'Пр.4 ведом.20'!G350</f>
        <v>5666.5</v>
      </c>
      <c r="G835" s="358">
        <f>'Пр.4 ведом.20'!H350</f>
        <v>3533.6</v>
      </c>
      <c r="H835" s="358">
        <f t="shared" si="389"/>
        <v>62.359481161210617</v>
      </c>
    </row>
    <row r="836" spans="1:12" ht="15.75" x14ac:dyDescent="0.25">
      <c r="A836" s="25" t="s">
        <v>151</v>
      </c>
      <c r="B836" s="20" t="s">
        <v>315</v>
      </c>
      <c r="C836" s="20" t="s">
        <v>134</v>
      </c>
      <c r="D836" s="20" t="s">
        <v>955</v>
      </c>
      <c r="E836" s="20" t="s">
        <v>161</v>
      </c>
      <c r="F836" s="6">
        <f t="shared" ref="F836:G836" si="422">F837</f>
        <v>124</v>
      </c>
      <c r="G836" s="358">
        <f t="shared" si="422"/>
        <v>121.64</v>
      </c>
      <c r="H836" s="358">
        <f t="shared" si="389"/>
        <v>98.096774193548384</v>
      </c>
    </row>
    <row r="837" spans="1:12" ht="15.75" x14ac:dyDescent="0.25">
      <c r="A837" s="25" t="s">
        <v>584</v>
      </c>
      <c r="B837" s="20" t="s">
        <v>315</v>
      </c>
      <c r="C837" s="20" t="s">
        <v>134</v>
      </c>
      <c r="D837" s="20" t="s">
        <v>955</v>
      </c>
      <c r="E837" s="20" t="s">
        <v>154</v>
      </c>
      <c r="F837" s="6">
        <f>'Пр.4 ведом.20'!G352</f>
        <v>124</v>
      </c>
      <c r="G837" s="358">
        <f>'Пр.4 ведом.20'!H352</f>
        <v>121.64</v>
      </c>
      <c r="H837" s="358">
        <f t="shared" si="389"/>
        <v>98.096774193548384</v>
      </c>
    </row>
    <row r="838" spans="1:12" ht="31.5" x14ac:dyDescent="0.25">
      <c r="A838" s="225" t="s">
        <v>970</v>
      </c>
      <c r="B838" s="24" t="s">
        <v>315</v>
      </c>
      <c r="C838" s="24" t="s">
        <v>134</v>
      </c>
      <c r="D838" s="24" t="s">
        <v>958</v>
      </c>
      <c r="E838" s="24"/>
      <c r="F838" s="4">
        <f>F839</f>
        <v>1111.7</v>
      </c>
      <c r="G838" s="4">
        <f t="shared" ref="G838" si="423">G839</f>
        <v>517.6</v>
      </c>
      <c r="H838" s="4">
        <f t="shared" si="389"/>
        <v>46.559323558513988</v>
      </c>
    </row>
    <row r="839" spans="1:12" ht="31.5" x14ac:dyDescent="0.25">
      <c r="A839" s="31" t="s">
        <v>860</v>
      </c>
      <c r="B839" s="20" t="s">
        <v>315</v>
      </c>
      <c r="C839" s="20" t="s">
        <v>134</v>
      </c>
      <c r="D839" s="20" t="s">
        <v>959</v>
      </c>
      <c r="E839" s="20"/>
      <c r="F839" s="6">
        <f>F840+F842</f>
        <v>1111.7</v>
      </c>
      <c r="G839" s="358">
        <f t="shared" ref="G839" si="424">G840+G842</f>
        <v>517.6</v>
      </c>
      <c r="H839" s="358">
        <f t="shared" si="389"/>
        <v>46.559323558513988</v>
      </c>
    </row>
    <row r="840" spans="1:12" ht="78.75" x14ac:dyDescent="0.25">
      <c r="A840" s="25" t="s">
        <v>143</v>
      </c>
      <c r="B840" s="20" t="s">
        <v>315</v>
      </c>
      <c r="C840" s="20" t="s">
        <v>134</v>
      </c>
      <c r="D840" s="20" t="s">
        <v>959</v>
      </c>
      <c r="E840" s="20" t="s">
        <v>144</v>
      </c>
      <c r="F840" s="6">
        <f>F841</f>
        <v>396.09999999999997</v>
      </c>
      <c r="G840" s="358">
        <f t="shared" ref="G840" si="425">G841</f>
        <v>135.37</v>
      </c>
      <c r="H840" s="358">
        <f t="shared" si="389"/>
        <v>34.175713203736436</v>
      </c>
    </row>
    <row r="841" spans="1:12" ht="31.5" x14ac:dyDescent="0.25">
      <c r="A841" s="25" t="s">
        <v>224</v>
      </c>
      <c r="B841" s="20" t="s">
        <v>315</v>
      </c>
      <c r="C841" s="20" t="s">
        <v>134</v>
      </c>
      <c r="D841" s="20" t="s">
        <v>959</v>
      </c>
      <c r="E841" s="20" t="s">
        <v>225</v>
      </c>
      <c r="F841" s="6">
        <f>'Пр.4 ведом.20'!G356</f>
        <v>396.09999999999997</v>
      </c>
      <c r="G841" s="358">
        <f>'Пр.4 ведом.20'!H356</f>
        <v>135.37</v>
      </c>
      <c r="H841" s="358">
        <f t="shared" si="389"/>
        <v>34.175713203736436</v>
      </c>
    </row>
    <row r="842" spans="1:12" ht="31.5" x14ac:dyDescent="0.25">
      <c r="A842" s="25" t="s">
        <v>147</v>
      </c>
      <c r="B842" s="20" t="s">
        <v>315</v>
      </c>
      <c r="C842" s="20" t="s">
        <v>134</v>
      </c>
      <c r="D842" s="20" t="s">
        <v>959</v>
      </c>
      <c r="E842" s="20" t="s">
        <v>148</v>
      </c>
      <c r="F842" s="6">
        <f>F843</f>
        <v>715.6</v>
      </c>
      <c r="G842" s="358">
        <f t="shared" ref="G842" si="426">G843</f>
        <v>382.23</v>
      </c>
      <c r="H842" s="358">
        <f t="shared" si="389"/>
        <v>53.41391839016211</v>
      </c>
    </row>
    <row r="843" spans="1:12" ht="47.25" x14ac:dyDescent="0.25">
      <c r="A843" s="25" t="s">
        <v>149</v>
      </c>
      <c r="B843" s="20" t="s">
        <v>315</v>
      </c>
      <c r="C843" s="20" t="s">
        <v>134</v>
      </c>
      <c r="D843" s="20" t="s">
        <v>959</v>
      </c>
      <c r="E843" s="20" t="s">
        <v>150</v>
      </c>
      <c r="F843" s="6">
        <f>'Пр.4 ведом.20'!G358</f>
        <v>715.6</v>
      </c>
      <c r="G843" s="358">
        <f>'Пр.4 ведом.20'!H358</f>
        <v>382.23</v>
      </c>
      <c r="H843" s="358">
        <f t="shared" ref="H843:H906" si="427">G843/F843*100</f>
        <v>53.41391839016211</v>
      </c>
    </row>
    <row r="844" spans="1:12" ht="31.5" x14ac:dyDescent="0.25">
      <c r="A844" s="23" t="s">
        <v>1076</v>
      </c>
      <c r="B844" s="24" t="s">
        <v>315</v>
      </c>
      <c r="C844" s="24" t="s">
        <v>134</v>
      </c>
      <c r="D844" s="24" t="s">
        <v>1164</v>
      </c>
      <c r="E844" s="24"/>
      <c r="F844" s="4">
        <f>F845</f>
        <v>588</v>
      </c>
      <c r="G844" s="4">
        <f t="shared" ref="G844:G846" si="428">G845</f>
        <v>468.67</v>
      </c>
      <c r="H844" s="4">
        <f t="shared" si="427"/>
        <v>79.70578231292518</v>
      </c>
    </row>
    <row r="845" spans="1:12" ht="47.25" x14ac:dyDescent="0.25">
      <c r="A845" s="25" t="s">
        <v>885</v>
      </c>
      <c r="B845" s="20" t="s">
        <v>315</v>
      </c>
      <c r="C845" s="20" t="s">
        <v>134</v>
      </c>
      <c r="D845" s="20" t="s">
        <v>1165</v>
      </c>
      <c r="E845" s="20"/>
      <c r="F845" s="6">
        <f>F846</f>
        <v>588</v>
      </c>
      <c r="G845" s="358">
        <f t="shared" si="428"/>
        <v>468.67</v>
      </c>
      <c r="H845" s="358">
        <f t="shared" si="427"/>
        <v>79.70578231292518</v>
      </c>
    </row>
    <row r="846" spans="1:12" ht="78.75" x14ac:dyDescent="0.25">
      <c r="A846" s="25" t="s">
        <v>143</v>
      </c>
      <c r="B846" s="20" t="s">
        <v>315</v>
      </c>
      <c r="C846" s="20" t="s">
        <v>134</v>
      </c>
      <c r="D846" s="20" t="s">
        <v>1165</v>
      </c>
      <c r="E846" s="20" t="s">
        <v>144</v>
      </c>
      <c r="F846" s="6">
        <f>F847</f>
        <v>588</v>
      </c>
      <c r="G846" s="358">
        <f t="shared" si="428"/>
        <v>468.67</v>
      </c>
      <c r="H846" s="358">
        <f t="shared" si="427"/>
        <v>79.70578231292518</v>
      </c>
    </row>
    <row r="847" spans="1:12" ht="31.5" x14ac:dyDescent="0.25">
      <c r="A847" s="25" t="s">
        <v>145</v>
      </c>
      <c r="B847" s="20" t="s">
        <v>315</v>
      </c>
      <c r="C847" s="20" t="s">
        <v>134</v>
      </c>
      <c r="D847" s="20" t="s">
        <v>1165</v>
      </c>
      <c r="E847" s="20" t="s">
        <v>225</v>
      </c>
      <c r="F847" s="6">
        <f>'Пр.4 ведом.20'!G362</f>
        <v>588</v>
      </c>
      <c r="G847" s="358">
        <f>'Пр.4 ведом.20'!H362</f>
        <v>468.67</v>
      </c>
      <c r="H847" s="358">
        <f t="shared" si="427"/>
        <v>79.70578231292518</v>
      </c>
    </row>
    <row r="848" spans="1:12" ht="47.25" x14ac:dyDescent="0.25">
      <c r="A848" s="226" t="s">
        <v>971</v>
      </c>
      <c r="B848" s="24" t="s">
        <v>315</v>
      </c>
      <c r="C848" s="24" t="s">
        <v>134</v>
      </c>
      <c r="D848" s="24" t="s">
        <v>1166</v>
      </c>
      <c r="E848" s="24"/>
      <c r="F848" s="4">
        <f>F852+F849</f>
        <v>824.3</v>
      </c>
      <c r="G848" s="4">
        <f t="shared" ref="G848" si="429">G852+G849</f>
        <v>563.56999999999994</v>
      </c>
      <c r="H848" s="4">
        <f t="shared" si="427"/>
        <v>68.369525658134165</v>
      </c>
    </row>
    <row r="849" spans="1:8" s="324" customFormat="1" ht="94.5" x14ac:dyDescent="0.25">
      <c r="A849" s="31" t="s">
        <v>309</v>
      </c>
      <c r="B849" s="331" t="s">
        <v>315</v>
      </c>
      <c r="C849" s="331" t="s">
        <v>134</v>
      </c>
      <c r="D849" s="331" t="s">
        <v>1521</v>
      </c>
      <c r="E849" s="331"/>
      <c r="F849" s="6">
        <f>F850</f>
        <v>749.3</v>
      </c>
      <c r="G849" s="358">
        <f t="shared" ref="G849:G850" si="430">G850</f>
        <v>489</v>
      </c>
      <c r="H849" s="358">
        <f t="shared" si="427"/>
        <v>65.260910182837321</v>
      </c>
    </row>
    <row r="850" spans="1:8" s="324" customFormat="1" ht="78.75" x14ac:dyDescent="0.25">
      <c r="A850" s="335" t="s">
        <v>143</v>
      </c>
      <c r="B850" s="331" t="s">
        <v>315</v>
      </c>
      <c r="C850" s="331" t="s">
        <v>134</v>
      </c>
      <c r="D850" s="331" t="s">
        <v>1521</v>
      </c>
      <c r="E850" s="331" t="s">
        <v>144</v>
      </c>
      <c r="F850" s="6">
        <f>F851</f>
        <v>749.3</v>
      </c>
      <c r="G850" s="358">
        <f t="shared" si="430"/>
        <v>489</v>
      </c>
      <c r="H850" s="358">
        <f t="shared" si="427"/>
        <v>65.260910182837321</v>
      </c>
    </row>
    <row r="851" spans="1:8" s="324" customFormat="1" ht="22.7" customHeight="1" x14ac:dyDescent="0.25">
      <c r="A851" s="335" t="s">
        <v>224</v>
      </c>
      <c r="B851" s="331" t="s">
        <v>315</v>
      </c>
      <c r="C851" s="331" t="s">
        <v>134</v>
      </c>
      <c r="D851" s="331" t="s">
        <v>1521</v>
      </c>
      <c r="E851" s="331" t="s">
        <v>225</v>
      </c>
      <c r="F851" s="6">
        <f>'Пр.4 ведом.20'!G366</f>
        <v>749.3</v>
      </c>
      <c r="G851" s="358">
        <f>'Пр.4 ведом.20'!H366</f>
        <v>489</v>
      </c>
      <c r="H851" s="358">
        <f t="shared" si="427"/>
        <v>65.260910182837321</v>
      </c>
    </row>
    <row r="852" spans="1:8" s="1" customFormat="1" ht="94.5" x14ac:dyDescent="0.25">
      <c r="A852" s="31" t="s">
        <v>309</v>
      </c>
      <c r="B852" s="20" t="s">
        <v>315</v>
      </c>
      <c r="C852" s="20" t="s">
        <v>134</v>
      </c>
      <c r="D852" s="20" t="s">
        <v>1167</v>
      </c>
      <c r="E852" s="20"/>
      <c r="F852" s="6">
        <f>F853</f>
        <v>75</v>
      </c>
      <c r="G852" s="358">
        <f t="shared" ref="G852:G853" si="431">G853</f>
        <v>74.569999999999993</v>
      </c>
      <c r="H852" s="358">
        <f t="shared" si="427"/>
        <v>99.426666666666648</v>
      </c>
    </row>
    <row r="853" spans="1:8" ht="78.75" x14ac:dyDescent="0.25">
      <c r="A853" s="25" t="s">
        <v>143</v>
      </c>
      <c r="B853" s="20" t="s">
        <v>315</v>
      </c>
      <c r="C853" s="20" t="s">
        <v>134</v>
      </c>
      <c r="D853" s="20" t="s">
        <v>1167</v>
      </c>
      <c r="E853" s="20" t="s">
        <v>144</v>
      </c>
      <c r="F853" s="6">
        <f>F854</f>
        <v>75</v>
      </c>
      <c r="G853" s="358">
        <f t="shared" si="431"/>
        <v>74.569999999999993</v>
      </c>
      <c r="H853" s="358">
        <f t="shared" si="427"/>
        <v>99.426666666666648</v>
      </c>
    </row>
    <row r="854" spans="1:8" ht="31.5" x14ac:dyDescent="0.25">
      <c r="A854" s="25" t="s">
        <v>224</v>
      </c>
      <c r="B854" s="20" t="s">
        <v>315</v>
      </c>
      <c r="C854" s="20" t="s">
        <v>134</v>
      </c>
      <c r="D854" s="20" t="s">
        <v>1167</v>
      </c>
      <c r="E854" s="20" t="s">
        <v>225</v>
      </c>
      <c r="F854" s="6">
        <f>'Пр.4 ведом.20'!G369</f>
        <v>75</v>
      </c>
      <c r="G854" s="358">
        <f>'Пр.4 ведом.20'!H369</f>
        <v>74.569999999999993</v>
      </c>
      <c r="H854" s="358">
        <f t="shared" si="427"/>
        <v>99.426666666666648</v>
      </c>
    </row>
    <row r="855" spans="1:8" s="213" customFormat="1" ht="31.5" x14ac:dyDescent="0.25">
      <c r="A855" s="276" t="s">
        <v>1403</v>
      </c>
      <c r="B855" s="24" t="s">
        <v>315</v>
      </c>
      <c r="C855" s="24" t="s">
        <v>134</v>
      </c>
      <c r="D855" s="24" t="s">
        <v>1404</v>
      </c>
      <c r="E855" s="24"/>
      <c r="F855" s="21">
        <f>F856</f>
        <v>1330.923</v>
      </c>
      <c r="G855" s="332">
        <f t="shared" ref="G855:G857" si="432">G856</f>
        <v>1330.9069999999999</v>
      </c>
      <c r="H855" s="4">
        <f t="shared" si="427"/>
        <v>99.998797826771337</v>
      </c>
    </row>
    <row r="856" spans="1:8" s="213" customFormat="1" ht="47.25" x14ac:dyDescent="0.25">
      <c r="A856" s="277" t="s">
        <v>1405</v>
      </c>
      <c r="B856" s="20" t="s">
        <v>315</v>
      </c>
      <c r="C856" s="20" t="s">
        <v>134</v>
      </c>
      <c r="D856" s="20" t="s">
        <v>1406</v>
      </c>
      <c r="E856" s="20"/>
      <c r="F856" s="26">
        <f>F857</f>
        <v>1330.923</v>
      </c>
      <c r="G856" s="336">
        <f t="shared" si="432"/>
        <v>1330.9069999999999</v>
      </c>
      <c r="H856" s="358">
        <f t="shared" si="427"/>
        <v>99.998797826771337</v>
      </c>
    </row>
    <row r="857" spans="1:8" s="213" customFormat="1" ht="31.5" x14ac:dyDescent="0.25">
      <c r="A857" s="25" t="s">
        <v>147</v>
      </c>
      <c r="B857" s="20" t="s">
        <v>315</v>
      </c>
      <c r="C857" s="20" t="s">
        <v>134</v>
      </c>
      <c r="D857" s="20" t="s">
        <v>1406</v>
      </c>
      <c r="E857" s="20" t="s">
        <v>148</v>
      </c>
      <c r="F857" s="26">
        <f>F858</f>
        <v>1330.923</v>
      </c>
      <c r="G857" s="336">
        <f t="shared" si="432"/>
        <v>1330.9069999999999</v>
      </c>
      <c r="H857" s="358">
        <f t="shared" si="427"/>
        <v>99.998797826771337</v>
      </c>
    </row>
    <row r="858" spans="1:8" s="213" customFormat="1" ht="47.25" x14ac:dyDescent="0.25">
      <c r="A858" s="25" t="s">
        <v>149</v>
      </c>
      <c r="B858" s="20" t="s">
        <v>315</v>
      </c>
      <c r="C858" s="20" t="s">
        <v>134</v>
      </c>
      <c r="D858" s="20" t="s">
        <v>1406</v>
      </c>
      <c r="E858" s="20" t="s">
        <v>150</v>
      </c>
      <c r="F858" s="26">
        <f>'Пр.4 ведом.20'!G373</f>
        <v>1330.923</v>
      </c>
      <c r="G858" s="336">
        <f>'Пр.4 ведом.20'!H373</f>
        <v>1330.9069999999999</v>
      </c>
      <c r="H858" s="358">
        <f t="shared" si="427"/>
        <v>99.998797826771337</v>
      </c>
    </row>
    <row r="859" spans="1:8" ht="47.25" x14ac:dyDescent="0.25">
      <c r="A859" s="23" t="s">
        <v>328</v>
      </c>
      <c r="B859" s="24" t="s">
        <v>315</v>
      </c>
      <c r="C859" s="24" t="s">
        <v>134</v>
      </c>
      <c r="D859" s="24" t="s">
        <v>329</v>
      </c>
      <c r="E859" s="24"/>
      <c r="F859" s="4">
        <f>F860+F868+F872+F876+F883</f>
        <v>23679.000000000004</v>
      </c>
      <c r="G859" s="4">
        <f t="shared" ref="G859" si="433">G860+G868+G872+G876+G883</f>
        <v>15979.234</v>
      </c>
      <c r="H859" s="4">
        <f t="shared" si="427"/>
        <v>67.482723087968239</v>
      </c>
    </row>
    <row r="860" spans="1:8" ht="34.5" customHeight="1" x14ac:dyDescent="0.25">
      <c r="A860" s="23" t="s">
        <v>956</v>
      </c>
      <c r="B860" s="24" t="s">
        <v>315</v>
      </c>
      <c r="C860" s="24" t="s">
        <v>134</v>
      </c>
      <c r="D860" s="24" t="s">
        <v>960</v>
      </c>
      <c r="E860" s="24"/>
      <c r="F860" s="4">
        <f>F861</f>
        <v>21457.300000000003</v>
      </c>
      <c r="G860" s="4">
        <f t="shared" ref="G860" si="434">G861</f>
        <v>14779.460000000001</v>
      </c>
      <c r="H860" s="4">
        <f t="shared" si="427"/>
        <v>68.878470264199123</v>
      </c>
    </row>
    <row r="861" spans="1:8" ht="15.75" x14ac:dyDescent="0.25">
      <c r="A861" s="25" t="s">
        <v>832</v>
      </c>
      <c r="B861" s="20" t="s">
        <v>315</v>
      </c>
      <c r="C861" s="20" t="s">
        <v>134</v>
      </c>
      <c r="D861" s="20" t="s">
        <v>961</v>
      </c>
      <c r="E861" s="20"/>
      <c r="F861" s="6">
        <f>F862+F864+F866</f>
        <v>21457.300000000003</v>
      </c>
      <c r="G861" s="358">
        <f t="shared" ref="G861" si="435">G862+G864+G866</f>
        <v>14779.460000000001</v>
      </c>
      <c r="H861" s="358">
        <f t="shared" si="427"/>
        <v>68.878470264199123</v>
      </c>
    </row>
    <row r="862" spans="1:8" ht="78.75" x14ac:dyDescent="0.25">
      <c r="A862" s="25" t="s">
        <v>143</v>
      </c>
      <c r="B862" s="20" t="s">
        <v>315</v>
      </c>
      <c r="C862" s="20" t="s">
        <v>134</v>
      </c>
      <c r="D862" s="20" t="s">
        <v>961</v>
      </c>
      <c r="E862" s="20" t="s">
        <v>144</v>
      </c>
      <c r="F862" s="6">
        <f>'Пр.4 ведом.20'!G378</f>
        <v>17679.2</v>
      </c>
      <c r="G862" s="358">
        <f>'Пр.4 ведом.20'!H378</f>
        <v>12522.28</v>
      </c>
      <c r="H862" s="358">
        <f t="shared" si="427"/>
        <v>70.830580569256526</v>
      </c>
    </row>
    <row r="863" spans="1:8" ht="31.5" x14ac:dyDescent="0.25">
      <c r="A863" s="25" t="s">
        <v>224</v>
      </c>
      <c r="B863" s="20" t="s">
        <v>315</v>
      </c>
      <c r="C863" s="20" t="s">
        <v>134</v>
      </c>
      <c r="D863" s="20" t="s">
        <v>961</v>
      </c>
      <c r="E863" s="20" t="s">
        <v>225</v>
      </c>
      <c r="F863" s="6">
        <f>'Пр.4 ведом.20'!G378</f>
        <v>17679.2</v>
      </c>
      <c r="G863" s="358">
        <f>'Пр.4 ведом.20'!H378</f>
        <v>12522.28</v>
      </c>
      <c r="H863" s="358">
        <f t="shared" si="427"/>
        <v>70.830580569256526</v>
      </c>
    </row>
    <row r="864" spans="1:8" ht="31.5" x14ac:dyDescent="0.25">
      <c r="A864" s="25" t="s">
        <v>147</v>
      </c>
      <c r="B864" s="20" t="s">
        <v>315</v>
      </c>
      <c r="C864" s="20" t="s">
        <v>134</v>
      </c>
      <c r="D864" s="20" t="s">
        <v>961</v>
      </c>
      <c r="E864" s="20" t="s">
        <v>148</v>
      </c>
      <c r="F864" s="6">
        <f>'Пр.4 ведом.20'!G380</f>
        <v>3749.7</v>
      </c>
      <c r="G864" s="358">
        <f>'Пр.4 ведом.20'!H380</f>
        <v>2229.92</v>
      </c>
      <c r="H864" s="358">
        <f t="shared" si="427"/>
        <v>59.469290876603466</v>
      </c>
    </row>
    <row r="865" spans="1:8" ht="47.25" x14ac:dyDescent="0.25">
      <c r="A865" s="25" t="s">
        <v>149</v>
      </c>
      <c r="B865" s="20" t="s">
        <v>315</v>
      </c>
      <c r="C865" s="20" t="s">
        <v>134</v>
      </c>
      <c r="D865" s="20" t="s">
        <v>961</v>
      </c>
      <c r="E865" s="20" t="s">
        <v>150</v>
      </c>
      <c r="F865" s="6">
        <f>'Пр.4 ведом.20'!G380</f>
        <v>3749.7</v>
      </c>
      <c r="G865" s="358">
        <f>'Пр.4 ведом.20'!H380</f>
        <v>2229.92</v>
      </c>
      <c r="H865" s="358">
        <f t="shared" si="427"/>
        <v>59.469290876603466</v>
      </c>
    </row>
    <row r="866" spans="1:8" ht="15.75" x14ac:dyDescent="0.25">
      <c r="A866" s="25" t="s">
        <v>151</v>
      </c>
      <c r="B866" s="20" t="s">
        <v>315</v>
      </c>
      <c r="C866" s="20" t="s">
        <v>134</v>
      </c>
      <c r="D866" s="20" t="s">
        <v>961</v>
      </c>
      <c r="E866" s="20" t="s">
        <v>161</v>
      </c>
      <c r="F866" s="6">
        <f>'Пр.4 ведом.20'!G382</f>
        <v>28.400000000000002</v>
      </c>
      <c r="G866" s="358">
        <f>'Пр.4 ведом.20'!H382</f>
        <v>27.26</v>
      </c>
      <c r="H866" s="358">
        <f t="shared" si="427"/>
        <v>95.985915492957744</v>
      </c>
    </row>
    <row r="867" spans="1:8" ht="15.75" x14ac:dyDescent="0.25">
      <c r="A867" s="25" t="s">
        <v>584</v>
      </c>
      <c r="B867" s="20" t="s">
        <v>315</v>
      </c>
      <c r="C867" s="20" t="s">
        <v>134</v>
      </c>
      <c r="D867" s="20" t="s">
        <v>961</v>
      </c>
      <c r="E867" s="20" t="s">
        <v>154</v>
      </c>
      <c r="F867" s="6">
        <f>'Пр.4 ведом.20'!G382</f>
        <v>28.400000000000002</v>
      </c>
      <c r="G867" s="358">
        <f>'Пр.4 ведом.20'!H382</f>
        <v>27.26</v>
      </c>
      <c r="H867" s="358">
        <f t="shared" si="427"/>
        <v>95.985915492957744</v>
      </c>
    </row>
    <row r="868" spans="1:8" ht="31.5" x14ac:dyDescent="0.25">
      <c r="A868" s="23" t="s">
        <v>973</v>
      </c>
      <c r="B868" s="24" t="s">
        <v>315</v>
      </c>
      <c r="C868" s="24" t="s">
        <v>134</v>
      </c>
      <c r="D868" s="24" t="s">
        <v>962</v>
      </c>
      <c r="E868" s="24"/>
      <c r="F868" s="4">
        <f>F869</f>
        <v>50</v>
      </c>
      <c r="G868" s="4">
        <f t="shared" ref="G868:G870" si="436">G869</f>
        <v>37.58</v>
      </c>
      <c r="H868" s="4">
        <f t="shared" si="427"/>
        <v>75.16</v>
      </c>
    </row>
    <row r="869" spans="1:8" ht="31.5" x14ac:dyDescent="0.25">
      <c r="A869" s="25" t="s">
        <v>866</v>
      </c>
      <c r="B869" s="20" t="s">
        <v>315</v>
      </c>
      <c r="C869" s="20" t="s">
        <v>134</v>
      </c>
      <c r="D869" s="20" t="s">
        <v>963</v>
      </c>
      <c r="E869" s="20"/>
      <c r="F869" s="6">
        <f>F870</f>
        <v>50</v>
      </c>
      <c r="G869" s="358">
        <f t="shared" si="436"/>
        <v>37.58</v>
      </c>
      <c r="H869" s="358">
        <f t="shared" si="427"/>
        <v>75.16</v>
      </c>
    </row>
    <row r="870" spans="1:8" ht="31.5" x14ac:dyDescent="0.25">
      <c r="A870" s="25" t="s">
        <v>147</v>
      </c>
      <c r="B870" s="20" t="s">
        <v>315</v>
      </c>
      <c r="C870" s="20" t="s">
        <v>134</v>
      </c>
      <c r="D870" s="20" t="s">
        <v>963</v>
      </c>
      <c r="E870" s="20" t="s">
        <v>148</v>
      </c>
      <c r="F870" s="6">
        <f>F871</f>
        <v>50</v>
      </c>
      <c r="G870" s="358">
        <f t="shared" si="436"/>
        <v>37.58</v>
      </c>
      <c r="H870" s="358">
        <f t="shared" si="427"/>
        <v>75.16</v>
      </c>
    </row>
    <row r="871" spans="1:8" ht="47.25" x14ac:dyDescent="0.25">
      <c r="A871" s="25" t="s">
        <v>149</v>
      </c>
      <c r="B871" s="20" t="s">
        <v>315</v>
      </c>
      <c r="C871" s="20" t="s">
        <v>134</v>
      </c>
      <c r="D871" s="20" t="s">
        <v>963</v>
      </c>
      <c r="E871" s="20" t="s">
        <v>150</v>
      </c>
      <c r="F871" s="6">
        <f>'Пр.4 ведом.20'!G386</f>
        <v>50</v>
      </c>
      <c r="G871" s="358">
        <f>'Пр.4 ведом.20'!H386</f>
        <v>37.58</v>
      </c>
      <c r="H871" s="358">
        <f t="shared" si="427"/>
        <v>75.16</v>
      </c>
    </row>
    <row r="872" spans="1:8" ht="31.5" x14ac:dyDescent="0.25">
      <c r="A872" s="23" t="s">
        <v>1076</v>
      </c>
      <c r="B872" s="24" t="s">
        <v>315</v>
      </c>
      <c r="C872" s="24" t="s">
        <v>134</v>
      </c>
      <c r="D872" s="24" t="s">
        <v>964</v>
      </c>
      <c r="E872" s="24"/>
      <c r="F872" s="4">
        <f>F873</f>
        <v>507</v>
      </c>
      <c r="G872" s="4">
        <f t="shared" ref="G872:G873" si="437">G873</f>
        <v>290.89999999999998</v>
      </c>
      <c r="H872" s="4">
        <f t="shared" si="427"/>
        <v>57.376725838264299</v>
      </c>
    </row>
    <row r="873" spans="1:8" ht="31.7" customHeight="1" x14ac:dyDescent="0.25">
      <c r="A873" s="25" t="s">
        <v>885</v>
      </c>
      <c r="B873" s="20" t="s">
        <v>315</v>
      </c>
      <c r="C873" s="20" t="s">
        <v>134</v>
      </c>
      <c r="D873" s="20" t="s">
        <v>1252</v>
      </c>
      <c r="E873" s="20"/>
      <c r="F873" s="6">
        <f>F874</f>
        <v>507</v>
      </c>
      <c r="G873" s="358">
        <f t="shared" si="437"/>
        <v>290.89999999999998</v>
      </c>
      <c r="H873" s="358">
        <f t="shared" si="427"/>
        <v>57.376725838264299</v>
      </c>
    </row>
    <row r="874" spans="1:8" ht="31.7" customHeight="1" x14ac:dyDescent="0.25">
      <c r="A874" s="25" t="s">
        <v>143</v>
      </c>
      <c r="B874" s="20" t="s">
        <v>315</v>
      </c>
      <c r="C874" s="20" t="s">
        <v>134</v>
      </c>
      <c r="D874" s="20" t="s">
        <v>1252</v>
      </c>
      <c r="E874" s="20" t="s">
        <v>144</v>
      </c>
      <c r="F874" s="6">
        <f t="shared" ref="F874:G874" si="438">F875</f>
        <v>507</v>
      </c>
      <c r="G874" s="358">
        <f t="shared" si="438"/>
        <v>290.89999999999998</v>
      </c>
      <c r="H874" s="358">
        <f t="shared" si="427"/>
        <v>57.376725838264299</v>
      </c>
    </row>
    <row r="875" spans="1:8" ht="38.25" customHeight="1" x14ac:dyDescent="0.25">
      <c r="A875" s="25" t="s">
        <v>145</v>
      </c>
      <c r="B875" s="20" t="s">
        <v>315</v>
      </c>
      <c r="C875" s="20" t="s">
        <v>134</v>
      </c>
      <c r="D875" s="20" t="s">
        <v>1252</v>
      </c>
      <c r="E875" s="20" t="s">
        <v>225</v>
      </c>
      <c r="F875" s="6">
        <f>'Пр.4 ведом.20'!G390</f>
        <v>507</v>
      </c>
      <c r="G875" s="358">
        <f>'Пр.4 ведом.20'!H390</f>
        <v>290.89999999999998</v>
      </c>
      <c r="H875" s="358">
        <f t="shared" si="427"/>
        <v>57.376725838264299</v>
      </c>
    </row>
    <row r="876" spans="1:8" ht="32.25" customHeight="1" x14ac:dyDescent="0.25">
      <c r="A876" s="23" t="s">
        <v>1163</v>
      </c>
      <c r="B876" s="24" t="s">
        <v>315</v>
      </c>
      <c r="C876" s="24" t="s">
        <v>134</v>
      </c>
      <c r="D876" s="24" t="s">
        <v>965</v>
      </c>
      <c r="E876" s="24"/>
      <c r="F876" s="4">
        <f>F877+F880</f>
        <v>68.7</v>
      </c>
      <c r="G876" s="4">
        <f t="shared" ref="G876" si="439">G877+G880</f>
        <v>3.5</v>
      </c>
      <c r="H876" s="4">
        <f t="shared" si="427"/>
        <v>5.094614264919942</v>
      </c>
    </row>
    <row r="877" spans="1:8" ht="15.75" customHeight="1" x14ac:dyDescent="0.25">
      <c r="A877" s="25" t="s">
        <v>345</v>
      </c>
      <c r="B877" s="20" t="s">
        <v>315</v>
      </c>
      <c r="C877" s="20" t="s">
        <v>134</v>
      </c>
      <c r="D877" s="20" t="s">
        <v>1253</v>
      </c>
      <c r="E877" s="20"/>
      <c r="F877" s="6">
        <f>F878</f>
        <v>3.5</v>
      </c>
      <c r="G877" s="358">
        <f t="shared" ref="G877:G878" si="440">G878</f>
        <v>3.5</v>
      </c>
      <c r="H877" s="358">
        <f t="shared" si="427"/>
        <v>100</v>
      </c>
    </row>
    <row r="878" spans="1:8" ht="31.5" x14ac:dyDescent="0.25">
      <c r="A878" s="25" t="s">
        <v>147</v>
      </c>
      <c r="B878" s="20" t="s">
        <v>315</v>
      </c>
      <c r="C878" s="20" t="s">
        <v>134</v>
      </c>
      <c r="D878" s="20" t="s">
        <v>1253</v>
      </c>
      <c r="E878" s="20" t="s">
        <v>148</v>
      </c>
      <c r="F878" s="6">
        <f>F879</f>
        <v>3.5</v>
      </c>
      <c r="G878" s="358">
        <f t="shared" si="440"/>
        <v>3.5</v>
      </c>
      <c r="H878" s="358">
        <f t="shared" si="427"/>
        <v>100</v>
      </c>
    </row>
    <row r="879" spans="1:8" ht="31.7" customHeight="1" x14ac:dyDescent="0.25">
      <c r="A879" s="25" t="s">
        <v>149</v>
      </c>
      <c r="B879" s="20" t="s">
        <v>315</v>
      </c>
      <c r="C879" s="20" t="s">
        <v>134</v>
      </c>
      <c r="D879" s="20" t="s">
        <v>1253</v>
      </c>
      <c r="E879" s="20" t="s">
        <v>150</v>
      </c>
      <c r="F879" s="6">
        <f>'Пр.4 ведом.20'!G394</f>
        <v>3.5</v>
      </c>
      <c r="G879" s="358">
        <f>'Пр.4 ведом.20'!H394</f>
        <v>3.5</v>
      </c>
      <c r="H879" s="358">
        <f t="shared" si="427"/>
        <v>100</v>
      </c>
    </row>
    <row r="880" spans="1:8" ht="18.75" customHeight="1" x14ac:dyDescent="0.25">
      <c r="A880" s="25" t="s">
        <v>345</v>
      </c>
      <c r="B880" s="20" t="s">
        <v>315</v>
      </c>
      <c r="C880" s="20" t="s">
        <v>134</v>
      </c>
      <c r="D880" s="20" t="s">
        <v>1254</v>
      </c>
      <c r="E880" s="20"/>
      <c r="F880" s="6">
        <f>F881</f>
        <v>65.2</v>
      </c>
      <c r="G880" s="358">
        <f t="shared" ref="G880" si="441">G881</f>
        <v>0</v>
      </c>
      <c r="H880" s="358">
        <f t="shared" si="427"/>
        <v>0</v>
      </c>
    </row>
    <row r="881" spans="1:8" ht="31.5" x14ac:dyDescent="0.25">
      <c r="A881" s="25" t="s">
        <v>147</v>
      </c>
      <c r="B881" s="20" t="s">
        <v>315</v>
      </c>
      <c r="C881" s="20" t="s">
        <v>134</v>
      </c>
      <c r="D881" s="20" t="s">
        <v>1254</v>
      </c>
      <c r="E881" s="20" t="s">
        <v>148</v>
      </c>
      <c r="F881" s="6">
        <f t="shared" ref="F881:G881" si="442">F882</f>
        <v>65.2</v>
      </c>
      <c r="G881" s="358">
        <f t="shared" si="442"/>
        <v>0</v>
      </c>
      <c r="H881" s="358">
        <f t="shared" si="427"/>
        <v>0</v>
      </c>
    </row>
    <row r="882" spans="1:8" ht="47.25" x14ac:dyDescent="0.25">
      <c r="A882" s="25" t="s">
        <v>149</v>
      </c>
      <c r="B882" s="20" t="s">
        <v>315</v>
      </c>
      <c r="C882" s="20" t="s">
        <v>134</v>
      </c>
      <c r="D882" s="20" t="s">
        <v>1254</v>
      </c>
      <c r="E882" s="38">
        <v>240</v>
      </c>
      <c r="F882" s="6">
        <f>'Пр.4 ведом.20'!G397</f>
        <v>65.2</v>
      </c>
      <c r="G882" s="358">
        <f>'Пр.4 ведом.20'!H397</f>
        <v>0</v>
      </c>
      <c r="H882" s="358">
        <f t="shared" si="427"/>
        <v>0</v>
      </c>
    </row>
    <row r="883" spans="1:8" ht="47.25" x14ac:dyDescent="0.25">
      <c r="A883" s="226" t="s">
        <v>971</v>
      </c>
      <c r="B883" s="24" t="s">
        <v>315</v>
      </c>
      <c r="C883" s="24" t="s">
        <v>134</v>
      </c>
      <c r="D883" s="24" t="s">
        <v>1255</v>
      </c>
      <c r="E883" s="24"/>
      <c r="F883" s="305">
        <f>F887+F890+F884</f>
        <v>1596</v>
      </c>
      <c r="G883" s="305">
        <f t="shared" ref="G883" si="443">G887+G890+G884</f>
        <v>867.7940000000001</v>
      </c>
      <c r="H883" s="4">
        <f t="shared" si="427"/>
        <v>54.373057644110276</v>
      </c>
    </row>
    <row r="884" spans="1:8" s="324" customFormat="1" ht="94.5" x14ac:dyDescent="0.25">
      <c r="A884" s="31" t="s">
        <v>309</v>
      </c>
      <c r="B884" s="331" t="s">
        <v>315</v>
      </c>
      <c r="C884" s="331" t="s">
        <v>134</v>
      </c>
      <c r="D884" s="331" t="s">
        <v>1522</v>
      </c>
      <c r="E884" s="331"/>
      <c r="F884" s="303">
        <f>F885</f>
        <v>1159.3</v>
      </c>
      <c r="G884" s="303">
        <f t="shared" ref="G884:G885" si="444">G885</f>
        <v>534.33500000000004</v>
      </c>
      <c r="H884" s="358">
        <f t="shared" si="427"/>
        <v>46.091175709479863</v>
      </c>
    </row>
    <row r="885" spans="1:8" s="324" customFormat="1" ht="78.75" x14ac:dyDescent="0.25">
      <c r="A885" s="335" t="s">
        <v>143</v>
      </c>
      <c r="B885" s="331" t="s">
        <v>315</v>
      </c>
      <c r="C885" s="331" t="s">
        <v>134</v>
      </c>
      <c r="D885" s="331" t="s">
        <v>1522</v>
      </c>
      <c r="E885" s="331" t="s">
        <v>144</v>
      </c>
      <c r="F885" s="303">
        <f>F886</f>
        <v>1159.3</v>
      </c>
      <c r="G885" s="303">
        <f t="shared" si="444"/>
        <v>534.33500000000004</v>
      </c>
      <c r="H885" s="358">
        <f t="shared" si="427"/>
        <v>46.091175709479863</v>
      </c>
    </row>
    <row r="886" spans="1:8" s="324" customFormat="1" ht="31.5" x14ac:dyDescent="0.25">
      <c r="A886" s="335" t="s">
        <v>224</v>
      </c>
      <c r="B886" s="331" t="s">
        <v>315</v>
      </c>
      <c r="C886" s="331" t="s">
        <v>134</v>
      </c>
      <c r="D886" s="331" t="s">
        <v>1522</v>
      </c>
      <c r="E886" s="331" t="s">
        <v>225</v>
      </c>
      <c r="F886" s="303">
        <f>'Пр.4 ведом.20'!G401</f>
        <v>1159.3</v>
      </c>
      <c r="G886" s="303">
        <f>'Пр.4 ведом.20'!H401</f>
        <v>534.33500000000004</v>
      </c>
      <c r="H886" s="358">
        <f t="shared" si="427"/>
        <v>46.091175709479863</v>
      </c>
    </row>
    <row r="887" spans="1:8" ht="31.7" customHeight="1" x14ac:dyDescent="0.25">
      <c r="A887" s="25" t="s">
        <v>347</v>
      </c>
      <c r="B887" s="20" t="s">
        <v>315</v>
      </c>
      <c r="C887" s="20" t="s">
        <v>134</v>
      </c>
      <c r="D887" s="20" t="s">
        <v>1256</v>
      </c>
      <c r="E887" s="20"/>
      <c r="F887" s="303">
        <f t="shared" ref="F887:G888" si="445">F888</f>
        <v>319.7</v>
      </c>
      <c r="G887" s="303">
        <f t="shared" si="445"/>
        <v>216.499</v>
      </c>
      <c r="H887" s="358">
        <f t="shared" si="427"/>
        <v>67.719424460431654</v>
      </c>
    </row>
    <row r="888" spans="1:8" ht="47.25" customHeight="1" x14ac:dyDescent="0.25">
      <c r="A888" s="25" t="s">
        <v>143</v>
      </c>
      <c r="B888" s="20" t="s">
        <v>315</v>
      </c>
      <c r="C888" s="20" t="s">
        <v>134</v>
      </c>
      <c r="D888" s="20" t="s">
        <v>1256</v>
      </c>
      <c r="E888" s="20" t="s">
        <v>144</v>
      </c>
      <c r="F888" s="303">
        <f>F889</f>
        <v>319.7</v>
      </c>
      <c r="G888" s="303">
        <f t="shared" si="445"/>
        <v>216.499</v>
      </c>
      <c r="H888" s="358">
        <f t="shared" si="427"/>
        <v>67.719424460431654</v>
      </c>
    </row>
    <row r="889" spans="1:8" ht="31.5" x14ac:dyDescent="0.25">
      <c r="A889" s="25" t="s">
        <v>224</v>
      </c>
      <c r="B889" s="20" t="s">
        <v>315</v>
      </c>
      <c r="C889" s="20" t="s">
        <v>134</v>
      </c>
      <c r="D889" s="20" t="s">
        <v>1256</v>
      </c>
      <c r="E889" s="20" t="s">
        <v>225</v>
      </c>
      <c r="F889" s="6">
        <f>'Пр.4 ведом.20'!G404</f>
        <v>319.7</v>
      </c>
      <c r="G889" s="358">
        <f>'Пр.4 ведом.20'!H404</f>
        <v>216.499</v>
      </c>
      <c r="H889" s="358">
        <f t="shared" si="427"/>
        <v>67.719424460431654</v>
      </c>
    </row>
    <row r="890" spans="1:8" ht="94.5" x14ac:dyDescent="0.25">
      <c r="A890" s="31" t="s">
        <v>309</v>
      </c>
      <c r="B890" s="20" t="s">
        <v>315</v>
      </c>
      <c r="C890" s="20" t="s">
        <v>134</v>
      </c>
      <c r="D890" s="20" t="s">
        <v>1257</v>
      </c>
      <c r="E890" s="20"/>
      <c r="F890" s="6">
        <f>F891</f>
        <v>117</v>
      </c>
      <c r="G890" s="358">
        <f t="shared" ref="G890" si="446">G891</f>
        <v>116.96</v>
      </c>
      <c r="H890" s="358">
        <f t="shared" si="427"/>
        <v>99.965811965811952</v>
      </c>
    </row>
    <row r="891" spans="1:8" ht="78.75" x14ac:dyDescent="0.25">
      <c r="A891" s="25" t="s">
        <v>143</v>
      </c>
      <c r="B891" s="20" t="s">
        <v>315</v>
      </c>
      <c r="C891" s="20" t="s">
        <v>134</v>
      </c>
      <c r="D891" s="20" t="s">
        <v>1257</v>
      </c>
      <c r="E891" s="20" t="s">
        <v>144</v>
      </c>
      <c r="F891" s="303">
        <f t="shared" ref="F891:G891" si="447">F892</f>
        <v>117</v>
      </c>
      <c r="G891" s="303">
        <f t="shared" si="447"/>
        <v>116.96</v>
      </c>
      <c r="H891" s="358">
        <f t="shared" si="427"/>
        <v>99.965811965811952</v>
      </c>
    </row>
    <row r="892" spans="1:8" ht="31.5" x14ac:dyDescent="0.25">
      <c r="A892" s="25" t="s">
        <v>224</v>
      </c>
      <c r="B892" s="20" t="s">
        <v>315</v>
      </c>
      <c r="C892" s="20" t="s">
        <v>134</v>
      </c>
      <c r="D892" s="20" t="s">
        <v>1257</v>
      </c>
      <c r="E892" s="20" t="s">
        <v>225</v>
      </c>
      <c r="F892" s="303">
        <f>'Пр.4 ведом.20'!G407</f>
        <v>117</v>
      </c>
      <c r="G892" s="303">
        <f>'Пр.4 ведом.20'!H407</f>
        <v>116.96</v>
      </c>
      <c r="H892" s="358">
        <f t="shared" si="427"/>
        <v>99.965811965811952</v>
      </c>
    </row>
    <row r="893" spans="1:8" ht="63" x14ac:dyDescent="0.25">
      <c r="A893" s="34" t="s">
        <v>805</v>
      </c>
      <c r="B893" s="24" t="s">
        <v>315</v>
      </c>
      <c r="C893" s="24" t="s">
        <v>134</v>
      </c>
      <c r="D893" s="24" t="s">
        <v>340</v>
      </c>
      <c r="E893" s="24"/>
      <c r="F893" s="305">
        <f>F894</f>
        <v>100</v>
      </c>
      <c r="G893" s="305">
        <f t="shared" ref="G893:G896" si="448">G894</f>
        <v>0</v>
      </c>
      <c r="H893" s="4">
        <f t="shared" si="427"/>
        <v>0</v>
      </c>
    </row>
    <row r="894" spans="1:8" ht="63" x14ac:dyDescent="0.25">
      <c r="A894" s="34" t="s">
        <v>1191</v>
      </c>
      <c r="B894" s="24" t="s">
        <v>315</v>
      </c>
      <c r="C894" s="24" t="s">
        <v>134</v>
      </c>
      <c r="D894" s="24" t="s">
        <v>1025</v>
      </c>
      <c r="E894" s="24"/>
      <c r="F894" s="4">
        <f>F895</f>
        <v>100</v>
      </c>
      <c r="G894" s="4">
        <f t="shared" si="448"/>
        <v>0</v>
      </c>
      <c r="H894" s="4">
        <f t="shared" si="427"/>
        <v>0</v>
      </c>
    </row>
    <row r="895" spans="1:8" ht="47.25" x14ac:dyDescent="0.25">
      <c r="A895" s="31" t="s">
        <v>1272</v>
      </c>
      <c r="B895" s="20" t="s">
        <v>315</v>
      </c>
      <c r="C895" s="20" t="s">
        <v>134</v>
      </c>
      <c r="D895" s="20" t="s">
        <v>1192</v>
      </c>
      <c r="E895" s="20"/>
      <c r="F895" s="6">
        <f>F896</f>
        <v>100</v>
      </c>
      <c r="G895" s="358">
        <f t="shared" si="448"/>
        <v>0</v>
      </c>
      <c r="H895" s="358">
        <f t="shared" si="427"/>
        <v>0</v>
      </c>
    </row>
    <row r="896" spans="1:8" ht="31.5" x14ac:dyDescent="0.25">
      <c r="A896" s="25" t="s">
        <v>147</v>
      </c>
      <c r="B896" s="20" t="s">
        <v>315</v>
      </c>
      <c r="C896" s="20" t="s">
        <v>134</v>
      </c>
      <c r="D896" s="20" t="s">
        <v>1192</v>
      </c>
      <c r="E896" s="20" t="s">
        <v>148</v>
      </c>
      <c r="F896" s="6">
        <f>F897</f>
        <v>100</v>
      </c>
      <c r="G896" s="358">
        <f t="shared" si="448"/>
        <v>0</v>
      </c>
      <c r="H896" s="358">
        <f t="shared" si="427"/>
        <v>0</v>
      </c>
    </row>
    <row r="897" spans="1:8" ht="47.25" x14ac:dyDescent="0.25">
      <c r="A897" s="25" t="s">
        <v>149</v>
      </c>
      <c r="B897" s="20" t="s">
        <v>315</v>
      </c>
      <c r="C897" s="20" t="s">
        <v>134</v>
      </c>
      <c r="D897" s="20" t="s">
        <v>1192</v>
      </c>
      <c r="E897" s="20" t="s">
        <v>150</v>
      </c>
      <c r="F897" s="6">
        <f>'Пр.4 ведом.20'!G412</f>
        <v>100</v>
      </c>
      <c r="G897" s="358">
        <f>'Пр.4 ведом.20'!H412</f>
        <v>0</v>
      </c>
      <c r="H897" s="358">
        <f t="shared" si="427"/>
        <v>0</v>
      </c>
    </row>
    <row r="898" spans="1:8" ht="63" x14ac:dyDescent="0.25">
      <c r="A898" s="41" t="s">
        <v>1179</v>
      </c>
      <c r="B898" s="24" t="s">
        <v>315</v>
      </c>
      <c r="C898" s="24" t="s">
        <v>134</v>
      </c>
      <c r="D898" s="24" t="s">
        <v>728</v>
      </c>
      <c r="E898" s="231"/>
      <c r="F898" s="4">
        <f t="shared" ref="F898:G901" si="449">F899</f>
        <v>834.6</v>
      </c>
      <c r="G898" s="4">
        <f t="shared" si="449"/>
        <v>624.54899999999998</v>
      </c>
      <c r="H898" s="4">
        <f t="shared" si="427"/>
        <v>74.832135154565066</v>
      </c>
    </row>
    <row r="899" spans="1:8" ht="47.25" x14ac:dyDescent="0.25">
      <c r="A899" s="41" t="s">
        <v>949</v>
      </c>
      <c r="B899" s="24" t="s">
        <v>315</v>
      </c>
      <c r="C899" s="24" t="s">
        <v>134</v>
      </c>
      <c r="D899" s="24" t="s">
        <v>947</v>
      </c>
      <c r="E899" s="231"/>
      <c r="F899" s="4">
        <f>F900</f>
        <v>834.6</v>
      </c>
      <c r="G899" s="4">
        <f t="shared" si="449"/>
        <v>624.54899999999998</v>
      </c>
      <c r="H899" s="4">
        <f t="shared" si="427"/>
        <v>74.832135154565066</v>
      </c>
    </row>
    <row r="900" spans="1:8" ht="47.25" x14ac:dyDescent="0.25">
      <c r="A900" s="99" t="s">
        <v>1187</v>
      </c>
      <c r="B900" s="20" t="s">
        <v>315</v>
      </c>
      <c r="C900" s="20" t="s">
        <v>134</v>
      </c>
      <c r="D900" s="20" t="s">
        <v>948</v>
      </c>
      <c r="E900" s="32"/>
      <c r="F900" s="303">
        <f>F901</f>
        <v>834.6</v>
      </c>
      <c r="G900" s="303">
        <f t="shared" si="449"/>
        <v>624.54899999999998</v>
      </c>
      <c r="H900" s="358">
        <f t="shared" si="427"/>
        <v>74.832135154565066</v>
      </c>
    </row>
    <row r="901" spans="1:8" ht="31.5" x14ac:dyDescent="0.25">
      <c r="A901" s="25" t="s">
        <v>147</v>
      </c>
      <c r="B901" s="20" t="s">
        <v>315</v>
      </c>
      <c r="C901" s="20" t="s">
        <v>134</v>
      </c>
      <c r="D901" s="20" t="s">
        <v>948</v>
      </c>
      <c r="E901" s="32" t="s">
        <v>148</v>
      </c>
      <c r="F901" s="6">
        <f>F902</f>
        <v>834.6</v>
      </c>
      <c r="G901" s="358">
        <f t="shared" si="449"/>
        <v>624.54899999999998</v>
      </c>
      <c r="H901" s="358">
        <f t="shared" si="427"/>
        <v>74.832135154565066</v>
      </c>
    </row>
    <row r="902" spans="1:8" ht="47.25" x14ac:dyDescent="0.25">
      <c r="A902" s="25" t="s">
        <v>149</v>
      </c>
      <c r="B902" s="20" t="s">
        <v>315</v>
      </c>
      <c r="C902" s="20" t="s">
        <v>134</v>
      </c>
      <c r="D902" s="20" t="s">
        <v>948</v>
      </c>
      <c r="E902" s="32" t="s">
        <v>150</v>
      </c>
      <c r="F902" s="6">
        <f>'Пр.4 ведом.20'!G417</f>
        <v>834.6</v>
      </c>
      <c r="G902" s="358">
        <f>'Пр.4 ведом.20'!H417</f>
        <v>624.54899999999998</v>
      </c>
      <c r="H902" s="358">
        <f t="shared" si="427"/>
        <v>74.832135154565066</v>
      </c>
    </row>
    <row r="903" spans="1:8" s="213" customFormat="1" ht="31.5" x14ac:dyDescent="0.25">
      <c r="A903" s="23" t="s">
        <v>349</v>
      </c>
      <c r="B903" s="24" t="s">
        <v>315</v>
      </c>
      <c r="C903" s="24" t="s">
        <v>166</v>
      </c>
      <c r="D903" s="24"/>
      <c r="E903" s="32"/>
      <c r="F903" s="4">
        <f>F904+F914+F926</f>
        <v>17900.8</v>
      </c>
      <c r="G903" s="4">
        <f t="shared" ref="G903" si="450">G904+G914+G926</f>
        <v>12191.907999999999</v>
      </c>
      <c r="H903" s="4">
        <f t="shared" si="427"/>
        <v>68.108173936360387</v>
      </c>
    </row>
    <row r="904" spans="1:8" s="213" customFormat="1" ht="31.5" x14ac:dyDescent="0.25">
      <c r="A904" s="23" t="s">
        <v>990</v>
      </c>
      <c r="B904" s="24" t="s">
        <v>315</v>
      </c>
      <c r="C904" s="24" t="s">
        <v>166</v>
      </c>
      <c r="D904" s="24" t="s">
        <v>904</v>
      </c>
      <c r="E904" s="32"/>
      <c r="F904" s="4">
        <f>F905</f>
        <v>7272.5</v>
      </c>
      <c r="G904" s="4">
        <f t="shared" ref="G904" si="451">G905</f>
        <v>4543.3500000000004</v>
      </c>
      <c r="H904" s="4">
        <f t="shared" si="427"/>
        <v>62.473014781711932</v>
      </c>
    </row>
    <row r="905" spans="1:8" s="213" customFormat="1" ht="15.75" x14ac:dyDescent="0.25">
      <c r="A905" s="23" t="s">
        <v>991</v>
      </c>
      <c r="B905" s="24" t="s">
        <v>315</v>
      </c>
      <c r="C905" s="24" t="s">
        <v>166</v>
      </c>
      <c r="D905" s="24" t="s">
        <v>905</v>
      </c>
      <c r="E905" s="32"/>
      <c r="F905" s="4">
        <f>F906+F911</f>
        <v>7272.5</v>
      </c>
      <c r="G905" s="4">
        <f t="shared" ref="G905" si="452">G906+G911</f>
        <v>4543.3500000000004</v>
      </c>
      <c r="H905" s="4">
        <f t="shared" si="427"/>
        <v>62.473014781711932</v>
      </c>
    </row>
    <row r="906" spans="1:8" s="213" customFormat="1" ht="31.5" x14ac:dyDescent="0.25">
      <c r="A906" s="25" t="s">
        <v>967</v>
      </c>
      <c r="B906" s="20" t="s">
        <v>315</v>
      </c>
      <c r="C906" s="20" t="s">
        <v>166</v>
      </c>
      <c r="D906" s="20" t="s">
        <v>906</v>
      </c>
      <c r="E906" s="32"/>
      <c r="F906" s="6">
        <f>F907+F909</f>
        <v>7146.5</v>
      </c>
      <c r="G906" s="358">
        <f t="shared" ref="G906" si="453">G907+G909</f>
        <v>4525.3500000000004</v>
      </c>
      <c r="H906" s="358">
        <f t="shared" si="427"/>
        <v>63.322605471209691</v>
      </c>
    </row>
    <row r="907" spans="1:8" s="213" customFormat="1" ht="78.75" x14ac:dyDescent="0.25">
      <c r="A907" s="25" t="s">
        <v>143</v>
      </c>
      <c r="B907" s="20" t="s">
        <v>315</v>
      </c>
      <c r="C907" s="20" t="s">
        <v>166</v>
      </c>
      <c r="D907" s="20" t="s">
        <v>906</v>
      </c>
      <c r="E907" s="32" t="s">
        <v>144</v>
      </c>
      <c r="F907" s="6">
        <f>F908</f>
        <v>7146.5</v>
      </c>
      <c r="G907" s="358">
        <f t="shared" ref="G907" si="454">G908</f>
        <v>4525.3500000000004</v>
      </c>
      <c r="H907" s="358">
        <f t="shared" ref="H907:H970" si="455">G907/F907*100</f>
        <v>63.322605471209691</v>
      </c>
    </row>
    <row r="908" spans="1:8" ht="31.5" x14ac:dyDescent="0.25">
      <c r="A908" s="25" t="s">
        <v>145</v>
      </c>
      <c r="B908" s="20" t="s">
        <v>315</v>
      </c>
      <c r="C908" s="20" t="s">
        <v>166</v>
      </c>
      <c r="D908" s="20" t="s">
        <v>906</v>
      </c>
      <c r="E908" s="40" t="s">
        <v>146</v>
      </c>
      <c r="F908" s="6">
        <f>'Пр.4 ведом.20'!G423</f>
        <v>7146.5</v>
      </c>
      <c r="G908" s="358">
        <f>'Пр.4 ведом.20'!H423</f>
        <v>4525.3500000000004</v>
      </c>
      <c r="H908" s="358">
        <f t="shared" si="455"/>
        <v>63.322605471209691</v>
      </c>
    </row>
    <row r="909" spans="1:8" ht="31.5" hidden="1" x14ac:dyDescent="0.25">
      <c r="A909" s="25" t="s">
        <v>147</v>
      </c>
      <c r="B909" s="20" t="s">
        <v>315</v>
      </c>
      <c r="C909" s="20" t="s">
        <v>166</v>
      </c>
      <c r="D909" s="20" t="s">
        <v>906</v>
      </c>
      <c r="E909" s="40" t="s">
        <v>148</v>
      </c>
      <c r="F909" s="6">
        <f>F910</f>
        <v>0</v>
      </c>
      <c r="G909" s="358">
        <f t="shared" ref="G909" si="456">G910</f>
        <v>0</v>
      </c>
      <c r="H909" s="358" t="e">
        <f t="shared" si="455"/>
        <v>#DIV/0!</v>
      </c>
    </row>
    <row r="910" spans="1:8" ht="47.25" hidden="1" x14ac:dyDescent="0.25">
      <c r="A910" s="25" t="s">
        <v>149</v>
      </c>
      <c r="B910" s="20" t="s">
        <v>315</v>
      </c>
      <c r="C910" s="20" t="s">
        <v>166</v>
      </c>
      <c r="D910" s="20" t="s">
        <v>906</v>
      </c>
      <c r="E910" s="40" t="s">
        <v>150</v>
      </c>
      <c r="F910" s="6">
        <f>'Пр.4 ведом.20'!G425</f>
        <v>0</v>
      </c>
      <c r="G910" s="358">
        <f>'Пр.4 ведом.20'!H425</f>
        <v>0</v>
      </c>
      <c r="H910" s="358" t="e">
        <f t="shared" si="455"/>
        <v>#DIV/0!</v>
      </c>
    </row>
    <row r="911" spans="1:8" ht="47.25" x14ac:dyDescent="0.25">
      <c r="A911" s="25" t="s">
        <v>885</v>
      </c>
      <c r="B911" s="20" t="s">
        <v>315</v>
      </c>
      <c r="C911" s="20" t="s">
        <v>166</v>
      </c>
      <c r="D911" s="20" t="s">
        <v>908</v>
      </c>
      <c r="E911" s="40"/>
      <c r="F911" s="6">
        <f>F912</f>
        <v>126</v>
      </c>
      <c r="G911" s="358">
        <f t="shared" ref="G911" si="457">G912</f>
        <v>18</v>
      </c>
      <c r="H911" s="358">
        <f t="shared" si="455"/>
        <v>14.285714285714285</v>
      </c>
    </row>
    <row r="912" spans="1:8" ht="78.75" x14ac:dyDescent="0.25">
      <c r="A912" s="25" t="s">
        <v>143</v>
      </c>
      <c r="B912" s="20" t="s">
        <v>315</v>
      </c>
      <c r="C912" s="20" t="s">
        <v>166</v>
      </c>
      <c r="D912" s="20" t="s">
        <v>908</v>
      </c>
      <c r="E912" s="40" t="s">
        <v>144</v>
      </c>
      <c r="F912" s="6">
        <f t="shared" ref="F912:G912" si="458">F913</f>
        <v>126</v>
      </c>
      <c r="G912" s="358">
        <f t="shared" si="458"/>
        <v>18</v>
      </c>
      <c r="H912" s="358">
        <f t="shared" si="455"/>
        <v>14.285714285714285</v>
      </c>
    </row>
    <row r="913" spans="1:8" ht="31.5" x14ac:dyDescent="0.25">
      <c r="A913" s="25" t="s">
        <v>145</v>
      </c>
      <c r="B913" s="20" t="s">
        <v>315</v>
      </c>
      <c r="C913" s="20" t="s">
        <v>166</v>
      </c>
      <c r="D913" s="20" t="s">
        <v>908</v>
      </c>
      <c r="E913" s="40" t="s">
        <v>146</v>
      </c>
      <c r="F913" s="6">
        <f>'Пр.4 ведом.20'!G428</f>
        <v>126</v>
      </c>
      <c r="G913" s="358">
        <f>'Пр.4 ведом.20'!H428</f>
        <v>18</v>
      </c>
      <c r="H913" s="358">
        <f t="shared" si="455"/>
        <v>14.285714285714285</v>
      </c>
    </row>
    <row r="914" spans="1:8" ht="15.75" x14ac:dyDescent="0.25">
      <c r="A914" s="23" t="s">
        <v>999</v>
      </c>
      <c r="B914" s="24" t="s">
        <v>315</v>
      </c>
      <c r="C914" s="24" t="s">
        <v>166</v>
      </c>
      <c r="D914" s="24" t="s">
        <v>912</v>
      </c>
      <c r="E914" s="40"/>
      <c r="F914" s="4">
        <f t="shared" ref="F914:G914" si="459">F915</f>
        <v>10368.299999999999</v>
      </c>
      <c r="G914" s="4">
        <f t="shared" si="459"/>
        <v>7566.5909999999994</v>
      </c>
      <c r="H914" s="4">
        <f t="shared" si="455"/>
        <v>72.978125632938855</v>
      </c>
    </row>
    <row r="915" spans="1:8" ht="31.5" x14ac:dyDescent="0.25">
      <c r="A915" s="23" t="s">
        <v>1002</v>
      </c>
      <c r="B915" s="24" t="s">
        <v>315</v>
      </c>
      <c r="C915" s="24" t="s">
        <v>166</v>
      </c>
      <c r="D915" s="24" t="s">
        <v>987</v>
      </c>
      <c r="E915" s="40"/>
      <c r="F915" s="4">
        <f>F916+F923</f>
        <v>10368.299999999999</v>
      </c>
      <c r="G915" s="4">
        <f t="shared" ref="G915" si="460">G916+G923</f>
        <v>7566.5909999999994</v>
      </c>
      <c r="H915" s="4">
        <f t="shared" si="455"/>
        <v>72.978125632938855</v>
      </c>
    </row>
    <row r="916" spans="1:8" ht="31.5" x14ac:dyDescent="0.25">
      <c r="A916" s="25" t="s">
        <v>974</v>
      </c>
      <c r="B916" s="20" t="s">
        <v>315</v>
      </c>
      <c r="C916" s="20" t="s">
        <v>166</v>
      </c>
      <c r="D916" s="20" t="s">
        <v>988</v>
      </c>
      <c r="E916" s="40"/>
      <c r="F916" s="6">
        <f>F917+F919+F921</f>
        <v>10158.299999999999</v>
      </c>
      <c r="G916" s="358">
        <f t="shared" ref="G916" si="461">G917+G919+G921</f>
        <v>7368.7569999999996</v>
      </c>
      <c r="H916" s="358">
        <f t="shared" si="455"/>
        <v>72.539273303603949</v>
      </c>
    </row>
    <row r="917" spans="1:8" ht="78.75" x14ac:dyDescent="0.25">
      <c r="A917" s="25" t="s">
        <v>143</v>
      </c>
      <c r="B917" s="20" t="s">
        <v>315</v>
      </c>
      <c r="C917" s="20" t="s">
        <v>166</v>
      </c>
      <c r="D917" s="20" t="s">
        <v>988</v>
      </c>
      <c r="E917" s="40" t="s">
        <v>144</v>
      </c>
      <c r="F917" s="6">
        <f t="shared" ref="F917:G917" si="462">F918</f>
        <v>8201.1</v>
      </c>
      <c r="G917" s="358">
        <f t="shared" si="462"/>
        <v>6034.69</v>
      </c>
      <c r="H917" s="358">
        <f t="shared" si="455"/>
        <v>73.583909475558158</v>
      </c>
    </row>
    <row r="918" spans="1:8" ht="21.75" customHeight="1" x14ac:dyDescent="0.25">
      <c r="A918" s="25" t="s">
        <v>358</v>
      </c>
      <c r="B918" s="20" t="s">
        <v>315</v>
      </c>
      <c r="C918" s="20" t="s">
        <v>166</v>
      </c>
      <c r="D918" s="20" t="s">
        <v>988</v>
      </c>
      <c r="E918" s="40" t="s">
        <v>225</v>
      </c>
      <c r="F918" s="6">
        <f>'Пр.4 ведом.20'!G433</f>
        <v>8201.1</v>
      </c>
      <c r="G918" s="358">
        <f>'Пр.4 ведом.20'!H433</f>
        <v>6034.69</v>
      </c>
      <c r="H918" s="358">
        <f t="shared" si="455"/>
        <v>73.583909475558158</v>
      </c>
    </row>
    <row r="919" spans="1:8" ht="31.5" x14ac:dyDescent="0.25">
      <c r="A919" s="25" t="s">
        <v>147</v>
      </c>
      <c r="B919" s="20" t="s">
        <v>315</v>
      </c>
      <c r="C919" s="20" t="s">
        <v>166</v>
      </c>
      <c r="D919" s="20" t="s">
        <v>988</v>
      </c>
      <c r="E919" s="40" t="s">
        <v>148</v>
      </c>
      <c r="F919" s="6">
        <f t="shared" ref="F919:G921" si="463">F920</f>
        <v>1933.9</v>
      </c>
      <c r="G919" s="358">
        <f t="shared" si="463"/>
        <v>1312.12</v>
      </c>
      <c r="H919" s="358">
        <f t="shared" si="455"/>
        <v>67.84838926521536</v>
      </c>
    </row>
    <row r="920" spans="1:8" ht="47.25" x14ac:dyDescent="0.25">
      <c r="A920" s="25" t="s">
        <v>149</v>
      </c>
      <c r="B920" s="20" t="s">
        <v>315</v>
      </c>
      <c r="C920" s="20" t="s">
        <v>166</v>
      </c>
      <c r="D920" s="20" t="s">
        <v>988</v>
      </c>
      <c r="E920" s="40" t="s">
        <v>150</v>
      </c>
      <c r="F920" s="6">
        <f>'Пр.4 ведом.20'!G435</f>
        <v>1933.9</v>
      </c>
      <c r="G920" s="358">
        <f>'Пр.4 ведом.20'!H435</f>
        <v>1312.12</v>
      </c>
      <c r="H920" s="358">
        <f t="shared" si="455"/>
        <v>67.84838926521536</v>
      </c>
    </row>
    <row r="921" spans="1:8" ht="15.75" x14ac:dyDescent="0.25">
      <c r="A921" s="25" t="s">
        <v>151</v>
      </c>
      <c r="B921" s="20" t="s">
        <v>315</v>
      </c>
      <c r="C921" s="20" t="s">
        <v>166</v>
      </c>
      <c r="D921" s="20" t="s">
        <v>988</v>
      </c>
      <c r="E921" s="40" t="s">
        <v>161</v>
      </c>
      <c r="F921" s="6">
        <f t="shared" si="463"/>
        <v>23.3</v>
      </c>
      <c r="G921" s="358">
        <f t="shared" si="463"/>
        <v>21.946999999999999</v>
      </c>
      <c r="H921" s="358">
        <f t="shared" si="455"/>
        <v>94.193133047210296</v>
      </c>
    </row>
    <row r="922" spans="1:8" ht="15.75" x14ac:dyDescent="0.25">
      <c r="A922" s="25" t="s">
        <v>584</v>
      </c>
      <c r="B922" s="20" t="s">
        <v>315</v>
      </c>
      <c r="C922" s="20" t="s">
        <v>166</v>
      </c>
      <c r="D922" s="20" t="s">
        <v>988</v>
      </c>
      <c r="E922" s="40" t="s">
        <v>154</v>
      </c>
      <c r="F922" s="6">
        <f>'Пр.4 ведом.20'!G437</f>
        <v>23.3</v>
      </c>
      <c r="G922" s="358">
        <f>'Пр.4 ведом.20'!H437</f>
        <v>21.946999999999999</v>
      </c>
      <c r="H922" s="358">
        <f t="shared" si="455"/>
        <v>94.193133047210296</v>
      </c>
    </row>
    <row r="923" spans="1:8" ht="47.25" x14ac:dyDescent="0.25">
      <c r="A923" s="25" t="s">
        <v>885</v>
      </c>
      <c r="B923" s="20" t="s">
        <v>315</v>
      </c>
      <c r="C923" s="20" t="s">
        <v>166</v>
      </c>
      <c r="D923" s="20" t="s">
        <v>989</v>
      </c>
      <c r="E923" s="40"/>
      <c r="F923" s="6">
        <f>F924</f>
        <v>210</v>
      </c>
      <c r="G923" s="358">
        <f t="shared" ref="G923" si="464">G924</f>
        <v>197.834</v>
      </c>
      <c r="H923" s="358">
        <f t="shared" si="455"/>
        <v>94.206666666666678</v>
      </c>
    </row>
    <row r="924" spans="1:8" ht="78.75" x14ac:dyDescent="0.25">
      <c r="A924" s="25" t="s">
        <v>143</v>
      </c>
      <c r="B924" s="20" t="s">
        <v>315</v>
      </c>
      <c r="C924" s="20" t="s">
        <v>166</v>
      </c>
      <c r="D924" s="20" t="s">
        <v>989</v>
      </c>
      <c r="E924" s="40" t="s">
        <v>144</v>
      </c>
      <c r="F924" s="6">
        <f t="shared" ref="F924:G924" si="465">F925</f>
        <v>210</v>
      </c>
      <c r="G924" s="358">
        <f t="shared" si="465"/>
        <v>197.834</v>
      </c>
      <c r="H924" s="358">
        <f t="shared" si="455"/>
        <v>94.206666666666678</v>
      </c>
    </row>
    <row r="925" spans="1:8" ht="31.5" x14ac:dyDescent="0.25">
      <c r="A925" s="25" t="s">
        <v>145</v>
      </c>
      <c r="B925" s="20" t="s">
        <v>315</v>
      </c>
      <c r="C925" s="20" t="s">
        <v>166</v>
      </c>
      <c r="D925" s="20" t="s">
        <v>989</v>
      </c>
      <c r="E925" s="40" t="s">
        <v>225</v>
      </c>
      <c r="F925" s="6">
        <f>'Пр.4 ведом.20'!G440</f>
        <v>210</v>
      </c>
      <c r="G925" s="358">
        <f>'Пр.4 ведом.20'!H440</f>
        <v>197.834</v>
      </c>
      <c r="H925" s="358">
        <f t="shared" si="455"/>
        <v>94.206666666666678</v>
      </c>
    </row>
    <row r="926" spans="1:8" ht="47.25" x14ac:dyDescent="0.25">
      <c r="A926" s="23" t="s">
        <v>359</v>
      </c>
      <c r="B926" s="24" t="s">
        <v>315</v>
      </c>
      <c r="C926" s="24" t="s">
        <v>166</v>
      </c>
      <c r="D926" s="24" t="s">
        <v>360</v>
      </c>
      <c r="E926" s="40"/>
      <c r="F926" s="4">
        <f>F927</f>
        <v>260</v>
      </c>
      <c r="G926" s="4">
        <f t="shared" ref="G926:G928" si="466">G927</f>
        <v>81.966999999999999</v>
      </c>
      <c r="H926" s="4">
        <f t="shared" si="455"/>
        <v>31.525769230769228</v>
      </c>
    </row>
    <row r="927" spans="1:8" ht="47.25" x14ac:dyDescent="0.25">
      <c r="A927" s="23" t="s">
        <v>380</v>
      </c>
      <c r="B927" s="24" t="s">
        <v>315</v>
      </c>
      <c r="C927" s="24" t="s">
        <v>166</v>
      </c>
      <c r="D927" s="24" t="s">
        <v>381</v>
      </c>
      <c r="E927" s="40"/>
      <c r="F927" s="4">
        <f>F928</f>
        <v>260</v>
      </c>
      <c r="G927" s="4">
        <f t="shared" si="466"/>
        <v>81.966999999999999</v>
      </c>
      <c r="H927" s="4">
        <f t="shared" si="455"/>
        <v>31.525769230769228</v>
      </c>
    </row>
    <row r="928" spans="1:8" ht="31.5" x14ac:dyDescent="0.25">
      <c r="A928" s="23" t="s">
        <v>1147</v>
      </c>
      <c r="B928" s="24" t="s">
        <v>315</v>
      </c>
      <c r="C928" s="24" t="s">
        <v>166</v>
      </c>
      <c r="D928" s="24" t="s">
        <v>966</v>
      </c>
      <c r="E928" s="40"/>
      <c r="F928" s="4">
        <f>F929</f>
        <v>260</v>
      </c>
      <c r="G928" s="4">
        <f t="shared" si="466"/>
        <v>81.966999999999999</v>
      </c>
      <c r="H928" s="4">
        <f t="shared" si="455"/>
        <v>31.525769230769228</v>
      </c>
    </row>
    <row r="929" spans="1:9" ht="31.5" x14ac:dyDescent="0.25">
      <c r="A929" s="25" t="s">
        <v>1146</v>
      </c>
      <c r="B929" s="20" t="s">
        <v>315</v>
      </c>
      <c r="C929" s="20" t="s">
        <v>166</v>
      </c>
      <c r="D929" s="20" t="s">
        <v>1223</v>
      </c>
      <c r="E929" s="40"/>
      <c r="F929" s="6">
        <f t="shared" ref="F929:G930" si="467">F930</f>
        <v>260</v>
      </c>
      <c r="G929" s="358">
        <f t="shared" si="467"/>
        <v>81.966999999999999</v>
      </c>
      <c r="H929" s="358">
        <f t="shared" si="455"/>
        <v>31.525769230769228</v>
      </c>
    </row>
    <row r="930" spans="1:9" ht="31.5" x14ac:dyDescent="0.25">
      <c r="A930" s="25" t="s">
        <v>147</v>
      </c>
      <c r="B930" s="20" t="s">
        <v>315</v>
      </c>
      <c r="C930" s="20" t="s">
        <v>166</v>
      </c>
      <c r="D930" s="20" t="s">
        <v>1223</v>
      </c>
      <c r="E930" s="40"/>
      <c r="F930" s="6">
        <f>F931</f>
        <v>260</v>
      </c>
      <c r="G930" s="358">
        <f t="shared" si="467"/>
        <v>81.966999999999999</v>
      </c>
      <c r="H930" s="358">
        <f t="shared" si="455"/>
        <v>31.525769230769228</v>
      </c>
    </row>
    <row r="931" spans="1:9" ht="47.25" x14ac:dyDescent="0.25">
      <c r="A931" s="25" t="s">
        <v>149</v>
      </c>
      <c r="B931" s="20" t="s">
        <v>315</v>
      </c>
      <c r="C931" s="20" t="s">
        <v>166</v>
      </c>
      <c r="D931" s="20" t="s">
        <v>1223</v>
      </c>
      <c r="E931" s="40"/>
      <c r="F931" s="6">
        <f>'Пр.4 ведом.20'!G446</f>
        <v>260</v>
      </c>
      <c r="G931" s="358">
        <f>'Пр.4 ведом.20'!H446</f>
        <v>81.966999999999999</v>
      </c>
      <c r="H931" s="358">
        <f t="shared" si="455"/>
        <v>31.525769230769228</v>
      </c>
    </row>
    <row r="932" spans="1:9" s="213" customFormat="1" ht="15.75" x14ac:dyDescent="0.25">
      <c r="A932" s="23" t="s">
        <v>259</v>
      </c>
      <c r="B932" s="24" t="s">
        <v>260</v>
      </c>
      <c r="C932" s="24"/>
      <c r="D932" s="24"/>
      <c r="E932" s="24"/>
      <c r="F932" s="4">
        <f>F933+F939+F977+F972</f>
        <v>16546.060000000001</v>
      </c>
      <c r="G932" s="4">
        <f t="shared" ref="G932" si="468">G933+G939+G977+G972</f>
        <v>10540.94</v>
      </c>
      <c r="H932" s="4">
        <f t="shared" si="455"/>
        <v>63.706646778749743</v>
      </c>
      <c r="I932" s="213">
        <f>'Пр.4 ведом.20'!H193+'Пр.4 ведом.20'!H447+'Пр.4 ведом.20'!H540+'Пр.4 ведом.20'!H1145</f>
        <v>10540.94</v>
      </c>
    </row>
    <row r="933" spans="1:9" s="213" customFormat="1" ht="15.75" x14ac:dyDescent="0.25">
      <c r="A933" s="23" t="s">
        <v>261</v>
      </c>
      <c r="B933" s="24" t="s">
        <v>260</v>
      </c>
      <c r="C933" s="24" t="s">
        <v>134</v>
      </c>
      <c r="D933" s="24"/>
      <c r="E933" s="24"/>
      <c r="F933" s="4">
        <f>F934</f>
        <v>9456</v>
      </c>
      <c r="G933" s="4">
        <f t="shared" ref="G933:G937" si="469">G934</f>
        <v>7690.6</v>
      </c>
      <c r="H933" s="4">
        <f t="shared" si="455"/>
        <v>81.330372250423011</v>
      </c>
    </row>
    <row r="934" spans="1:9" s="213" customFormat="1" ht="15.75" x14ac:dyDescent="0.25">
      <c r="A934" s="23" t="s">
        <v>157</v>
      </c>
      <c r="B934" s="24" t="s">
        <v>260</v>
      </c>
      <c r="C934" s="24" t="s">
        <v>134</v>
      </c>
      <c r="D934" s="24" t="s">
        <v>912</v>
      </c>
      <c r="E934" s="24"/>
      <c r="F934" s="4">
        <f>F935</f>
        <v>9456</v>
      </c>
      <c r="G934" s="4">
        <f t="shared" si="469"/>
        <v>7690.6</v>
      </c>
      <c r="H934" s="4">
        <f t="shared" si="455"/>
        <v>81.330372250423011</v>
      </c>
    </row>
    <row r="935" spans="1:9" s="213" customFormat="1" ht="31.5" x14ac:dyDescent="0.25">
      <c r="A935" s="23" t="s">
        <v>916</v>
      </c>
      <c r="B935" s="24" t="s">
        <v>260</v>
      </c>
      <c r="C935" s="24" t="s">
        <v>134</v>
      </c>
      <c r="D935" s="24" t="s">
        <v>911</v>
      </c>
      <c r="E935" s="24"/>
      <c r="F935" s="4">
        <f>F936</f>
        <v>9456</v>
      </c>
      <c r="G935" s="4">
        <f t="shared" si="469"/>
        <v>7690.6</v>
      </c>
      <c r="H935" s="4">
        <f t="shared" si="455"/>
        <v>81.330372250423011</v>
      </c>
    </row>
    <row r="936" spans="1:9" s="213" customFormat="1" ht="15.75" x14ac:dyDescent="0.25">
      <c r="A936" s="25" t="s">
        <v>262</v>
      </c>
      <c r="B936" s="20" t="s">
        <v>260</v>
      </c>
      <c r="C936" s="20" t="s">
        <v>134</v>
      </c>
      <c r="D936" s="20" t="s">
        <v>928</v>
      </c>
      <c r="E936" s="20"/>
      <c r="F936" s="6">
        <f>F937</f>
        <v>9456</v>
      </c>
      <c r="G936" s="358">
        <f t="shared" si="469"/>
        <v>7690.6</v>
      </c>
      <c r="H936" s="358">
        <f t="shared" si="455"/>
        <v>81.330372250423011</v>
      </c>
    </row>
    <row r="937" spans="1:9" s="213" customFormat="1" ht="18" customHeight="1" x14ac:dyDescent="0.25">
      <c r="A937" s="25" t="s">
        <v>264</v>
      </c>
      <c r="B937" s="20" t="s">
        <v>260</v>
      </c>
      <c r="C937" s="20" t="s">
        <v>134</v>
      </c>
      <c r="D937" s="20" t="s">
        <v>928</v>
      </c>
      <c r="E937" s="20" t="s">
        <v>265</v>
      </c>
      <c r="F937" s="6">
        <f>F938</f>
        <v>9456</v>
      </c>
      <c r="G937" s="358">
        <f t="shared" si="469"/>
        <v>7690.6</v>
      </c>
      <c r="H937" s="358">
        <f t="shared" si="455"/>
        <v>81.330372250423011</v>
      </c>
    </row>
    <row r="938" spans="1:9" s="213" customFormat="1" ht="31.5" x14ac:dyDescent="0.25">
      <c r="A938" s="25" t="s">
        <v>266</v>
      </c>
      <c r="B938" s="20" t="s">
        <v>260</v>
      </c>
      <c r="C938" s="20" t="s">
        <v>134</v>
      </c>
      <c r="D938" s="20" t="s">
        <v>928</v>
      </c>
      <c r="E938" s="20" t="s">
        <v>267</v>
      </c>
      <c r="F938" s="6">
        <f>'Пр.4 ведом.20'!G199</f>
        <v>9456</v>
      </c>
      <c r="G938" s="358">
        <f>'Пр.4 ведом.20'!H199</f>
        <v>7690.6</v>
      </c>
      <c r="H938" s="358">
        <f t="shared" si="455"/>
        <v>81.330372250423011</v>
      </c>
    </row>
    <row r="939" spans="1:9" ht="15.75" x14ac:dyDescent="0.25">
      <c r="A939" s="23" t="s">
        <v>268</v>
      </c>
      <c r="B939" s="24" t="s">
        <v>260</v>
      </c>
      <c r="C939" s="24" t="s">
        <v>231</v>
      </c>
      <c r="D939" s="24"/>
      <c r="E939" s="24"/>
      <c r="F939" s="4">
        <f>F940+F967</f>
        <v>1922.9</v>
      </c>
      <c r="G939" s="4">
        <f t="shared" ref="G939" si="470">G940+G967</f>
        <v>905.64</v>
      </c>
      <c r="H939" s="4">
        <f t="shared" si="455"/>
        <v>47.097612980394196</v>
      </c>
    </row>
    <row r="940" spans="1:9" ht="47.25" x14ac:dyDescent="0.25">
      <c r="A940" s="23" t="s">
        <v>359</v>
      </c>
      <c r="B940" s="24" t="s">
        <v>260</v>
      </c>
      <c r="C940" s="24" t="s">
        <v>231</v>
      </c>
      <c r="D940" s="24" t="s">
        <v>360</v>
      </c>
      <c r="E940" s="24"/>
      <c r="F940" s="4">
        <f>F941+F946+F951+F962</f>
        <v>1912.9</v>
      </c>
      <c r="G940" s="4">
        <f t="shared" ref="G940" si="471">G941+G946+G951+G962</f>
        <v>905.64</v>
      </c>
      <c r="H940" s="4">
        <f t="shared" si="455"/>
        <v>47.343823514036274</v>
      </c>
    </row>
    <row r="941" spans="1:9" ht="31.5" x14ac:dyDescent="0.25">
      <c r="A941" s="23" t="s">
        <v>368</v>
      </c>
      <c r="B941" s="24" t="s">
        <v>260</v>
      </c>
      <c r="C941" s="24" t="s">
        <v>231</v>
      </c>
      <c r="D941" s="24" t="s">
        <v>369</v>
      </c>
      <c r="E941" s="24"/>
      <c r="F941" s="4">
        <f t="shared" ref="F941:G943" si="472">F942</f>
        <v>169.20000000000002</v>
      </c>
      <c r="G941" s="4">
        <f t="shared" si="472"/>
        <v>169.2</v>
      </c>
      <c r="H941" s="4">
        <f t="shared" si="455"/>
        <v>99.999999999999972</v>
      </c>
    </row>
    <row r="942" spans="1:9" ht="30.2" customHeight="1" x14ac:dyDescent="0.25">
      <c r="A942" s="23" t="s">
        <v>976</v>
      </c>
      <c r="B942" s="24" t="s">
        <v>260</v>
      </c>
      <c r="C942" s="24" t="s">
        <v>231</v>
      </c>
      <c r="D942" s="24" t="s">
        <v>975</v>
      </c>
      <c r="E942" s="24"/>
      <c r="F942" s="4">
        <f>F943</f>
        <v>169.20000000000002</v>
      </c>
      <c r="G942" s="4">
        <f t="shared" si="472"/>
        <v>169.2</v>
      </c>
      <c r="H942" s="4">
        <f t="shared" si="455"/>
        <v>99.999999999999972</v>
      </c>
    </row>
    <row r="943" spans="1:9" ht="31.5" x14ac:dyDescent="0.25">
      <c r="A943" s="25" t="s">
        <v>869</v>
      </c>
      <c r="B943" s="20" t="s">
        <v>260</v>
      </c>
      <c r="C943" s="20" t="s">
        <v>231</v>
      </c>
      <c r="D943" s="20" t="s">
        <v>977</v>
      </c>
      <c r="E943" s="20"/>
      <c r="F943" s="6">
        <f>F944</f>
        <v>169.20000000000002</v>
      </c>
      <c r="G943" s="358">
        <f t="shared" si="472"/>
        <v>169.2</v>
      </c>
      <c r="H943" s="358">
        <f t="shared" si="455"/>
        <v>99.999999999999972</v>
      </c>
    </row>
    <row r="944" spans="1:9" ht="19.5" customHeight="1" x14ac:dyDescent="0.25">
      <c r="A944" s="25" t="s">
        <v>264</v>
      </c>
      <c r="B944" s="20" t="s">
        <v>260</v>
      </c>
      <c r="C944" s="20" t="s">
        <v>231</v>
      </c>
      <c r="D944" s="20" t="s">
        <v>977</v>
      </c>
      <c r="E944" s="20" t="s">
        <v>265</v>
      </c>
      <c r="F944" s="6">
        <f t="shared" ref="F944:G949" si="473">F945</f>
        <v>169.20000000000002</v>
      </c>
      <c r="G944" s="358">
        <f t="shared" si="473"/>
        <v>169.2</v>
      </c>
      <c r="H944" s="358">
        <f t="shared" si="455"/>
        <v>99.999999999999972</v>
      </c>
    </row>
    <row r="945" spans="1:8" ht="31.5" x14ac:dyDescent="0.25">
      <c r="A945" s="25" t="s">
        <v>266</v>
      </c>
      <c r="B945" s="20" t="s">
        <v>260</v>
      </c>
      <c r="C945" s="20" t="s">
        <v>231</v>
      </c>
      <c r="D945" s="20" t="s">
        <v>977</v>
      </c>
      <c r="E945" s="20" t="s">
        <v>267</v>
      </c>
      <c r="F945" s="6">
        <f>'Пр.4 ведом.20'!G454</f>
        <v>169.20000000000002</v>
      </c>
      <c r="G945" s="358">
        <f>'Пр.4 ведом.20'!H454</f>
        <v>169.2</v>
      </c>
      <c r="H945" s="358">
        <f t="shared" si="455"/>
        <v>99.999999999999972</v>
      </c>
    </row>
    <row r="946" spans="1:8" ht="31.5" x14ac:dyDescent="0.25">
      <c r="A946" s="23" t="s">
        <v>371</v>
      </c>
      <c r="B946" s="19">
        <v>10</v>
      </c>
      <c r="C946" s="24" t="s">
        <v>231</v>
      </c>
      <c r="D946" s="24" t="s">
        <v>372</v>
      </c>
      <c r="E946" s="24"/>
      <c r="F946" s="4">
        <f t="shared" si="473"/>
        <v>420</v>
      </c>
      <c r="G946" s="4">
        <f t="shared" si="473"/>
        <v>190</v>
      </c>
      <c r="H946" s="4">
        <f t="shared" si="455"/>
        <v>45.238095238095241</v>
      </c>
    </row>
    <row r="947" spans="1:8" ht="31.5" x14ac:dyDescent="0.25">
      <c r="A947" s="23" t="s">
        <v>1148</v>
      </c>
      <c r="B947" s="19">
        <v>10</v>
      </c>
      <c r="C947" s="24" t="s">
        <v>231</v>
      </c>
      <c r="D947" s="24" t="s">
        <v>978</v>
      </c>
      <c r="E947" s="24"/>
      <c r="F947" s="4">
        <f>F948</f>
        <v>420</v>
      </c>
      <c r="G947" s="4">
        <f t="shared" si="473"/>
        <v>190</v>
      </c>
      <c r="H947" s="4">
        <f t="shared" si="455"/>
        <v>45.238095238095241</v>
      </c>
    </row>
    <row r="948" spans="1:8" ht="15.75" x14ac:dyDescent="0.25">
      <c r="A948" s="25" t="s">
        <v>1203</v>
      </c>
      <c r="B948" s="20" t="s">
        <v>260</v>
      </c>
      <c r="C948" s="20" t="s">
        <v>231</v>
      </c>
      <c r="D948" s="20" t="s">
        <v>979</v>
      </c>
      <c r="E948" s="20"/>
      <c r="F948" s="6">
        <f>F949</f>
        <v>420</v>
      </c>
      <c r="G948" s="358">
        <f t="shared" si="473"/>
        <v>190</v>
      </c>
      <c r="H948" s="358">
        <f t="shared" si="455"/>
        <v>45.238095238095241</v>
      </c>
    </row>
    <row r="949" spans="1:8" ht="18.75" customHeight="1" x14ac:dyDescent="0.25">
      <c r="A949" s="25" t="s">
        <v>264</v>
      </c>
      <c r="B949" s="20" t="s">
        <v>260</v>
      </c>
      <c r="C949" s="20" t="s">
        <v>231</v>
      </c>
      <c r="D949" s="20" t="s">
        <v>979</v>
      </c>
      <c r="E949" s="20" t="s">
        <v>265</v>
      </c>
      <c r="F949" s="6">
        <f>F950</f>
        <v>420</v>
      </c>
      <c r="G949" s="358">
        <f t="shared" si="473"/>
        <v>190</v>
      </c>
      <c r="H949" s="358">
        <f t="shared" si="455"/>
        <v>45.238095238095241</v>
      </c>
    </row>
    <row r="950" spans="1:8" ht="31.7" customHeight="1" x14ac:dyDescent="0.25">
      <c r="A950" s="25" t="s">
        <v>364</v>
      </c>
      <c r="B950" s="20" t="s">
        <v>260</v>
      </c>
      <c r="C950" s="20" t="s">
        <v>231</v>
      </c>
      <c r="D950" s="20" t="s">
        <v>979</v>
      </c>
      <c r="E950" s="20" t="s">
        <v>365</v>
      </c>
      <c r="F950" s="6">
        <f>'Пр.4 ведом.20'!G459</f>
        <v>420</v>
      </c>
      <c r="G950" s="358">
        <f>'Пр.4 ведом.20'!H459</f>
        <v>190</v>
      </c>
      <c r="H950" s="358">
        <f t="shared" si="455"/>
        <v>45.238095238095241</v>
      </c>
    </row>
    <row r="951" spans="1:8" ht="19.5" customHeight="1" x14ac:dyDescent="0.25">
      <c r="A951" s="23" t="s">
        <v>374</v>
      </c>
      <c r="B951" s="19">
        <v>10</v>
      </c>
      <c r="C951" s="24" t="s">
        <v>231</v>
      </c>
      <c r="D951" s="24" t="s">
        <v>375</v>
      </c>
      <c r="E951" s="24"/>
      <c r="F951" s="4">
        <f>F952+F956</f>
        <v>1073.7</v>
      </c>
      <c r="G951" s="4">
        <f t="shared" ref="G951" si="474">G952+G956</f>
        <v>432.44</v>
      </c>
      <c r="H951" s="4">
        <f t="shared" si="455"/>
        <v>40.275682220359506</v>
      </c>
    </row>
    <row r="952" spans="1:8" ht="31.5" x14ac:dyDescent="0.25">
      <c r="A952" s="23" t="s">
        <v>1205</v>
      </c>
      <c r="B952" s="24" t="s">
        <v>260</v>
      </c>
      <c r="C952" s="24" t="s">
        <v>231</v>
      </c>
      <c r="D952" s="24" t="s">
        <v>981</v>
      </c>
      <c r="E952" s="24"/>
      <c r="F952" s="4">
        <f>F953</f>
        <v>630</v>
      </c>
      <c r="G952" s="4">
        <f t="shared" ref="G952:G953" si="475">G953</f>
        <v>348.45</v>
      </c>
      <c r="H952" s="4">
        <f t="shared" si="455"/>
        <v>55.30952380952381</v>
      </c>
    </row>
    <row r="953" spans="1:8" ht="49.7" customHeight="1" x14ac:dyDescent="0.25">
      <c r="A953" s="99" t="s">
        <v>1206</v>
      </c>
      <c r="B953" s="20" t="s">
        <v>260</v>
      </c>
      <c r="C953" s="20" t="s">
        <v>231</v>
      </c>
      <c r="D953" s="20" t="s">
        <v>982</v>
      </c>
      <c r="E953" s="20"/>
      <c r="F953" s="6">
        <f>F954</f>
        <v>630</v>
      </c>
      <c r="G953" s="358">
        <f t="shared" si="475"/>
        <v>348.45</v>
      </c>
      <c r="H953" s="358">
        <f t="shared" si="455"/>
        <v>55.30952380952381</v>
      </c>
    </row>
    <row r="954" spans="1:8" ht="20.25" customHeight="1" x14ac:dyDescent="0.25">
      <c r="A954" s="25" t="s">
        <v>264</v>
      </c>
      <c r="B954" s="20" t="s">
        <v>260</v>
      </c>
      <c r="C954" s="20" t="s">
        <v>231</v>
      </c>
      <c r="D954" s="20" t="s">
        <v>982</v>
      </c>
      <c r="E954" s="20" t="s">
        <v>265</v>
      </c>
      <c r="F954" s="6">
        <f t="shared" ref="F954:G954" si="476">F955</f>
        <v>630</v>
      </c>
      <c r="G954" s="358">
        <f t="shared" si="476"/>
        <v>348.45</v>
      </c>
      <c r="H954" s="358">
        <f t="shared" si="455"/>
        <v>55.30952380952381</v>
      </c>
    </row>
    <row r="955" spans="1:8" ht="15.75" customHeight="1" x14ac:dyDescent="0.25">
      <c r="A955" s="25" t="s">
        <v>364</v>
      </c>
      <c r="B955" s="20" t="s">
        <v>260</v>
      </c>
      <c r="C955" s="20" t="s">
        <v>231</v>
      </c>
      <c r="D955" s="20" t="s">
        <v>982</v>
      </c>
      <c r="E955" s="20" t="s">
        <v>365</v>
      </c>
      <c r="F955" s="6">
        <f>'Пр.4 ведом.20'!G464</f>
        <v>630</v>
      </c>
      <c r="G955" s="358">
        <f>'Пр.4 ведом.20'!H464</f>
        <v>348.45</v>
      </c>
      <c r="H955" s="358">
        <f t="shared" si="455"/>
        <v>55.30952380952381</v>
      </c>
    </row>
    <row r="956" spans="1:8" ht="34.5" customHeight="1" x14ac:dyDescent="0.25">
      <c r="A956" s="23" t="s">
        <v>980</v>
      </c>
      <c r="B956" s="19">
        <v>10</v>
      </c>
      <c r="C956" s="24" t="s">
        <v>231</v>
      </c>
      <c r="D956" s="24" t="s">
        <v>983</v>
      </c>
      <c r="E956" s="24"/>
      <c r="F956" s="4">
        <f>F957+F960</f>
        <v>443.7</v>
      </c>
      <c r="G956" s="4">
        <f t="shared" ref="G956" si="477">G957+G960</f>
        <v>83.99</v>
      </c>
      <c r="H956" s="4">
        <f t="shared" si="455"/>
        <v>18.929456840207344</v>
      </c>
    </row>
    <row r="957" spans="1:8" ht="31.5" x14ac:dyDescent="0.25">
      <c r="A957" s="25" t="s">
        <v>1149</v>
      </c>
      <c r="B957" s="20" t="s">
        <v>260</v>
      </c>
      <c r="C957" s="20" t="s">
        <v>231</v>
      </c>
      <c r="D957" s="20" t="s">
        <v>984</v>
      </c>
      <c r="E957" s="20"/>
      <c r="F957" s="6">
        <f t="shared" ref="F957:G958" si="478">F958</f>
        <v>233.7</v>
      </c>
      <c r="G957" s="358">
        <f t="shared" si="478"/>
        <v>83.99</v>
      </c>
      <c r="H957" s="358">
        <f t="shared" si="455"/>
        <v>35.939238339751817</v>
      </c>
    </row>
    <row r="958" spans="1:8" ht="31.5" x14ac:dyDescent="0.25">
      <c r="A958" s="25" t="s">
        <v>147</v>
      </c>
      <c r="B958" s="20" t="s">
        <v>260</v>
      </c>
      <c r="C958" s="20" t="s">
        <v>231</v>
      </c>
      <c r="D958" s="20" t="s">
        <v>984</v>
      </c>
      <c r="E958" s="20" t="s">
        <v>148</v>
      </c>
      <c r="F958" s="6">
        <f t="shared" si="478"/>
        <v>233.7</v>
      </c>
      <c r="G958" s="358">
        <f t="shared" si="478"/>
        <v>83.99</v>
      </c>
      <c r="H958" s="358">
        <f t="shared" si="455"/>
        <v>35.939238339751817</v>
      </c>
    </row>
    <row r="959" spans="1:8" ht="47.25" x14ac:dyDescent="0.25">
      <c r="A959" s="25" t="s">
        <v>149</v>
      </c>
      <c r="B959" s="20" t="s">
        <v>260</v>
      </c>
      <c r="C959" s="20" t="s">
        <v>231</v>
      </c>
      <c r="D959" s="20" t="s">
        <v>984</v>
      </c>
      <c r="E959" s="20" t="s">
        <v>150</v>
      </c>
      <c r="F959" s="6">
        <f>'Пр.4 ведом.20'!G468</f>
        <v>233.7</v>
      </c>
      <c r="G959" s="358">
        <f>'Пр.4 ведом.20'!H468</f>
        <v>83.99</v>
      </c>
      <c r="H959" s="358">
        <f t="shared" si="455"/>
        <v>35.939238339751817</v>
      </c>
    </row>
    <row r="960" spans="1:8" s="213" customFormat="1" ht="31.5" x14ac:dyDescent="0.25">
      <c r="A960" s="25" t="s">
        <v>264</v>
      </c>
      <c r="B960" s="20" t="s">
        <v>260</v>
      </c>
      <c r="C960" s="20" t="s">
        <v>231</v>
      </c>
      <c r="D960" s="20" t="s">
        <v>984</v>
      </c>
      <c r="E960" s="20" t="s">
        <v>265</v>
      </c>
      <c r="F960" s="26">
        <f>F961</f>
        <v>210</v>
      </c>
      <c r="G960" s="336">
        <f t="shared" ref="G960" si="479">G961</f>
        <v>0</v>
      </c>
      <c r="H960" s="358">
        <f t="shared" si="455"/>
        <v>0</v>
      </c>
    </row>
    <row r="961" spans="1:8" s="213" customFormat="1" ht="31.5" x14ac:dyDescent="0.25">
      <c r="A961" s="25" t="s">
        <v>364</v>
      </c>
      <c r="B961" s="20" t="s">
        <v>260</v>
      </c>
      <c r="C961" s="20" t="s">
        <v>231</v>
      </c>
      <c r="D961" s="20" t="s">
        <v>984</v>
      </c>
      <c r="E961" s="20" t="s">
        <v>365</v>
      </c>
      <c r="F961" s="26">
        <f>'Пр.4 ведом.20'!G470</f>
        <v>210</v>
      </c>
      <c r="G961" s="336">
        <f>'Пр.4 ведом.20'!H470</f>
        <v>0</v>
      </c>
      <c r="H961" s="358">
        <f t="shared" si="455"/>
        <v>0</v>
      </c>
    </row>
    <row r="962" spans="1:8" ht="31.7" customHeight="1" x14ac:dyDescent="0.25">
      <c r="A962" s="23" t="s">
        <v>377</v>
      </c>
      <c r="B962" s="24" t="s">
        <v>260</v>
      </c>
      <c r="C962" s="24" t="s">
        <v>231</v>
      </c>
      <c r="D962" s="24" t="s">
        <v>378</v>
      </c>
      <c r="E962" s="24"/>
      <c r="F962" s="4">
        <f t="shared" ref="F962:G964" si="480">F963</f>
        <v>250</v>
      </c>
      <c r="G962" s="4">
        <f t="shared" si="480"/>
        <v>114</v>
      </c>
      <c r="H962" s="4">
        <f t="shared" si="455"/>
        <v>45.6</v>
      </c>
    </row>
    <row r="963" spans="1:8" ht="31.7" customHeight="1" x14ac:dyDescent="0.25">
      <c r="A963" s="23" t="s">
        <v>1208</v>
      </c>
      <c r="B963" s="24" t="s">
        <v>260</v>
      </c>
      <c r="C963" s="24" t="s">
        <v>231</v>
      </c>
      <c r="D963" s="24" t="s">
        <v>986</v>
      </c>
      <c r="E963" s="24"/>
      <c r="F963" s="4">
        <f t="shared" si="480"/>
        <v>250</v>
      </c>
      <c r="G963" s="4">
        <f t="shared" si="480"/>
        <v>114</v>
      </c>
      <c r="H963" s="4">
        <f t="shared" si="455"/>
        <v>45.6</v>
      </c>
    </row>
    <row r="964" spans="1:8" ht="47.25" customHeight="1" x14ac:dyDescent="0.25">
      <c r="A964" s="25" t="s">
        <v>1207</v>
      </c>
      <c r="B964" s="20" t="s">
        <v>260</v>
      </c>
      <c r="C964" s="20" t="s">
        <v>231</v>
      </c>
      <c r="D964" s="20" t="s">
        <v>985</v>
      </c>
      <c r="E964" s="20"/>
      <c r="F964" s="6">
        <f>F965</f>
        <v>250</v>
      </c>
      <c r="G964" s="358">
        <f t="shared" si="480"/>
        <v>114</v>
      </c>
      <c r="H964" s="358">
        <f t="shared" si="455"/>
        <v>45.6</v>
      </c>
    </row>
    <row r="965" spans="1:8" ht="19.5" customHeight="1" x14ac:dyDescent="0.25">
      <c r="A965" s="25" t="s">
        <v>264</v>
      </c>
      <c r="B965" s="20" t="s">
        <v>260</v>
      </c>
      <c r="C965" s="20" t="s">
        <v>231</v>
      </c>
      <c r="D965" s="20" t="s">
        <v>985</v>
      </c>
      <c r="E965" s="20" t="s">
        <v>265</v>
      </c>
      <c r="F965" s="6">
        <f t="shared" ref="F965:G965" si="481">F966</f>
        <v>250</v>
      </c>
      <c r="G965" s="358">
        <f t="shared" si="481"/>
        <v>114</v>
      </c>
      <c r="H965" s="358">
        <f t="shared" si="455"/>
        <v>45.6</v>
      </c>
    </row>
    <row r="966" spans="1:8" ht="31.5" x14ac:dyDescent="0.25">
      <c r="A966" s="25" t="s">
        <v>364</v>
      </c>
      <c r="B966" s="20" t="s">
        <v>260</v>
      </c>
      <c r="C966" s="20" t="s">
        <v>231</v>
      </c>
      <c r="D966" s="20" t="s">
        <v>985</v>
      </c>
      <c r="E966" s="20" t="s">
        <v>365</v>
      </c>
      <c r="F966" s="6">
        <f>'Пр.4 ведом.20'!G475</f>
        <v>250</v>
      </c>
      <c r="G966" s="358">
        <f>'Пр.4 ведом.20'!H475</f>
        <v>114</v>
      </c>
      <c r="H966" s="358">
        <f t="shared" si="455"/>
        <v>45.6</v>
      </c>
    </row>
    <row r="967" spans="1:8" ht="78" customHeight="1" x14ac:dyDescent="0.25">
      <c r="A967" s="23" t="s">
        <v>269</v>
      </c>
      <c r="B967" s="24" t="s">
        <v>260</v>
      </c>
      <c r="C967" s="24" t="s">
        <v>231</v>
      </c>
      <c r="D967" s="24" t="s">
        <v>270</v>
      </c>
      <c r="E967" s="24"/>
      <c r="F967" s="4">
        <f t="shared" ref="F967:G969" si="482">F968</f>
        <v>10</v>
      </c>
      <c r="G967" s="4">
        <f t="shared" si="482"/>
        <v>0</v>
      </c>
      <c r="H967" s="4">
        <f t="shared" si="455"/>
        <v>0</v>
      </c>
    </row>
    <row r="968" spans="1:8" ht="47.25" x14ac:dyDescent="0.25">
      <c r="A968" s="23" t="s">
        <v>931</v>
      </c>
      <c r="B968" s="24" t="s">
        <v>260</v>
      </c>
      <c r="C968" s="24" t="s">
        <v>231</v>
      </c>
      <c r="D968" s="24" t="s">
        <v>929</v>
      </c>
      <c r="E968" s="24"/>
      <c r="F968" s="4">
        <f t="shared" si="482"/>
        <v>10</v>
      </c>
      <c r="G968" s="4">
        <f t="shared" si="482"/>
        <v>0</v>
      </c>
      <c r="H968" s="4">
        <f t="shared" si="455"/>
        <v>0</v>
      </c>
    </row>
    <row r="969" spans="1:8" ht="31.5" x14ac:dyDescent="0.25">
      <c r="A969" s="25" t="s">
        <v>930</v>
      </c>
      <c r="B969" s="20" t="s">
        <v>260</v>
      </c>
      <c r="C969" s="20" t="s">
        <v>231</v>
      </c>
      <c r="D969" s="20" t="s">
        <v>1469</v>
      </c>
      <c r="E969" s="20"/>
      <c r="F969" s="6">
        <f t="shared" si="482"/>
        <v>10</v>
      </c>
      <c r="G969" s="358">
        <f t="shared" si="482"/>
        <v>0</v>
      </c>
      <c r="H969" s="358">
        <f t="shared" si="455"/>
        <v>0</v>
      </c>
    </row>
    <row r="970" spans="1:8" ht="19.5" customHeight="1" x14ac:dyDescent="0.25">
      <c r="A970" s="25" t="s">
        <v>264</v>
      </c>
      <c r="B970" s="20" t="s">
        <v>260</v>
      </c>
      <c r="C970" s="20" t="s">
        <v>231</v>
      </c>
      <c r="D970" s="20" t="s">
        <v>1469</v>
      </c>
      <c r="E970" s="20" t="s">
        <v>265</v>
      </c>
      <c r="F970" s="6">
        <v>10</v>
      </c>
      <c r="G970" s="358">
        <f>G971</f>
        <v>0</v>
      </c>
      <c r="H970" s="358">
        <f t="shared" si="455"/>
        <v>0</v>
      </c>
    </row>
    <row r="971" spans="1:8" ht="31.5" x14ac:dyDescent="0.25">
      <c r="A971" s="25" t="s">
        <v>266</v>
      </c>
      <c r="B971" s="20" t="s">
        <v>260</v>
      </c>
      <c r="C971" s="20" t="s">
        <v>231</v>
      </c>
      <c r="D971" s="20" t="s">
        <v>1469</v>
      </c>
      <c r="E971" s="20" t="s">
        <v>267</v>
      </c>
      <c r="F971" s="6">
        <f>'Пр.4 ведом.20'!G205</f>
        <v>10</v>
      </c>
      <c r="G971" s="358">
        <f>'Пр.4 ведом.20'!H205</f>
        <v>0</v>
      </c>
      <c r="H971" s="358">
        <f t="shared" ref="H971:H1034" si="483">G971/F971*100</f>
        <v>0</v>
      </c>
    </row>
    <row r="972" spans="1:8" s="213" customFormat="1" ht="15.75" x14ac:dyDescent="0.25">
      <c r="A972" s="23" t="s">
        <v>416</v>
      </c>
      <c r="B972" s="24" t="s">
        <v>260</v>
      </c>
      <c r="C972" s="24" t="s">
        <v>166</v>
      </c>
      <c r="D972" s="24"/>
      <c r="E972" s="24"/>
      <c r="F972" s="4">
        <f>F973</f>
        <v>1431.16</v>
      </c>
      <c r="G972" s="4">
        <f t="shared" ref="G972:G975" si="484">G973</f>
        <v>0</v>
      </c>
      <c r="H972" s="4">
        <f t="shared" si="483"/>
        <v>0</v>
      </c>
    </row>
    <row r="973" spans="1:8" s="213" customFormat="1" ht="31.5" x14ac:dyDescent="0.25">
      <c r="A973" s="23" t="s">
        <v>932</v>
      </c>
      <c r="B973" s="24" t="s">
        <v>260</v>
      </c>
      <c r="C973" s="24" t="s">
        <v>166</v>
      </c>
      <c r="D973" s="24" t="s">
        <v>909</v>
      </c>
      <c r="E973" s="20"/>
      <c r="F973" s="21">
        <f>F974</f>
        <v>1431.16</v>
      </c>
      <c r="G973" s="332">
        <f t="shared" si="484"/>
        <v>0</v>
      </c>
      <c r="H973" s="4">
        <f t="shared" si="483"/>
        <v>0</v>
      </c>
    </row>
    <row r="974" spans="1:8" s="213" customFormat="1" ht="47.25" x14ac:dyDescent="0.25">
      <c r="A974" s="25" t="s">
        <v>1410</v>
      </c>
      <c r="B974" s="20" t="s">
        <v>260</v>
      </c>
      <c r="C974" s="20" t="s">
        <v>166</v>
      </c>
      <c r="D974" s="20" t="s">
        <v>1409</v>
      </c>
      <c r="E974" s="20"/>
      <c r="F974" s="26">
        <f>F975</f>
        <v>1431.16</v>
      </c>
      <c r="G974" s="336">
        <f t="shared" si="484"/>
        <v>0</v>
      </c>
      <c r="H974" s="358">
        <f t="shared" si="483"/>
        <v>0</v>
      </c>
    </row>
    <row r="975" spans="1:8" s="213" customFormat="1" ht="31.5" x14ac:dyDescent="0.25">
      <c r="A975" s="25" t="s">
        <v>147</v>
      </c>
      <c r="B975" s="20" t="s">
        <v>260</v>
      </c>
      <c r="C975" s="20" t="s">
        <v>166</v>
      </c>
      <c r="D975" s="20" t="s">
        <v>1409</v>
      </c>
      <c r="E975" s="20" t="s">
        <v>148</v>
      </c>
      <c r="F975" s="26">
        <f>F976</f>
        <v>1431.16</v>
      </c>
      <c r="G975" s="336">
        <f t="shared" si="484"/>
        <v>0</v>
      </c>
      <c r="H975" s="358">
        <f t="shared" si="483"/>
        <v>0</v>
      </c>
    </row>
    <row r="976" spans="1:8" s="213" customFormat="1" ht="47.25" x14ac:dyDescent="0.25">
      <c r="A976" s="25" t="s">
        <v>149</v>
      </c>
      <c r="B976" s="20" t="s">
        <v>260</v>
      </c>
      <c r="C976" s="20" t="s">
        <v>166</v>
      </c>
      <c r="D976" s="20" t="s">
        <v>1409</v>
      </c>
      <c r="E976" s="20" t="s">
        <v>150</v>
      </c>
      <c r="F976" s="26">
        <f>'Пр.4 ведом.20'!G545</f>
        <v>1431.16</v>
      </c>
      <c r="G976" s="336">
        <f>'Пр.4 ведом.20'!H545</f>
        <v>0</v>
      </c>
      <c r="H976" s="358">
        <f t="shared" si="483"/>
        <v>0</v>
      </c>
    </row>
    <row r="977" spans="1:10" s="213" customFormat="1" ht="15.75" x14ac:dyDescent="0.25">
      <c r="A977" s="23" t="s">
        <v>274</v>
      </c>
      <c r="B977" s="24" t="s">
        <v>260</v>
      </c>
      <c r="C977" s="24" t="s">
        <v>136</v>
      </c>
      <c r="D977" s="24"/>
      <c r="E977" s="24"/>
      <c r="F977" s="4">
        <f>F978+F985</f>
        <v>3736</v>
      </c>
      <c r="G977" s="4">
        <f t="shared" ref="G977" si="485">G978+G985</f>
        <v>1944.7</v>
      </c>
      <c r="H977" s="4">
        <f t="shared" si="483"/>
        <v>52.052997858672377</v>
      </c>
    </row>
    <row r="978" spans="1:10" s="213" customFormat="1" ht="31.5" x14ac:dyDescent="0.25">
      <c r="A978" s="23" t="s">
        <v>990</v>
      </c>
      <c r="B978" s="24" t="s">
        <v>260</v>
      </c>
      <c r="C978" s="24" t="s">
        <v>136</v>
      </c>
      <c r="D978" s="24" t="s">
        <v>904</v>
      </c>
      <c r="E978" s="24"/>
      <c r="F978" s="4">
        <f>F979</f>
        <v>3621.4</v>
      </c>
      <c r="G978" s="4">
        <f t="shared" ref="G978:G979" si="486">G979</f>
        <v>1944.7</v>
      </c>
      <c r="H978" s="4">
        <f t="shared" si="483"/>
        <v>53.700226431766716</v>
      </c>
    </row>
    <row r="979" spans="1:10" ht="31.5" x14ac:dyDescent="0.25">
      <c r="A979" s="23" t="s">
        <v>932</v>
      </c>
      <c r="B979" s="24" t="s">
        <v>260</v>
      </c>
      <c r="C979" s="24" t="s">
        <v>136</v>
      </c>
      <c r="D979" s="24" t="s">
        <v>909</v>
      </c>
      <c r="E979" s="24"/>
      <c r="F979" s="4">
        <f>F980</f>
        <v>3621.4</v>
      </c>
      <c r="G979" s="4">
        <f t="shared" si="486"/>
        <v>1944.7</v>
      </c>
      <c r="H979" s="4">
        <f t="shared" si="483"/>
        <v>53.700226431766716</v>
      </c>
    </row>
    <row r="980" spans="1:10" ht="43.5" customHeight="1" x14ac:dyDescent="0.25">
      <c r="A980" s="31" t="s">
        <v>275</v>
      </c>
      <c r="B980" s="20" t="s">
        <v>260</v>
      </c>
      <c r="C980" s="20" t="s">
        <v>136</v>
      </c>
      <c r="D980" s="20" t="s">
        <v>998</v>
      </c>
      <c r="E980" s="20"/>
      <c r="F980" s="6">
        <f>F981+F983</f>
        <v>3621.4</v>
      </c>
      <c r="G980" s="358">
        <f t="shared" ref="G980" si="487">G981+G983</f>
        <v>1944.7</v>
      </c>
      <c r="H980" s="358">
        <f t="shared" si="483"/>
        <v>53.700226431766716</v>
      </c>
    </row>
    <row r="981" spans="1:10" ht="78.75" x14ac:dyDescent="0.25">
      <c r="A981" s="25" t="s">
        <v>143</v>
      </c>
      <c r="B981" s="20" t="s">
        <v>260</v>
      </c>
      <c r="C981" s="20" t="s">
        <v>136</v>
      </c>
      <c r="D981" s="20" t="s">
        <v>998</v>
      </c>
      <c r="E981" s="20" t="s">
        <v>144</v>
      </c>
      <c r="F981" s="6">
        <f t="shared" ref="F981:G981" si="488">F982</f>
        <v>3220.8</v>
      </c>
      <c r="G981" s="358">
        <f t="shared" si="488"/>
        <v>1760</v>
      </c>
      <c r="H981" s="358">
        <f t="shared" si="483"/>
        <v>54.644808743169392</v>
      </c>
    </row>
    <row r="982" spans="1:10" ht="31.5" x14ac:dyDescent="0.25">
      <c r="A982" s="25" t="s">
        <v>145</v>
      </c>
      <c r="B982" s="20" t="s">
        <v>260</v>
      </c>
      <c r="C982" s="20" t="s">
        <v>136</v>
      </c>
      <c r="D982" s="20" t="s">
        <v>998</v>
      </c>
      <c r="E982" s="20" t="s">
        <v>146</v>
      </c>
      <c r="F982" s="6">
        <f>'Пр.4 ведом.20'!G211</f>
        <v>3220.8</v>
      </c>
      <c r="G982" s="358">
        <f>'Пр.4 ведом.20'!H211</f>
        <v>1760</v>
      </c>
      <c r="H982" s="358">
        <f t="shared" si="483"/>
        <v>54.644808743169392</v>
      </c>
    </row>
    <row r="983" spans="1:10" ht="32.25" customHeight="1" x14ac:dyDescent="0.25">
      <c r="A983" s="25" t="s">
        <v>147</v>
      </c>
      <c r="B983" s="20" t="s">
        <v>260</v>
      </c>
      <c r="C983" s="20" t="s">
        <v>136</v>
      </c>
      <c r="D983" s="20" t="s">
        <v>998</v>
      </c>
      <c r="E983" s="20" t="s">
        <v>148</v>
      </c>
      <c r="F983" s="6">
        <f t="shared" ref="F983:G983" si="489">F984</f>
        <v>400.6</v>
      </c>
      <c r="G983" s="358">
        <f t="shared" si="489"/>
        <v>184.7</v>
      </c>
      <c r="H983" s="358">
        <f t="shared" si="483"/>
        <v>46.10584123814278</v>
      </c>
    </row>
    <row r="984" spans="1:10" ht="31.7" customHeight="1" x14ac:dyDescent="0.25">
      <c r="A984" s="25" t="s">
        <v>149</v>
      </c>
      <c r="B984" s="20" t="s">
        <v>260</v>
      </c>
      <c r="C984" s="20" t="s">
        <v>136</v>
      </c>
      <c r="D984" s="20" t="s">
        <v>998</v>
      </c>
      <c r="E984" s="20" t="s">
        <v>150</v>
      </c>
      <c r="F984" s="6">
        <f>'Пр.4 ведом.20'!G213</f>
        <v>400.6</v>
      </c>
      <c r="G984" s="358">
        <f>'Пр.4 ведом.20'!H213</f>
        <v>184.7</v>
      </c>
      <c r="H984" s="358">
        <f t="shared" si="483"/>
        <v>46.10584123814278</v>
      </c>
    </row>
    <row r="985" spans="1:10" s="213" customFormat="1" ht="15" customHeight="1" x14ac:dyDescent="0.25">
      <c r="A985" s="23" t="s">
        <v>157</v>
      </c>
      <c r="B985" s="24" t="s">
        <v>260</v>
      </c>
      <c r="C985" s="24" t="s">
        <v>136</v>
      </c>
      <c r="D985" s="24" t="s">
        <v>912</v>
      </c>
      <c r="E985" s="24"/>
      <c r="F985" s="4">
        <f>F986</f>
        <v>114.6</v>
      </c>
      <c r="G985" s="4">
        <f t="shared" ref="G985:G988" si="490">G986</f>
        <v>0</v>
      </c>
      <c r="H985" s="4">
        <f t="shared" si="483"/>
        <v>0</v>
      </c>
    </row>
    <row r="986" spans="1:10" ht="37.5" customHeight="1" x14ac:dyDescent="0.25">
      <c r="A986" s="23" t="s">
        <v>916</v>
      </c>
      <c r="B986" s="24" t="s">
        <v>260</v>
      </c>
      <c r="C986" s="24" t="s">
        <v>136</v>
      </c>
      <c r="D986" s="24" t="s">
        <v>911</v>
      </c>
      <c r="E986" s="24"/>
      <c r="F986" s="4">
        <f>F987</f>
        <v>114.6</v>
      </c>
      <c r="G986" s="4">
        <f t="shared" si="490"/>
        <v>0</v>
      </c>
      <c r="H986" s="4">
        <f t="shared" si="483"/>
        <v>0</v>
      </c>
    </row>
    <row r="987" spans="1:10" ht="15.75" customHeight="1" x14ac:dyDescent="0.25">
      <c r="A987" s="25" t="s">
        <v>588</v>
      </c>
      <c r="B987" s="20" t="s">
        <v>260</v>
      </c>
      <c r="C987" s="20" t="s">
        <v>136</v>
      </c>
      <c r="D987" s="20" t="s">
        <v>1133</v>
      </c>
      <c r="E987" s="20"/>
      <c r="F987" s="6">
        <f>F988</f>
        <v>114.6</v>
      </c>
      <c r="G987" s="358">
        <f t="shared" si="490"/>
        <v>0</v>
      </c>
      <c r="H987" s="358">
        <f t="shared" si="483"/>
        <v>0</v>
      </c>
    </row>
    <row r="988" spans="1:10" ht="31.7" customHeight="1" x14ac:dyDescent="0.25">
      <c r="A988" s="25" t="s">
        <v>147</v>
      </c>
      <c r="B988" s="20" t="s">
        <v>260</v>
      </c>
      <c r="C988" s="20" t="s">
        <v>136</v>
      </c>
      <c r="D988" s="20" t="s">
        <v>1133</v>
      </c>
      <c r="E988" s="20" t="s">
        <v>148</v>
      </c>
      <c r="F988" s="6">
        <f>F989</f>
        <v>114.6</v>
      </c>
      <c r="G988" s="358">
        <f t="shared" si="490"/>
        <v>0</v>
      </c>
      <c r="H988" s="358">
        <f t="shared" si="483"/>
        <v>0</v>
      </c>
    </row>
    <row r="989" spans="1:10" ht="35.450000000000003" customHeight="1" x14ac:dyDescent="0.25">
      <c r="A989" s="25" t="s">
        <v>149</v>
      </c>
      <c r="B989" s="20" t="s">
        <v>260</v>
      </c>
      <c r="C989" s="20" t="s">
        <v>136</v>
      </c>
      <c r="D989" s="20" t="s">
        <v>1133</v>
      </c>
      <c r="E989" s="20" t="s">
        <v>150</v>
      </c>
      <c r="F989" s="6">
        <f>'Пр.4 ведом.20'!G1152</f>
        <v>114.6</v>
      </c>
      <c r="G989" s="358">
        <f>'Пр.4 ведом.20'!H1152</f>
        <v>0</v>
      </c>
      <c r="H989" s="358">
        <f t="shared" si="483"/>
        <v>0</v>
      </c>
    </row>
    <row r="990" spans="1:10" ht="15.75" x14ac:dyDescent="0.25">
      <c r="A990" s="41" t="s">
        <v>506</v>
      </c>
      <c r="B990" s="7" t="s">
        <v>507</v>
      </c>
      <c r="C990" s="40"/>
      <c r="D990" s="40"/>
      <c r="E990" s="40"/>
      <c r="F990" s="4">
        <f>F991+F1053</f>
        <v>66142.130400000009</v>
      </c>
      <c r="G990" s="4">
        <f t="shared" ref="G990" si="491">G991+G1053</f>
        <v>45822.797999999995</v>
      </c>
      <c r="H990" s="4">
        <f t="shared" si="483"/>
        <v>69.279289498059455</v>
      </c>
      <c r="I990">
        <f>'Пр.4 ведом.20'!H826</f>
        <v>45822.797999999995</v>
      </c>
    </row>
    <row r="991" spans="1:10" ht="15.75" x14ac:dyDescent="0.25">
      <c r="A991" s="23" t="s">
        <v>508</v>
      </c>
      <c r="B991" s="24" t="s">
        <v>507</v>
      </c>
      <c r="C991" s="24" t="s">
        <v>134</v>
      </c>
      <c r="D991" s="20"/>
      <c r="E991" s="20"/>
      <c r="F991" s="4">
        <f>F996+F1048+F992+F1043</f>
        <v>53175.930400000005</v>
      </c>
      <c r="G991" s="4">
        <f t="shared" ref="G991" si="492">G996+G1048+G992+G1043</f>
        <v>37642.988999999994</v>
      </c>
      <c r="H991" s="4">
        <f t="shared" si="483"/>
        <v>70.789525856608222</v>
      </c>
      <c r="I991" s="22"/>
      <c r="J991" s="22"/>
    </row>
    <row r="992" spans="1:10" s="213" customFormat="1" ht="47.25" hidden="1" x14ac:dyDescent="0.25">
      <c r="A992" s="23" t="s">
        <v>1171</v>
      </c>
      <c r="B992" s="24" t="s">
        <v>507</v>
      </c>
      <c r="C992" s="24" t="s">
        <v>134</v>
      </c>
      <c r="D992" s="24" t="s">
        <v>1116</v>
      </c>
      <c r="E992" s="20"/>
      <c r="F992" s="4">
        <f>F993</f>
        <v>0</v>
      </c>
      <c r="G992" s="4">
        <f t="shared" ref="G992:G994" si="493">G993</f>
        <v>0</v>
      </c>
      <c r="H992" s="4" t="e">
        <f t="shared" si="483"/>
        <v>#DIV/0!</v>
      </c>
      <c r="I992" s="22"/>
      <c r="J992" s="22"/>
    </row>
    <row r="993" spans="1:10" s="213" customFormat="1" ht="47.25" hidden="1" x14ac:dyDescent="0.25">
      <c r="A993" s="25" t="s">
        <v>1504</v>
      </c>
      <c r="B993" s="20" t="s">
        <v>507</v>
      </c>
      <c r="C993" s="20" t="s">
        <v>134</v>
      </c>
      <c r="D993" s="20" t="s">
        <v>1503</v>
      </c>
      <c r="E993" s="20"/>
      <c r="F993" s="6">
        <f>F994</f>
        <v>0</v>
      </c>
      <c r="G993" s="358">
        <f t="shared" si="493"/>
        <v>0</v>
      </c>
      <c r="H993" s="4" t="e">
        <f t="shared" si="483"/>
        <v>#DIV/0!</v>
      </c>
      <c r="I993" s="22"/>
      <c r="J993" s="22"/>
    </row>
    <row r="994" spans="1:10" s="213" customFormat="1" ht="31.5" hidden="1" x14ac:dyDescent="0.25">
      <c r="A994" s="25" t="s">
        <v>147</v>
      </c>
      <c r="B994" s="20" t="s">
        <v>507</v>
      </c>
      <c r="C994" s="20" t="s">
        <v>134</v>
      </c>
      <c r="D994" s="20" t="s">
        <v>1503</v>
      </c>
      <c r="E994" s="20" t="s">
        <v>148</v>
      </c>
      <c r="F994" s="6">
        <f>F995</f>
        <v>0</v>
      </c>
      <c r="G994" s="358">
        <f t="shared" si="493"/>
        <v>0</v>
      </c>
      <c r="H994" s="4" t="e">
        <f t="shared" si="483"/>
        <v>#DIV/0!</v>
      </c>
      <c r="I994" s="22"/>
      <c r="J994" s="22"/>
    </row>
    <row r="995" spans="1:10" s="213" customFormat="1" ht="47.25" hidden="1" x14ac:dyDescent="0.25">
      <c r="A995" s="25" t="s">
        <v>149</v>
      </c>
      <c r="B995" s="20" t="s">
        <v>507</v>
      </c>
      <c r="C995" s="20" t="s">
        <v>134</v>
      </c>
      <c r="D995" s="20" t="s">
        <v>1503</v>
      </c>
      <c r="E995" s="20" t="s">
        <v>150</v>
      </c>
      <c r="F995" s="6">
        <f>'Пр.4 ведом.20'!G831</f>
        <v>0</v>
      </c>
      <c r="G995" s="358">
        <f>'Пр.4 ведом.20'!H831</f>
        <v>0</v>
      </c>
      <c r="H995" s="4" t="e">
        <f t="shared" si="483"/>
        <v>#DIV/0!</v>
      </c>
      <c r="I995" s="22"/>
      <c r="J995" s="22"/>
    </row>
    <row r="996" spans="1:10" ht="47.25" x14ac:dyDescent="0.25">
      <c r="A996" s="23" t="s">
        <v>497</v>
      </c>
      <c r="B996" s="24" t="s">
        <v>507</v>
      </c>
      <c r="C996" s="24" t="s">
        <v>134</v>
      </c>
      <c r="D996" s="24" t="s">
        <v>498</v>
      </c>
      <c r="E996" s="24"/>
      <c r="F996" s="4">
        <f t="shared" ref="F996:G996" si="494">F997</f>
        <v>52558.430400000005</v>
      </c>
      <c r="G996" s="4">
        <f t="shared" si="494"/>
        <v>37299.547999999995</v>
      </c>
      <c r="H996" s="4">
        <f t="shared" si="483"/>
        <v>70.967773801707736</v>
      </c>
    </row>
    <row r="997" spans="1:10" ht="47.25" x14ac:dyDescent="0.25">
      <c r="A997" s="23" t="s">
        <v>509</v>
      </c>
      <c r="B997" s="24" t="s">
        <v>507</v>
      </c>
      <c r="C997" s="24" t="s">
        <v>134</v>
      </c>
      <c r="D997" s="24" t="s">
        <v>510</v>
      </c>
      <c r="E997" s="24"/>
      <c r="F997" s="4">
        <f>F998+F1008+F1018+F1025+F1032+F1036</f>
        <v>52558.430400000005</v>
      </c>
      <c r="G997" s="4">
        <f t="shared" ref="G997" si="495">G998+G1008+G1018+G1025+G1032+G1036</f>
        <v>37299.547999999995</v>
      </c>
      <c r="H997" s="4">
        <f t="shared" si="483"/>
        <v>70.967773801707736</v>
      </c>
    </row>
    <row r="998" spans="1:10" ht="31.5" x14ac:dyDescent="0.25">
      <c r="A998" s="23" t="s">
        <v>1028</v>
      </c>
      <c r="B998" s="24" t="s">
        <v>507</v>
      </c>
      <c r="C998" s="24" t="s">
        <v>134</v>
      </c>
      <c r="D998" s="24" t="s">
        <v>1061</v>
      </c>
      <c r="E998" s="24"/>
      <c r="F998" s="4">
        <f>F999+F1002+F1005</f>
        <v>44780.4</v>
      </c>
      <c r="G998" s="4">
        <f t="shared" ref="G998" si="496">G999+G1002+G1005</f>
        <v>30645.095999999998</v>
      </c>
      <c r="H998" s="4">
        <f t="shared" si="483"/>
        <v>68.434172093147879</v>
      </c>
    </row>
    <row r="999" spans="1:10" ht="47.25" x14ac:dyDescent="0.25">
      <c r="A999" s="25" t="s">
        <v>837</v>
      </c>
      <c r="B999" s="20" t="s">
        <v>507</v>
      </c>
      <c r="C999" s="20" t="s">
        <v>134</v>
      </c>
      <c r="D999" s="20" t="s">
        <v>1071</v>
      </c>
      <c r="E999" s="20"/>
      <c r="F999" s="6">
        <f>F1000</f>
        <v>12963.2</v>
      </c>
      <c r="G999" s="358">
        <f t="shared" ref="G999:G1000" si="497">G1000</f>
        <v>8482.4</v>
      </c>
      <c r="H999" s="358">
        <f t="shared" si="483"/>
        <v>65.434460627005677</v>
      </c>
    </row>
    <row r="1000" spans="1:10" ht="31.5" x14ac:dyDescent="0.25">
      <c r="A1000" s="25" t="s">
        <v>288</v>
      </c>
      <c r="B1000" s="20" t="s">
        <v>507</v>
      </c>
      <c r="C1000" s="20" t="s">
        <v>134</v>
      </c>
      <c r="D1000" s="20" t="s">
        <v>1071</v>
      </c>
      <c r="E1000" s="20" t="s">
        <v>289</v>
      </c>
      <c r="F1000" s="6">
        <f>F1001</f>
        <v>12963.2</v>
      </c>
      <c r="G1000" s="358">
        <f t="shared" si="497"/>
        <v>8482.4</v>
      </c>
      <c r="H1000" s="358">
        <f t="shared" si="483"/>
        <v>65.434460627005677</v>
      </c>
    </row>
    <row r="1001" spans="1:10" ht="15.75" x14ac:dyDescent="0.25">
      <c r="A1001" s="25" t="s">
        <v>290</v>
      </c>
      <c r="B1001" s="20" t="s">
        <v>507</v>
      </c>
      <c r="C1001" s="20" t="s">
        <v>134</v>
      </c>
      <c r="D1001" s="20" t="s">
        <v>1071</v>
      </c>
      <c r="E1001" s="20" t="s">
        <v>291</v>
      </c>
      <c r="F1001" s="6">
        <f>'Пр.4 ведом.20'!G837</f>
        <v>12963.2</v>
      </c>
      <c r="G1001" s="358">
        <f>'Пр.4 ведом.20'!H837</f>
        <v>8482.4</v>
      </c>
      <c r="H1001" s="358">
        <f t="shared" si="483"/>
        <v>65.434460627005677</v>
      </c>
    </row>
    <row r="1002" spans="1:10" ht="47.25" x14ac:dyDescent="0.25">
      <c r="A1002" s="25" t="s">
        <v>858</v>
      </c>
      <c r="B1002" s="20" t="s">
        <v>507</v>
      </c>
      <c r="C1002" s="20" t="s">
        <v>134</v>
      </c>
      <c r="D1002" s="20" t="s">
        <v>1072</v>
      </c>
      <c r="E1002" s="20"/>
      <c r="F1002" s="6">
        <f>F1003</f>
        <v>13290.199999999999</v>
      </c>
      <c r="G1002" s="358">
        <f t="shared" ref="G1002:G1003" si="498">G1003</f>
        <v>10034.219999999999</v>
      </c>
      <c r="H1002" s="358">
        <f t="shared" si="483"/>
        <v>75.50089539660803</v>
      </c>
    </row>
    <row r="1003" spans="1:10" ht="31.5" x14ac:dyDescent="0.25">
      <c r="A1003" s="25" t="s">
        <v>288</v>
      </c>
      <c r="B1003" s="20" t="s">
        <v>507</v>
      </c>
      <c r="C1003" s="20" t="s">
        <v>134</v>
      </c>
      <c r="D1003" s="20" t="s">
        <v>1072</v>
      </c>
      <c r="E1003" s="20" t="s">
        <v>289</v>
      </c>
      <c r="F1003" s="6">
        <f>F1004</f>
        <v>13290.199999999999</v>
      </c>
      <c r="G1003" s="358">
        <f t="shared" si="498"/>
        <v>10034.219999999999</v>
      </c>
      <c r="H1003" s="358">
        <f t="shared" si="483"/>
        <v>75.50089539660803</v>
      </c>
    </row>
    <row r="1004" spans="1:10" ht="15.75" x14ac:dyDescent="0.25">
      <c r="A1004" s="25" t="s">
        <v>290</v>
      </c>
      <c r="B1004" s="20" t="s">
        <v>507</v>
      </c>
      <c r="C1004" s="20" t="s">
        <v>134</v>
      </c>
      <c r="D1004" s="20" t="s">
        <v>1072</v>
      </c>
      <c r="E1004" s="20" t="s">
        <v>291</v>
      </c>
      <c r="F1004" s="6">
        <f>'Пр.4 ведом.20'!G840</f>
        <v>13290.199999999999</v>
      </c>
      <c r="G1004" s="358">
        <f>'Пр.4 ведом.20'!H840</f>
        <v>10034.219999999999</v>
      </c>
      <c r="H1004" s="358">
        <f t="shared" si="483"/>
        <v>75.50089539660803</v>
      </c>
    </row>
    <row r="1005" spans="1:10" ht="47.25" x14ac:dyDescent="0.25">
      <c r="A1005" s="25" t="s">
        <v>859</v>
      </c>
      <c r="B1005" s="20" t="s">
        <v>507</v>
      </c>
      <c r="C1005" s="20" t="s">
        <v>134</v>
      </c>
      <c r="D1005" s="20" t="s">
        <v>1073</v>
      </c>
      <c r="E1005" s="20"/>
      <c r="F1005" s="6">
        <f>F1006</f>
        <v>18527</v>
      </c>
      <c r="G1005" s="358">
        <f t="shared" ref="G1005:G1006" si="499">G1006</f>
        <v>12128.476000000001</v>
      </c>
      <c r="H1005" s="358">
        <f t="shared" si="483"/>
        <v>65.463787985102826</v>
      </c>
    </row>
    <row r="1006" spans="1:10" ht="31.5" x14ac:dyDescent="0.25">
      <c r="A1006" s="25" t="s">
        <v>288</v>
      </c>
      <c r="B1006" s="20" t="s">
        <v>507</v>
      </c>
      <c r="C1006" s="20" t="s">
        <v>134</v>
      </c>
      <c r="D1006" s="20" t="s">
        <v>1073</v>
      </c>
      <c r="E1006" s="20" t="s">
        <v>289</v>
      </c>
      <c r="F1006" s="6">
        <f>F1007</f>
        <v>18527</v>
      </c>
      <c r="G1006" s="358">
        <f t="shared" si="499"/>
        <v>12128.476000000001</v>
      </c>
      <c r="H1006" s="358">
        <f t="shared" si="483"/>
        <v>65.463787985102826</v>
      </c>
    </row>
    <row r="1007" spans="1:10" ht="15.75" x14ac:dyDescent="0.25">
      <c r="A1007" s="25" t="s">
        <v>290</v>
      </c>
      <c r="B1007" s="20" t="s">
        <v>507</v>
      </c>
      <c r="C1007" s="20" t="s">
        <v>134</v>
      </c>
      <c r="D1007" s="20" t="s">
        <v>1073</v>
      </c>
      <c r="E1007" s="20" t="s">
        <v>291</v>
      </c>
      <c r="F1007" s="6">
        <f>'Пр.4 ведом.20'!G843</f>
        <v>18527</v>
      </c>
      <c r="G1007" s="358">
        <f>'Пр.4 ведом.20'!H843</f>
        <v>12128.476000000001</v>
      </c>
      <c r="H1007" s="358">
        <f t="shared" si="483"/>
        <v>65.463787985102826</v>
      </c>
    </row>
    <row r="1008" spans="1:10" ht="31.5" x14ac:dyDescent="0.25">
      <c r="A1008" s="23" t="s">
        <v>1074</v>
      </c>
      <c r="B1008" s="24" t="s">
        <v>507</v>
      </c>
      <c r="C1008" s="24" t="s">
        <v>134</v>
      </c>
      <c r="D1008" s="24" t="s">
        <v>1075</v>
      </c>
      <c r="E1008" s="24"/>
      <c r="F1008" s="4">
        <f>F1009+F1012+F1015</f>
        <v>288</v>
      </c>
      <c r="G1008" s="4">
        <f t="shared" ref="G1008" si="500">G1009+G1012+G1015</f>
        <v>288</v>
      </c>
      <c r="H1008" s="4">
        <f t="shared" si="483"/>
        <v>100</v>
      </c>
    </row>
    <row r="1009" spans="1:8" ht="31.5" hidden="1" x14ac:dyDescent="0.25">
      <c r="A1009" s="25" t="s">
        <v>294</v>
      </c>
      <c r="B1009" s="20" t="s">
        <v>507</v>
      </c>
      <c r="C1009" s="20" t="s">
        <v>134</v>
      </c>
      <c r="D1009" s="20" t="s">
        <v>1079</v>
      </c>
      <c r="E1009" s="20"/>
      <c r="F1009" s="6">
        <f t="shared" ref="F1009:G1009" si="501">F1010</f>
        <v>252</v>
      </c>
      <c r="G1009" s="358">
        <f t="shared" si="501"/>
        <v>252</v>
      </c>
      <c r="H1009" s="358">
        <f t="shared" si="483"/>
        <v>100</v>
      </c>
    </row>
    <row r="1010" spans="1:8" ht="31.5" hidden="1" x14ac:dyDescent="0.25">
      <c r="A1010" s="25" t="s">
        <v>288</v>
      </c>
      <c r="B1010" s="20" t="s">
        <v>507</v>
      </c>
      <c r="C1010" s="20" t="s">
        <v>134</v>
      </c>
      <c r="D1010" s="20" t="s">
        <v>1079</v>
      </c>
      <c r="E1010" s="20" t="s">
        <v>289</v>
      </c>
      <c r="F1010" s="6">
        <f>'Пр.4 ведом.20'!G847</f>
        <v>252</v>
      </c>
      <c r="G1010" s="358">
        <f>'Пр.4 ведом.20'!H847</f>
        <v>252</v>
      </c>
      <c r="H1010" s="358">
        <f t="shared" si="483"/>
        <v>100</v>
      </c>
    </row>
    <row r="1011" spans="1:8" ht="20.25" hidden="1" customHeight="1" x14ac:dyDescent="0.25">
      <c r="A1011" s="25" t="s">
        <v>290</v>
      </c>
      <c r="B1011" s="20" t="s">
        <v>507</v>
      </c>
      <c r="C1011" s="20" t="s">
        <v>134</v>
      </c>
      <c r="D1011" s="20" t="s">
        <v>1079</v>
      </c>
      <c r="E1011" s="20" t="s">
        <v>291</v>
      </c>
      <c r="F1011" s="6">
        <f>'Пр.4 ведом.20'!G847</f>
        <v>252</v>
      </c>
      <c r="G1011" s="358">
        <f>'Пр.4 ведом.20'!H847</f>
        <v>252</v>
      </c>
      <c r="H1011" s="358">
        <f t="shared" si="483"/>
        <v>100</v>
      </c>
    </row>
    <row r="1012" spans="1:8" ht="33" hidden="1" customHeight="1" x14ac:dyDescent="0.25">
      <c r="A1012" s="25" t="s">
        <v>296</v>
      </c>
      <c r="B1012" s="20" t="s">
        <v>507</v>
      </c>
      <c r="C1012" s="20" t="s">
        <v>134</v>
      </c>
      <c r="D1012" s="20" t="s">
        <v>1080</v>
      </c>
      <c r="E1012" s="20"/>
      <c r="F1012" s="6">
        <f t="shared" ref="F1012:G1012" si="502">F1013</f>
        <v>0</v>
      </c>
      <c r="G1012" s="358">
        <f t="shared" si="502"/>
        <v>0</v>
      </c>
      <c r="H1012" s="358" t="e">
        <f t="shared" si="483"/>
        <v>#DIV/0!</v>
      </c>
    </row>
    <row r="1013" spans="1:8" ht="37.5" hidden="1" customHeight="1" x14ac:dyDescent="0.25">
      <c r="A1013" s="25" t="s">
        <v>288</v>
      </c>
      <c r="B1013" s="20" t="s">
        <v>507</v>
      </c>
      <c r="C1013" s="20" t="s">
        <v>134</v>
      </c>
      <c r="D1013" s="20" t="s">
        <v>1080</v>
      </c>
      <c r="E1013" s="20" t="s">
        <v>289</v>
      </c>
      <c r="F1013" s="6">
        <f>'Пр.4 ведом.20'!G850</f>
        <v>0</v>
      </c>
      <c r="G1013" s="358">
        <f>'Пр.4 ведом.20'!H850</f>
        <v>0</v>
      </c>
      <c r="H1013" s="358" t="e">
        <f t="shared" si="483"/>
        <v>#DIV/0!</v>
      </c>
    </row>
    <row r="1014" spans="1:8" s="213" customFormat="1" ht="15.75" hidden="1" customHeight="1" x14ac:dyDescent="0.25">
      <c r="A1014" s="25" t="s">
        <v>290</v>
      </c>
      <c r="B1014" s="20" t="s">
        <v>507</v>
      </c>
      <c r="C1014" s="20" t="s">
        <v>134</v>
      </c>
      <c r="D1014" s="20" t="s">
        <v>1080</v>
      </c>
      <c r="E1014" s="20" t="s">
        <v>291</v>
      </c>
      <c r="F1014" s="6">
        <f>'Пр.4 ведом.20'!G850</f>
        <v>0</v>
      </c>
      <c r="G1014" s="358">
        <f>'Пр.4 ведом.20'!H850</f>
        <v>0</v>
      </c>
      <c r="H1014" s="358" t="e">
        <f t="shared" si="483"/>
        <v>#DIV/0!</v>
      </c>
    </row>
    <row r="1015" spans="1:8" s="213" customFormat="1" ht="20.25" customHeight="1" x14ac:dyDescent="0.25">
      <c r="A1015" s="25" t="s">
        <v>876</v>
      </c>
      <c r="B1015" s="20" t="s">
        <v>507</v>
      </c>
      <c r="C1015" s="20" t="s">
        <v>134</v>
      </c>
      <c r="D1015" s="20" t="s">
        <v>1081</v>
      </c>
      <c r="E1015" s="20"/>
      <c r="F1015" s="6">
        <f>F1016</f>
        <v>36</v>
      </c>
      <c r="G1015" s="358">
        <f t="shared" ref="G1015" si="503">G1016</f>
        <v>36</v>
      </c>
      <c r="H1015" s="358">
        <f t="shared" si="483"/>
        <v>100</v>
      </c>
    </row>
    <row r="1016" spans="1:8" s="213" customFormat="1" ht="33" customHeight="1" x14ac:dyDescent="0.25">
      <c r="A1016" s="25" t="s">
        <v>288</v>
      </c>
      <c r="B1016" s="20" t="s">
        <v>507</v>
      </c>
      <c r="C1016" s="20" t="s">
        <v>134</v>
      </c>
      <c r="D1016" s="20" t="s">
        <v>1081</v>
      </c>
      <c r="E1016" s="20" t="s">
        <v>289</v>
      </c>
      <c r="F1016" s="6">
        <f>'Пр.4 ведом.20'!G853</f>
        <v>36</v>
      </c>
      <c r="G1016" s="358">
        <f>'Пр.4 ведом.20'!H853</f>
        <v>36</v>
      </c>
      <c r="H1016" s="358">
        <f t="shared" si="483"/>
        <v>100</v>
      </c>
    </row>
    <row r="1017" spans="1:8" ht="20.25" customHeight="1" x14ac:dyDescent="0.25">
      <c r="A1017" s="25" t="s">
        <v>290</v>
      </c>
      <c r="B1017" s="20" t="s">
        <v>507</v>
      </c>
      <c r="C1017" s="20" t="s">
        <v>134</v>
      </c>
      <c r="D1017" s="20" t="s">
        <v>1081</v>
      </c>
      <c r="E1017" s="20" t="s">
        <v>291</v>
      </c>
      <c r="F1017" s="6">
        <f>'Пр.4 ведом.20'!G853</f>
        <v>36</v>
      </c>
      <c r="G1017" s="358">
        <f>'Пр.4 ведом.20'!H853</f>
        <v>36</v>
      </c>
      <c r="H1017" s="358">
        <f t="shared" si="483"/>
        <v>100</v>
      </c>
    </row>
    <row r="1018" spans="1:8" ht="47.25" customHeight="1" x14ac:dyDescent="0.25">
      <c r="A1018" s="23" t="s">
        <v>1076</v>
      </c>
      <c r="B1018" s="24" t="s">
        <v>507</v>
      </c>
      <c r="C1018" s="24" t="s">
        <v>134</v>
      </c>
      <c r="D1018" s="24" t="s">
        <v>1078</v>
      </c>
      <c r="E1018" s="24"/>
      <c r="F1018" s="4">
        <f>F1019+F1022</f>
        <v>1205.8</v>
      </c>
      <c r="G1018" s="4">
        <f t="shared" ref="G1018" si="504">G1019+G1022</f>
        <v>1205.8</v>
      </c>
      <c r="H1018" s="4">
        <f t="shared" si="483"/>
        <v>100</v>
      </c>
    </row>
    <row r="1019" spans="1:8" ht="39.200000000000003" hidden="1" customHeight="1" x14ac:dyDescent="0.25">
      <c r="A1019" s="25" t="s">
        <v>817</v>
      </c>
      <c r="B1019" s="20" t="s">
        <v>507</v>
      </c>
      <c r="C1019" s="20" t="s">
        <v>134</v>
      </c>
      <c r="D1019" s="20" t="s">
        <v>1082</v>
      </c>
      <c r="E1019" s="20"/>
      <c r="F1019" s="6">
        <f>'Пр.4 ведом.20'!G857</f>
        <v>0</v>
      </c>
      <c r="G1019" s="358">
        <f>'Пр.4 ведом.20'!H857</f>
        <v>0</v>
      </c>
      <c r="H1019" s="358" t="e">
        <f t="shared" si="483"/>
        <v>#DIV/0!</v>
      </c>
    </row>
    <row r="1020" spans="1:8" ht="40.700000000000003" hidden="1" customHeight="1" x14ac:dyDescent="0.25">
      <c r="A1020" s="25" t="s">
        <v>288</v>
      </c>
      <c r="B1020" s="20" t="s">
        <v>507</v>
      </c>
      <c r="C1020" s="20" t="s">
        <v>134</v>
      </c>
      <c r="D1020" s="20" t="s">
        <v>1082</v>
      </c>
      <c r="E1020" s="20" t="s">
        <v>289</v>
      </c>
      <c r="F1020" s="6">
        <f t="shared" ref="F1020:G1020" si="505">F1021</f>
        <v>0</v>
      </c>
      <c r="G1020" s="358">
        <f t="shared" si="505"/>
        <v>0</v>
      </c>
      <c r="H1020" s="358" t="e">
        <f t="shared" si="483"/>
        <v>#DIV/0!</v>
      </c>
    </row>
    <row r="1021" spans="1:8" ht="15.75" hidden="1" customHeight="1" x14ac:dyDescent="0.25">
      <c r="A1021" s="25" t="s">
        <v>290</v>
      </c>
      <c r="B1021" s="20" t="s">
        <v>507</v>
      </c>
      <c r="C1021" s="20" t="s">
        <v>134</v>
      </c>
      <c r="D1021" s="20" t="s">
        <v>1082</v>
      </c>
      <c r="E1021" s="20" t="s">
        <v>291</v>
      </c>
      <c r="F1021" s="6">
        <f>'Пр.4 ведом.20'!G857</f>
        <v>0</v>
      </c>
      <c r="G1021" s="358">
        <f>'Пр.4 ведом.20'!H857</f>
        <v>0</v>
      </c>
      <c r="H1021" s="358" t="e">
        <f t="shared" si="483"/>
        <v>#DIV/0!</v>
      </c>
    </row>
    <row r="1022" spans="1:8" ht="34.5" customHeight="1" x14ac:dyDescent="0.25">
      <c r="A1022" s="45" t="s">
        <v>787</v>
      </c>
      <c r="B1022" s="20" t="s">
        <v>507</v>
      </c>
      <c r="C1022" s="20" t="s">
        <v>134</v>
      </c>
      <c r="D1022" s="20" t="s">
        <v>1083</v>
      </c>
      <c r="E1022" s="20"/>
      <c r="F1022" s="6">
        <f>'Пр.4 ведом.20'!G860</f>
        <v>1205.8</v>
      </c>
      <c r="G1022" s="358">
        <f>'Пр.4 ведом.20'!H860</f>
        <v>1205.8</v>
      </c>
      <c r="H1022" s="358">
        <f t="shared" si="483"/>
        <v>100</v>
      </c>
    </row>
    <row r="1023" spans="1:8" ht="39.75" customHeight="1" x14ac:dyDescent="0.25">
      <c r="A1023" s="31" t="s">
        <v>288</v>
      </c>
      <c r="B1023" s="20" t="s">
        <v>507</v>
      </c>
      <c r="C1023" s="20" t="s">
        <v>134</v>
      </c>
      <c r="D1023" s="20" t="s">
        <v>1083</v>
      </c>
      <c r="E1023" s="20" t="s">
        <v>289</v>
      </c>
      <c r="F1023" s="6">
        <f>F1024</f>
        <v>1205.8</v>
      </c>
      <c r="G1023" s="358">
        <f t="shared" ref="G1023" si="506">G1024</f>
        <v>1205.8</v>
      </c>
      <c r="H1023" s="358">
        <f t="shared" si="483"/>
        <v>100</v>
      </c>
    </row>
    <row r="1024" spans="1:8" ht="15.75" x14ac:dyDescent="0.25">
      <c r="A1024" s="31" t="s">
        <v>290</v>
      </c>
      <c r="B1024" s="20" t="s">
        <v>507</v>
      </c>
      <c r="C1024" s="20" t="s">
        <v>134</v>
      </c>
      <c r="D1024" s="20" t="s">
        <v>1083</v>
      </c>
      <c r="E1024" s="20" t="s">
        <v>291</v>
      </c>
      <c r="F1024" s="6">
        <f>'Пр.4 ведом.20'!G860</f>
        <v>1205.8</v>
      </c>
      <c r="G1024" s="358">
        <f>'Пр.4 ведом.20'!H860</f>
        <v>1205.8</v>
      </c>
      <c r="H1024" s="358">
        <f t="shared" si="483"/>
        <v>100</v>
      </c>
    </row>
    <row r="1025" spans="1:8" ht="47.25" x14ac:dyDescent="0.25">
      <c r="A1025" s="23" t="s">
        <v>971</v>
      </c>
      <c r="B1025" s="24" t="s">
        <v>507</v>
      </c>
      <c r="C1025" s="24" t="s">
        <v>134</v>
      </c>
      <c r="D1025" s="24" t="s">
        <v>1084</v>
      </c>
      <c r="E1025" s="24"/>
      <c r="F1025" s="4">
        <f>F1029+F1026</f>
        <v>813.5</v>
      </c>
      <c r="G1025" s="4">
        <f t="shared" ref="G1025" si="507">G1029+G1026</f>
        <v>549.83600000000001</v>
      </c>
      <c r="H1025" s="4">
        <f t="shared" si="483"/>
        <v>67.588936693300553</v>
      </c>
    </row>
    <row r="1026" spans="1:8" s="324" customFormat="1" ht="94.5" x14ac:dyDescent="0.25">
      <c r="A1026" s="31" t="s">
        <v>309</v>
      </c>
      <c r="B1026" s="331" t="s">
        <v>507</v>
      </c>
      <c r="C1026" s="331" t="s">
        <v>134</v>
      </c>
      <c r="D1026" s="331" t="s">
        <v>1519</v>
      </c>
      <c r="E1026" s="331"/>
      <c r="F1026" s="6">
        <f>F1027</f>
        <v>813.5</v>
      </c>
      <c r="G1026" s="358">
        <f t="shared" ref="G1026:G1027" si="508">G1027</f>
        <v>549.83600000000001</v>
      </c>
      <c r="H1026" s="358">
        <f t="shared" si="483"/>
        <v>67.588936693300553</v>
      </c>
    </row>
    <row r="1027" spans="1:8" s="324" customFormat="1" ht="31.5" x14ac:dyDescent="0.25">
      <c r="A1027" s="335" t="s">
        <v>288</v>
      </c>
      <c r="B1027" s="331" t="s">
        <v>507</v>
      </c>
      <c r="C1027" s="331" t="s">
        <v>134</v>
      </c>
      <c r="D1027" s="331" t="s">
        <v>1519</v>
      </c>
      <c r="E1027" s="331" t="s">
        <v>289</v>
      </c>
      <c r="F1027" s="6">
        <f>F1028</f>
        <v>813.5</v>
      </c>
      <c r="G1027" s="358">
        <f t="shared" si="508"/>
        <v>549.83600000000001</v>
      </c>
      <c r="H1027" s="358">
        <f t="shared" si="483"/>
        <v>67.588936693300553</v>
      </c>
    </row>
    <row r="1028" spans="1:8" s="324" customFormat="1" ht="15.75" x14ac:dyDescent="0.25">
      <c r="A1028" s="335" t="s">
        <v>290</v>
      </c>
      <c r="B1028" s="331" t="s">
        <v>507</v>
      </c>
      <c r="C1028" s="331" t="s">
        <v>134</v>
      </c>
      <c r="D1028" s="331" t="s">
        <v>1519</v>
      </c>
      <c r="E1028" s="331" t="s">
        <v>291</v>
      </c>
      <c r="F1028" s="6">
        <f>'Пр.4 ведом.20'!G864</f>
        <v>813.5</v>
      </c>
      <c r="G1028" s="358">
        <f>'Пр.4 ведом.20'!H864</f>
        <v>549.83600000000001</v>
      </c>
      <c r="H1028" s="358">
        <f t="shared" si="483"/>
        <v>67.588936693300553</v>
      </c>
    </row>
    <row r="1029" spans="1:8" ht="103.7" hidden="1" customHeight="1" x14ac:dyDescent="0.25">
      <c r="A1029" s="31" t="s">
        <v>480</v>
      </c>
      <c r="B1029" s="20" t="s">
        <v>507</v>
      </c>
      <c r="C1029" s="20" t="s">
        <v>134</v>
      </c>
      <c r="D1029" s="20" t="s">
        <v>1085</v>
      </c>
      <c r="E1029" s="20"/>
      <c r="F1029" s="6">
        <f>F1030</f>
        <v>0</v>
      </c>
      <c r="G1029" s="358">
        <f t="shared" ref="G1029" si="509">G1030</f>
        <v>0</v>
      </c>
      <c r="H1029" s="358" t="e">
        <f t="shared" si="483"/>
        <v>#DIV/0!</v>
      </c>
    </row>
    <row r="1030" spans="1:8" ht="31.5" hidden="1" x14ac:dyDescent="0.25">
      <c r="A1030" s="25" t="s">
        <v>288</v>
      </c>
      <c r="B1030" s="20" t="s">
        <v>507</v>
      </c>
      <c r="C1030" s="20" t="s">
        <v>134</v>
      </c>
      <c r="D1030" s="20" t="s">
        <v>1085</v>
      </c>
      <c r="E1030" s="20" t="s">
        <v>289</v>
      </c>
      <c r="F1030" s="6">
        <f t="shared" ref="F1030:G1048" si="510">F1031</f>
        <v>0</v>
      </c>
      <c r="G1030" s="358">
        <f t="shared" si="510"/>
        <v>0</v>
      </c>
      <c r="H1030" s="358" t="e">
        <f t="shared" si="483"/>
        <v>#DIV/0!</v>
      </c>
    </row>
    <row r="1031" spans="1:8" ht="15.75" hidden="1" x14ac:dyDescent="0.25">
      <c r="A1031" s="25" t="s">
        <v>290</v>
      </c>
      <c r="B1031" s="20" t="s">
        <v>507</v>
      </c>
      <c r="C1031" s="20" t="s">
        <v>134</v>
      </c>
      <c r="D1031" s="20" t="s">
        <v>1085</v>
      </c>
      <c r="E1031" s="20" t="s">
        <v>291</v>
      </c>
      <c r="F1031" s="6">
        <f>'Пр.4 ведом.20'!G867</f>
        <v>0</v>
      </c>
      <c r="G1031" s="358">
        <f>'Пр.4 ведом.20'!H867</f>
        <v>0</v>
      </c>
      <c r="H1031" s="358" t="e">
        <f t="shared" si="483"/>
        <v>#DIV/0!</v>
      </c>
    </row>
    <row r="1032" spans="1:8" s="213" customFormat="1" ht="63" x14ac:dyDescent="0.25">
      <c r="A1032" s="23" t="s">
        <v>1484</v>
      </c>
      <c r="B1032" s="24" t="s">
        <v>507</v>
      </c>
      <c r="C1032" s="24" t="s">
        <v>134</v>
      </c>
      <c r="D1032" s="24" t="s">
        <v>1481</v>
      </c>
      <c r="E1032" s="24"/>
      <c r="F1032" s="4">
        <f>F1033</f>
        <v>439.56040000000002</v>
      </c>
      <c r="G1032" s="4">
        <f t="shared" ref="G1032:G1034" si="511">G1033</f>
        <v>439.56</v>
      </c>
      <c r="H1032" s="4">
        <f t="shared" si="483"/>
        <v>99.999908999991803</v>
      </c>
    </row>
    <row r="1033" spans="1:8" s="213" customFormat="1" ht="63" x14ac:dyDescent="0.25">
      <c r="A1033" s="25" t="s">
        <v>1486</v>
      </c>
      <c r="B1033" s="20" t="s">
        <v>507</v>
      </c>
      <c r="C1033" s="20" t="s">
        <v>134</v>
      </c>
      <c r="D1033" s="20" t="s">
        <v>1480</v>
      </c>
      <c r="E1033" s="20"/>
      <c r="F1033" s="6">
        <f>F1034</f>
        <v>439.56040000000002</v>
      </c>
      <c r="G1033" s="358">
        <f t="shared" si="511"/>
        <v>439.56</v>
      </c>
      <c r="H1033" s="358">
        <f t="shared" si="483"/>
        <v>99.999908999991803</v>
      </c>
    </row>
    <row r="1034" spans="1:8" s="213" customFormat="1" ht="31.5" x14ac:dyDescent="0.25">
      <c r="A1034" s="25" t="s">
        <v>288</v>
      </c>
      <c r="B1034" s="20" t="s">
        <v>507</v>
      </c>
      <c r="C1034" s="20" t="s">
        <v>134</v>
      </c>
      <c r="D1034" s="20" t="s">
        <v>1480</v>
      </c>
      <c r="E1034" s="20" t="s">
        <v>289</v>
      </c>
      <c r="F1034" s="6">
        <f>F1035</f>
        <v>439.56040000000002</v>
      </c>
      <c r="G1034" s="358">
        <f t="shared" si="511"/>
        <v>439.56</v>
      </c>
      <c r="H1034" s="358">
        <f t="shared" si="483"/>
        <v>99.999908999991803</v>
      </c>
    </row>
    <row r="1035" spans="1:8" s="213" customFormat="1" ht="15.75" x14ac:dyDescent="0.25">
      <c r="A1035" s="25" t="s">
        <v>290</v>
      </c>
      <c r="B1035" s="20" t="s">
        <v>507</v>
      </c>
      <c r="C1035" s="20" t="s">
        <v>134</v>
      </c>
      <c r="D1035" s="20" t="s">
        <v>1480</v>
      </c>
      <c r="E1035" s="20" t="s">
        <v>291</v>
      </c>
      <c r="F1035" s="6">
        <f>'Пр.4 ведом.20'!G871</f>
        <v>439.56040000000002</v>
      </c>
      <c r="G1035" s="358">
        <f>'Пр.4 ведом.20'!H871</f>
        <v>439.56</v>
      </c>
      <c r="H1035" s="358">
        <f t="shared" ref="H1035:H1098" si="512">G1035/F1035*100</f>
        <v>99.999908999991803</v>
      </c>
    </row>
    <row r="1036" spans="1:8" s="325" customFormat="1" ht="47.25" x14ac:dyDescent="0.25">
      <c r="A1036" s="333" t="s">
        <v>1505</v>
      </c>
      <c r="B1036" s="334" t="s">
        <v>507</v>
      </c>
      <c r="C1036" s="334" t="s">
        <v>134</v>
      </c>
      <c r="D1036" s="334" t="s">
        <v>1507</v>
      </c>
      <c r="E1036" s="331"/>
      <c r="F1036" s="332">
        <f>F1037+F1040</f>
        <v>5031.17</v>
      </c>
      <c r="G1036" s="332">
        <f t="shared" ref="G1036" si="513">G1037+G1040</f>
        <v>4171.2559999999994</v>
      </c>
      <c r="H1036" s="4">
        <f t="shared" si="512"/>
        <v>82.90826984578139</v>
      </c>
    </row>
    <row r="1037" spans="1:8" s="325" customFormat="1" ht="63" x14ac:dyDescent="0.25">
      <c r="A1037" s="335" t="s">
        <v>1506</v>
      </c>
      <c r="B1037" s="331" t="s">
        <v>507</v>
      </c>
      <c r="C1037" s="331" t="s">
        <v>134</v>
      </c>
      <c r="D1037" s="331" t="s">
        <v>1508</v>
      </c>
      <c r="E1037" s="331"/>
      <c r="F1037" s="336">
        <f>F1038</f>
        <v>206.27</v>
      </c>
      <c r="G1037" s="336">
        <f t="shared" ref="G1037:G1038" si="514">G1038</f>
        <v>206.25700000000001</v>
      </c>
      <c r="H1037" s="358">
        <f t="shared" si="512"/>
        <v>99.993697580840646</v>
      </c>
    </row>
    <row r="1038" spans="1:8" s="325" customFormat="1" ht="31.5" x14ac:dyDescent="0.25">
      <c r="A1038" s="335" t="s">
        <v>288</v>
      </c>
      <c r="B1038" s="331" t="s">
        <v>507</v>
      </c>
      <c r="C1038" s="331" t="s">
        <v>134</v>
      </c>
      <c r="D1038" s="331" t="s">
        <v>1508</v>
      </c>
      <c r="E1038" s="331" t="s">
        <v>289</v>
      </c>
      <c r="F1038" s="336">
        <f>F1039</f>
        <v>206.27</v>
      </c>
      <c r="G1038" s="336">
        <f t="shared" si="514"/>
        <v>206.25700000000001</v>
      </c>
      <c r="H1038" s="358">
        <f t="shared" si="512"/>
        <v>99.993697580840646</v>
      </c>
    </row>
    <row r="1039" spans="1:8" s="325" customFormat="1" ht="15.75" x14ac:dyDescent="0.25">
      <c r="A1039" s="335" t="s">
        <v>290</v>
      </c>
      <c r="B1039" s="331" t="s">
        <v>507</v>
      </c>
      <c r="C1039" s="331" t="s">
        <v>134</v>
      </c>
      <c r="D1039" s="331" t="s">
        <v>1508</v>
      </c>
      <c r="E1039" s="331" t="s">
        <v>291</v>
      </c>
      <c r="F1039" s="336">
        <v>206.27</v>
      </c>
      <c r="G1039" s="336">
        <f>'Пр.4 ведом.20'!H875</f>
        <v>206.25700000000001</v>
      </c>
      <c r="H1039" s="358">
        <f t="shared" si="512"/>
        <v>99.993697580840646</v>
      </c>
    </row>
    <row r="1040" spans="1:8" s="325" customFormat="1" ht="47.25" x14ac:dyDescent="0.25">
      <c r="A1040" s="335" t="s">
        <v>1504</v>
      </c>
      <c r="B1040" s="331" t="s">
        <v>507</v>
      </c>
      <c r="C1040" s="331" t="s">
        <v>134</v>
      </c>
      <c r="D1040" s="331" t="s">
        <v>1509</v>
      </c>
      <c r="E1040" s="331"/>
      <c r="F1040" s="336">
        <f>F1041</f>
        <v>4824.8999999999996</v>
      </c>
      <c r="G1040" s="336">
        <f t="shared" ref="G1040:G1041" si="515">G1041</f>
        <v>3964.9989999999998</v>
      </c>
      <c r="H1040" s="358">
        <f t="shared" si="512"/>
        <v>82.177848245559488</v>
      </c>
    </row>
    <row r="1041" spans="1:8" s="325" customFormat="1" ht="31.5" x14ac:dyDescent="0.25">
      <c r="A1041" s="335" t="s">
        <v>288</v>
      </c>
      <c r="B1041" s="331" t="s">
        <v>507</v>
      </c>
      <c r="C1041" s="331" t="s">
        <v>134</v>
      </c>
      <c r="D1041" s="331" t="s">
        <v>1509</v>
      </c>
      <c r="E1041" s="331" t="s">
        <v>289</v>
      </c>
      <c r="F1041" s="336">
        <f>F1042</f>
        <v>4824.8999999999996</v>
      </c>
      <c r="G1041" s="336">
        <f t="shared" si="515"/>
        <v>3964.9989999999998</v>
      </c>
      <c r="H1041" s="358">
        <f t="shared" si="512"/>
        <v>82.177848245559488</v>
      </c>
    </row>
    <row r="1042" spans="1:8" s="325" customFormat="1" ht="15.75" x14ac:dyDescent="0.25">
      <c r="A1042" s="335" t="s">
        <v>290</v>
      </c>
      <c r="B1042" s="331" t="s">
        <v>507</v>
      </c>
      <c r="C1042" s="331" t="s">
        <v>134</v>
      </c>
      <c r="D1042" s="331" t="s">
        <v>1509</v>
      </c>
      <c r="E1042" s="331" t="s">
        <v>291</v>
      </c>
      <c r="F1042" s="336">
        <v>4824.8999999999996</v>
      </c>
      <c r="G1042" s="336">
        <f>'Пр.4 ведом.20'!H878</f>
        <v>3964.9989999999998</v>
      </c>
      <c r="H1042" s="358">
        <f t="shared" si="512"/>
        <v>82.177848245559488</v>
      </c>
    </row>
    <row r="1043" spans="1:8" s="325" customFormat="1" ht="63" x14ac:dyDescent="0.25">
      <c r="A1043" s="34" t="s">
        <v>805</v>
      </c>
      <c r="B1043" s="334" t="s">
        <v>507</v>
      </c>
      <c r="C1043" s="334" t="s">
        <v>134</v>
      </c>
      <c r="D1043" s="334" t="s">
        <v>340</v>
      </c>
      <c r="E1043" s="331"/>
      <c r="F1043" s="332">
        <f>F1044</f>
        <v>77.400000000000006</v>
      </c>
      <c r="G1043" s="332">
        <f t="shared" ref="G1043:G1046" si="516">G1044</f>
        <v>0</v>
      </c>
      <c r="H1043" s="4">
        <f t="shared" si="512"/>
        <v>0</v>
      </c>
    </row>
    <row r="1044" spans="1:8" s="325" customFormat="1" ht="63" x14ac:dyDescent="0.25">
      <c r="A1044" s="34" t="s">
        <v>1162</v>
      </c>
      <c r="B1044" s="334" t="s">
        <v>507</v>
      </c>
      <c r="C1044" s="334" t="s">
        <v>134</v>
      </c>
      <c r="D1044" s="334" t="s">
        <v>1025</v>
      </c>
      <c r="E1044" s="331"/>
      <c r="F1044" s="332">
        <f>F1045</f>
        <v>77.400000000000006</v>
      </c>
      <c r="G1044" s="332">
        <f t="shared" si="516"/>
        <v>0</v>
      </c>
      <c r="H1044" s="4">
        <f t="shared" si="512"/>
        <v>0</v>
      </c>
    </row>
    <row r="1045" spans="1:8" s="325" customFormat="1" ht="47.25" x14ac:dyDescent="0.25">
      <c r="A1045" s="356" t="s">
        <v>1161</v>
      </c>
      <c r="B1045" s="331" t="s">
        <v>507</v>
      </c>
      <c r="C1045" s="331" t="s">
        <v>134</v>
      </c>
      <c r="D1045" s="331" t="s">
        <v>1026</v>
      </c>
      <c r="E1045" s="331"/>
      <c r="F1045" s="336">
        <f>F1046</f>
        <v>77.400000000000006</v>
      </c>
      <c r="G1045" s="336">
        <f t="shared" si="516"/>
        <v>0</v>
      </c>
      <c r="H1045" s="358">
        <f t="shared" si="512"/>
        <v>0</v>
      </c>
    </row>
    <row r="1046" spans="1:8" s="325" customFormat="1" ht="31.5" x14ac:dyDescent="0.25">
      <c r="A1046" s="335" t="s">
        <v>288</v>
      </c>
      <c r="B1046" s="331" t="s">
        <v>507</v>
      </c>
      <c r="C1046" s="331" t="s">
        <v>134</v>
      </c>
      <c r="D1046" s="331" t="s">
        <v>1026</v>
      </c>
      <c r="E1046" s="331" t="s">
        <v>289</v>
      </c>
      <c r="F1046" s="336">
        <f>F1047</f>
        <v>77.400000000000006</v>
      </c>
      <c r="G1046" s="336">
        <f t="shared" si="516"/>
        <v>0</v>
      </c>
      <c r="H1046" s="358">
        <f t="shared" si="512"/>
        <v>0</v>
      </c>
    </row>
    <row r="1047" spans="1:8" s="325" customFormat="1" ht="15.75" x14ac:dyDescent="0.25">
      <c r="A1047" s="335" t="s">
        <v>290</v>
      </c>
      <c r="B1047" s="331" t="s">
        <v>507</v>
      </c>
      <c r="C1047" s="331" t="s">
        <v>134</v>
      </c>
      <c r="D1047" s="331" t="s">
        <v>1026</v>
      </c>
      <c r="E1047" s="331" t="s">
        <v>291</v>
      </c>
      <c r="F1047" s="336">
        <f>'Пр.4 ведом.20'!G883</f>
        <v>77.400000000000006</v>
      </c>
      <c r="G1047" s="336">
        <f>'Пр.4 ведом.20'!H883</f>
        <v>0</v>
      </c>
      <c r="H1047" s="358">
        <f t="shared" si="512"/>
        <v>0</v>
      </c>
    </row>
    <row r="1048" spans="1:8" ht="63" x14ac:dyDescent="0.25">
      <c r="A1048" s="41" t="s">
        <v>1179</v>
      </c>
      <c r="B1048" s="24" t="s">
        <v>507</v>
      </c>
      <c r="C1048" s="24" t="s">
        <v>134</v>
      </c>
      <c r="D1048" s="24" t="s">
        <v>728</v>
      </c>
      <c r="E1048" s="231"/>
      <c r="F1048" s="4">
        <f t="shared" si="510"/>
        <v>540.1</v>
      </c>
      <c r="G1048" s="4">
        <f t="shared" si="510"/>
        <v>343.44099999999997</v>
      </c>
      <c r="H1048" s="4">
        <f t="shared" si="512"/>
        <v>63.588409553786327</v>
      </c>
    </row>
    <row r="1049" spans="1:8" ht="47.25" x14ac:dyDescent="0.25">
      <c r="A1049" s="41" t="s">
        <v>949</v>
      </c>
      <c r="B1049" s="24" t="s">
        <v>507</v>
      </c>
      <c r="C1049" s="24" t="s">
        <v>134</v>
      </c>
      <c r="D1049" s="24" t="s">
        <v>947</v>
      </c>
      <c r="E1049" s="231"/>
      <c r="F1049" s="4">
        <f>F1050</f>
        <v>540.1</v>
      </c>
      <c r="G1049" s="4">
        <f t="shared" ref="G1049:G1051" si="517">G1050</f>
        <v>343.44099999999997</v>
      </c>
      <c r="H1049" s="4">
        <f t="shared" si="512"/>
        <v>63.588409553786327</v>
      </c>
    </row>
    <row r="1050" spans="1:8" ht="47.25" x14ac:dyDescent="0.25">
      <c r="A1050" s="99" t="s">
        <v>803</v>
      </c>
      <c r="B1050" s="20" t="s">
        <v>507</v>
      </c>
      <c r="C1050" s="20" t="s">
        <v>134</v>
      </c>
      <c r="D1050" s="20" t="s">
        <v>1027</v>
      </c>
      <c r="E1050" s="32"/>
      <c r="F1050" s="6">
        <f>F1051</f>
        <v>540.1</v>
      </c>
      <c r="G1050" s="358">
        <f t="shared" si="517"/>
        <v>343.44099999999997</v>
      </c>
      <c r="H1050" s="358">
        <f t="shared" si="512"/>
        <v>63.588409553786327</v>
      </c>
    </row>
    <row r="1051" spans="1:8" ht="31.5" x14ac:dyDescent="0.25">
      <c r="A1051" s="29" t="s">
        <v>288</v>
      </c>
      <c r="B1051" s="20" t="s">
        <v>507</v>
      </c>
      <c r="C1051" s="20" t="s">
        <v>134</v>
      </c>
      <c r="D1051" s="20" t="s">
        <v>1027</v>
      </c>
      <c r="E1051" s="32" t="s">
        <v>289</v>
      </c>
      <c r="F1051" s="6">
        <f>F1052</f>
        <v>540.1</v>
      </c>
      <c r="G1051" s="358">
        <f t="shared" si="517"/>
        <v>343.44099999999997</v>
      </c>
      <c r="H1051" s="358">
        <f t="shared" si="512"/>
        <v>63.588409553786327</v>
      </c>
    </row>
    <row r="1052" spans="1:8" ht="15.75" x14ac:dyDescent="0.25">
      <c r="A1052" s="192" t="s">
        <v>290</v>
      </c>
      <c r="B1052" s="20" t="s">
        <v>507</v>
      </c>
      <c r="C1052" s="20" t="s">
        <v>134</v>
      </c>
      <c r="D1052" s="20" t="s">
        <v>1027</v>
      </c>
      <c r="E1052" s="32" t="s">
        <v>291</v>
      </c>
      <c r="F1052" s="6">
        <f>'Пр.4 ведом.20'!G888</f>
        <v>540.1</v>
      </c>
      <c r="G1052" s="358">
        <f>'Пр.4 ведом.20'!H888</f>
        <v>343.44099999999997</v>
      </c>
      <c r="H1052" s="358">
        <f t="shared" si="512"/>
        <v>63.588409553786327</v>
      </c>
    </row>
    <row r="1053" spans="1:8" ht="31.5" x14ac:dyDescent="0.25">
      <c r="A1053" s="23" t="s">
        <v>516</v>
      </c>
      <c r="B1053" s="24" t="s">
        <v>507</v>
      </c>
      <c r="C1053" s="24" t="s">
        <v>250</v>
      </c>
      <c r="D1053" s="24"/>
      <c r="E1053" s="24"/>
      <c r="F1053" s="4">
        <f>F1054+F1062+F1074</f>
        <v>12966.2</v>
      </c>
      <c r="G1053" s="4">
        <f t="shared" ref="G1053" si="518">G1054+G1062+G1074</f>
        <v>8179.8089999999993</v>
      </c>
      <c r="H1053" s="4">
        <f t="shared" si="512"/>
        <v>63.085630331168716</v>
      </c>
    </row>
    <row r="1054" spans="1:8" ht="31.5" x14ac:dyDescent="0.25">
      <c r="A1054" s="23" t="s">
        <v>990</v>
      </c>
      <c r="B1054" s="24" t="s">
        <v>507</v>
      </c>
      <c r="C1054" s="24" t="s">
        <v>250</v>
      </c>
      <c r="D1054" s="24" t="s">
        <v>904</v>
      </c>
      <c r="E1054" s="24"/>
      <c r="F1054" s="4">
        <f>F1055</f>
        <v>5160.8999999999996</v>
      </c>
      <c r="G1054" s="4">
        <f t="shared" ref="G1054" si="519">G1055</f>
        <v>3839.47</v>
      </c>
      <c r="H1054" s="4">
        <f t="shared" si="512"/>
        <v>74.3953573989033</v>
      </c>
    </row>
    <row r="1055" spans="1:8" ht="15.75" x14ac:dyDescent="0.25">
      <c r="A1055" s="23" t="s">
        <v>991</v>
      </c>
      <c r="B1055" s="24" t="s">
        <v>507</v>
      </c>
      <c r="C1055" s="24" t="s">
        <v>250</v>
      </c>
      <c r="D1055" s="24" t="s">
        <v>905</v>
      </c>
      <c r="E1055" s="24"/>
      <c r="F1055" s="4">
        <f>F1056+F1059</f>
        <v>5160.8999999999996</v>
      </c>
      <c r="G1055" s="4">
        <f t="shared" ref="G1055" si="520">G1056+G1059</f>
        <v>3839.47</v>
      </c>
      <c r="H1055" s="4">
        <f t="shared" si="512"/>
        <v>74.3953573989033</v>
      </c>
    </row>
    <row r="1056" spans="1:8" ht="31.5" x14ac:dyDescent="0.25">
      <c r="A1056" s="25" t="s">
        <v>967</v>
      </c>
      <c r="B1056" s="20" t="s">
        <v>507</v>
      </c>
      <c r="C1056" s="20" t="s">
        <v>250</v>
      </c>
      <c r="D1056" s="20" t="s">
        <v>906</v>
      </c>
      <c r="E1056" s="20"/>
      <c r="F1056" s="6">
        <f>F1057</f>
        <v>4798.8999999999996</v>
      </c>
      <c r="G1056" s="358">
        <f t="shared" ref="G1056:G1057" si="521">G1057</f>
        <v>3479.33</v>
      </c>
      <c r="H1056" s="358">
        <f t="shared" si="512"/>
        <v>72.502656858863489</v>
      </c>
    </row>
    <row r="1057" spans="1:8" ht="78.75" x14ac:dyDescent="0.25">
      <c r="A1057" s="25" t="s">
        <v>143</v>
      </c>
      <c r="B1057" s="20" t="s">
        <v>507</v>
      </c>
      <c r="C1057" s="20" t="s">
        <v>250</v>
      </c>
      <c r="D1057" s="20" t="s">
        <v>906</v>
      </c>
      <c r="E1057" s="20" t="s">
        <v>144</v>
      </c>
      <c r="F1057" s="6">
        <f>F1058</f>
        <v>4798.8999999999996</v>
      </c>
      <c r="G1057" s="358">
        <f t="shared" si="521"/>
        <v>3479.33</v>
      </c>
      <c r="H1057" s="358">
        <f t="shared" si="512"/>
        <v>72.502656858863489</v>
      </c>
    </row>
    <row r="1058" spans="1:8" ht="31.5" x14ac:dyDescent="0.25">
      <c r="A1058" s="25" t="s">
        <v>145</v>
      </c>
      <c r="B1058" s="20" t="s">
        <v>507</v>
      </c>
      <c r="C1058" s="20" t="s">
        <v>250</v>
      </c>
      <c r="D1058" s="20" t="s">
        <v>906</v>
      </c>
      <c r="E1058" s="20" t="s">
        <v>146</v>
      </c>
      <c r="F1058" s="6">
        <f>'Пр.4 ведом.20'!G894</f>
        <v>4798.8999999999996</v>
      </c>
      <c r="G1058" s="358">
        <f>'Пр.4 ведом.20'!H894</f>
        <v>3479.33</v>
      </c>
      <c r="H1058" s="358">
        <f t="shared" si="512"/>
        <v>72.502656858863489</v>
      </c>
    </row>
    <row r="1059" spans="1:8" ht="47.25" x14ac:dyDescent="0.25">
      <c r="A1059" s="25" t="s">
        <v>885</v>
      </c>
      <c r="B1059" s="20" t="s">
        <v>507</v>
      </c>
      <c r="C1059" s="20" t="s">
        <v>250</v>
      </c>
      <c r="D1059" s="20" t="s">
        <v>908</v>
      </c>
      <c r="E1059" s="20"/>
      <c r="F1059" s="6">
        <f>F1060</f>
        <v>362</v>
      </c>
      <c r="G1059" s="358">
        <f t="shared" ref="G1059:G1060" si="522">G1060</f>
        <v>360.14</v>
      </c>
      <c r="H1059" s="358">
        <f t="shared" si="512"/>
        <v>99.48618784530386</v>
      </c>
    </row>
    <row r="1060" spans="1:8" ht="78.75" x14ac:dyDescent="0.25">
      <c r="A1060" s="25" t="s">
        <v>143</v>
      </c>
      <c r="B1060" s="20" t="s">
        <v>507</v>
      </c>
      <c r="C1060" s="20" t="s">
        <v>250</v>
      </c>
      <c r="D1060" s="20" t="s">
        <v>908</v>
      </c>
      <c r="E1060" s="20" t="s">
        <v>144</v>
      </c>
      <c r="F1060" s="6">
        <f>F1061</f>
        <v>362</v>
      </c>
      <c r="G1060" s="358">
        <f t="shared" si="522"/>
        <v>360.14</v>
      </c>
      <c r="H1060" s="358">
        <f t="shared" si="512"/>
        <v>99.48618784530386</v>
      </c>
    </row>
    <row r="1061" spans="1:8" ht="31.5" x14ac:dyDescent="0.25">
      <c r="A1061" s="25" t="s">
        <v>145</v>
      </c>
      <c r="B1061" s="20" t="s">
        <v>507</v>
      </c>
      <c r="C1061" s="20" t="s">
        <v>250</v>
      </c>
      <c r="D1061" s="20" t="s">
        <v>908</v>
      </c>
      <c r="E1061" s="20" t="s">
        <v>146</v>
      </c>
      <c r="F1061" s="6">
        <f>'Пр.4 ведом.20'!G897</f>
        <v>362</v>
      </c>
      <c r="G1061" s="358">
        <f>'Пр.4 ведом.20'!H897</f>
        <v>360.14</v>
      </c>
      <c r="H1061" s="358">
        <f t="shared" si="512"/>
        <v>99.48618784530386</v>
      </c>
    </row>
    <row r="1062" spans="1:8" ht="15.75" x14ac:dyDescent="0.25">
      <c r="A1062" s="23" t="s">
        <v>157</v>
      </c>
      <c r="B1062" s="24" t="s">
        <v>507</v>
      </c>
      <c r="C1062" s="24" t="s">
        <v>250</v>
      </c>
      <c r="D1062" s="24" t="s">
        <v>912</v>
      </c>
      <c r="E1062" s="24"/>
      <c r="F1062" s="4">
        <f>F1063</f>
        <v>5057.3</v>
      </c>
      <c r="G1062" s="4">
        <f t="shared" ref="G1062" si="523">G1063</f>
        <v>3422.6689999999999</v>
      </c>
      <c r="H1062" s="4">
        <f t="shared" si="512"/>
        <v>67.677792497973215</v>
      </c>
    </row>
    <row r="1063" spans="1:8" ht="31.5" x14ac:dyDescent="0.25">
      <c r="A1063" s="23" t="s">
        <v>1002</v>
      </c>
      <c r="B1063" s="24" t="s">
        <v>507</v>
      </c>
      <c r="C1063" s="24" t="s">
        <v>250</v>
      </c>
      <c r="D1063" s="24" t="s">
        <v>987</v>
      </c>
      <c r="E1063" s="24"/>
      <c r="F1063" s="4">
        <f>F1064+F1071</f>
        <v>5057.3</v>
      </c>
      <c r="G1063" s="4">
        <f t="shared" ref="G1063" si="524">G1064+G1071</f>
        <v>3422.6689999999999</v>
      </c>
      <c r="H1063" s="4">
        <f t="shared" si="512"/>
        <v>67.677792497973215</v>
      </c>
    </row>
    <row r="1064" spans="1:8" ht="31.5" x14ac:dyDescent="0.25">
      <c r="A1064" s="25" t="s">
        <v>974</v>
      </c>
      <c r="B1064" s="20" t="s">
        <v>507</v>
      </c>
      <c r="C1064" s="20" t="s">
        <v>250</v>
      </c>
      <c r="D1064" s="20" t="s">
        <v>988</v>
      </c>
      <c r="E1064" s="20"/>
      <c r="F1064" s="6">
        <f>F1065+F1067+F1069</f>
        <v>4973.3</v>
      </c>
      <c r="G1064" s="358">
        <f t="shared" ref="G1064" si="525">G1065+G1067+G1069</f>
        <v>3338.6689999999999</v>
      </c>
      <c r="H1064" s="358">
        <f t="shared" si="512"/>
        <v>67.131864154585486</v>
      </c>
    </row>
    <row r="1065" spans="1:8" ht="78.75" x14ac:dyDescent="0.25">
      <c r="A1065" s="25" t="s">
        <v>143</v>
      </c>
      <c r="B1065" s="20" t="s">
        <v>507</v>
      </c>
      <c r="C1065" s="20" t="s">
        <v>250</v>
      </c>
      <c r="D1065" s="20" t="s">
        <v>988</v>
      </c>
      <c r="E1065" s="20" t="s">
        <v>144</v>
      </c>
      <c r="F1065" s="6">
        <f>F1066</f>
        <v>4617</v>
      </c>
      <c r="G1065" s="358">
        <f t="shared" ref="G1065" si="526">G1066</f>
        <v>3208.7469999999998</v>
      </c>
      <c r="H1065" s="358">
        <f t="shared" si="512"/>
        <v>69.498527182152912</v>
      </c>
    </row>
    <row r="1066" spans="1:8" ht="31.5" x14ac:dyDescent="0.25">
      <c r="A1066" s="25" t="s">
        <v>358</v>
      </c>
      <c r="B1066" s="20" t="s">
        <v>507</v>
      </c>
      <c r="C1066" s="20" t="s">
        <v>250</v>
      </c>
      <c r="D1066" s="20" t="s">
        <v>988</v>
      </c>
      <c r="E1066" s="20" t="s">
        <v>225</v>
      </c>
      <c r="F1066" s="6">
        <f>'Пр.4 ведом.20'!G902</f>
        <v>4617</v>
      </c>
      <c r="G1066" s="358">
        <f>'Пр.4 ведом.20'!H902</f>
        <v>3208.7469999999998</v>
      </c>
      <c r="H1066" s="358">
        <f t="shared" si="512"/>
        <v>69.498527182152912</v>
      </c>
    </row>
    <row r="1067" spans="1:8" ht="31.5" x14ac:dyDescent="0.25">
      <c r="A1067" s="25" t="s">
        <v>147</v>
      </c>
      <c r="B1067" s="20" t="s">
        <v>507</v>
      </c>
      <c r="C1067" s="20" t="s">
        <v>250</v>
      </c>
      <c r="D1067" s="20" t="s">
        <v>988</v>
      </c>
      <c r="E1067" s="20" t="s">
        <v>148</v>
      </c>
      <c r="F1067" s="6">
        <f t="shared" ref="F1067:G1067" si="527">F1068</f>
        <v>305.3</v>
      </c>
      <c r="G1067" s="358">
        <f t="shared" si="527"/>
        <v>129.672</v>
      </c>
      <c r="H1067" s="358">
        <f t="shared" si="512"/>
        <v>42.473632492630195</v>
      </c>
    </row>
    <row r="1068" spans="1:8" ht="47.25" x14ac:dyDescent="0.25">
      <c r="A1068" s="25" t="s">
        <v>149</v>
      </c>
      <c r="B1068" s="20" t="s">
        <v>507</v>
      </c>
      <c r="C1068" s="20" t="s">
        <v>250</v>
      </c>
      <c r="D1068" s="20" t="s">
        <v>988</v>
      </c>
      <c r="E1068" s="20" t="s">
        <v>150</v>
      </c>
      <c r="F1068" s="6">
        <f>'Пр.4 ведом.20'!G904</f>
        <v>305.3</v>
      </c>
      <c r="G1068" s="358">
        <f>'Пр.4 ведом.20'!H904</f>
        <v>129.672</v>
      </c>
      <c r="H1068" s="358">
        <f t="shared" si="512"/>
        <v>42.473632492630195</v>
      </c>
    </row>
    <row r="1069" spans="1:8" ht="15.75" x14ac:dyDescent="0.25">
      <c r="A1069" s="25" t="s">
        <v>151</v>
      </c>
      <c r="B1069" s="20" t="s">
        <v>507</v>
      </c>
      <c r="C1069" s="20" t="s">
        <v>250</v>
      </c>
      <c r="D1069" s="20" t="s">
        <v>988</v>
      </c>
      <c r="E1069" s="20" t="s">
        <v>161</v>
      </c>
      <c r="F1069" s="6">
        <f>F1070</f>
        <v>51</v>
      </c>
      <c r="G1069" s="358">
        <f t="shared" ref="G1069" si="528">G1070</f>
        <v>0.25</v>
      </c>
      <c r="H1069" s="358">
        <f t="shared" si="512"/>
        <v>0.49019607843137253</v>
      </c>
    </row>
    <row r="1070" spans="1:8" ht="15.75" x14ac:dyDescent="0.25">
      <c r="A1070" s="25" t="s">
        <v>584</v>
      </c>
      <c r="B1070" s="20" t="s">
        <v>507</v>
      </c>
      <c r="C1070" s="20" t="s">
        <v>250</v>
      </c>
      <c r="D1070" s="20" t="s">
        <v>988</v>
      </c>
      <c r="E1070" s="20" t="s">
        <v>154</v>
      </c>
      <c r="F1070" s="6">
        <f>'Пр.4 ведом.20'!G906</f>
        <v>51</v>
      </c>
      <c r="G1070" s="358">
        <f>'Пр.4 ведом.20'!H906</f>
        <v>0.25</v>
      </c>
      <c r="H1070" s="358">
        <f t="shared" si="512"/>
        <v>0.49019607843137253</v>
      </c>
    </row>
    <row r="1071" spans="1:8" ht="47.25" x14ac:dyDescent="0.25">
      <c r="A1071" s="25" t="s">
        <v>885</v>
      </c>
      <c r="B1071" s="20" t="s">
        <v>507</v>
      </c>
      <c r="C1071" s="20" t="s">
        <v>250</v>
      </c>
      <c r="D1071" s="20" t="s">
        <v>989</v>
      </c>
      <c r="E1071" s="20"/>
      <c r="F1071" s="6">
        <f>F1072</f>
        <v>84</v>
      </c>
      <c r="G1071" s="358">
        <f t="shared" ref="G1071" si="529">G1072</f>
        <v>84</v>
      </c>
      <c r="H1071" s="358">
        <f t="shared" si="512"/>
        <v>100</v>
      </c>
    </row>
    <row r="1072" spans="1:8" ht="78.75" x14ac:dyDescent="0.25">
      <c r="A1072" s="25" t="s">
        <v>143</v>
      </c>
      <c r="B1072" s="20" t="s">
        <v>507</v>
      </c>
      <c r="C1072" s="20" t="s">
        <v>250</v>
      </c>
      <c r="D1072" s="20" t="s">
        <v>989</v>
      </c>
      <c r="E1072" s="20" t="s">
        <v>144</v>
      </c>
      <c r="F1072" s="6">
        <f t="shared" ref="F1072:G1072" si="530">F1073</f>
        <v>84</v>
      </c>
      <c r="G1072" s="358">
        <f t="shared" si="530"/>
        <v>84</v>
      </c>
      <c r="H1072" s="358">
        <f t="shared" si="512"/>
        <v>100</v>
      </c>
    </row>
    <row r="1073" spans="1:8" ht="31.5" x14ac:dyDescent="0.25">
      <c r="A1073" s="25" t="s">
        <v>145</v>
      </c>
      <c r="B1073" s="20" t="s">
        <v>507</v>
      </c>
      <c r="C1073" s="20" t="s">
        <v>250</v>
      </c>
      <c r="D1073" s="20" t="s">
        <v>989</v>
      </c>
      <c r="E1073" s="20" t="s">
        <v>146</v>
      </c>
      <c r="F1073" s="6">
        <f>'Пр.4 ведом.20'!G909</f>
        <v>84</v>
      </c>
      <c r="G1073" s="358">
        <f>'Пр.4 ведом.20'!H909</f>
        <v>84</v>
      </c>
      <c r="H1073" s="358">
        <f t="shared" si="512"/>
        <v>100</v>
      </c>
    </row>
    <row r="1074" spans="1:8" ht="47.25" x14ac:dyDescent="0.25">
      <c r="A1074" s="41" t="s">
        <v>497</v>
      </c>
      <c r="B1074" s="24" t="s">
        <v>507</v>
      </c>
      <c r="C1074" s="24" t="s">
        <v>250</v>
      </c>
      <c r="D1074" s="7" t="s">
        <v>498</v>
      </c>
      <c r="E1074" s="24"/>
      <c r="F1074" s="4">
        <f>F1075</f>
        <v>2748</v>
      </c>
      <c r="G1074" s="4">
        <f t="shared" ref="G1074:G1076" si="531">G1075</f>
        <v>917.67000000000007</v>
      </c>
      <c r="H1074" s="4">
        <f t="shared" si="512"/>
        <v>33.394104803493448</v>
      </c>
    </row>
    <row r="1075" spans="1:8" ht="47.25" x14ac:dyDescent="0.25">
      <c r="A1075" s="58" t="s">
        <v>517</v>
      </c>
      <c r="B1075" s="24" t="s">
        <v>507</v>
      </c>
      <c r="C1075" s="24" t="s">
        <v>250</v>
      </c>
      <c r="D1075" s="7" t="s">
        <v>518</v>
      </c>
      <c r="E1075" s="24"/>
      <c r="F1075" s="4">
        <f>F1076</f>
        <v>2748</v>
      </c>
      <c r="G1075" s="4">
        <f t="shared" si="531"/>
        <v>917.67000000000007</v>
      </c>
      <c r="H1075" s="4">
        <f t="shared" si="512"/>
        <v>33.394104803493448</v>
      </c>
    </row>
    <row r="1076" spans="1:8" ht="33.75" customHeight="1" x14ac:dyDescent="0.25">
      <c r="A1076" s="58" t="s">
        <v>1086</v>
      </c>
      <c r="B1076" s="24" t="s">
        <v>507</v>
      </c>
      <c r="C1076" s="24" t="s">
        <v>250</v>
      </c>
      <c r="D1076" s="7" t="s">
        <v>1087</v>
      </c>
      <c r="E1076" s="24"/>
      <c r="F1076" s="4">
        <f>F1077</f>
        <v>2748</v>
      </c>
      <c r="G1076" s="4">
        <f t="shared" si="531"/>
        <v>917.67000000000007</v>
      </c>
      <c r="H1076" s="4">
        <f t="shared" si="512"/>
        <v>33.394104803493448</v>
      </c>
    </row>
    <row r="1077" spans="1:8" ht="31.5" x14ac:dyDescent="0.25">
      <c r="A1077" s="29" t="s">
        <v>1088</v>
      </c>
      <c r="B1077" s="20" t="s">
        <v>507</v>
      </c>
      <c r="C1077" s="20" t="s">
        <v>250</v>
      </c>
      <c r="D1077" s="40" t="s">
        <v>1236</v>
      </c>
      <c r="E1077" s="20"/>
      <c r="F1077" s="303">
        <f>F1078+F1080</f>
        <v>2748</v>
      </c>
      <c r="G1077" s="303">
        <f t="shared" ref="G1077" si="532">G1078+G1080</f>
        <v>917.67000000000007</v>
      </c>
      <c r="H1077" s="358">
        <f t="shared" si="512"/>
        <v>33.394104803493448</v>
      </c>
    </row>
    <row r="1078" spans="1:8" ht="78.75" x14ac:dyDescent="0.25">
      <c r="A1078" s="25" t="s">
        <v>143</v>
      </c>
      <c r="B1078" s="20" t="s">
        <v>507</v>
      </c>
      <c r="C1078" s="20" t="s">
        <v>250</v>
      </c>
      <c r="D1078" s="40" t="s">
        <v>1236</v>
      </c>
      <c r="E1078" s="20" t="s">
        <v>144</v>
      </c>
      <c r="F1078" s="303">
        <f>F1079</f>
        <v>2148</v>
      </c>
      <c r="G1078" s="303">
        <f t="shared" ref="G1078" si="533">G1079</f>
        <v>453.04</v>
      </c>
      <c r="H1078" s="358">
        <f t="shared" si="512"/>
        <v>21.09124767225326</v>
      </c>
    </row>
    <row r="1079" spans="1:8" ht="21.75" customHeight="1" x14ac:dyDescent="0.25">
      <c r="A1079" s="25" t="s">
        <v>358</v>
      </c>
      <c r="B1079" s="20" t="s">
        <v>507</v>
      </c>
      <c r="C1079" s="20" t="s">
        <v>250</v>
      </c>
      <c r="D1079" s="40" t="s">
        <v>1236</v>
      </c>
      <c r="E1079" s="20" t="s">
        <v>225</v>
      </c>
      <c r="F1079" s="303">
        <f>'Пр.4 ведом.20'!G915</f>
        <v>2148</v>
      </c>
      <c r="G1079" s="303">
        <f>'Пр.4 ведом.20'!H915</f>
        <v>453.04</v>
      </c>
      <c r="H1079" s="358">
        <f t="shared" si="512"/>
        <v>21.09124767225326</v>
      </c>
    </row>
    <row r="1080" spans="1:8" ht="36" customHeight="1" x14ac:dyDescent="0.25">
      <c r="A1080" s="29" t="s">
        <v>147</v>
      </c>
      <c r="B1080" s="20" t="s">
        <v>507</v>
      </c>
      <c r="C1080" s="20" t="s">
        <v>250</v>
      </c>
      <c r="D1080" s="40" t="s">
        <v>1236</v>
      </c>
      <c r="E1080" s="20" t="s">
        <v>148</v>
      </c>
      <c r="F1080" s="303">
        <f>F1081</f>
        <v>600</v>
      </c>
      <c r="G1080" s="303">
        <f t="shared" ref="G1080" si="534">G1081</f>
        <v>464.63</v>
      </c>
      <c r="H1080" s="358">
        <f t="shared" si="512"/>
        <v>77.438333333333333</v>
      </c>
    </row>
    <row r="1081" spans="1:8" ht="47.25" x14ac:dyDescent="0.25">
      <c r="A1081" s="29" t="s">
        <v>149</v>
      </c>
      <c r="B1081" s="20" t="s">
        <v>507</v>
      </c>
      <c r="C1081" s="20" t="s">
        <v>250</v>
      </c>
      <c r="D1081" s="40" t="s">
        <v>1236</v>
      </c>
      <c r="E1081" s="20" t="s">
        <v>150</v>
      </c>
      <c r="F1081" s="6">
        <f>'Пр.4 ведом.20'!G917</f>
        <v>600</v>
      </c>
      <c r="G1081" s="358">
        <f>'Пр.4 ведом.20'!H917</f>
        <v>464.63</v>
      </c>
      <c r="H1081" s="358">
        <f t="shared" si="512"/>
        <v>77.438333333333333</v>
      </c>
    </row>
    <row r="1082" spans="1:8" ht="15.75" x14ac:dyDescent="0.25">
      <c r="A1082" s="41" t="s">
        <v>598</v>
      </c>
      <c r="B1082" s="7" t="s">
        <v>254</v>
      </c>
      <c r="C1082" s="40"/>
      <c r="D1082" s="40"/>
      <c r="E1082" s="40"/>
      <c r="F1082" s="4">
        <f t="shared" ref="F1082:G1082" si="535">F1083</f>
        <v>6721</v>
      </c>
      <c r="G1082" s="4">
        <f t="shared" si="535"/>
        <v>4744.5079999999998</v>
      </c>
      <c r="H1082" s="4">
        <f t="shared" si="512"/>
        <v>70.592292813569401</v>
      </c>
    </row>
    <row r="1083" spans="1:8" ht="15.75" x14ac:dyDescent="0.25">
      <c r="A1083" s="41" t="s">
        <v>599</v>
      </c>
      <c r="B1083" s="7" t="s">
        <v>254</v>
      </c>
      <c r="C1083" s="7" t="s">
        <v>229</v>
      </c>
      <c r="D1083" s="7"/>
      <c r="E1083" s="7"/>
      <c r="F1083" s="4">
        <f>F1084+F1098</f>
        <v>6721</v>
      </c>
      <c r="G1083" s="4">
        <f t="shared" ref="G1083" si="536">G1084+G1098</f>
        <v>4744.5079999999998</v>
      </c>
      <c r="H1083" s="4">
        <f t="shared" si="512"/>
        <v>70.592292813569401</v>
      </c>
    </row>
    <row r="1084" spans="1:8" ht="15.75" x14ac:dyDescent="0.25">
      <c r="A1084" s="23" t="s">
        <v>157</v>
      </c>
      <c r="B1084" s="24" t="s">
        <v>254</v>
      </c>
      <c r="C1084" s="24" t="s">
        <v>229</v>
      </c>
      <c r="D1084" s="24" t="s">
        <v>912</v>
      </c>
      <c r="E1084" s="24"/>
      <c r="F1084" s="4">
        <f>F1085</f>
        <v>6649</v>
      </c>
      <c r="G1084" s="4">
        <f t="shared" ref="G1084" si="537">G1085</f>
        <v>4690.5079999999998</v>
      </c>
      <c r="H1084" s="4">
        <f t="shared" si="512"/>
        <v>70.544563092194309</v>
      </c>
    </row>
    <row r="1085" spans="1:8" ht="15.75" x14ac:dyDescent="0.25">
      <c r="A1085" s="23" t="s">
        <v>1090</v>
      </c>
      <c r="B1085" s="24" t="s">
        <v>254</v>
      </c>
      <c r="C1085" s="24" t="s">
        <v>229</v>
      </c>
      <c r="D1085" s="24" t="s">
        <v>1089</v>
      </c>
      <c r="E1085" s="24"/>
      <c r="F1085" s="4">
        <f>F1086+F1095</f>
        <v>6649</v>
      </c>
      <c r="G1085" s="4">
        <f t="shared" ref="G1085" si="538">G1086+G1095</f>
        <v>4690.5079999999998</v>
      </c>
      <c r="H1085" s="4">
        <f t="shared" si="512"/>
        <v>70.544563092194309</v>
      </c>
    </row>
    <row r="1086" spans="1:8" ht="15.75" x14ac:dyDescent="0.25">
      <c r="A1086" s="25" t="s">
        <v>834</v>
      </c>
      <c r="B1086" s="20" t="s">
        <v>254</v>
      </c>
      <c r="C1086" s="20" t="s">
        <v>229</v>
      </c>
      <c r="D1086" s="20" t="s">
        <v>1091</v>
      </c>
      <c r="E1086" s="20"/>
      <c r="F1086" s="6">
        <f>F1087+F1089+F1093+F1091</f>
        <v>6439</v>
      </c>
      <c r="G1086" s="358">
        <f t="shared" ref="G1086" si="539">G1087+G1089+G1093+G1091</f>
        <v>4523.5680000000002</v>
      </c>
      <c r="H1086" s="358">
        <f t="shared" si="512"/>
        <v>70.252647926696696</v>
      </c>
    </row>
    <row r="1087" spans="1:8" ht="78.75" x14ac:dyDescent="0.25">
      <c r="A1087" s="25" t="s">
        <v>143</v>
      </c>
      <c r="B1087" s="20" t="s">
        <v>254</v>
      </c>
      <c r="C1087" s="20" t="s">
        <v>229</v>
      </c>
      <c r="D1087" s="20" t="s">
        <v>1091</v>
      </c>
      <c r="E1087" s="20" t="s">
        <v>144</v>
      </c>
      <c r="F1087" s="6">
        <f>F1088</f>
        <v>4907.1000000000004</v>
      </c>
      <c r="G1087" s="358">
        <f t="shared" ref="G1087" si="540">G1088</f>
        <v>3429.1</v>
      </c>
      <c r="H1087" s="358">
        <f t="shared" si="512"/>
        <v>69.880377412320911</v>
      </c>
    </row>
    <row r="1088" spans="1:8" ht="31.5" x14ac:dyDescent="0.25">
      <c r="A1088" s="25" t="s">
        <v>224</v>
      </c>
      <c r="B1088" s="20" t="s">
        <v>254</v>
      </c>
      <c r="C1088" s="20" t="s">
        <v>229</v>
      </c>
      <c r="D1088" s="20" t="s">
        <v>1091</v>
      </c>
      <c r="E1088" s="20" t="s">
        <v>225</v>
      </c>
      <c r="F1088" s="6">
        <f>'Пр.4 ведом.20'!G482</f>
        <v>4907.1000000000004</v>
      </c>
      <c r="G1088" s="358">
        <f>'Пр.4 ведом.20'!H482</f>
        <v>3429.1</v>
      </c>
      <c r="H1088" s="358">
        <f t="shared" si="512"/>
        <v>69.880377412320911</v>
      </c>
    </row>
    <row r="1089" spans="1:8" ht="31.5" x14ac:dyDescent="0.25">
      <c r="A1089" s="25" t="s">
        <v>147</v>
      </c>
      <c r="B1089" s="20" t="s">
        <v>254</v>
      </c>
      <c r="C1089" s="20" t="s">
        <v>229</v>
      </c>
      <c r="D1089" s="20" t="s">
        <v>1091</v>
      </c>
      <c r="E1089" s="20" t="s">
        <v>148</v>
      </c>
      <c r="F1089" s="6">
        <f t="shared" ref="F1089:G1089" si="541">F1090</f>
        <v>864</v>
      </c>
      <c r="G1089" s="358">
        <f t="shared" si="541"/>
        <v>456.98</v>
      </c>
      <c r="H1089" s="358">
        <f t="shared" si="512"/>
        <v>52.891203703703702</v>
      </c>
    </row>
    <row r="1090" spans="1:8" ht="47.25" x14ac:dyDescent="0.25">
      <c r="A1090" s="25" t="s">
        <v>149</v>
      </c>
      <c r="B1090" s="20" t="s">
        <v>254</v>
      </c>
      <c r="C1090" s="20" t="s">
        <v>229</v>
      </c>
      <c r="D1090" s="20" t="s">
        <v>1091</v>
      </c>
      <c r="E1090" s="20" t="s">
        <v>150</v>
      </c>
      <c r="F1090" s="6">
        <f>'Пр.4 ведом.20'!G484</f>
        <v>864</v>
      </c>
      <c r="G1090" s="358">
        <f>'Пр.4 ведом.20'!H484</f>
        <v>456.98</v>
      </c>
      <c r="H1090" s="358">
        <f t="shared" si="512"/>
        <v>52.891203703703702</v>
      </c>
    </row>
    <row r="1091" spans="1:8" s="357" customFormat="1" ht="31.5" x14ac:dyDescent="0.25">
      <c r="A1091" s="361" t="s">
        <v>264</v>
      </c>
      <c r="B1091" s="360" t="s">
        <v>254</v>
      </c>
      <c r="C1091" s="360" t="s">
        <v>229</v>
      </c>
      <c r="D1091" s="360" t="s">
        <v>1091</v>
      </c>
      <c r="E1091" s="360" t="s">
        <v>265</v>
      </c>
      <c r="F1091" s="358">
        <f>F1092</f>
        <v>617.9</v>
      </c>
      <c r="G1091" s="358">
        <f t="shared" ref="G1091" si="542">G1092</f>
        <v>617.83799999999997</v>
      </c>
      <c r="H1091" s="358">
        <f t="shared" si="512"/>
        <v>99.989966013918107</v>
      </c>
    </row>
    <row r="1092" spans="1:8" s="357" customFormat="1" ht="31.5" x14ac:dyDescent="0.25">
      <c r="A1092" s="361" t="s">
        <v>266</v>
      </c>
      <c r="B1092" s="360" t="s">
        <v>254</v>
      </c>
      <c r="C1092" s="360" t="s">
        <v>229</v>
      </c>
      <c r="D1092" s="360" t="s">
        <v>1091</v>
      </c>
      <c r="E1092" s="360" t="s">
        <v>267</v>
      </c>
      <c r="F1092" s="358">
        <f>'Пр.4 ведом.20'!G486</f>
        <v>617.9</v>
      </c>
      <c r="G1092" s="358">
        <f>'Пр.4 ведом.20'!H486</f>
        <v>617.83799999999997</v>
      </c>
      <c r="H1092" s="358">
        <f t="shared" si="512"/>
        <v>99.989966013918107</v>
      </c>
    </row>
    <row r="1093" spans="1:8" ht="15.75" x14ac:dyDescent="0.25">
      <c r="A1093" s="25" t="s">
        <v>151</v>
      </c>
      <c r="B1093" s="20" t="s">
        <v>254</v>
      </c>
      <c r="C1093" s="20" t="s">
        <v>229</v>
      </c>
      <c r="D1093" s="20" t="s">
        <v>1091</v>
      </c>
      <c r="E1093" s="20" t="s">
        <v>161</v>
      </c>
      <c r="F1093" s="303">
        <f t="shared" ref="F1093:G1093" si="543">F1094</f>
        <v>50</v>
      </c>
      <c r="G1093" s="303">
        <f t="shared" si="543"/>
        <v>19.649999999999999</v>
      </c>
      <c r="H1093" s="358">
        <f t="shared" si="512"/>
        <v>39.299999999999997</v>
      </c>
    </row>
    <row r="1094" spans="1:8" ht="15.75" x14ac:dyDescent="0.25">
      <c r="A1094" s="25" t="s">
        <v>584</v>
      </c>
      <c r="B1094" s="20" t="s">
        <v>254</v>
      </c>
      <c r="C1094" s="20" t="s">
        <v>229</v>
      </c>
      <c r="D1094" s="20" t="s">
        <v>1091</v>
      </c>
      <c r="E1094" s="20" t="s">
        <v>154</v>
      </c>
      <c r="F1094" s="303">
        <f>'Пр.4 ведом.20'!G488</f>
        <v>50</v>
      </c>
      <c r="G1094" s="303">
        <f>'Пр.4 ведом.20'!H488</f>
        <v>19.649999999999999</v>
      </c>
      <c r="H1094" s="358">
        <f t="shared" si="512"/>
        <v>39.299999999999997</v>
      </c>
    </row>
    <row r="1095" spans="1:8" ht="47.25" x14ac:dyDescent="0.25">
      <c r="A1095" s="25" t="s">
        <v>885</v>
      </c>
      <c r="B1095" s="20" t="s">
        <v>254</v>
      </c>
      <c r="C1095" s="20" t="s">
        <v>229</v>
      </c>
      <c r="D1095" s="20" t="s">
        <v>1092</v>
      </c>
      <c r="E1095" s="20"/>
      <c r="F1095" s="6">
        <f>F1096</f>
        <v>210</v>
      </c>
      <c r="G1095" s="358">
        <f t="shared" ref="G1095:G1096" si="544">G1096</f>
        <v>166.94</v>
      </c>
      <c r="H1095" s="358">
        <f t="shared" si="512"/>
        <v>79.495238095238093</v>
      </c>
    </row>
    <row r="1096" spans="1:8" ht="78.75" x14ac:dyDescent="0.25">
      <c r="A1096" s="25" t="s">
        <v>143</v>
      </c>
      <c r="B1096" s="20" t="s">
        <v>254</v>
      </c>
      <c r="C1096" s="20" t="s">
        <v>229</v>
      </c>
      <c r="D1096" s="20" t="s">
        <v>1092</v>
      </c>
      <c r="E1096" s="20" t="s">
        <v>144</v>
      </c>
      <c r="F1096" s="6">
        <f>F1097</f>
        <v>210</v>
      </c>
      <c r="G1096" s="358">
        <f t="shared" si="544"/>
        <v>166.94</v>
      </c>
      <c r="H1096" s="358">
        <f t="shared" si="512"/>
        <v>79.495238095238093</v>
      </c>
    </row>
    <row r="1097" spans="1:8" ht="31.5" x14ac:dyDescent="0.25">
      <c r="A1097" s="25" t="s">
        <v>145</v>
      </c>
      <c r="B1097" s="20" t="s">
        <v>254</v>
      </c>
      <c r="C1097" s="20" t="s">
        <v>229</v>
      </c>
      <c r="D1097" s="20" t="s">
        <v>1092</v>
      </c>
      <c r="E1097" s="20" t="s">
        <v>225</v>
      </c>
      <c r="F1097" s="6">
        <f>'Пр.4 ведом.20'!G491</f>
        <v>210</v>
      </c>
      <c r="G1097" s="358">
        <f>'Пр.4 ведом.20'!H491</f>
        <v>166.94</v>
      </c>
      <c r="H1097" s="358">
        <f t="shared" si="512"/>
        <v>79.495238095238093</v>
      </c>
    </row>
    <row r="1098" spans="1:8" ht="63" x14ac:dyDescent="0.25">
      <c r="A1098" s="41" t="s">
        <v>1179</v>
      </c>
      <c r="B1098" s="24" t="s">
        <v>254</v>
      </c>
      <c r="C1098" s="24" t="s">
        <v>229</v>
      </c>
      <c r="D1098" s="24" t="s">
        <v>728</v>
      </c>
      <c r="E1098" s="231"/>
      <c r="F1098" s="4">
        <f>F1099</f>
        <v>72</v>
      </c>
      <c r="G1098" s="4">
        <f t="shared" ref="G1098:G1101" si="545">G1099</f>
        <v>54</v>
      </c>
      <c r="H1098" s="4">
        <f t="shared" si="512"/>
        <v>75</v>
      </c>
    </row>
    <row r="1099" spans="1:8" s="213" customFormat="1" ht="47.25" x14ac:dyDescent="0.25">
      <c r="A1099" s="41" t="s">
        <v>949</v>
      </c>
      <c r="B1099" s="24" t="s">
        <v>254</v>
      </c>
      <c r="C1099" s="24" t="s">
        <v>229</v>
      </c>
      <c r="D1099" s="24" t="s">
        <v>947</v>
      </c>
      <c r="E1099" s="231"/>
      <c r="F1099" s="4">
        <f>F1100</f>
        <v>72</v>
      </c>
      <c r="G1099" s="4">
        <f t="shared" si="545"/>
        <v>54</v>
      </c>
      <c r="H1099" s="4">
        <f t="shared" ref="H1099:H1103" si="546">G1099/F1099*100</f>
        <v>75</v>
      </c>
    </row>
    <row r="1100" spans="1:8" s="213" customFormat="1" ht="47.25" x14ac:dyDescent="0.25">
      <c r="A1100" s="99" t="s">
        <v>1157</v>
      </c>
      <c r="B1100" s="20" t="s">
        <v>254</v>
      </c>
      <c r="C1100" s="20" t="s">
        <v>229</v>
      </c>
      <c r="D1100" s="20" t="s">
        <v>948</v>
      </c>
      <c r="E1100" s="32"/>
      <c r="F1100" s="6">
        <f>F1101</f>
        <v>72</v>
      </c>
      <c r="G1100" s="358">
        <f t="shared" si="545"/>
        <v>54</v>
      </c>
      <c r="H1100" s="358">
        <f t="shared" si="546"/>
        <v>75</v>
      </c>
    </row>
    <row r="1101" spans="1:8" s="213" customFormat="1" ht="31.5" x14ac:dyDescent="0.25">
      <c r="A1101" s="25" t="s">
        <v>147</v>
      </c>
      <c r="B1101" s="20" t="s">
        <v>254</v>
      </c>
      <c r="C1101" s="20" t="s">
        <v>229</v>
      </c>
      <c r="D1101" s="20" t="s">
        <v>948</v>
      </c>
      <c r="E1101" s="32" t="s">
        <v>148</v>
      </c>
      <c r="F1101" s="6">
        <f>F1102</f>
        <v>72</v>
      </c>
      <c r="G1101" s="358">
        <f t="shared" si="545"/>
        <v>54</v>
      </c>
      <c r="H1101" s="358">
        <f t="shared" si="546"/>
        <v>75</v>
      </c>
    </row>
    <row r="1102" spans="1:8" s="213" customFormat="1" ht="47.25" x14ac:dyDescent="0.25">
      <c r="A1102" s="25" t="s">
        <v>149</v>
      </c>
      <c r="B1102" s="20" t="s">
        <v>254</v>
      </c>
      <c r="C1102" s="20" t="s">
        <v>229</v>
      </c>
      <c r="D1102" s="20" t="s">
        <v>948</v>
      </c>
      <c r="E1102" s="32" t="s">
        <v>150</v>
      </c>
      <c r="F1102" s="6">
        <f>'Пр.4 ведом.20'!G496</f>
        <v>72</v>
      </c>
      <c r="G1102" s="358">
        <f>'Пр.4 ведом.20'!H496</f>
        <v>54</v>
      </c>
      <c r="H1102" s="358">
        <f t="shared" si="546"/>
        <v>75</v>
      </c>
    </row>
    <row r="1103" spans="1:8" ht="15.75" x14ac:dyDescent="0.25">
      <c r="A1103" s="61" t="s">
        <v>603</v>
      </c>
      <c r="B1103" s="7"/>
      <c r="C1103" s="7"/>
      <c r="D1103" s="7"/>
      <c r="E1103" s="7"/>
      <c r="F1103" s="307">
        <f>F10+F232+F251+F333+F506+F826+F990+F1082+F932</f>
        <v>766412.57097000012</v>
      </c>
      <c r="G1103" s="307">
        <f t="shared" ref="G1103" si="547">G10+G232+G251+G333+G506+G826+G990+G1082+G932</f>
        <v>496611.34960000002</v>
      </c>
      <c r="H1103" s="4">
        <f t="shared" si="546"/>
        <v>64.796868998569565</v>
      </c>
    </row>
    <row r="1104" spans="1:8" hidden="1" x14ac:dyDescent="0.25">
      <c r="F1104" s="22">
        <f>'Пр.4 ведом.20'!G1196</f>
        <v>766412.57097</v>
      </c>
      <c r="G1104" s="22">
        <f>'Пр.4 ведом.20'!H1196</f>
        <v>496611.34960000002</v>
      </c>
      <c r="H1104" s="22">
        <f>'Пр.4 ведом.20'!I1196</f>
        <v>64.796868998569579</v>
      </c>
    </row>
    <row r="1105" spans="6:8" hidden="1" x14ac:dyDescent="0.25">
      <c r="F1105" s="22">
        <f>F1104-F1103</f>
        <v>0</v>
      </c>
      <c r="G1105" s="22">
        <f t="shared" ref="G1105:H1105" si="548">G1104-G1103</f>
        <v>0</v>
      </c>
      <c r="H1105" s="22">
        <f t="shared" si="548"/>
        <v>0</v>
      </c>
    </row>
  </sheetData>
  <mergeCells count="2">
    <mergeCell ref="A5:F5"/>
    <mergeCell ref="A7:H7"/>
  </mergeCells>
  <pageMargins left="0.23622047244094491" right="0.23622047244094491" top="0.74803149606299213" bottom="0.74803149606299213" header="0.31496062992125984" footer="0.31496062992125984"/>
  <pageSetup paperSize="9" scale="66" orientation="portrait" r:id="rId1"/>
  <rowBreaks count="1" manualBreakCount="1">
    <brk id="107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9"/>
  <sheetViews>
    <sheetView workbookViewId="0">
      <selection activeCell="G2" sqref="G2"/>
    </sheetView>
  </sheetViews>
  <sheetFormatPr defaultRowHeight="15" x14ac:dyDescent="0.25"/>
  <cols>
    <col min="1" max="1" width="44" customWidth="1"/>
    <col min="2" max="2" width="4.5703125" customWidth="1"/>
    <col min="3" max="3" width="4.140625" customWidth="1"/>
    <col min="4" max="4" width="15.140625" customWidth="1"/>
    <col min="5" max="5" width="5.7109375" customWidth="1"/>
    <col min="6" max="6" width="12.42578125" style="22" customWidth="1"/>
    <col min="7" max="7" width="13.140625" style="22" customWidth="1"/>
    <col min="8" max="9" width="9.5703125" hidden="1" customWidth="1"/>
    <col min="10" max="11" width="0" hidden="1" customWidth="1"/>
  </cols>
  <sheetData>
    <row r="1" spans="1:11" ht="15.75" x14ac:dyDescent="0.25">
      <c r="A1" s="56"/>
      <c r="B1" s="56"/>
      <c r="C1" s="56"/>
      <c r="D1" s="214"/>
      <c r="E1" s="214"/>
      <c r="F1" s="116"/>
      <c r="G1" s="300" t="s">
        <v>1276</v>
      </c>
    </row>
    <row r="2" spans="1:11" ht="15.75" x14ac:dyDescent="0.25">
      <c r="A2" s="56"/>
      <c r="B2" s="56"/>
      <c r="C2" s="56"/>
      <c r="D2" s="214"/>
      <c r="E2" s="214"/>
      <c r="F2" s="116"/>
      <c r="G2" s="300" t="s">
        <v>1</v>
      </c>
    </row>
    <row r="3" spans="1:11" ht="18.75" x14ac:dyDescent="0.3">
      <c r="A3" s="56"/>
      <c r="B3" s="56"/>
      <c r="C3" s="56"/>
      <c r="D3" s="214"/>
      <c r="E3" s="197"/>
      <c r="F3" s="116"/>
      <c r="G3" s="300" t="s">
        <v>1538</v>
      </c>
    </row>
    <row r="4" spans="1:11" x14ac:dyDescent="0.25">
      <c r="A4" s="56"/>
      <c r="B4" s="56"/>
      <c r="C4" s="56"/>
      <c r="D4" s="56"/>
      <c r="E4" s="56"/>
      <c r="F4" s="116"/>
      <c r="G4" s="116"/>
    </row>
    <row r="5" spans="1:11" ht="74.25" customHeight="1" x14ac:dyDescent="0.25">
      <c r="A5" s="405" t="s">
        <v>1351</v>
      </c>
      <c r="B5" s="405"/>
      <c r="C5" s="405"/>
      <c r="D5" s="405"/>
      <c r="E5" s="405"/>
      <c r="F5" s="405"/>
      <c r="G5" s="405"/>
    </row>
    <row r="6" spans="1:11" x14ac:dyDescent="0.25">
      <c r="A6" s="56"/>
      <c r="B6" s="56"/>
      <c r="C6" s="56"/>
      <c r="D6" s="56"/>
      <c r="E6" s="56"/>
      <c r="F6" s="116"/>
      <c r="G6" s="301" t="s">
        <v>2</v>
      </c>
    </row>
    <row r="7" spans="1:11" ht="35.450000000000003" customHeight="1" x14ac:dyDescent="0.25">
      <c r="A7" s="236" t="s">
        <v>609</v>
      </c>
      <c r="B7" s="237" t="s">
        <v>128</v>
      </c>
      <c r="C7" s="237" t="s">
        <v>129</v>
      </c>
      <c r="D7" s="237" t="s">
        <v>130</v>
      </c>
      <c r="E7" s="237" t="s">
        <v>131</v>
      </c>
      <c r="F7" s="302" t="s">
        <v>1278</v>
      </c>
      <c r="G7" s="302" t="s">
        <v>1279</v>
      </c>
    </row>
    <row r="8" spans="1:11" ht="15.75" x14ac:dyDescent="0.25">
      <c r="A8" s="41" t="s">
        <v>133</v>
      </c>
      <c r="B8" s="7" t="s">
        <v>134</v>
      </c>
      <c r="C8" s="7"/>
      <c r="D8" s="7"/>
      <c r="E8" s="7"/>
      <c r="F8" s="4">
        <f>F9+F28+F39+F97+F127+F119</f>
        <v>142238.12</v>
      </c>
      <c r="G8" s="4">
        <f>G9+G28+G39+G97+G127+G119</f>
        <v>147123.02000000002</v>
      </c>
      <c r="H8" s="234">
        <v>139576.82</v>
      </c>
      <c r="I8" s="234">
        <v>147498.12</v>
      </c>
      <c r="J8" s="234">
        <f>H8-F8</f>
        <v>-2661.2999999999884</v>
      </c>
      <c r="K8" s="234">
        <f>I8-G8</f>
        <v>375.09999999997672</v>
      </c>
    </row>
    <row r="9" spans="1:11" ht="63" x14ac:dyDescent="0.25">
      <c r="A9" s="41" t="s">
        <v>591</v>
      </c>
      <c r="B9" s="7" t="s">
        <v>134</v>
      </c>
      <c r="C9" s="7" t="s">
        <v>229</v>
      </c>
      <c r="D9" s="7"/>
      <c r="E9" s="7"/>
      <c r="F9" s="4">
        <f>F10+F20</f>
        <v>4268.5</v>
      </c>
      <c r="G9" s="4">
        <f>G10+G20</f>
        <v>4268.5</v>
      </c>
    </row>
    <row r="10" spans="1:11" ht="31.5" x14ac:dyDescent="0.25">
      <c r="A10" s="23" t="s">
        <v>990</v>
      </c>
      <c r="B10" s="7" t="s">
        <v>134</v>
      </c>
      <c r="C10" s="7" t="s">
        <v>229</v>
      </c>
      <c r="D10" s="7" t="s">
        <v>904</v>
      </c>
      <c r="E10" s="7"/>
      <c r="F10" s="4">
        <f t="shared" ref="F10:G10" si="0">F11</f>
        <v>4243</v>
      </c>
      <c r="G10" s="4">
        <f t="shared" si="0"/>
        <v>4243</v>
      </c>
    </row>
    <row r="11" spans="1:11" ht="31.5" x14ac:dyDescent="0.25">
      <c r="A11" s="23" t="s">
        <v>1134</v>
      </c>
      <c r="B11" s="7" t="s">
        <v>134</v>
      </c>
      <c r="C11" s="7" t="s">
        <v>229</v>
      </c>
      <c r="D11" s="7" t="s">
        <v>1135</v>
      </c>
      <c r="E11" s="7"/>
      <c r="F11" s="4">
        <f>F12+F17</f>
        <v>4243</v>
      </c>
      <c r="G11" s="4">
        <f>G12+G17</f>
        <v>4243</v>
      </c>
    </row>
    <row r="12" spans="1:11" ht="47.25" x14ac:dyDescent="0.25">
      <c r="A12" s="29" t="s">
        <v>592</v>
      </c>
      <c r="B12" s="40" t="s">
        <v>134</v>
      </c>
      <c r="C12" s="40" t="s">
        <v>229</v>
      </c>
      <c r="D12" s="40" t="s">
        <v>1136</v>
      </c>
      <c r="E12" s="40"/>
      <c r="F12" s="6">
        <f>F13+F15</f>
        <v>4201</v>
      </c>
      <c r="G12" s="6">
        <f>G13+G15</f>
        <v>4201</v>
      </c>
    </row>
    <row r="13" spans="1:11" ht="94.5" x14ac:dyDescent="0.25">
      <c r="A13" s="29" t="s">
        <v>143</v>
      </c>
      <c r="B13" s="40" t="s">
        <v>134</v>
      </c>
      <c r="C13" s="40" t="s">
        <v>229</v>
      </c>
      <c r="D13" s="40" t="s">
        <v>1136</v>
      </c>
      <c r="E13" s="40" t="s">
        <v>144</v>
      </c>
      <c r="F13" s="6">
        <f>F14</f>
        <v>4111</v>
      </c>
      <c r="G13" s="6">
        <f>G14</f>
        <v>4111</v>
      </c>
    </row>
    <row r="14" spans="1:11" ht="47.25" x14ac:dyDescent="0.25">
      <c r="A14" s="29" t="s">
        <v>145</v>
      </c>
      <c r="B14" s="40" t="s">
        <v>134</v>
      </c>
      <c r="C14" s="40" t="s">
        <v>229</v>
      </c>
      <c r="D14" s="40" t="s">
        <v>1136</v>
      </c>
      <c r="E14" s="40" t="s">
        <v>146</v>
      </c>
      <c r="F14" s="6">
        <f>'пр.5.1.ведом.21-22'!G1069</f>
        <v>4111</v>
      </c>
      <c r="G14" s="6">
        <f>'пр.5.1.ведом.21-22'!H1069</f>
        <v>4111</v>
      </c>
    </row>
    <row r="15" spans="1:11" ht="31.5" x14ac:dyDescent="0.25">
      <c r="A15" s="29" t="s">
        <v>147</v>
      </c>
      <c r="B15" s="40" t="s">
        <v>134</v>
      </c>
      <c r="C15" s="40" t="s">
        <v>229</v>
      </c>
      <c r="D15" s="40" t="s">
        <v>1136</v>
      </c>
      <c r="E15" s="40" t="s">
        <v>148</v>
      </c>
      <c r="F15" s="6">
        <f>F16</f>
        <v>90</v>
      </c>
      <c r="G15" s="6">
        <f>G16</f>
        <v>90</v>
      </c>
    </row>
    <row r="16" spans="1:11" ht="47.25" x14ac:dyDescent="0.25">
      <c r="A16" s="29" t="s">
        <v>149</v>
      </c>
      <c r="B16" s="40" t="s">
        <v>134</v>
      </c>
      <c r="C16" s="40" t="s">
        <v>229</v>
      </c>
      <c r="D16" s="40" t="s">
        <v>1136</v>
      </c>
      <c r="E16" s="40" t="s">
        <v>150</v>
      </c>
      <c r="F16" s="6">
        <f>'пр.5.1.ведом.21-22'!G1071</f>
        <v>90</v>
      </c>
      <c r="G16" s="6">
        <f>'пр.5.1.ведом.21-22'!H1071</f>
        <v>90</v>
      </c>
    </row>
    <row r="17" spans="1:7" ht="47.25" x14ac:dyDescent="0.25">
      <c r="A17" s="25" t="s">
        <v>885</v>
      </c>
      <c r="B17" s="40" t="s">
        <v>134</v>
      </c>
      <c r="C17" s="40" t="s">
        <v>229</v>
      </c>
      <c r="D17" s="40" t="s">
        <v>1137</v>
      </c>
      <c r="E17" s="40"/>
      <c r="F17" s="6">
        <f>F18</f>
        <v>42</v>
      </c>
      <c r="G17" s="6">
        <f t="shared" ref="G17:G66" si="1">F17</f>
        <v>42</v>
      </c>
    </row>
    <row r="18" spans="1:7" ht="94.5" x14ac:dyDescent="0.25">
      <c r="A18" s="25" t="s">
        <v>143</v>
      </c>
      <c r="B18" s="40" t="s">
        <v>134</v>
      </c>
      <c r="C18" s="40" t="s">
        <v>229</v>
      </c>
      <c r="D18" s="40" t="s">
        <v>1137</v>
      </c>
      <c r="E18" s="40" t="s">
        <v>144</v>
      </c>
      <c r="F18" s="6">
        <f>F19</f>
        <v>42</v>
      </c>
      <c r="G18" s="6">
        <f>G19</f>
        <v>42</v>
      </c>
    </row>
    <row r="19" spans="1:7" ht="47.25" x14ac:dyDescent="0.25">
      <c r="A19" s="25" t="s">
        <v>145</v>
      </c>
      <c r="B19" s="40" t="s">
        <v>134</v>
      </c>
      <c r="C19" s="40" t="s">
        <v>229</v>
      </c>
      <c r="D19" s="40" t="s">
        <v>1137</v>
      </c>
      <c r="E19" s="40" t="s">
        <v>146</v>
      </c>
      <c r="F19" s="6">
        <f>'пр.5.1.ведом.21-22'!G1074</f>
        <v>42</v>
      </c>
      <c r="G19" s="6">
        <f>'пр.5.1.ведом.21-22'!H1074</f>
        <v>42</v>
      </c>
    </row>
    <row r="20" spans="1:7" ht="63" x14ac:dyDescent="0.25">
      <c r="A20" s="23" t="s">
        <v>1421</v>
      </c>
      <c r="B20" s="24" t="s">
        <v>134</v>
      </c>
      <c r="C20" s="7" t="s">
        <v>229</v>
      </c>
      <c r="D20" s="24" t="s">
        <v>178</v>
      </c>
      <c r="E20" s="7"/>
      <c r="F20" s="304">
        <f>F21</f>
        <v>25.5</v>
      </c>
      <c r="G20" s="304">
        <f>G21</f>
        <v>25.5</v>
      </c>
    </row>
    <row r="21" spans="1:7" ht="78.75" x14ac:dyDescent="0.25">
      <c r="A21" s="228" t="s">
        <v>889</v>
      </c>
      <c r="B21" s="24" t="s">
        <v>134</v>
      </c>
      <c r="C21" s="7" t="s">
        <v>229</v>
      </c>
      <c r="D21" s="7" t="s">
        <v>896</v>
      </c>
      <c r="E21" s="7"/>
      <c r="F21" s="304">
        <f>F22+F25</f>
        <v>25.5</v>
      </c>
      <c r="G21" s="304">
        <f>G22+G25</f>
        <v>25.5</v>
      </c>
    </row>
    <row r="22" spans="1:7" ht="63" x14ac:dyDescent="0.25">
      <c r="A22" s="31" t="s">
        <v>712</v>
      </c>
      <c r="B22" s="20" t="s">
        <v>134</v>
      </c>
      <c r="C22" s="20" t="s">
        <v>229</v>
      </c>
      <c r="D22" s="40" t="s">
        <v>1142</v>
      </c>
      <c r="E22" s="20"/>
      <c r="F22" s="6">
        <f>F23</f>
        <v>0.5</v>
      </c>
      <c r="G22" s="6">
        <f>G23</f>
        <v>0.5</v>
      </c>
    </row>
    <row r="23" spans="1:7" ht="31.5" x14ac:dyDescent="0.25">
      <c r="A23" s="25" t="s">
        <v>147</v>
      </c>
      <c r="B23" s="20" t="s">
        <v>134</v>
      </c>
      <c r="C23" s="20" t="s">
        <v>229</v>
      </c>
      <c r="D23" s="40" t="s">
        <v>1142</v>
      </c>
      <c r="E23" s="20" t="s">
        <v>148</v>
      </c>
      <c r="F23" s="6">
        <f>F24</f>
        <v>0.5</v>
      </c>
      <c r="G23" s="6">
        <f>G24</f>
        <v>0.5</v>
      </c>
    </row>
    <row r="24" spans="1:7" ht="47.25" x14ac:dyDescent="0.25">
      <c r="A24" s="25" t="s">
        <v>149</v>
      </c>
      <c r="B24" s="20" t="s">
        <v>134</v>
      </c>
      <c r="C24" s="20" t="s">
        <v>229</v>
      </c>
      <c r="D24" s="40" t="s">
        <v>713</v>
      </c>
      <c r="E24" s="20" t="s">
        <v>150</v>
      </c>
      <c r="F24" s="6">
        <f>'пр.5.1.ведом.21-22'!G1079</f>
        <v>0.5</v>
      </c>
      <c r="G24" s="6">
        <f>'пр.5.1.ведом.21-22'!H1079</f>
        <v>0.5</v>
      </c>
    </row>
    <row r="25" spans="1:7" ht="63" x14ac:dyDescent="0.25">
      <c r="A25" s="31" t="s">
        <v>712</v>
      </c>
      <c r="B25" s="20" t="s">
        <v>134</v>
      </c>
      <c r="C25" s="20" t="s">
        <v>229</v>
      </c>
      <c r="D25" s="20" t="s">
        <v>1141</v>
      </c>
      <c r="E25" s="20"/>
      <c r="F25" s="6">
        <f>F26</f>
        <v>25</v>
      </c>
      <c r="G25" s="6">
        <f t="shared" si="1"/>
        <v>25</v>
      </c>
    </row>
    <row r="26" spans="1:7" ht="31.5" x14ac:dyDescent="0.25">
      <c r="A26" s="25" t="s">
        <v>147</v>
      </c>
      <c r="B26" s="20" t="s">
        <v>134</v>
      </c>
      <c r="C26" s="20" t="s">
        <v>229</v>
      </c>
      <c r="D26" s="20" t="s">
        <v>1141</v>
      </c>
      <c r="E26" s="20" t="s">
        <v>148</v>
      </c>
      <c r="F26" s="6">
        <f>F27</f>
        <v>25</v>
      </c>
      <c r="G26" s="6">
        <f t="shared" si="1"/>
        <v>25</v>
      </c>
    </row>
    <row r="27" spans="1:7" ht="47.25" x14ac:dyDescent="0.25">
      <c r="A27" s="25" t="s">
        <v>149</v>
      </c>
      <c r="B27" s="20" t="s">
        <v>134</v>
      </c>
      <c r="C27" s="20" t="s">
        <v>229</v>
      </c>
      <c r="D27" s="20" t="s">
        <v>1141</v>
      </c>
      <c r="E27" s="20" t="s">
        <v>150</v>
      </c>
      <c r="F27" s="6">
        <f>'пр.5.1.ведом.21-22'!G1082</f>
        <v>25</v>
      </c>
      <c r="G27" s="6">
        <f>'пр.5.1.ведом.21-22'!H1082</f>
        <v>25</v>
      </c>
    </row>
    <row r="28" spans="1:7" ht="78.75" x14ac:dyDescent="0.25">
      <c r="A28" s="41" t="s">
        <v>594</v>
      </c>
      <c r="B28" s="7" t="s">
        <v>134</v>
      </c>
      <c r="C28" s="7" t="s">
        <v>231</v>
      </c>
      <c r="D28" s="7"/>
      <c r="E28" s="7"/>
      <c r="F28" s="4">
        <f t="shared" ref="F28:G29" si="2">F29</f>
        <v>1091</v>
      </c>
      <c r="G28" s="4">
        <f t="shared" si="2"/>
        <v>1091</v>
      </c>
    </row>
    <row r="29" spans="1:7" ht="31.5" x14ac:dyDescent="0.25">
      <c r="A29" s="23" t="s">
        <v>990</v>
      </c>
      <c r="B29" s="7" t="s">
        <v>134</v>
      </c>
      <c r="C29" s="7" t="s">
        <v>231</v>
      </c>
      <c r="D29" s="7" t="s">
        <v>904</v>
      </c>
      <c r="E29" s="7"/>
      <c r="F29" s="4">
        <f t="shared" si="2"/>
        <v>1091</v>
      </c>
      <c r="G29" s="4">
        <f t="shared" si="2"/>
        <v>1091</v>
      </c>
    </row>
    <row r="30" spans="1:7" ht="31.5" x14ac:dyDescent="0.25">
      <c r="A30" s="23" t="s">
        <v>1134</v>
      </c>
      <c r="B30" s="7" t="s">
        <v>134</v>
      </c>
      <c r="C30" s="7" t="s">
        <v>231</v>
      </c>
      <c r="D30" s="7" t="s">
        <v>1135</v>
      </c>
      <c r="E30" s="7"/>
      <c r="F30" s="4">
        <f>F31+F36</f>
        <v>1091</v>
      </c>
      <c r="G30" s="4">
        <f>G31+G36</f>
        <v>1091</v>
      </c>
    </row>
    <row r="31" spans="1:7" ht="31.5" x14ac:dyDescent="0.25">
      <c r="A31" s="25" t="s">
        <v>1138</v>
      </c>
      <c r="B31" s="40" t="s">
        <v>134</v>
      </c>
      <c r="C31" s="40" t="s">
        <v>231</v>
      </c>
      <c r="D31" s="40" t="s">
        <v>1139</v>
      </c>
      <c r="E31" s="40"/>
      <c r="F31" s="6">
        <f>F32+F34</f>
        <v>1091</v>
      </c>
      <c r="G31" s="6">
        <f>G32+G34</f>
        <v>1091</v>
      </c>
    </row>
    <row r="32" spans="1:7" ht="94.5" x14ac:dyDescent="0.25">
      <c r="A32" s="29" t="s">
        <v>143</v>
      </c>
      <c r="B32" s="40" t="s">
        <v>134</v>
      </c>
      <c r="C32" s="40" t="s">
        <v>231</v>
      </c>
      <c r="D32" s="40" t="s">
        <v>1139</v>
      </c>
      <c r="E32" s="40" t="s">
        <v>144</v>
      </c>
      <c r="F32" s="6">
        <f>F33</f>
        <v>998</v>
      </c>
      <c r="G32" s="6">
        <f>G33</f>
        <v>998</v>
      </c>
    </row>
    <row r="33" spans="1:7" ht="35.450000000000003" customHeight="1" x14ac:dyDescent="0.25">
      <c r="A33" s="29" t="s">
        <v>145</v>
      </c>
      <c r="B33" s="40" t="s">
        <v>134</v>
      </c>
      <c r="C33" s="40" t="s">
        <v>231</v>
      </c>
      <c r="D33" s="40" t="s">
        <v>1139</v>
      </c>
      <c r="E33" s="40" t="s">
        <v>146</v>
      </c>
      <c r="F33" s="6">
        <f>'пр.5.1.ведом.21-22'!G1088</f>
        <v>998</v>
      </c>
      <c r="G33" s="6">
        <f>'пр.5.1.ведом.21-22'!H1088</f>
        <v>998</v>
      </c>
    </row>
    <row r="34" spans="1:7" ht="31.5" x14ac:dyDescent="0.25">
      <c r="A34" s="29" t="s">
        <v>147</v>
      </c>
      <c r="B34" s="40" t="s">
        <v>134</v>
      </c>
      <c r="C34" s="40" t="s">
        <v>231</v>
      </c>
      <c r="D34" s="40" t="s">
        <v>1139</v>
      </c>
      <c r="E34" s="40" t="s">
        <v>148</v>
      </c>
      <c r="F34" s="6">
        <f>F35</f>
        <v>93</v>
      </c>
      <c r="G34" s="6">
        <f>G35</f>
        <v>93</v>
      </c>
    </row>
    <row r="35" spans="1:7" ht="47.25" x14ac:dyDescent="0.25">
      <c r="A35" s="29" t="s">
        <v>149</v>
      </c>
      <c r="B35" s="40" t="s">
        <v>134</v>
      </c>
      <c r="C35" s="40" t="s">
        <v>231</v>
      </c>
      <c r="D35" s="40" t="s">
        <v>1139</v>
      </c>
      <c r="E35" s="40" t="s">
        <v>150</v>
      </c>
      <c r="F35" s="6">
        <f>'пр.5.1.ведом.21-22'!G1090</f>
        <v>93</v>
      </c>
      <c r="G35" s="6">
        <f>'пр.5.1.ведом.21-22'!H1090</f>
        <v>93</v>
      </c>
    </row>
    <row r="36" spans="1:7" ht="47.25" hidden="1" x14ac:dyDescent="0.25">
      <c r="A36" s="25" t="s">
        <v>885</v>
      </c>
      <c r="B36" s="40" t="s">
        <v>134</v>
      </c>
      <c r="C36" s="40" t="s">
        <v>231</v>
      </c>
      <c r="D36" s="40" t="s">
        <v>1137</v>
      </c>
      <c r="E36" s="40"/>
      <c r="F36" s="6">
        <f>'Пр.3 Рд,пр, ЦС,ВР 20'!F38</f>
        <v>0</v>
      </c>
      <c r="G36" s="6">
        <f t="shared" si="1"/>
        <v>0</v>
      </c>
    </row>
    <row r="37" spans="1:7" ht="94.5" hidden="1" x14ac:dyDescent="0.25">
      <c r="A37" s="25" t="s">
        <v>143</v>
      </c>
      <c r="B37" s="40" t="s">
        <v>134</v>
      </c>
      <c r="C37" s="40" t="s">
        <v>231</v>
      </c>
      <c r="D37" s="40" t="s">
        <v>1137</v>
      </c>
      <c r="E37" s="40" t="s">
        <v>144</v>
      </c>
      <c r="F37" s="6">
        <f>'Пр.3 Рд,пр, ЦС,ВР 20'!F39</f>
        <v>0</v>
      </c>
      <c r="G37" s="6">
        <f t="shared" si="1"/>
        <v>0</v>
      </c>
    </row>
    <row r="38" spans="1:7" ht="39.75" hidden="1" customHeight="1" x14ac:dyDescent="0.25">
      <c r="A38" s="25" t="s">
        <v>145</v>
      </c>
      <c r="B38" s="40" t="s">
        <v>134</v>
      </c>
      <c r="C38" s="40" t="s">
        <v>231</v>
      </c>
      <c r="D38" s="40" t="s">
        <v>1137</v>
      </c>
      <c r="E38" s="40" t="s">
        <v>146</v>
      </c>
      <c r="F38" s="6">
        <f>'Пр.3 Рд,пр, ЦС,ВР 20'!F40</f>
        <v>0</v>
      </c>
      <c r="G38" s="6">
        <f t="shared" si="1"/>
        <v>0</v>
      </c>
    </row>
    <row r="39" spans="1:7" ht="94.5" x14ac:dyDescent="0.25">
      <c r="A39" s="41" t="s">
        <v>165</v>
      </c>
      <c r="B39" s="7" t="s">
        <v>134</v>
      </c>
      <c r="C39" s="7" t="s">
        <v>166</v>
      </c>
      <c r="D39" s="7"/>
      <c r="E39" s="7"/>
      <c r="F39" s="4">
        <f>F40+F79</f>
        <v>62536.4</v>
      </c>
      <c r="G39" s="4">
        <f>G40+G79</f>
        <v>62593.1</v>
      </c>
    </row>
    <row r="40" spans="1:7" ht="31.5" x14ac:dyDescent="0.25">
      <c r="A40" s="23" t="s">
        <v>990</v>
      </c>
      <c r="B40" s="7" t="s">
        <v>134</v>
      </c>
      <c r="C40" s="7" t="s">
        <v>166</v>
      </c>
      <c r="D40" s="7" t="s">
        <v>904</v>
      </c>
      <c r="E40" s="7"/>
      <c r="F40" s="4">
        <f>F41+F57</f>
        <v>62012.9</v>
      </c>
      <c r="G40" s="4">
        <f>G41+G57</f>
        <v>62069.599999999999</v>
      </c>
    </row>
    <row r="41" spans="1:7" ht="15.75" x14ac:dyDescent="0.25">
      <c r="A41" s="23" t="s">
        <v>991</v>
      </c>
      <c r="B41" s="7" t="s">
        <v>134</v>
      </c>
      <c r="C41" s="7" t="s">
        <v>166</v>
      </c>
      <c r="D41" s="7" t="s">
        <v>905</v>
      </c>
      <c r="E41" s="7"/>
      <c r="F41" s="4">
        <f>F42+F51+F54</f>
        <v>58868</v>
      </c>
      <c r="G41" s="4">
        <f>G42+G51+G54</f>
        <v>58858</v>
      </c>
    </row>
    <row r="42" spans="1:7" ht="31.5" x14ac:dyDescent="0.25">
      <c r="A42" s="29" t="s">
        <v>967</v>
      </c>
      <c r="B42" s="40" t="s">
        <v>134</v>
      </c>
      <c r="C42" s="40" t="s">
        <v>166</v>
      </c>
      <c r="D42" s="40" t="s">
        <v>906</v>
      </c>
      <c r="E42" s="40"/>
      <c r="F42" s="6">
        <f>F43+F45+F47+F49</f>
        <v>54016</v>
      </c>
      <c r="G42" s="6">
        <f>G43+G45+G47+G49</f>
        <v>54006</v>
      </c>
    </row>
    <row r="43" spans="1:7" ht="94.5" x14ac:dyDescent="0.25">
      <c r="A43" s="29" t="s">
        <v>143</v>
      </c>
      <c r="B43" s="40" t="s">
        <v>134</v>
      </c>
      <c r="C43" s="40" t="s">
        <v>166</v>
      </c>
      <c r="D43" s="40" t="s">
        <v>906</v>
      </c>
      <c r="E43" s="40" t="s">
        <v>144</v>
      </c>
      <c r="F43" s="6">
        <f>F44</f>
        <v>47546</v>
      </c>
      <c r="G43" s="6">
        <f>G44</f>
        <v>47546</v>
      </c>
    </row>
    <row r="44" spans="1:7" ht="40.700000000000003" customHeight="1" x14ac:dyDescent="0.25">
      <c r="A44" s="29" t="s">
        <v>145</v>
      </c>
      <c r="B44" s="40" t="s">
        <v>134</v>
      </c>
      <c r="C44" s="40" t="s">
        <v>166</v>
      </c>
      <c r="D44" s="40" t="s">
        <v>906</v>
      </c>
      <c r="E44" s="40" t="s">
        <v>146</v>
      </c>
      <c r="F44" s="6">
        <f>'пр.5.1.ведом.21-22'!G499+'пр.5.1.ведом.21-22'!G37</f>
        <v>47546</v>
      </c>
      <c r="G44" s="6">
        <f>'пр.5.1.ведом.21-22'!H499+'пр.5.1.ведом.21-22'!H37</f>
        <v>47546</v>
      </c>
    </row>
    <row r="45" spans="1:7" ht="31.5" x14ac:dyDescent="0.25">
      <c r="A45" s="29" t="s">
        <v>147</v>
      </c>
      <c r="B45" s="40" t="s">
        <v>134</v>
      </c>
      <c r="C45" s="40" t="s">
        <v>166</v>
      </c>
      <c r="D45" s="40" t="s">
        <v>906</v>
      </c>
      <c r="E45" s="40" t="s">
        <v>148</v>
      </c>
      <c r="F45" s="6">
        <f>F46</f>
        <v>5509</v>
      </c>
      <c r="G45" s="6">
        <f>G46</f>
        <v>5499</v>
      </c>
    </row>
    <row r="46" spans="1:7" ht="47.25" x14ac:dyDescent="0.25">
      <c r="A46" s="29" t="s">
        <v>149</v>
      </c>
      <c r="B46" s="40" t="s">
        <v>134</v>
      </c>
      <c r="C46" s="40" t="s">
        <v>166</v>
      </c>
      <c r="D46" s="40" t="s">
        <v>906</v>
      </c>
      <c r="E46" s="40" t="s">
        <v>150</v>
      </c>
      <c r="F46" s="6">
        <f>'пр.5.1.ведом.21-22'!G39+'пр.5.1.ведом.21-22'!G501</f>
        <v>5509</v>
      </c>
      <c r="G46" s="6">
        <f>'пр.5.1.ведом.21-22'!H39+'пр.5.1.ведом.21-22'!H501</f>
        <v>5499</v>
      </c>
    </row>
    <row r="47" spans="1:7" ht="31.5" x14ac:dyDescent="0.25">
      <c r="A47" s="25" t="s">
        <v>264</v>
      </c>
      <c r="B47" s="40" t="s">
        <v>134</v>
      </c>
      <c r="C47" s="40" t="s">
        <v>166</v>
      </c>
      <c r="D47" s="40" t="s">
        <v>906</v>
      </c>
      <c r="E47" s="40" t="s">
        <v>265</v>
      </c>
      <c r="F47" s="6">
        <f>F48</f>
        <v>755</v>
      </c>
      <c r="G47" s="6">
        <f>G48</f>
        <v>755</v>
      </c>
    </row>
    <row r="48" spans="1:7" ht="47.25" x14ac:dyDescent="0.25">
      <c r="A48" s="25" t="s">
        <v>266</v>
      </c>
      <c r="B48" s="40" t="s">
        <v>134</v>
      </c>
      <c r="C48" s="40" t="s">
        <v>166</v>
      </c>
      <c r="D48" s="40" t="s">
        <v>906</v>
      </c>
      <c r="E48" s="40" t="s">
        <v>267</v>
      </c>
      <c r="F48" s="6">
        <f>'пр.5.1.ведом.21-22'!G41</f>
        <v>755</v>
      </c>
      <c r="G48" s="6">
        <f>'пр.5.1.ведом.21-22'!H41</f>
        <v>755</v>
      </c>
    </row>
    <row r="49" spans="1:7" ht="15.75" x14ac:dyDescent="0.25">
      <c r="A49" s="29" t="s">
        <v>151</v>
      </c>
      <c r="B49" s="40" t="s">
        <v>134</v>
      </c>
      <c r="C49" s="40" t="s">
        <v>166</v>
      </c>
      <c r="D49" s="40" t="s">
        <v>906</v>
      </c>
      <c r="E49" s="40" t="s">
        <v>161</v>
      </c>
      <c r="F49" s="6">
        <f>F50</f>
        <v>206</v>
      </c>
      <c r="G49" s="6">
        <f>G50</f>
        <v>206</v>
      </c>
    </row>
    <row r="50" spans="1:7" ht="19.5" customHeight="1" x14ac:dyDescent="0.25">
      <c r="A50" s="29" t="s">
        <v>584</v>
      </c>
      <c r="B50" s="40" t="s">
        <v>134</v>
      </c>
      <c r="C50" s="40" t="s">
        <v>166</v>
      </c>
      <c r="D50" s="40" t="s">
        <v>906</v>
      </c>
      <c r="E50" s="40" t="s">
        <v>154</v>
      </c>
      <c r="F50" s="6">
        <f>'пр.5.1.ведом.21-22'!G43+'пр.5.1.ведом.21-22'!G503</f>
        <v>206</v>
      </c>
      <c r="G50" s="6">
        <f>'пр.5.1.ведом.21-22'!H43+'пр.5.1.ведом.21-22'!H503</f>
        <v>206</v>
      </c>
    </row>
    <row r="51" spans="1:7" ht="47.25" x14ac:dyDescent="0.25">
      <c r="A51" s="25" t="s">
        <v>169</v>
      </c>
      <c r="B51" s="20" t="s">
        <v>134</v>
      </c>
      <c r="C51" s="20" t="s">
        <v>166</v>
      </c>
      <c r="D51" s="40" t="s">
        <v>907</v>
      </c>
      <c r="E51" s="20"/>
      <c r="F51" s="6">
        <f>F52</f>
        <v>2962</v>
      </c>
      <c r="G51" s="6">
        <f>G52</f>
        <v>2962</v>
      </c>
    </row>
    <row r="52" spans="1:7" ht="94.5" x14ac:dyDescent="0.25">
      <c r="A52" s="25" t="s">
        <v>143</v>
      </c>
      <c r="B52" s="20" t="s">
        <v>134</v>
      </c>
      <c r="C52" s="20" t="s">
        <v>166</v>
      </c>
      <c r="D52" s="40" t="s">
        <v>907</v>
      </c>
      <c r="E52" s="20" t="s">
        <v>144</v>
      </c>
      <c r="F52" s="6">
        <f>F53</f>
        <v>2962</v>
      </c>
      <c r="G52" s="6">
        <f>G53</f>
        <v>2962</v>
      </c>
    </row>
    <row r="53" spans="1:7" ht="33.75" customHeight="1" x14ac:dyDescent="0.25">
      <c r="A53" s="25" t="s">
        <v>145</v>
      </c>
      <c r="B53" s="20" t="s">
        <v>134</v>
      </c>
      <c r="C53" s="20" t="s">
        <v>166</v>
      </c>
      <c r="D53" s="40" t="s">
        <v>907</v>
      </c>
      <c r="E53" s="20" t="s">
        <v>146</v>
      </c>
      <c r="F53" s="6">
        <f>'пр.5.1.ведом.21-22'!G46</f>
        <v>2962</v>
      </c>
      <c r="G53" s="6">
        <f>'пр.5.1.ведом.21-22'!H46</f>
        <v>2962</v>
      </c>
    </row>
    <row r="54" spans="1:7" ht="47.25" x14ac:dyDescent="0.25">
      <c r="A54" s="25" t="s">
        <v>885</v>
      </c>
      <c r="B54" s="40" t="s">
        <v>134</v>
      </c>
      <c r="C54" s="20" t="s">
        <v>166</v>
      </c>
      <c r="D54" s="40" t="s">
        <v>908</v>
      </c>
      <c r="E54" s="40"/>
      <c r="F54" s="6">
        <f>F55</f>
        <v>1890</v>
      </c>
      <c r="G54" s="6">
        <f>G55</f>
        <v>1890</v>
      </c>
    </row>
    <row r="55" spans="1:7" ht="94.5" x14ac:dyDescent="0.25">
      <c r="A55" s="25" t="s">
        <v>143</v>
      </c>
      <c r="B55" s="40" t="s">
        <v>134</v>
      </c>
      <c r="C55" s="20" t="s">
        <v>166</v>
      </c>
      <c r="D55" s="40" t="s">
        <v>908</v>
      </c>
      <c r="E55" s="40" t="s">
        <v>144</v>
      </c>
      <c r="F55" s="6">
        <f>F56</f>
        <v>1890</v>
      </c>
      <c r="G55" s="6">
        <f>G56</f>
        <v>1890</v>
      </c>
    </row>
    <row r="56" spans="1:7" ht="31.7" customHeight="1" x14ac:dyDescent="0.25">
      <c r="A56" s="25" t="s">
        <v>145</v>
      </c>
      <c r="B56" s="40" t="s">
        <v>134</v>
      </c>
      <c r="C56" s="20" t="s">
        <v>166</v>
      </c>
      <c r="D56" s="40" t="s">
        <v>908</v>
      </c>
      <c r="E56" s="40" t="s">
        <v>146</v>
      </c>
      <c r="F56" s="6">
        <f>'пр.5.1.ведом.21-22'!G49+'пр.5.1.ведом.21-22'!G506</f>
        <v>1890</v>
      </c>
      <c r="G56" s="6">
        <f>'пр.5.1.ведом.21-22'!H49+'пр.5.1.ведом.21-22'!H506</f>
        <v>1890</v>
      </c>
    </row>
    <row r="57" spans="1:7" ht="47.25" x14ac:dyDescent="0.25">
      <c r="A57" s="23" t="s">
        <v>932</v>
      </c>
      <c r="B57" s="7" t="s">
        <v>134</v>
      </c>
      <c r="C57" s="24" t="s">
        <v>166</v>
      </c>
      <c r="D57" s="7" t="s">
        <v>909</v>
      </c>
      <c r="E57" s="7"/>
      <c r="F57" s="4">
        <f>F58+F61+F66+F71+F76</f>
        <v>3144.9</v>
      </c>
      <c r="G57" s="4">
        <f>G58+G61+G66+G71+G76</f>
        <v>3211.6</v>
      </c>
    </row>
    <row r="58" spans="1:7" ht="47.25" x14ac:dyDescent="0.25">
      <c r="A58" s="25" t="s">
        <v>203</v>
      </c>
      <c r="B58" s="40" t="s">
        <v>134</v>
      </c>
      <c r="C58" s="20" t="s">
        <v>166</v>
      </c>
      <c r="D58" s="40" t="s">
        <v>1258</v>
      </c>
      <c r="E58" s="7"/>
      <c r="F58" s="6">
        <f>F59</f>
        <v>6.3</v>
      </c>
      <c r="G58" s="6">
        <f>G59</f>
        <v>51</v>
      </c>
    </row>
    <row r="59" spans="1:7" ht="31.5" x14ac:dyDescent="0.25">
      <c r="A59" s="25" t="s">
        <v>147</v>
      </c>
      <c r="B59" s="40" t="s">
        <v>134</v>
      </c>
      <c r="C59" s="20" t="s">
        <v>166</v>
      </c>
      <c r="D59" s="40" t="s">
        <v>1258</v>
      </c>
      <c r="E59" s="40" t="s">
        <v>148</v>
      </c>
      <c r="F59" s="6">
        <f>F60</f>
        <v>6.3</v>
      </c>
      <c r="G59" s="6">
        <f>G60</f>
        <v>51</v>
      </c>
    </row>
    <row r="60" spans="1:7" ht="47.25" x14ac:dyDescent="0.25">
      <c r="A60" s="25" t="s">
        <v>149</v>
      </c>
      <c r="B60" s="40" t="s">
        <v>134</v>
      </c>
      <c r="C60" s="20" t="s">
        <v>166</v>
      </c>
      <c r="D60" s="40" t="s">
        <v>1258</v>
      </c>
      <c r="E60" s="40" t="s">
        <v>150</v>
      </c>
      <c r="F60" s="6">
        <f>'пр.5.1.ведом.21-22'!G53</f>
        <v>6.3</v>
      </c>
      <c r="G60" s="6">
        <f>'пр.5.1.ведом.21-22'!H53</f>
        <v>51</v>
      </c>
    </row>
    <row r="61" spans="1:7" ht="63" x14ac:dyDescent="0.25">
      <c r="A61" s="45" t="s">
        <v>205</v>
      </c>
      <c r="B61" s="40" t="s">
        <v>134</v>
      </c>
      <c r="C61" s="20" t="s">
        <v>166</v>
      </c>
      <c r="D61" s="40" t="s">
        <v>993</v>
      </c>
      <c r="E61" s="40"/>
      <c r="F61" s="6">
        <f>F62+F64</f>
        <v>567.40000000000009</v>
      </c>
      <c r="G61" s="6">
        <f>G62+G64</f>
        <v>589.40000000000009</v>
      </c>
    </row>
    <row r="62" spans="1:7" ht="94.5" x14ac:dyDescent="0.25">
      <c r="A62" s="29" t="s">
        <v>143</v>
      </c>
      <c r="B62" s="40" t="s">
        <v>134</v>
      </c>
      <c r="C62" s="20" t="s">
        <v>166</v>
      </c>
      <c r="D62" s="40" t="s">
        <v>993</v>
      </c>
      <c r="E62" s="40" t="s">
        <v>144</v>
      </c>
      <c r="F62" s="6">
        <f>F63</f>
        <v>528.70000000000005</v>
      </c>
      <c r="G62" s="6">
        <f>G63</f>
        <v>528.70000000000005</v>
      </c>
    </row>
    <row r="63" spans="1:7" ht="47.25" x14ac:dyDescent="0.25">
      <c r="A63" s="29" t="s">
        <v>145</v>
      </c>
      <c r="B63" s="40" t="s">
        <v>134</v>
      </c>
      <c r="C63" s="20" t="s">
        <v>166</v>
      </c>
      <c r="D63" s="40" t="s">
        <v>993</v>
      </c>
      <c r="E63" s="40" t="s">
        <v>146</v>
      </c>
      <c r="F63" s="6">
        <f>'пр.5.1.ведом.21-22'!G56</f>
        <v>528.70000000000005</v>
      </c>
      <c r="G63" s="6">
        <f>'пр.5.1.ведом.21-22'!H56</f>
        <v>528.70000000000005</v>
      </c>
    </row>
    <row r="64" spans="1:7" ht="31.5" x14ac:dyDescent="0.25">
      <c r="A64" s="25" t="s">
        <v>147</v>
      </c>
      <c r="B64" s="40" t="s">
        <v>134</v>
      </c>
      <c r="C64" s="20" t="s">
        <v>166</v>
      </c>
      <c r="D64" s="40" t="s">
        <v>993</v>
      </c>
      <c r="E64" s="40" t="s">
        <v>148</v>
      </c>
      <c r="F64" s="6">
        <f>F65</f>
        <v>38.700000000000003</v>
      </c>
      <c r="G64" s="6">
        <f>G65</f>
        <v>60.7</v>
      </c>
    </row>
    <row r="65" spans="1:7" ht="47.25" x14ac:dyDescent="0.25">
      <c r="A65" s="25" t="s">
        <v>149</v>
      </c>
      <c r="B65" s="40" t="s">
        <v>134</v>
      </c>
      <c r="C65" s="20" t="s">
        <v>166</v>
      </c>
      <c r="D65" s="40" t="s">
        <v>993</v>
      </c>
      <c r="E65" s="40" t="s">
        <v>150</v>
      </c>
      <c r="F65" s="6">
        <f>'пр.5.1.ведом.21-22'!G58</f>
        <v>38.700000000000003</v>
      </c>
      <c r="G65" s="6">
        <f>'пр.5.1.ведом.21-22'!H58</f>
        <v>60.7</v>
      </c>
    </row>
    <row r="66" spans="1:7" ht="63" x14ac:dyDescent="0.25">
      <c r="A66" s="31" t="s">
        <v>210</v>
      </c>
      <c r="B66" s="40" t="s">
        <v>134</v>
      </c>
      <c r="C66" s="20" t="s">
        <v>166</v>
      </c>
      <c r="D66" s="40" t="s">
        <v>1195</v>
      </c>
      <c r="E66" s="40"/>
      <c r="F66" s="6">
        <f>'Пр.3 Рд,пр, ЦС,ВР 20'!F73</f>
        <v>1433.3</v>
      </c>
      <c r="G66" s="6">
        <f t="shared" si="1"/>
        <v>1433.3</v>
      </c>
    </row>
    <row r="67" spans="1:7" ht="94.5" x14ac:dyDescent="0.25">
      <c r="A67" s="29" t="s">
        <v>143</v>
      </c>
      <c r="B67" s="40" t="s">
        <v>134</v>
      </c>
      <c r="C67" s="20" t="s">
        <v>166</v>
      </c>
      <c r="D67" s="40" t="s">
        <v>1195</v>
      </c>
      <c r="E67" s="40" t="s">
        <v>144</v>
      </c>
      <c r="F67" s="6">
        <f>F68</f>
        <v>1372.1</v>
      </c>
      <c r="G67" s="6">
        <f>G68</f>
        <v>1372.1</v>
      </c>
    </row>
    <row r="68" spans="1:7" ht="33" customHeight="1" x14ac:dyDescent="0.25">
      <c r="A68" s="29" t="s">
        <v>145</v>
      </c>
      <c r="B68" s="40" t="s">
        <v>134</v>
      </c>
      <c r="C68" s="20" t="s">
        <v>166</v>
      </c>
      <c r="D68" s="40" t="s">
        <v>1195</v>
      </c>
      <c r="E68" s="40" t="s">
        <v>146</v>
      </c>
      <c r="F68" s="6">
        <f>'пр.5.1.ведом.21-22'!G61</f>
        <v>1372.1</v>
      </c>
      <c r="G68" s="6">
        <f>'пр.5.1.ведом.21-22'!H61</f>
        <v>1372.1</v>
      </c>
    </row>
    <row r="69" spans="1:7" ht="31.5" x14ac:dyDescent="0.25">
      <c r="A69" s="25" t="s">
        <v>147</v>
      </c>
      <c r="B69" s="40" t="s">
        <v>134</v>
      </c>
      <c r="C69" s="20" t="s">
        <v>166</v>
      </c>
      <c r="D69" s="40" t="s">
        <v>1195</v>
      </c>
      <c r="E69" s="40" t="s">
        <v>148</v>
      </c>
      <c r="F69" s="6">
        <f>F70</f>
        <v>61.2</v>
      </c>
      <c r="G69" s="6">
        <f>G70</f>
        <v>61.2</v>
      </c>
    </row>
    <row r="70" spans="1:7" ht="47.25" x14ac:dyDescent="0.25">
      <c r="A70" s="25" t="s">
        <v>149</v>
      </c>
      <c r="B70" s="40" t="s">
        <v>134</v>
      </c>
      <c r="C70" s="20" t="s">
        <v>166</v>
      </c>
      <c r="D70" s="40" t="s">
        <v>1195</v>
      </c>
      <c r="E70" s="40" t="s">
        <v>150</v>
      </c>
      <c r="F70" s="6">
        <f>'пр.5.1.ведом.21-22'!G63</f>
        <v>61.2</v>
      </c>
      <c r="G70" s="6">
        <f>'пр.5.1.ведом.21-22'!H63</f>
        <v>61.2</v>
      </c>
    </row>
    <row r="71" spans="1:7" ht="63" x14ac:dyDescent="0.25">
      <c r="A71" s="45" t="s">
        <v>212</v>
      </c>
      <c r="B71" s="40" t="s">
        <v>134</v>
      </c>
      <c r="C71" s="20" t="s">
        <v>166</v>
      </c>
      <c r="D71" s="40" t="s">
        <v>994</v>
      </c>
      <c r="E71" s="40"/>
      <c r="F71" s="6">
        <f>F72+F74</f>
        <v>1115.9000000000001</v>
      </c>
      <c r="G71" s="6">
        <f>G72+G74</f>
        <v>1115.9000000000001</v>
      </c>
    </row>
    <row r="72" spans="1:7" ht="94.5" x14ac:dyDescent="0.25">
      <c r="A72" s="29" t="s">
        <v>143</v>
      </c>
      <c r="B72" s="40" t="s">
        <v>134</v>
      </c>
      <c r="C72" s="20" t="s">
        <v>166</v>
      </c>
      <c r="D72" s="40" t="s">
        <v>994</v>
      </c>
      <c r="E72" s="40" t="s">
        <v>144</v>
      </c>
      <c r="F72" s="6">
        <f>F73</f>
        <v>1026.5</v>
      </c>
      <c r="G72" s="6">
        <f>G73</f>
        <v>1026.5</v>
      </c>
    </row>
    <row r="73" spans="1:7" ht="33.75" customHeight="1" x14ac:dyDescent="0.25">
      <c r="A73" s="29" t="s">
        <v>145</v>
      </c>
      <c r="B73" s="40" t="s">
        <v>134</v>
      </c>
      <c r="C73" s="20" t="s">
        <v>166</v>
      </c>
      <c r="D73" s="40" t="s">
        <v>994</v>
      </c>
      <c r="E73" s="40" t="s">
        <v>146</v>
      </c>
      <c r="F73" s="6">
        <f>'пр.5.1.ведом.21-22'!G66</f>
        <v>1026.5</v>
      </c>
      <c r="G73" s="6">
        <f>'пр.5.1.ведом.21-22'!H66</f>
        <v>1026.5</v>
      </c>
    </row>
    <row r="74" spans="1:7" ht="31.5" x14ac:dyDescent="0.25">
      <c r="A74" s="29" t="s">
        <v>147</v>
      </c>
      <c r="B74" s="40" t="s">
        <v>134</v>
      </c>
      <c r="C74" s="20" t="s">
        <v>166</v>
      </c>
      <c r="D74" s="40" t="s">
        <v>994</v>
      </c>
      <c r="E74" s="40" t="s">
        <v>148</v>
      </c>
      <c r="F74" s="6">
        <f>F75</f>
        <v>89.4</v>
      </c>
      <c r="G74" s="6">
        <f>G75</f>
        <v>89.4</v>
      </c>
    </row>
    <row r="75" spans="1:7" ht="47.25" x14ac:dyDescent="0.25">
      <c r="A75" s="29" t="s">
        <v>149</v>
      </c>
      <c r="B75" s="40" t="s">
        <v>134</v>
      </c>
      <c r="C75" s="20" t="s">
        <v>166</v>
      </c>
      <c r="D75" s="40" t="s">
        <v>994</v>
      </c>
      <c r="E75" s="40" t="s">
        <v>150</v>
      </c>
      <c r="F75" s="6">
        <f>'пр.5.1.ведом.21-22'!G68</f>
        <v>89.4</v>
      </c>
      <c r="G75" s="6">
        <f>'пр.5.1.ведом.21-22'!H68</f>
        <v>89.4</v>
      </c>
    </row>
    <row r="76" spans="1:7" s="213" customFormat="1" ht="110.25" x14ac:dyDescent="0.25">
      <c r="A76" s="31" t="s">
        <v>1408</v>
      </c>
      <c r="B76" s="20" t="s">
        <v>134</v>
      </c>
      <c r="C76" s="20" t="s">
        <v>166</v>
      </c>
      <c r="D76" s="20" t="s">
        <v>1407</v>
      </c>
      <c r="E76" s="20"/>
      <c r="F76" s="26">
        <f>F77</f>
        <v>22</v>
      </c>
      <c r="G76" s="26">
        <f>G77</f>
        <v>22</v>
      </c>
    </row>
    <row r="77" spans="1:7" s="213" customFormat="1" ht="94.5" x14ac:dyDescent="0.25">
      <c r="A77" s="25" t="s">
        <v>143</v>
      </c>
      <c r="B77" s="20" t="s">
        <v>134</v>
      </c>
      <c r="C77" s="20" t="s">
        <v>166</v>
      </c>
      <c r="D77" s="20" t="s">
        <v>1407</v>
      </c>
      <c r="E77" s="20" t="s">
        <v>144</v>
      </c>
      <c r="F77" s="26">
        <f>F78</f>
        <v>22</v>
      </c>
      <c r="G77" s="26">
        <f>G78</f>
        <v>22</v>
      </c>
    </row>
    <row r="78" spans="1:7" s="213" customFormat="1" ht="38.25" customHeight="1" x14ac:dyDescent="0.25">
      <c r="A78" s="25" t="s">
        <v>145</v>
      </c>
      <c r="B78" s="20" t="s">
        <v>134</v>
      </c>
      <c r="C78" s="20" t="s">
        <v>166</v>
      </c>
      <c r="D78" s="20" t="s">
        <v>1407</v>
      </c>
      <c r="E78" s="20" t="s">
        <v>146</v>
      </c>
      <c r="F78" s="26">
        <f>'пр.5.1.ведом.21-22'!G510</f>
        <v>22</v>
      </c>
      <c r="G78" s="6">
        <f>'пр.5.1.ведом.21-22'!H510</f>
        <v>22</v>
      </c>
    </row>
    <row r="79" spans="1:7" ht="63" x14ac:dyDescent="0.25">
      <c r="A79" s="23" t="s">
        <v>1421</v>
      </c>
      <c r="B79" s="24" t="s">
        <v>134</v>
      </c>
      <c r="C79" s="24" t="s">
        <v>166</v>
      </c>
      <c r="D79" s="24" t="s">
        <v>178</v>
      </c>
      <c r="E79" s="24"/>
      <c r="F79" s="4">
        <f>F80+F84+F90</f>
        <v>523.5</v>
      </c>
      <c r="G79" s="4">
        <f>G80+G84+G90</f>
        <v>523.5</v>
      </c>
    </row>
    <row r="80" spans="1:7" ht="78.75" x14ac:dyDescent="0.25">
      <c r="A80" s="229" t="s">
        <v>1155</v>
      </c>
      <c r="B80" s="24" t="s">
        <v>134</v>
      </c>
      <c r="C80" s="24" t="s">
        <v>166</v>
      </c>
      <c r="D80" s="7" t="s">
        <v>895</v>
      </c>
      <c r="E80" s="24"/>
      <c r="F80" s="4">
        <f t="shared" ref="F80:G82" si="3">F81</f>
        <v>446</v>
      </c>
      <c r="G80" s="4">
        <f t="shared" si="3"/>
        <v>446</v>
      </c>
    </row>
    <row r="81" spans="1:7" ht="47.25" x14ac:dyDescent="0.25">
      <c r="A81" s="29" t="s">
        <v>1154</v>
      </c>
      <c r="B81" s="20" t="s">
        <v>134</v>
      </c>
      <c r="C81" s="20" t="s">
        <v>166</v>
      </c>
      <c r="D81" s="40" t="s">
        <v>887</v>
      </c>
      <c r="E81" s="20"/>
      <c r="F81" s="6">
        <f t="shared" si="3"/>
        <v>446</v>
      </c>
      <c r="G81" s="6">
        <f t="shared" si="3"/>
        <v>446</v>
      </c>
    </row>
    <row r="82" spans="1:7" ht="31.5" x14ac:dyDescent="0.25">
      <c r="A82" s="25" t="s">
        <v>147</v>
      </c>
      <c r="B82" s="20" t="s">
        <v>134</v>
      </c>
      <c r="C82" s="20" t="s">
        <v>166</v>
      </c>
      <c r="D82" s="40" t="s">
        <v>887</v>
      </c>
      <c r="E82" s="20" t="s">
        <v>148</v>
      </c>
      <c r="F82" s="6">
        <f t="shared" si="3"/>
        <v>446</v>
      </c>
      <c r="G82" s="6">
        <f t="shared" si="3"/>
        <v>446</v>
      </c>
    </row>
    <row r="83" spans="1:7" ht="47.25" x14ac:dyDescent="0.25">
      <c r="A83" s="25" t="s">
        <v>149</v>
      </c>
      <c r="B83" s="20" t="s">
        <v>134</v>
      </c>
      <c r="C83" s="20" t="s">
        <v>166</v>
      </c>
      <c r="D83" s="40" t="s">
        <v>887</v>
      </c>
      <c r="E83" s="20" t="s">
        <v>150</v>
      </c>
      <c r="F83" s="6">
        <f>'пр.5.1.ведом.21-22'!G73</f>
        <v>446</v>
      </c>
      <c r="G83" s="6">
        <f>'пр.5.1.ведом.21-22'!H73</f>
        <v>446</v>
      </c>
    </row>
    <row r="84" spans="1:7" ht="78.75" x14ac:dyDescent="0.25">
      <c r="A84" s="228" t="s">
        <v>889</v>
      </c>
      <c r="B84" s="24" t="s">
        <v>134</v>
      </c>
      <c r="C84" s="24" t="s">
        <v>166</v>
      </c>
      <c r="D84" s="7" t="s">
        <v>896</v>
      </c>
      <c r="E84" s="24"/>
      <c r="F84" s="4">
        <f>F85</f>
        <v>77</v>
      </c>
      <c r="G84" s="4">
        <f>G85</f>
        <v>77</v>
      </c>
    </row>
    <row r="85" spans="1:7" ht="63" x14ac:dyDescent="0.25">
      <c r="A85" s="178" t="s">
        <v>181</v>
      </c>
      <c r="B85" s="20" t="s">
        <v>134</v>
      </c>
      <c r="C85" s="20" t="s">
        <v>166</v>
      </c>
      <c r="D85" s="40" t="s">
        <v>888</v>
      </c>
      <c r="E85" s="20"/>
      <c r="F85" s="6">
        <f>F86+F88</f>
        <v>77</v>
      </c>
      <c r="G85" s="6">
        <f>G86+G88</f>
        <v>77</v>
      </c>
    </row>
    <row r="86" spans="1:7" ht="94.5" x14ac:dyDescent="0.25">
      <c r="A86" s="25" t="s">
        <v>143</v>
      </c>
      <c r="B86" s="20" t="s">
        <v>134</v>
      </c>
      <c r="C86" s="20" t="s">
        <v>166</v>
      </c>
      <c r="D86" s="40" t="s">
        <v>888</v>
      </c>
      <c r="E86" s="20" t="s">
        <v>144</v>
      </c>
      <c r="F86" s="6">
        <f>F87</f>
        <v>37</v>
      </c>
      <c r="G86" s="6">
        <f>G87</f>
        <v>37</v>
      </c>
    </row>
    <row r="87" spans="1:7" ht="47.25" x14ac:dyDescent="0.25">
      <c r="A87" s="25" t="s">
        <v>145</v>
      </c>
      <c r="B87" s="20" t="s">
        <v>134</v>
      </c>
      <c r="C87" s="20" t="s">
        <v>166</v>
      </c>
      <c r="D87" s="40" t="s">
        <v>888</v>
      </c>
      <c r="E87" s="20" t="s">
        <v>146</v>
      </c>
      <c r="F87" s="6">
        <f>'пр.5.1.ведом.21-22'!G77</f>
        <v>37</v>
      </c>
      <c r="G87" s="6">
        <f>'пр.5.1.ведом.21-22'!H77</f>
        <v>37</v>
      </c>
    </row>
    <row r="88" spans="1:7" ht="31.5" x14ac:dyDescent="0.25">
      <c r="A88" s="25" t="s">
        <v>147</v>
      </c>
      <c r="B88" s="20" t="s">
        <v>134</v>
      </c>
      <c r="C88" s="20" t="s">
        <v>166</v>
      </c>
      <c r="D88" s="40" t="s">
        <v>888</v>
      </c>
      <c r="E88" s="20" t="s">
        <v>148</v>
      </c>
      <c r="F88" s="6">
        <f>F89</f>
        <v>40</v>
      </c>
      <c r="G88" s="6">
        <f>G89</f>
        <v>40</v>
      </c>
    </row>
    <row r="89" spans="1:7" ht="47.25" x14ac:dyDescent="0.25">
      <c r="A89" s="25" t="s">
        <v>149</v>
      </c>
      <c r="B89" s="20" t="s">
        <v>134</v>
      </c>
      <c r="C89" s="20" t="s">
        <v>166</v>
      </c>
      <c r="D89" s="40" t="s">
        <v>888</v>
      </c>
      <c r="E89" s="20" t="s">
        <v>150</v>
      </c>
      <c r="F89" s="6">
        <f>'пр.5.1.ведом.21-22'!G79</f>
        <v>40</v>
      </c>
      <c r="G89" s="6">
        <f>'пр.5.1.ведом.21-22'!H79</f>
        <v>40</v>
      </c>
    </row>
    <row r="90" spans="1:7" ht="78.75" x14ac:dyDescent="0.25">
      <c r="A90" s="230" t="s">
        <v>1156</v>
      </c>
      <c r="B90" s="24" t="s">
        <v>134</v>
      </c>
      <c r="C90" s="24" t="s">
        <v>166</v>
      </c>
      <c r="D90" s="7" t="s">
        <v>897</v>
      </c>
      <c r="E90" s="24"/>
      <c r="F90" s="4">
        <f>F91+F94</f>
        <v>0.5</v>
      </c>
      <c r="G90" s="4">
        <f>G91+G94</f>
        <v>0.5</v>
      </c>
    </row>
    <row r="91" spans="1:7" ht="63" x14ac:dyDescent="0.25">
      <c r="A91" s="33" t="s">
        <v>207</v>
      </c>
      <c r="B91" s="20" t="s">
        <v>134</v>
      </c>
      <c r="C91" s="20" t="s">
        <v>166</v>
      </c>
      <c r="D91" s="40" t="s">
        <v>890</v>
      </c>
      <c r="E91" s="20"/>
      <c r="F91" s="6">
        <f>F92</f>
        <v>0.5</v>
      </c>
      <c r="G91" s="6">
        <f>G92</f>
        <v>0.5</v>
      </c>
    </row>
    <row r="92" spans="1:7" ht="31.5" x14ac:dyDescent="0.25">
      <c r="A92" s="25" t="s">
        <v>147</v>
      </c>
      <c r="B92" s="20" t="s">
        <v>134</v>
      </c>
      <c r="C92" s="20" t="s">
        <v>166</v>
      </c>
      <c r="D92" s="40" t="s">
        <v>890</v>
      </c>
      <c r="E92" s="20" t="s">
        <v>148</v>
      </c>
      <c r="F92" s="6">
        <f>F93</f>
        <v>0.5</v>
      </c>
      <c r="G92" s="6">
        <f>G93</f>
        <v>0.5</v>
      </c>
    </row>
    <row r="93" spans="1:7" ht="47.25" x14ac:dyDescent="0.25">
      <c r="A93" s="25" t="s">
        <v>149</v>
      </c>
      <c r="B93" s="20" t="s">
        <v>134</v>
      </c>
      <c r="C93" s="20" t="s">
        <v>166</v>
      </c>
      <c r="D93" s="40" t="s">
        <v>890</v>
      </c>
      <c r="E93" s="20" t="s">
        <v>150</v>
      </c>
      <c r="F93" s="6">
        <f>'пр.5.1.ведом.21-22'!G83</f>
        <v>0.5</v>
      </c>
      <c r="G93" s="6">
        <f>'пр.5.1.ведом.21-22'!H83</f>
        <v>0.5</v>
      </c>
    </row>
    <row r="94" spans="1:7" ht="63" hidden="1" x14ac:dyDescent="0.25">
      <c r="A94" s="33" t="s">
        <v>207</v>
      </c>
      <c r="B94" s="20" t="s">
        <v>134</v>
      </c>
      <c r="C94" s="20" t="s">
        <v>166</v>
      </c>
      <c r="D94" s="20" t="s">
        <v>891</v>
      </c>
      <c r="E94" s="20"/>
      <c r="F94" s="6">
        <f>'Пр.3 Рд,пр, ЦС,ВР 20'!F101</f>
        <v>0</v>
      </c>
      <c r="G94" s="6">
        <f t="shared" ref="G94:G145" si="4">F94</f>
        <v>0</v>
      </c>
    </row>
    <row r="95" spans="1:7" ht="31.5" hidden="1" x14ac:dyDescent="0.25">
      <c r="A95" s="25" t="s">
        <v>147</v>
      </c>
      <c r="B95" s="20" t="s">
        <v>134</v>
      </c>
      <c r="C95" s="20" t="s">
        <v>166</v>
      </c>
      <c r="D95" s="20" t="s">
        <v>891</v>
      </c>
      <c r="E95" s="20" t="s">
        <v>148</v>
      </c>
      <c r="F95" s="6">
        <f>'Пр.3 Рд,пр, ЦС,ВР 20'!F102</f>
        <v>0</v>
      </c>
      <c r="G95" s="6">
        <f t="shared" si="4"/>
        <v>0</v>
      </c>
    </row>
    <row r="96" spans="1:7" ht="47.25" hidden="1" x14ac:dyDescent="0.25">
      <c r="A96" s="25" t="s">
        <v>149</v>
      </c>
      <c r="B96" s="20" t="s">
        <v>134</v>
      </c>
      <c r="C96" s="20" t="s">
        <v>166</v>
      </c>
      <c r="D96" s="20" t="s">
        <v>891</v>
      </c>
      <c r="E96" s="20" t="s">
        <v>150</v>
      </c>
      <c r="F96" s="6">
        <f>'Пр.3 Рд,пр, ЦС,ВР 20'!F103</f>
        <v>0</v>
      </c>
      <c r="G96" s="6">
        <f t="shared" si="4"/>
        <v>0</v>
      </c>
    </row>
    <row r="97" spans="1:7" ht="63" x14ac:dyDescent="0.25">
      <c r="A97" s="41" t="s">
        <v>135</v>
      </c>
      <c r="B97" s="7" t="s">
        <v>134</v>
      </c>
      <c r="C97" s="7" t="s">
        <v>136</v>
      </c>
      <c r="D97" s="7"/>
      <c r="E97" s="7"/>
      <c r="F97" s="4">
        <f t="shared" ref="F97:G97" si="5">F98</f>
        <v>15283.5</v>
      </c>
      <c r="G97" s="4">
        <f t="shared" si="5"/>
        <v>15283.5</v>
      </c>
    </row>
    <row r="98" spans="1:7" ht="31.5" x14ac:dyDescent="0.25">
      <c r="A98" s="23" t="s">
        <v>990</v>
      </c>
      <c r="B98" s="7" t="s">
        <v>134</v>
      </c>
      <c r="C98" s="7" t="s">
        <v>136</v>
      </c>
      <c r="D98" s="7" t="s">
        <v>904</v>
      </c>
      <c r="E98" s="7"/>
      <c r="F98" s="4">
        <f>F108+F99</f>
        <v>15283.5</v>
      </c>
      <c r="G98" s="4">
        <f>G108+G99</f>
        <v>15283.5</v>
      </c>
    </row>
    <row r="99" spans="1:7" ht="31.5" x14ac:dyDescent="0.25">
      <c r="A99" s="23" t="s">
        <v>1134</v>
      </c>
      <c r="B99" s="7" t="s">
        <v>134</v>
      </c>
      <c r="C99" s="7" t="s">
        <v>136</v>
      </c>
      <c r="D99" s="7" t="s">
        <v>1135</v>
      </c>
      <c r="E99" s="7"/>
      <c r="F99" s="4">
        <f>F100+F105</f>
        <v>1646</v>
      </c>
      <c r="G99" s="4">
        <f>G100+G105</f>
        <v>1646</v>
      </c>
    </row>
    <row r="100" spans="1:7" ht="31.5" x14ac:dyDescent="0.25">
      <c r="A100" s="25" t="s">
        <v>967</v>
      </c>
      <c r="B100" s="20" t="s">
        <v>134</v>
      </c>
      <c r="C100" s="20" t="s">
        <v>136</v>
      </c>
      <c r="D100" s="20" t="s">
        <v>1139</v>
      </c>
      <c r="E100" s="20"/>
      <c r="F100" s="6">
        <f>F101+F103</f>
        <v>1604</v>
      </c>
      <c r="G100" s="6">
        <f>G101+G103</f>
        <v>1604</v>
      </c>
    </row>
    <row r="101" spans="1:7" ht="94.5" x14ac:dyDescent="0.25">
      <c r="A101" s="25" t="s">
        <v>143</v>
      </c>
      <c r="B101" s="20" t="s">
        <v>134</v>
      </c>
      <c r="C101" s="20" t="s">
        <v>136</v>
      </c>
      <c r="D101" s="20" t="s">
        <v>1139</v>
      </c>
      <c r="E101" s="20" t="s">
        <v>144</v>
      </c>
      <c r="F101" s="6">
        <f>F102</f>
        <v>1586</v>
      </c>
      <c r="G101" s="6">
        <f>G102</f>
        <v>1586</v>
      </c>
    </row>
    <row r="102" spans="1:7" ht="47.25" x14ac:dyDescent="0.25">
      <c r="A102" s="25" t="s">
        <v>145</v>
      </c>
      <c r="B102" s="20" t="s">
        <v>134</v>
      </c>
      <c r="C102" s="20" t="s">
        <v>136</v>
      </c>
      <c r="D102" s="20" t="s">
        <v>1139</v>
      </c>
      <c r="E102" s="20" t="s">
        <v>146</v>
      </c>
      <c r="F102" s="6">
        <f>'пр.5.1.ведом.21-22'!G1099</f>
        <v>1586</v>
      </c>
      <c r="G102" s="6">
        <f>'пр.5.1.ведом.21-22'!H1099</f>
        <v>1586</v>
      </c>
    </row>
    <row r="103" spans="1:7" ht="47.25" x14ac:dyDescent="0.25">
      <c r="A103" s="25" t="s">
        <v>214</v>
      </c>
      <c r="B103" s="20" t="s">
        <v>134</v>
      </c>
      <c r="C103" s="20" t="s">
        <v>136</v>
      </c>
      <c r="D103" s="20" t="s">
        <v>1139</v>
      </c>
      <c r="E103" s="20" t="s">
        <v>148</v>
      </c>
      <c r="F103" s="6">
        <f>F104</f>
        <v>18</v>
      </c>
      <c r="G103" s="6">
        <f>G104</f>
        <v>18</v>
      </c>
    </row>
    <row r="104" spans="1:7" ht="47.25" x14ac:dyDescent="0.25">
      <c r="A104" s="25" t="s">
        <v>149</v>
      </c>
      <c r="B104" s="20" t="s">
        <v>134</v>
      </c>
      <c r="C104" s="20" t="s">
        <v>136</v>
      </c>
      <c r="D104" s="20" t="s">
        <v>1139</v>
      </c>
      <c r="E104" s="20" t="s">
        <v>150</v>
      </c>
      <c r="F104" s="6">
        <f>'пр.5.1.ведом.21-22'!G1101</f>
        <v>18</v>
      </c>
      <c r="G104" s="6">
        <f>'пр.5.1.ведом.21-22'!H1101</f>
        <v>18</v>
      </c>
    </row>
    <row r="105" spans="1:7" ht="47.25" x14ac:dyDescent="0.25">
      <c r="A105" s="25" t="s">
        <v>885</v>
      </c>
      <c r="B105" s="20" t="s">
        <v>134</v>
      </c>
      <c r="C105" s="20" t="s">
        <v>136</v>
      </c>
      <c r="D105" s="20" t="s">
        <v>1137</v>
      </c>
      <c r="E105" s="20"/>
      <c r="F105" s="6">
        <f>F106</f>
        <v>42</v>
      </c>
      <c r="G105" s="6">
        <f>G106</f>
        <v>42</v>
      </c>
    </row>
    <row r="106" spans="1:7" ht="94.5" x14ac:dyDescent="0.25">
      <c r="A106" s="25" t="s">
        <v>143</v>
      </c>
      <c r="B106" s="20" t="s">
        <v>134</v>
      </c>
      <c r="C106" s="20" t="s">
        <v>136</v>
      </c>
      <c r="D106" s="20" t="s">
        <v>1137</v>
      </c>
      <c r="E106" s="20" t="s">
        <v>144</v>
      </c>
      <c r="F106" s="6">
        <f>F107</f>
        <v>42</v>
      </c>
      <c r="G106" s="6">
        <f>G107</f>
        <v>42</v>
      </c>
    </row>
    <row r="107" spans="1:7" ht="47.25" x14ac:dyDescent="0.25">
      <c r="A107" s="25" t="s">
        <v>145</v>
      </c>
      <c r="B107" s="20" t="s">
        <v>134</v>
      </c>
      <c r="C107" s="20" t="s">
        <v>136</v>
      </c>
      <c r="D107" s="20" t="s">
        <v>1137</v>
      </c>
      <c r="E107" s="20" t="s">
        <v>146</v>
      </c>
      <c r="F107" s="6">
        <f>'пр.5.1.ведом.21-22'!G1104</f>
        <v>42</v>
      </c>
      <c r="G107" s="6">
        <f>'пр.5.1.ведом.21-22'!H1104</f>
        <v>42</v>
      </c>
    </row>
    <row r="108" spans="1:7" ht="15.75" x14ac:dyDescent="0.25">
      <c r="A108" s="23" t="s">
        <v>991</v>
      </c>
      <c r="B108" s="7" t="s">
        <v>134</v>
      </c>
      <c r="C108" s="7" t="s">
        <v>136</v>
      </c>
      <c r="D108" s="7" t="s">
        <v>905</v>
      </c>
      <c r="E108" s="7"/>
      <c r="F108" s="4">
        <f>F109+F116</f>
        <v>13637.5</v>
      </c>
      <c r="G108" s="4">
        <f>G109+G116</f>
        <v>13637.5</v>
      </c>
    </row>
    <row r="109" spans="1:7" ht="31.5" x14ac:dyDescent="0.25">
      <c r="A109" s="29" t="s">
        <v>967</v>
      </c>
      <c r="B109" s="40" t="s">
        <v>134</v>
      </c>
      <c r="C109" s="40" t="s">
        <v>136</v>
      </c>
      <c r="D109" s="40" t="s">
        <v>906</v>
      </c>
      <c r="E109" s="40"/>
      <c r="F109" s="6">
        <f>F110+F112+F114</f>
        <v>13302.5</v>
      </c>
      <c r="G109" s="6">
        <f>G110+G112+G114</f>
        <v>13302.5</v>
      </c>
    </row>
    <row r="110" spans="1:7" ht="94.5" x14ac:dyDescent="0.25">
      <c r="A110" s="29" t="s">
        <v>143</v>
      </c>
      <c r="B110" s="40" t="s">
        <v>134</v>
      </c>
      <c r="C110" s="40" t="s">
        <v>136</v>
      </c>
      <c r="D110" s="40" t="s">
        <v>906</v>
      </c>
      <c r="E110" s="40" t="s">
        <v>144</v>
      </c>
      <c r="F110" s="6">
        <f>F111</f>
        <v>12474</v>
      </c>
      <c r="G110" s="6">
        <f>G111</f>
        <v>12474</v>
      </c>
    </row>
    <row r="111" spans="1:7" ht="47.25" x14ac:dyDescent="0.25">
      <c r="A111" s="29" t="s">
        <v>145</v>
      </c>
      <c r="B111" s="40" t="s">
        <v>134</v>
      </c>
      <c r="C111" s="40" t="s">
        <v>136</v>
      </c>
      <c r="D111" s="40" t="s">
        <v>906</v>
      </c>
      <c r="E111" s="40" t="s">
        <v>146</v>
      </c>
      <c r="F111" s="6">
        <f>'пр.5.1.ведом.21-22'!G92+'пр.5.1.ведом.21-22'!G16</f>
        <v>12474</v>
      </c>
      <c r="G111" s="6">
        <f>'пр.5.1.ведом.21-22'!H92+'пр.5.1.ведом.21-22'!H16</f>
        <v>12474</v>
      </c>
    </row>
    <row r="112" spans="1:7" ht="31.5" x14ac:dyDescent="0.25">
      <c r="A112" s="29" t="s">
        <v>147</v>
      </c>
      <c r="B112" s="40" t="s">
        <v>134</v>
      </c>
      <c r="C112" s="40" t="s">
        <v>136</v>
      </c>
      <c r="D112" s="40" t="s">
        <v>906</v>
      </c>
      <c r="E112" s="40" t="s">
        <v>148</v>
      </c>
      <c r="F112" s="6">
        <f>F113</f>
        <v>800.5</v>
      </c>
      <c r="G112" s="6">
        <f>G113</f>
        <v>800.5</v>
      </c>
    </row>
    <row r="113" spans="1:7" ht="47.25" x14ac:dyDescent="0.25">
      <c r="A113" s="29" t="s">
        <v>149</v>
      </c>
      <c r="B113" s="40" t="s">
        <v>134</v>
      </c>
      <c r="C113" s="40" t="s">
        <v>136</v>
      </c>
      <c r="D113" s="40" t="s">
        <v>906</v>
      </c>
      <c r="E113" s="40" t="s">
        <v>150</v>
      </c>
      <c r="F113" s="6">
        <f>'пр.5.1.ведом.21-22'!G18</f>
        <v>800.5</v>
      </c>
      <c r="G113" s="6">
        <f>'пр.5.1.ведом.21-22'!H18</f>
        <v>800.5</v>
      </c>
    </row>
    <row r="114" spans="1:7" ht="15.75" x14ac:dyDescent="0.25">
      <c r="A114" s="29" t="s">
        <v>151</v>
      </c>
      <c r="B114" s="40" t="s">
        <v>134</v>
      </c>
      <c r="C114" s="40" t="s">
        <v>136</v>
      </c>
      <c r="D114" s="40" t="s">
        <v>906</v>
      </c>
      <c r="E114" s="40" t="s">
        <v>161</v>
      </c>
      <c r="F114" s="6">
        <f>F115</f>
        <v>28</v>
      </c>
      <c r="G114" s="6">
        <f>G115</f>
        <v>28</v>
      </c>
    </row>
    <row r="115" spans="1:7" ht="31.5" x14ac:dyDescent="0.25">
      <c r="A115" s="29" t="s">
        <v>584</v>
      </c>
      <c r="B115" s="40" t="s">
        <v>134</v>
      </c>
      <c r="C115" s="40" t="s">
        <v>136</v>
      </c>
      <c r="D115" s="40" t="s">
        <v>906</v>
      </c>
      <c r="E115" s="40" t="s">
        <v>154</v>
      </c>
      <c r="F115" s="6">
        <f>'пр.5.1.ведом.21-22'!G20</f>
        <v>28</v>
      </c>
      <c r="G115" s="6">
        <f>'пр.5.1.ведом.21-22'!H20</f>
        <v>28</v>
      </c>
    </row>
    <row r="116" spans="1:7" ht="47.25" x14ac:dyDescent="0.25">
      <c r="A116" s="25" t="s">
        <v>885</v>
      </c>
      <c r="B116" s="20" t="s">
        <v>134</v>
      </c>
      <c r="C116" s="20" t="s">
        <v>136</v>
      </c>
      <c r="D116" s="20" t="s">
        <v>908</v>
      </c>
      <c r="E116" s="20"/>
      <c r="F116" s="6">
        <f>F117</f>
        <v>335</v>
      </c>
      <c r="G116" s="6">
        <f>G117</f>
        <v>335</v>
      </c>
    </row>
    <row r="117" spans="1:7" ht="94.5" x14ac:dyDescent="0.25">
      <c r="A117" s="25" t="s">
        <v>143</v>
      </c>
      <c r="B117" s="20" t="s">
        <v>134</v>
      </c>
      <c r="C117" s="20" t="s">
        <v>136</v>
      </c>
      <c r="D117" s="20" t="s">
        <v>908</v>
      </c>
      <c r="E117" s="20" t="s">
        <v>144</v>
      </c>
      <c r="F117" s="6">
        <f>F118</f>
        <v>335</v>
      </c>
      <c r="G117" s="6">
        <f>G118</f>
        <v>335</v>
      </c>
    </row>
    <row r="118" spans="1:7" ht="47.25" x14ac:dyDescent="0.25">
      <c r="A118" s="25" t="s">
        <v>145</v>
      </c>
      <c r="B118" s="20" t="s">
        <v>134</v>
      </c>
      <c r="C118" s="20" t="s">
        <v>136</v>
      </c>
      <c r="D118" s="20" t="s">
        <v>908</v>
      </c>
      <c r="E118" s="20" t="s">
        <v>146</v>
      </c>
      <c r="F118" s="6">
        <f>'пр.5.1.ведом.21-22'!G23+'пр.5.1.ведом.21-22'!G95</f>
        <v>335</v>
      </c>
      <c r="G118" s="6">
        <f>'пр.5.1.ведом.21-22'!H23+'пр.5.1.ведом.21-22'!H95</f>
        <v>335</v>
      </c>
    </row>
    <row r="119" spans="1:7" s="213" customFormat="1" ht="15.75" hidden="1" customHeight="1" x14ac:dyDescent="0.25">
      <c r="A119" s="23" t="s">
        <v>1368</v>
      </c>
      <c r="B119" s="24" t="s">
        <v>134</v>
      </c>
      <c r="C119" s="24" t="s">
        <v>280</v>
      </c>
      <c r="D119" s="24"/>
      <c r="E119" s="20"/>
      <c r="F119" s="21">
        <f t="shared" ref="F119:G121" si="6">F120</f>
        <v>0</v>
      </c>
      <c r="G119" s="21">
        <f t="shared" si="6"/>
        <v>0</v>
      </c>
    </row>
    <row r="120" spans="1:7" s="213" customFormat="1" ht="15.75" hidden="1" customHeight="1" x14ac:dyDescent="0.25">
      <c r="A120" s="23" t="s">
        <v>157</v>
      </c>
      <c r="B120" s="24" t="s">
        <v>134</v>
      </c>
      <c r="C120" s="24" t="s">
        <v>280</v>
      </c>
      <c r="D120" s="24" t="s">
        <v>912</v>
      </c>
      <c r="E120" s="20"/>
      <c r="F120" s="21">
        <f t="shared" si="6"/>
        <v>0</v>
      </c>
      <c r="G120" s="21">
        <f t="shared" si="6"/>
        <v>0</v>
      </c>
    </row>
    <row r="121" spans="1:7" s="213" customFormat="1" ht="31.7" hidden="1" customHeight="1" x14ac:dyDescent="0.25">
      <c r="A121" s="23" t="s">
        <v>916</v>
      </c>
      <c r="B121" s="24" t="s">
        <v>134</v>
      </c>
      <c r="C121" s="24" t="s">
        <v>280</v>
      </c>
      <c r="D121" s="24" t="s">
        <v>911</v>
      </c>
      <c r="E121" s="20"/>
      <c r="F121" s="21">
        <f t="shared" si="6"/>
        <v>0</v>
      </c>
      <c r="G121" s="21">
        <f t="shared" si="6"/>
        <v>0</v>
      </c>
    </row>
    <row r="122" spans="1:7" s="213" customFormat="1" ht="31.7" hidden="1" customHeight="1" x14ac:dyDescent="0.25">
      <c r="A122" s="45" t="s">
        <v>215</v>
      </c>
      <c r="B122" s="20" t="s">
        <v>134</v>
      </c>
      <c r="C122" s="20" t="s">
        <v>280</v>
      </c>
      <c r="D122" s="20" t="s">
        <v>1367</v>
      </c>
      <c r="E122" s="20"/>
      <c r="F122" s="26">
        <f>F123+F125</f>
        <v>0</v>
      </c>
      <c r="G122" s="26">
        <f>G123+G125</f>
        <v>0</v>
      </c>
    </row>
    <row r="123" spans="1:7" s="213" customFormat="1" ht="94.7" hidden="1" customHeight="1" x14ac:dyDescent="0.25">
      <c r="A123" s="25" t="s">
        <v>143</v>
      </c>
      <c r="B123" s="20" t="s">
        <v>134</v>
      </c>
      <c r="C123" s="20" t="s">
        <v>280</v>
      </c>
      <c r="D123" s="20" t="s">
        <v>1367</v>
      </c>
      <c r="E123" s="20" t="s">
        <v>144</v>
      </c>
      <c r="F123" s="26">
        <f>F124</f>
        <v>0</v>
      </c>
      <c r="G123" s="26">
        <f>G124</f>
        <v>0</v>
      </c>
    </row>
    <row r="124" spans="1:7" s="213" customFormat="1" ht="47.25" hidden="1" customHeight="1" x14ac:dyDescent="0.25">
      <c r="A124" s="25" t="s">
        <v>145</v>
      </c>
      <c r="B124" s="20" t="s">
        <v>134</v>
      </c>
      <c r="C124" s="20" t="s">
        <v>280</v>
      </c>
      <c r="D124" s="20" t="s">
        <v>1367</v>
      </c>
      <c r="E124" s="20" t="s">
        <v>146</v>
      </c>
      <c r="F124" s="26">
        <f>'пр.5.1.ведом.21-22'!G101</f>
        <v>0</v>
      </c>
      <c r="G124" s="26">
        <f>'пр.5.1.ведом.21-22'!H101</f>
        <v>0</v>
      </c>
    </row>
    <row r="125" spans="1:7" s="213" customFormat="1" ht="47.25" hidden="1" customHeight="1" x14ac:dyDescent="0.25">
      <c r="A125" s="25" t="s">
        <v>214</v>
      </c>
      <c r="B125" s="20" t="s">
        <v>134</v>
      </c>
      <c r="C125" s="20" t="s">
        <v>280</v>
      </c>
      <c r="D125" s="20" t="s">
        <v>1367</v>
      </c>
      <c r="E125" s="20" t="s">
        <v>148</v>
      </c>
      <c r="F125" s="26">
        <f>F126</f>
        <v>0</v>
      </c>
      <c r="G125" s="26">
        <f>G126</f>
        <v>0</v>
      </c>
    </row>
    <row r="126" spans="1:7" s="213" customFormat="1" ht="47.25" hidden="1" customHeight="1" x14ac:dyDescent="0.25">
      <c r="A126" s="25" t="s">
        <v>149</v>
      </c>
      <c r="B126" s="20" t="s">
        <v>134</v>
      </c>
      <c r="C126" s="20" t="s">
        <v>280</v>
      </c>
      <c r="D126" s="20" t="s">
        <v>1367</v>
      </c>
      <c r="E126" s="20" t="s">
        <v>150</v>
      </c>
      <c r="F126" s="26">
        <f>'пр.5.1.ведом.21-22'!G103</f>
        <v>0</v>
      </c>
      <c r="G126" s="26">
        <f>'пр.5.1.ведом.21-22'!H103</f>
        <v>0</v>
      </c>
    </row>
    <row r="127" spans="1:7" ht="15.75" x14ac:dyDescent="0.25">
      <c r="A127" s="41" t="s">
        <v>155</v>
      </c>
      <c r="B127" s="7" t="s">
        <v>134</v>
      </c>
      <c r="C127" s="7" t="s">
        <v>156</v>
      </c>
      <c r="D127" s="7"/>
      <c r="E127" s="7"/>
      <c r="F127" s="4">
        <f>F128+F159+F168+F191+F200+F205+F210</f>
        <v>59058.720000000001</v>
      </c>
      <c r="G127" s="4">
        <f>G128+G159+G168+G191+G200+G205+G210</f>
        <v>63886.92</v>
      </c>
    </row>
    <row r="128" spans="1:7" ht="15.75" x14ac:dyDescent="0.25">
      <c r="A128" s="23" t="s">
        <v>157</v>
      </c>
      <c r="B128" s="24" t="s">
        <v>134</v>
      </c>
      <c r="C128" s="24" t="s">
        <v>156</v>
      </c>
      <c r="D128" s="24" t="s">
        <v>912</v>
      </c>
      <c r="E128" s="24"/>
      <c r="F128" s="4">
        <f>F129+F140+F150</f>
        <v>55372.5</v>
      </c>
      <c r="G128" s="4">
        <f>G129+G140+G150</f>
        <v>63227.1</v>
      </c>
    </row>
    <row r="129" spans="1:7" ht="15.75" x14ac:dyDescent="0.25">
      <c r="A129" s="23" t="s">
        <v>1090</v>
      </c>
      <c r="B129" s="24" t="s">
        <v>134</v>
      </c>
      <c r="C129" s="24" t="s">
        <v>156</v>
      </c>
      <c r="D129" s="24" t="s">
        <v>1089</v>
      </c>
      <c r="E129" s="24"/>
      <c r="F129" s="305">
        <f>F133+F130</f>
        <v>38273</v>
      </c>
      <c r="G129" s="305">
        <f>G133+G130</f>
        <v>38273</v>
      </c>
    </row>
    <row r="130" spans="1:7" ht="47.25" x14ac:dyDescent="0.25">
      <c r="A130" s="25" t="s">
        <v>885</v>
      </c>
      <c r="B130" s="20" t="s">
        <v>134</v>
      </c>
      <c r="C130" s="20" t="s">
        <v>156</v>
      </c>
      <c r="D130" s="20" t="s">
        <v>1092</v>
      </c>
      <c r="E130" s="20"/>
      <c r="F130" s="6">
        <f>F131</f>
        <v>672</v>
      </c>
      <c r="G130" s="6">
        <f>G131</f>
        <v>672</v>
      </c>
    </row>
    <row r="131" spans="1:7" ht="94.5" x14ac:dyDescent="0.25">
      <c r="A131" s="25" t="s">
        <v>143</v>
      </c>
      <c r="B131" s="20" t="s">
        <v>134</v>
      </c>
      <c r="C131" s="20" t="s">
        <v>156</v>
      </c>
      <c r="D131" s="20" t="s">
        <v>1092</v>
      </c>
      <c r="E131" s="20" t="s">
        <v>144</v>
      </c>
      <c r="F131" s="6">
        <f>F132</f>
        <v>672</v>
      </c>
      <c r="G131" s="6">
        <f>G132</f>
        <v>672</v>
      </c>
    </row>
    <row r="132" spans="1:7" ht="47.25" x14ac:dyDescent="0.25">
      <c r="A132" s="25" t="s">
        <v>145</v>
      </c>
      <c r="B132" s="20" t="s">
        <v>134</v>
      </c>
      <c r="C132" s="20" t="s">
        <v>156</v>
      </c>
      <c r="D132" s="20" t="s">
        <v>1092</v>
      </c>
      <c r="E132" s="20" t="s">
        <v>225</v>
      </c>
      <c r="F132" s="6">
        <f>'пр.5.1.ведом.21-22'!G857</f>
        <v>672</v>
      </c>
      <c r="G132" s="6">
        <f>'пр.5.1.ведом.21-22'!H857</f>
        <v>672</v>
      </c>
    </row>
    <row r="133" spans="1:7" ht="31.5" x14ac:dyDescent="0.25">
      <c r="A133" s="25" t="s">
        <v>834</v>
      </c>
      <c r="B133" s="20" t="s">
        <v>134</v>
      </c>
      <c r="C133" s="20" t="s">
        <v>156</v>
      </c>
      <c r="D133" s="20" t="s">
        <v>1091</v>
      </c>
      <c r="E133" s="20"/>
      <c r="F133" s="6">
        <f>F134+F136+F138</f>
        <v>37601</v>
      </c>
      <c r="G133" s="6">
        <f>G134+G136+G138</f>
        <v>37601</v>
      </c>
    </row>
    <row r="134" spans="1:7" ht="94.5" x14ac:dyDescent="0.25">
      <c r="A134" s="25" t="s">
        <v>143</v>
      </c>
      <c r="B134" s="20" t="s">
        <v>134</v>
      </c>
      <c r="C134" s="20" t="s">
        <v>156</v>
      </c>
      <c r="D134" s="20" t="s">
        <v>1091</v>
      </c>
      <c r="E134" s="20" t="s">
        <v>144</v>
      </c>
      <c r="F134" s="6">
        <f>F135</f>
        <v>30180</v>
      </c>
      <c r="G134" s="6">
        <f>G135</f>
        <v>30180</v>
      </c>
    </row>
    <row r="135" spans="1:7" ht="31.5" x14ac:dyDescent="0.25">
      <c r="A135" s="46" t="s">
        <v>358</v>
      </c>
      <c r="B135" s="20" t="s">
        <v>134</v>
      </c>
      <c r="C135" s="20" t="s">
        <v>156</v>
      </c>
      <c r="D135" s="20" t="s">
        <v>1091</v>
      </c>
      <c r="E135" s="20" t="s">
        <v>225</v>
      </c>
      <c r="F135" s="6">
        <f>'пр.5.1.ведом.21-22'!G860</f>
        <v>30180</v>
      </c>
      <c r="G135" s="6">
        <f>'пр.5.1.ведом.21-22'!H860</f>
        <v>30180</v>
      </c>
    </row>
    <row r="136" spans="1:7" ht="31.5" x14ac:dyDescent="0.25">
      <c r="A136" s="25" t="s">
        <v>147</v>
      </c>
      <c r="B136" s="20" t="s">
        <v>134</v>
      </c>
      <c r="C136" s="20" t="s">
        <v>156</v>
      </c>
      <c r="D136" s="20" t="s">
        <v>1091</v>
      </c>
      <c r="E136" s="20" t="s">
        <v>148</v>
      </c>
      <c r="F136" s="6">
        <f>F137</f>
        <v>7000</v>
      </c>
      <c r="G136" s="6">
        <f>G137</f>
        <v>7000</v>
      </c>
    </row>
    <row r="137" spans="1:7" ht="47.25" x14ac:dyDescent="0.25">
      <c r="A137" s="25" t="s">
        <v>149</v>
      </c>
      <c r="B137" s="20" t="s">
        <v>134</v>
      </c>
      <c r="C137" s="20" t="s">
        <v>156</v>
      </c>
      <c r="D137" s="20" t="s">
        <v>1091</v>
      </c>
      <c r="E137" s="20" t="s">
        <v>150</v>
      </c>
      <c r="F137" s="6">
        <f>'пр.5.1.ведом.21-22'!G862</f>
        <v>7000</v>
      </c>
      <c r="G137" s="6">
        <f>'пр.5.1.ведом.21-22'!H862</f>
        <v>7000</v>
      </c>
    </row>
    <row r="138" spans="1:7" ht="15.75" x14ac:dyDescent="0.25">
      <c r="A138" s="25" t="s">
        <v>151</v>
      </c>
      <c r="B138" s="20" t="s">
        <v>134</v>
      </c>
      <c r="C138" s="20" t="s">
        <v>156</v>
      </c>
      <c r="D138" s="20" t="s">
        <v>1091</v>
      </c>
      <c r="E138" s="20" t="s">
        <v>161</v>
      </c>
      <c r="F138" s="6">
        <f>F139</f>
        <v>421</v>
      </c>
      <c r="G138" s="6">
        <f>G139</f>
        <v>421</v>
      </c>
    </row>
    <row r="139" spans="1:7" ht="15.75" x14ac:dyDescent="0.25">
      <c r="A139" s="25" t="s">
        <v>727</v>
      </c>
      <c r="B139" s="20" t="s">
        <v>134</v>
      </c>
      <c r="C139" s="20" t="s">
        <v>156</v>
      </c>
      <c r="D139" s="20" t="s">
        <v>1091</v>
      </c>
      <c r="E139" s="20" t="s">
        <v>154</v>
      </c>
      <c r="F139" s="6">
        <f>'пр.5.1.ведом.21-22'!G864</f>
        <v>421</v>
      </c>
      <c r="G139" s="6">
        <f>'пр.5.1.ведом.21-22'!H864</f>
        <v>421</v>
      </c>
    </row>
    <row r="140" spans="1:7" ht="31.5" x14ac:dyDescent="0.25">
      <c r="A140" s="23" t="s">
        <v>916</v>
      </c>
      <c r="B140" s="24" t="s">
        <v>134</v>
      </c>
      <c r="C140" s="24" t="s">
        <v>156</v>
      </c>
      <c r="D140" s="24" t="s">
        <v>911</v>
      </c>
      <c r="E140" s="24"/>
      <c r="F140" s="4">
        <f>F141+F147</f>
        <v>10419.5</v>
      </c>
      <c r="G140" s="4">
        <f>G141+G147</f>
        <v>18274.099999999999</v>
      </c>
    </row>
    <row r="141" spans="1:7" ht="63" x14ac:dyDescent="0.25">
      <c r="A141" s="25" t="s">
        <v>404</v>
      </c>
      <c r="B141" s="20" t="s">
        <v>134</v>
      </c>
      <c r="C141" s="20" t="s">
        <v>156</v>
      </c>
      <c r="D141" s="20" t="s">
        <v>1169</v>
      </c>
      <c r="E141" s="20"/>
      <c r="F141" s="6">
        <f>F142</f>
        <v>2900</v>
      </c>
      <c r="G141" s="6">
        <f>G142</f>
        <v>2900</v>
      </c>
    </row>
    <row r="142" spans="1:7" ht="31.5" x14ac:dyDescent="0.25">
      <c r="A142" s="25" t="s">
        <v>147</v>
      </c>
      <c r="B142" s="20" t="s">
        <v>134</v>
      </c>
      <c r="C142" s="20" t="s">
        <v>156</v>
      </c>
      <c r="D142" s="20" t="s">
        <v>1169</v>
      </c>
      <c r="E142" s="20" t="s">
        <v>148</v>
      </c>
      <c r="F142" s="6">
        <f>F143</f>
        <v>2900</v>
      </c>
      <c r="G142" s="6">
        <f>G143</f>
        <v>2900</v>
      </c>
    </row>
    <row r="143" spans="1:7" ht="47.25" x14ac:dyDescent="0.25">
      <c r="A143" s="25" t="s">
        <v>149</v>
      </c>
      <c r="B143" s="20" t="s">
        <v>134</v>
      </c>
      <c r="C143" s="20" t="s">
        <v>156</v>
      </c>
      <c r="D143" s="20" t="s">
        <v>1169</v>
      </c>
      <c r="E143" s="20" t="s">
        <v>150</v>
      </c>
      <c r="F143" s="6">
        <f>'пр.5.1.ведом.21-22'!G516</f>
        <v>2900</v>
      </c>
      <c r="G143" s="6">
        <f>'пр.5.1.ведом.21-22'!H516</f>
        <v>2900</v>
      </c>
    </row>
    <row r="144" spans="1:7" ht="47.25" hidden="1" x14ac:dyDescent="0.25">
      <c r="A144" s="25" t="s">
        <v>1004</v>
      </c>
      <c r="B144" s="20" t="s">
        <v>134</v>
      </c>
      <c r="C144" s="20" t="s">
        <v>156</v>
      </c>
      <c r="D144" s="20" t="s">
        <v>1170</v>
      </c>
      <c r="E144" s="20"/>
      <c r="F144" s="6">
        <f>'Пр.3 Рд,пр, ЦС,ВР 20'!F154</f>
        <v>0</v>
      </c>
      <c r="G144" s="6">
        <f t="shared" si="4"/>
        <v>0</v>
      </c>
    </row>
    <row r="145" spans="1:7" ht="31.5" hidden="1" x14ac:dyDescent="0.25">
      <c r="A145" s="25" t="s">
        <v>147</v>
      </c>
      <c r="B145" s="20" t="s">
        <v>134</v>
      </c>
      <c r="C145" s="20" t="s">
        <v>156</v>
      </c>
      <c r="D145" s="20" t="s">
        <v>1170</v>
      </c>
      <c r="E145" s="20" t="s">
        <v>148</v>
      </c>
      <c r="F145" s="6">
        <f>'Пр.3 Рд,пр, ЦС,ВР 20'!F155</f>
        <v>0</v>
      </c>
      <c r="G145" s="6">
        <f t="shared" si="4"/>
        <v>0</v>
      </c>
    </row>
    <row r="146" spans="1:7" ht="47.25" hidden="1" x14ac:dyDescent="0.25">
      <c r="A146" s="25" t="s">
        <v>149</v>
      </c>
      <c r="B146" s="20" t="s">
        <v>134</v>
      </c>
      <c r="C146" s="20" t="s">
        <v>156</v>
      </c>
      <c r="D146" s="20" t="s">
        <v>1170</v>
      </c>
      <c r="E146" s="20" t="s">
        <v>150</v>
      </c>
      <c r="F146" s="6">
        <f>'Пр.3 Рд,пр, ЦС,ВР 20'!F156</f>
        <v>0</v>
      </c>
      <c r="G146" s="6">
        <f t="shared" ref="G146:G212" si="7">F146</f>
        <v>0</v>
      </c>
    </row>
    <row r="147" spans="1:7" s="213" customFormat="1" ht="15.75" x14ac:dyDescent="0.25">
      <c r="A147" s="25" t="s">
        <v>1356</v>
      </c>
      <c r="B147" s="20" t="s">
        <v>134</v>
      </c>
      <c r="C147" s="20" t="s">
        <v>156</v>
      </c>
      <c r="D147" s="20" t="s">
        <v>1357</v>
      </c>
      <c r="E147" s="20"/>
      <c r="F147" s="26">
        <f>F148</f>
        <v>7519.5</v>
      </c>
      <c r="G147" s="26">
        <f>G148</f>
        <v>15374.1</v>
      </c>
    </row>
    <row r="148" spans="1:7" s="213" customFormat="1" ht="15.75" x14ac:dyDescent="0.25">
      <c r="A148" s="25" t="s">
        <v>151</v>
      </c>
      <c r="B148" s="20" t="s">
        <v>134</v>
      </c>
      <c r="C148" s="20" t="s">
        <v>156</v>
      </c>
      <c r="D148" s="20" t="s">
        <v>1357</v>
      </c>
      <c r="E148" s="20" t="s">
        <v>161</v>
      </c>
      <c r="F148" s="26">
        <f>F149</f>
        <v>7519.5</v>
      </c>
      <c r="G148" s="26">
        <f>G149</f>
        <v>15374.1</v>
      </c>
    </row>
    <row r="149" spans="1:7" s="213" customFormat="1" ht="15.75" x14ac:dyDescent="0.25">
      <c r="A149" s="25" t="s">
        <v>1356</v>
      </c>
      <c r="B149" s="20" t="s">
        <v>134</v>
      </c>
      <c r="C149" s="20" t="s">
        <v>156</v>
      </c>
      <c r="D149" s="20" t="s">
        <v>1357</v>
      </c>
      <c r="E149" s="20" t="s">
        <v>1358</v>
      </c>
      <c r="F149" s="26">
        <f>'пр.5.1.ведом.21-22'!G29</f>
        <v>7519.5</v>
      </c>
      <c r="G149" s="26">
        <f>'пр.5.1.ведом.21-22'!H29</f>
        <v>15374.1</v>
      </c>
    </row>
    <row r="150" spans="1:7" ht="31.5" x14ac:dyDescent="0.25">
      <c r="A150" s="23" t="s">
        <v>995</v>
      </c>
      <c r="B150" s="24" t="s">
        <v>134</v>
      </c>
      <c r="C150" s="24" t="s">
        <v>156</v>
      </c>
      <c r="D150" s="24" t="s">
        <v>913</v>
      </c>
      <c r="E150" s="24"/>
      <c r="F150" s="4">
        <f>F151+F156</f>
        <v>6680</v>
      </c>
      <c r="G150" s="4">
        <f>G151+G156</f>
        <v>6680</v>
      </c>
    </row>
    <row r="151" spans="1:7" ht="31.5" x14ac:dyDescent="0.25">
      <c r="A151" s="25" t="s">
        <v>1001</v>
      </c>
      <c r="B151" s="20" t="s">
        <v>134</v>
      </c>
      <c r="C151" s="20" t="s">
        <v>156</v>
      </c>
      <c r="D151" s="20" t="s">
        <v>914</v>
      </c>
      <c r="E151" s="20"/>
      <c r="F151" s="6">
        <f>F152+F154</f>
        <v>6554</v>
      </c>
      <c r="G151" s="6">
        <f>G152+G154</f>
        <v>6554</v>
      </c>
    </row>
    <row r="152" spans="1:7" ht="94.5" x14ac:dyDescent="0.25">
      <c r="A152" s="25" t="s">
        <v>143</v>
      </c>
      <c r="B152" s="20" t="s">
        <v>134</v>
      </c>
      <c r="C152" s="20" t="s">
        <v>156</v>
      </c>
      <c r="D152" s="20" t="s">
        <v>914</v>
      </c>
      <c r="E152" s="20" t="s">
        <v>144</v>
      </c>
      <c r="F152" s="6">
        <f>F153</f>
        <v>5343</v>
      </c>
      <c r="G152" s="6">
        <f>G153</f>
        <v>5343</v>
      </c>
    </row>
    <row r="153" spans="1:7" ht="31.5" x14ac:dyDescent="0.25">
      <c r="A153" s="25" t="s">
        <v>224</v>
      </c>
      <c r="B153" s="20" t="s">
        <v>134</v>
      </c>
      <c r="C153" s="20" t="s">
        <v>156</v>
      </c>
      <c r="D153" s="20" t="s">
        <v>914</v>
      </c>
      <c r="E153" s="20" t="s">
        <v>225</v>
      </c>
      <c r="F153" s="6">
        <f>'пр.5.1.ведом.21-22'!G109</f>
        <v>5343</v>
      </c>
      <c r="G153" s="6">
        <f>'пр.5.1.ведом.21-22'!H109</f>
        <v>5343</v>
      </c>
    </row>
    <row r="154" spans="1:7" ht="47.25" x14ac:dyDescent="0.25">
      <c r="A154" s="25" t="s">
        <v>214</v>
      </c>
      <c r="B154" s="20" t="s">
        <v>134</v>
      </c>
      <c r="C154" s="20" t="s">
        <v>156</v>
      </c>
      <c r="D154" s="20" t="s">
        <v>914</v>
      </c>
      <c r="E154" s="20" t="s">
        <v>148</v>
      </c>
      <c r="F154" s="6">
        <f>F155</f>
        <v>1211</v>
      </c>
      <c r="G154" s="6">
        <f>G155</f>
        <v>1211</v>
      </c>
    </row>
    <row r="155" spans="1:7" ht="47.25" x14ac:dyDescent="0.25">
      <c r="A155" s="25" t="s">
        <v>149</v>
      </c>
      <c r="B155" s="20" t="s">
        <v>134</v>
      </c>
      <c r="C155" s="20" t="s">
        <v>156</v>
      </c>
      <c r="D155" s="20" t="s">
        <v>914</v>
      </c>
      <c r="E155" s="20" t="s">
        <v>150</v>
      </c>
      <c r="F155" s="6">
        <f>'пр.5.1.ведом.21-22'!G111</f>
        <v>1211</v>
      </c>
      <c r="G155" s="6">
        <f>'пр.5.1.ведом.21-22'!H111</f>
        <v>1211</v>
      </c>
    </row>
    <row r="156" spans="1:7" ht="47.25" x14ac:dyDescent="0.25">
      <c r="A156" s="25" t="s">
        <v>885</v>
      </c>
      <c r="B156" s="20" t="s">
        <v>134</v>
      </c>
      <c r="C156" s="20" t="s">
        <v>156</v>
      </c>
      <c r="D156" s="20" t="s">
        <v>915</v>
      </c>
      <c r="E156" s="20"/>
      <c r="F156" s="6">
        <f>F157</f>
        <v>126</v>
      </c>
      <c r="G156" s="6">
        <f>G157</f>
        <v>126</v>
      </c>
    </row>
    <row r="157" spans="1:7" ht="94.5" x14ac:dyDescent="0.25">
      <c r="A157" s="25" t="s">
        <v>143</v>
      </c>
      <c r="B157" s="20" t="s">
        <v>134</v>
      </c>
      <c r="C157" s="20" t="s">
        <v>156</v>
      </c>
      <c r="D157" s="20" t="s">
        <v>915</v>
      </c>
      <c r="E157" s="20" t="s">
        <v>144</v>
      </c>
      <c r="F157" s="6">
        <f>F158</f>
        <v>126</v>
      </c>
      <c r="G157" s="6">
        <f>G158</f>
        <v>126</v>
      </c>
    </row>
    <row r="158" spans="1:7" ht="47.25" x14ac:dyDescent="0.25">
      <c r="A158" s="25" t="s">
        <v>145</v>
      </c>
      <c r="B158" s="20" t="s">
        <v>134</v>
      </c>
      <c r="C158" s="20" t="s">
        <v>156</v>
      </c>
      <c r="D158" s="20" t="s">
        <v>915</v>
      </c>
      <c r="E158" s="20" t="s">
        <v>146</v>
      </c>
      <c r="F158" s="6">
        <f>'пр.5.1.ведом.21-22'!G114</f>
        <v>126</v>
      </c>
      <c r="G158" s="6">
        <f>'пр.5.1.ведом.21-22'!H114</f>
        <v>126</v>
      </c>
    </row>
    <row r="159" spans="1:7" ht="63" x14ac:dyDescent="0.25">
      <c r="A159" s="23" t="s">
        <v>1422</v>
      </c>
      <c r="B159" s="7" t="s">
        <v>134</v>
      </c>
      <c r="C159" s="7" t="s">
        <v>156</v>
      </c>
      <c r="D159" s="7" t="s">
        <v>360</v>
      </c>
      <c r="E159" s="7"/>
      <c r="F159" s="4">
        <f>F160</f>
        <v>60</v>
      </c>
      <c r="G159" s="4">
        <f>G160</f>
        <v>60</v>
      </c>
    </row>
    <row r="160" spans="1:7" ht="110.25" x14ac:dyDescent="0.25">
      <c r="A160" s="41" t="s">
        <v>1449</v>
      </c>
      <c r="B160" s="7" t="s">
        <v>134</v>
      </c>
      <c r="C160" s="7" t="s">
        <v>156</v>
      </c>
      <c r="D160" s="7" t="s">
        <v>397</v>
      </c>
      <c r="E160" s="7"/>
      <c r="F160" s="4">
        <f>F161</f>
        <v>60</v>
      </c>
      <c r="G160" s="4">
        <f>G161</f>
        <v>60</v>
      </c>
    </row>
    <row r="161" spans="1:7" ht="63" x14ac:dyDescent="0.25">
      <c r="A161" s="265" t="s">
        <v>1219</v>
      </c>
      <c r="B161" s="7" t="s">
        <v>134</v>
      </c>
      <c r="C161" s="7" t="s">
        <v>156</v>
      </c>
      <c r="D161" s="7" t="s">
        <v>933</v>
      </c>
      <c r="E161" s="7"/>
      <c r="F161" s="4">
        <f>F162+F165</f>
        <v>60</v>
      </c>
      <c r="G161" s="4">
        <f>G162+G165</f>
        <v>60</v>
      </c>
    </row>
    <row r="162" spans="1:7" ht="47.25" x14ac:dyDescent="0.25">
      <c r="A162" s="99" t="s">
        <v>1220</v>
      </c>
      <c r="B162" s="40" t="s">
        <v>134</v>
      </c>
      <c r="C162" s="40" t="s">
        <v>156</v>
      </c>
      <c r="D162" s="40" t="s">
        <v>934</v>
      </c>
      <c r="E162" s="40"/>
      <c r="F162" s="6">
        <f>F163</f>
        <v>60</v>
      </c>
      <c r="G162" s="6">
        <f>G163</f>
        <v>60</v>
      </c>
    </row>
    <row r="163" spans="1:7" ht="31.5" x14ac:dyDescent="0.25">
      <c r="A163" s="29" t="s">
        <v>147</v>
      </c>
      <c r="B163" s="40" t="s">
        <v>134</v>
      </c>
      <c r="C163" s="40" t="s">
        <v>156</v>
      </c>
      <c r="D163" s="40" t="s">
        <v>934</v>
      </c>
      <c r="E163" s="40" t="s">
        <v>148</v>
      </c>
      <c r="F163" s="6">
        <f>F164</f>
        <v>60</v>
      </c>
      <c r="G163" s="6">
        <f>G164</f>
        <v>60</v>
      </c>
    </row>
    <row r="164" spans="1:7" ht="47.25" x14ac:dyDescent="0.25">
      <c r="A164" s="29" t="s">
        <v>149</v>
      </c>
      <c r="B164" s="40" t="s">
        <v>134</v>
      </c>
      <c r="C164" s="40" t="s">
        <v>156</v>
      </c>
      <c r="D164" s="40" t="s">
        <v>934</v>
      </c>
      <c r="E164" s="40" t="s">
        <v>150</v>
      </c>
      <c r="F164" s="6">
        <f>'пр.5.1.ведом.21-22'!G222</f>
        <v>60</v>
      </c>
      <c r="G164" s="6">
        <f>'пр.5.1.ведом.21-22'!H222</f>
        <v>60</v>
      </c>
    </row>
    <row r="165" spans="1:7" ht="47.25" hidden="1" x14ac:dyDescent="0.25">
      <c r="A165" s="35" t="s">
        <v>936</v>
      </c>
      <c r="B165" s="20" t="s">
        <v>134</v>
      </c>
      <c r="C165" s="20" t="s">
        <v>156</v>
      </c>
      <c r="D165" s="20" t="s">
        <v>935</v>
      </c>
      <c r="E165" s="24"/>
      <c r="F165" s="6">
        <f>'Пр.3 Рд,пр, ЦС,ВР 20'!F175</f>
        <v>0</v>
      </c>
      <c r="G165" s="6">
        <f t="shared" si="7"/>
        <v>0</v>
      </c>
    </row>
    <row r="166" spans="1:7" ht="31.5" hidden="1" x14ac:dyDescent="0.25">
      <c r="A166" s="25" t="s">
        <v>147</v>
      </c>
      <c r="B166" s="20" t="s">
        <v>134</v>
      </c>
      <c r="C166" s="20" t="s">
        <v>156</v>
      </c>
      <c r="D166" s="20" t="s">
        <v>935</v>
      </c>
      <c r="E166" s="20" t="s">
        <v>148</v>
      </c>
      <c r="F166" s="6">
        <f>'Пр.3 Рд,пр, ЦС,ВР 20'!F176</f>
        <v>0</v>
      </c>
      <c r="G166" s="6">
        <f t="shared" si="7"/>
        <v>0</v>
      </c>
    </row>
    <row r="167" spans="1:7" ht="47.25" hidden="1" x14ac:dyDescent="0.25">
      <c r="A167" s="25" t="s">
        <v>149</v>
      </c>
      <c r="B167" s="20" t="s">
        <v>134</v>
      </c>
      <c r="C167" s="20" t="s">
        <v>156</v>
      </c>
      <c r="D167" s="20" t="s">
        <v>935</v>
      </c>
      <c r="E167" s="20" t="s">
        <v>150</v>
      </c>
      <c r="F167" s="6">
        <f>'Пр.3 Рд,пр, ЦС,ВР 20'!F177</f>
        <v>0</v>
      </c>
      <c r="G167" s="6">
        <f t="shared" si="7"/>
        <v>0</v>
      </c>
    </row>
    <row r="168" spans="1:7" ht="63" x14ac:dyDescent="0.25">
      <c r="A168" s="23" t="s">
        <v>1423</v>
      </c>
      <c r="B168" s="24" t="s">
        <v>134</v>
      </c>
      <c r="C168" s="24" t="s">
        <v>156</v>
      </c>
      <c r="D168" s="24" t="s">
        <v>351</v>
      </c>
      <c r="E168" s="24"/>
      <c r="F168" s="59">
        <f>F169</f>
        <v>175</v>
      </c>
      <c r="G168" s="59">
        <f>G169</f>
        <v>175</v>
      </c>
    </row>
    <row r="169" spans="1:7" ht="45" customHeight="1" x14ac:dyDescent="0.25">
      <c r="A169" s="23" t="s">
        <v>1225</v>
      </c>
      <c r="B169" s="24" t="s">
        <v>134</v>
      </c>
      <c r="C169" s="24" t="s">
        <v>156</v>
      </c>
      <c r="D169" s="24" t="s">
        <v>1226</v>
      </c>
      <c r="E169" s="24"/>
      <c r="F169" s="59">
        <f>F170+F176+F179+F182+F188+F173+F185</f>
        <v>175</v>
      </c>
      <c r="G169" s="59">
        <f>G170+G176+G179+G182+G188+G173+G185</f>
        <v>175</v>
      </c>
    </row>
    <row r="170" spans="1:7" ht="31.5" x14ac:dyDescent="0.25">
      <c r="A170" s="98" t="s">
        <v>352</v>
      </c>
      <c r="B170" s="20" t="s">
        <v>134</v>
      </c>
      <c r="C170" s="20" t="s">
        <v>156</v>
      </c>
      <c r="D170" s="20" t="s">
        <v>1227</v>
      </c>
      <c r="E170" s="20"/>
      <c r="F170" s="6">
        <f>F171</f>
        <v>120</v>
      </c>
      <c r="G170" s="6">
        <f>G171</f>
        <v>120</v>
      </c>
    </row>
    <row r="171" spans="1:7" ht="31.5" x14ac:dyDescent="0.25">
      <c r="A171" s="25" t="s">
        <v>147</v>
      </c>
      <c r="B171" s="20" t="s">
        <v>134</v>
      </c>
      <c r="C171" s="20" t="s">
        <v>156</v>
      </c>
      <c r="D171" s="20" t="s">
        <v>1227</v>
      </c>
      <c r="E171" s="20" t="s">
        <v>148</v>
      </c>
      <c r="F171" s="6">
        <f>F172</f>
        <v>120</v>
      </c>
      <c r="G171" s="6">
        <f>G172</f>
        <v>120</v>
      </c>
    </row>
    <row r="172" spans="1:7" ht="47.25" x14ac:dyDescent="0.25">
      <c r="A172" s="25" t="s">
        <v>149</v>
      </c>
      <c r="B172" s="20" t="s">
        <v>134</v>
      </c>
      <c r="C172" s="20" t="s">
        <v>156</v>
      </c>
      <c r="D172" s="20" t="s">
        <v>1227</v>
      </c>
      <c r="E172" s="20" t="s">
        <v>150</v>
      </c>
      <c r="F172" s="6">
        <f>'пр.5.1.ведом.21-22'!G780+'пр.5.1.ведом.21-22'!G542</f>
        <v>120</v>
      </c>
      <c r="G172" s="6">
        <f>'пр.5.1.ведом.21-22'!H780+'пр.5.1.ведом.21-22'!H542</f>
        <v>120</v>
      </c>
    </row>
    <row r="173" spans="1:7" ht="63" hidden="1" x14ac:dyDescent="0.25">
      <c r="A173" s="98" t="s">
        <v>833</v>
      </c>
      <c r="B173" s="20" t="s">
        <v>134</v>
      </c>
      <c r="C173" s="20" t="s">
        <v>156</v>
      </c>
      <c r="D173" s="20" t="s">
        <v>1232</v>
      </c>
      <c r="E173" s="20"/>
      <c r="F173" s="6">
        <f>'Пр.3 Рд,пр, ЦС,ВР 20'!F183</f>
        <v>0</v>
      </c>
      <c r="G173" s="6">
        <f>'Пр.3 Рд,пр, ЦС,ВР 20'!G183</f>
        <v>0</v>
      </c>
    </row>
    <row r="174" spans="1:7" ht="31.5" hidden="1" x14ac:dyDescent="0.25">
      <c r="A174" s="25" t="s">
        <v>147</v>
      </c>
      <c r="B174" s="20" t="s">
        <v>134</v>
      </c>
      <c r="C174" s="20" t="s">
        <v>156</v>
      </c>
      <c r="D174" s="20" t="s">
        <v>1232</v>
      </c>
      <c r="E174" s="20" t="s">
        <v>148</v>
      </c>
      <c r="F174" s="6">
        <f>'Пр.3 Рд,пр, ЦС,ВР 20'!F184</f>
        <v>0</v>
      </c>
      <c r="G174" s="6">
        <f>'Пр.3 Рд,пр, ЦС,ВР 20'!G184</f>
        <v>0</v>
      </c>
    </row>
    <row r="175" spans="1:7" ht="47.25" hidden="1" x14ac:dyDescent="0.25">
      <c r="A175" s="25" t="s">
        <v>149</v>
      </c>
      <c r="B175" s="20" t="s">
        <v>134</v>
      </c>
      <c r="C175" s="20" t="s">
        <v>156</v>
      </c>
      <c r="D175" s="20" t="s">
        <v>1232</v>
      </c>
      <c r="E175" s="20" t="s">
        <v>150</v>
      </c>
      <c r="F175" s="6">
        <f>'Пр.3 Рд,пр, ЦС,ВР 20'!F185</f>
        <v>0</v>
      </c>
      <c r="G175" s="6">
        <f>'Пр.3 Рд,пр, ЦС,ВР 20'!G185</f>
        <v>0</v>
      </c>
    </row>
    <row r="176" spans="1:7" ht="31.5" x14ac:dyDescent="0.25">
      <c r="A176" s="25" t="s">
        <v>354</v>
      </c>
      <c r="B176" s="20" t="s">
        <v>134</v>
      </c>
      <c r="C176" s="20" t="s">
        <v>156</v>
      </c>
      <c r="D176" s="20" t="s">
        <v>1228</v>
      </c>
      <c r="E176" s="20"/>
      <c r="F176" s="6">
        <f>F177</f>
        <v>25</v>
      </c>
      <c r="G176" s="6">
        <f>G177</f>
        <v>25</v>
      </c>
    </row>
    <row r="177" spans="1:7" ht="31.5" x14ac:dyDescent="0.25">
      <c r="A177" s="25" t="s">
        <v>147</v>
      </c>
      <c r="B177" s="20" t="s">
        <v>134</v>
      </c>
      <c r="C177" s="20" t="s">
        <v>156</v>
      </c>
      <c r="D177" s="20" t="s">
        <v>1228</v>
      </c>
      <c r="E177" s="20" t="s">
        <v>148</v>
      </c>
      <c r="F177" s="6">
        <f>F178</f>
        <v>25</v>
      </c>
      <c r="G177" s="6">
        <f>G178</f>
        <v>25</v>
      </c>
    </row>
    <row r="178" spans="1:7" ht="47.25" x14ac:dyDescent="0.25">
      <c r="A178" s="25" t="s">
        <v>149</v>
      </c>
      <c r="B178" s="20" t="s">
        <v>134</v>
      </c>
      <c r="C178" s="20" t="s">
        <v>156</v>
      </c>
      <c r="D178" s="20" t="s">
        <v>1228</v>
      </c>
      <c r="E178" s="20" t="s">
        <v>150</v>
      </c>
      <c r="F178" s="6">
        <f>'пр.5.1.ведом.21-22'!G233</f>
        <v>25</v>
      </c>
      <c r="G178" s="6">
        <f>'пр.5.1.ведом.21-22'!H233</f>
        <v>25</v>
      </c>
    </row>
    <row r="179" spans="1:7" ht="63" x14ac:dyDescent="0.25">
      <c r="A179" s="31" t="s">
        <v>794</v>
      </c>
      <c r="B179" s="20" t="s">
        <v>134</v>
      </c>
      <c r="C179" s="20" t="s">
        <v>156</v>
      </c>
      <c r="D179" s="20" t="s">
        <v>1229</v>
      </c>
      <c r="E179" s="20"/>
      <c r="F179" s="6">
        <f>F180</f>
        <v>10</v>
      </c>
      <c r="G179" s="6">
        <f>G180</f>
        <v>10</v>
      </c>
    </row>
    <row r="180" spans="1:7" ht="31.5" x14ac:dyDescent="0.25">
      <c r="A180" s="25" t="s">
        <v>147</v>
      </c>
      <c r="B180" s="20" t="s">
        <v>134</v>
      </c>
      <c r="C180" s="20" t="s">
        <v>156</v>
      </c>
      <c r="D180" s="20" t="s">
        <v>1229</v>
      </c>
      <c r="E180" s="20" t="s">
        <v>148</v>
      </c>
      <c r="F180" s="6">
        <f>F181</f>
        <v>10</v>
      </c>
      <c r="G180" s="6">
        <f>G181</f>
        <v>10</v>
      </c>
    </row>
    <row r="181" spans="1:7" ht="47.25" x14ac:dyDescent="0.25">
      <c r="A181" s="25" t="s">
        <v>149</v>
      </c>
      <c r="B181" s="20" t="s">
        <v>134</v>
      </c>
      <c r="C181" s="20" t="s">
        <v>156</v>
      </c>
      <c r="D181" s="20" t="s">
        <v>1229</v>
      </c>
      <c r="E181" s="20" t="s">
        <v>150</v>
      </c>
      <c r="F181" s="6">
        <f>'пр.5.1.ведом.21-22'!G236</f>
        <v>10</v>
      </c>
      <c r="G181" s="6">
        <f>'пр.5.1.ведом.21-22'!H236</f>
        <v>10</v>
      </c>
    </row>
    <row r="182" spans="1:7" ht="31.5" x14ac:dyDescent="0.25">
      <c r="A182" s="25" t="s">
        <v>1144</v>
      </c>
      <c r="B182" s="20" t="s">
        <v>134</v>
      </c>
      <c r="C182" s="20" t="s">
        <v>156</v>
      </c>
      <c r="D182" s="20" t="s">
        <v>1230</v>
      </c>
      <c r="E182" s="20"/>
      <c r="F182" s="6">
        <f>F183</f>
        <v>0</v>
      </c>
      <c r="G182" s="6">
        <f>G183</f>
        <v>0</v>
      </c>
    </row>
    <row r="183" spans="1:7" ht="31.5" x14ac:dyDescent="0.25">
      <c r="A183" s="25" t="s">
        <v>147</v>
      </c>
      <c r="B183" s="20" t="s">
        <v>134</v>
      </c>
      <c r="C183" s="20" t="s">
        <v>156</v>
      </c>
      <c r="D183" s="20" t="s">
        <v>1230</v>
      </c>
      <c r="E183" s="20" t="s">
        <v>148</v>
      </c>
      <c r="F183" s="6">
        <f>F184</f>
        <v>0</v>
      </c>
      <c r="G183" s="6">
        <f>G184</f>
        <v>0</v>
      </c>
    </row>
    <row r="184" spans="1:7" ht="47.25" x14ac:dyDescent="0.25">
      <c r="A184" s="25" t="s">
        <v>149</v>
      </c>
      <c r="B184" s="20" t="s">
        <v>134</v>
      </c>
      <c r="C184" s="20" t="s">
        <v>156</v>
      </c>
      <c r="D184" s="20" t="s">
        <v>1230</v>
      </c>
      <c r="E184" s="20" t="s">
        <v>150</v>
      </c>
      <c r="F184" s="6">
        <f>'пр.5.1.ведом.21-22'!G239</f>
        <v>0</v>
      </c>
      <c r="G184" s="6">
        <f>'пр.5.1.ведом.21-22'!H239</f>
        <v>0</v>
      </c>
    </row>
    <row r="185" spans="1:7" ht="31.5" hidden="1" x14ac:dyDescent="0.25">
      <c r="A185" s="31" t="s">
        <v>1259</v>
      </c>
      <c r="B185" s="20" t="s">
        <v>134</v>
      </c>
      <c r="C185" s="20" t="s">
        <v>156</v>
      </c>
      <c r="D185" s="20" t="s">
        <v>1260</v>
      </c>
      <c r="E185" s="20"/>
      <c r="F185" s="6">
        <f>'Пр.3 Рд,пр, ЦС,ВР 20'!F195</f>
        <v>0</v>
      </c>
      <c r="G185" s="6">
        <f>'Пр.3 Рд,пр, ЦС,ВР 20'!G195</f>
        <v>0</v>
      </c>
    </row>
    <row r="186" spans="1:7" ht="31.5" hidden="1" x14ac:dyDescent="0.25">
      <c r="A186" s="25" t="s">
        <v>147</v>
      </c>
      <c r="B186" s="20" t="s">
        <v>134</v>
      </c>
      <c r="C186" s="20" t="s">
        <v>156</v>
      </c>
      <c r="D186" s="20" t="s">
        <v>1260</v>
      </c>
      <c r="E186" s="20" t="s">
        <v>148</v>
      </c>
      <c r="F186" s="6">
        <f>'Пр.3 Рд,пр, ЦС,ВР 20'!F196</f>
        <v>0</v>
      </c>
      <c r="G186" s="6">
        <f>'Пр.3 Рд,пр, ЦС,ВР 20'!G196</f>
        <v>0</v>
      </c>
    </row>
    <row r="187" spans="1:7" ht="47.25" hidden="1" x14ac:dyDescent="0.25">
      <c r="A187" s="25" t="s">
        <v>149</v>
      </c>
      <c r="B187" s="20" t="s">
        <v>134</v>
      </c>
      <c r="C187" s="20" t="s">
        <v>156</v>
      </c>
      <c r="D187" s="20" t="s">
        <v>1260</v>
      </c>
      <c r="E187" s="20" t="s">
        <v>150</v>
      </c>
      <c r="F187" s="6">
        <f>'Пр.3 Рд,пр, ЦС,ВР 20'!F197</f>
        <v>0</v>
      </c>
      <c r="G187" s="6">
        <f>'Пр.3 Рд,пр, ЦС,ВР 20'!G197</f>
        <v>0</v>
      </c>
    </row>
    <row r="188" spans="1:7" ht="31.5" x14ac:dyDescent="0.25">
      <c r="A188" s="31" t="s">
        <v>795</v>
      </c>
      <c r="B188" s="20" t="s">
        <v>134</v>
      </c>
      <c r="C188" s="20" t="s">
        <v>156</v>
      </c>
      <c r="D188" s="20" t="s">
        <v>1231</v>
      </c>
      <c r="E188" s="20"/>
      <c r="F188" s="6">
        <f>F189</f>
        <v>20</v>
      </c>
      <c r="G188" s="6">
        <f>G189</f>
        <v>20</v>
      </c>
    </row>
    <row r="189" spans="1:7" ht="31.5" x14ac:dyDescent="0.25">
      <c r="A189" s="25" t="s">
        <v>147</v>
      </c>
      <c r="B189" s="20" t="s">
        <v>134</v>
      </c>
      <c r="C189" s="20" t="s">
        <v>156</v>
      </c>
      <c r="D189" s="20" t="s">
        <v>1231</v>
      </c>
      <c r="E189" s="20" t="s">
        <v>148</v>
      </c>
      <c r="F189" s="6">
        <f>F190</f>
        <v>20</v>
      </c>
      <c r="G189" s="6">
        <f>G190</f>
        <v>20</v>
      </c>
    </row>
    <row r="190" spans="1:7" ht="47.25" x14ac:dyDescent="0.25">
      <c r="A190" s="25" t="s">
        <v>149</v>
      </c>
      <c r="B190" s="20" t="s">
        <v>134</v>
      </c>
      <c r="C190" s="20" t="s">
        <v>156</v>
      </c>
      <c r="D190" s="20" t="s">
        <v>1231</v>
      </c>
      <c r="E190" s="20" t="s">
        <v>150</v>
      </c>
      <c r="F190" s="6">
        <f>'пр.5.1.ведом.21-22'!G242</f>
        <v>20</v>
      </c>
      <c r="G190" s="6">
        <f>'пр.5.1.ведом.21-22'!H242</f>
        <v>20</v>
      </c>
    </row>
    <row r="191" spans="1:7" ht="78.75" x14ac:dyDescent="0.25">
      <c r="A191" s="41" t="s">
        <v>1424</v>
      </c>
      <c r="B191" s="8" t="s">
        <v>134</v>
      </c>
      <c r="C191" s="8" t="s">
        <v>156</v>
      </c>
      <c r="D191" s="24" t="s">
        <v>728</v>
      </c>
      <c r="E191" s="231"/>
      <c r="F191" s="59">
        <f>F192+F196</f>
        <v>45</v>
      </c>
      <c r="G191" s="59">
        <f>G192+G196</f>
        <v>45</v>
      </c>
    </row>
    <row r="192" spans="1:7" ht="63" x14ac:dyDescent="0.25">
      <c r="A192" s="219" t="s">
        <v>892</v>
      </c>
      <c r="B192" s="24" t="s">
        <v>134</v>
      </c>
      <c r="C192" s="24" t="s">
        <v>156</v>
      </c>
      <c r="D192" s="24" t="s">
        <v>898</v>
      </c>
      <c r="E192" s="24"/>
      <c r="F192" s="59">
        <f>F193</f>
        <v>30</v>
      </c>
      <c r="G192" s="59">
        <f>G193</f>
        <v>30</v>
      </c>
    </row>
    <row r="193" spans="1:7" ht="47.25" x14ac:dyDescent="0.25">
      <c r="A193" s="99" t="s">
        <v>799</v>
      </c>
      <c r="B193" s="20" t="s">
        <v>134</v>
      </c>
      <c r="C193" s="20" t="s">
        <v>156</v>
      </c>
      <c r="D193" s="20" t="s">
        <v>893</v>
      </c>
      <c r="E193" s="20"/>
      <c r="F193" s="6">
        <f>F194</f>
        <v>30</v>
      </c>
      <c r="G193" s="6">
        <f>G194</f>
        <v>30</v>
      </c>
    </row>
    <row r="194" spans="1:7" ht="36.75" customHeight="1" x14ac:dyDescent="0.25">
      <c r="A194" s="25" t="s">
        <v>147</v>
      </c>
      <c r="B194" s="20" t="s">
        <v>134</v>
      </c>
      <c r="C194" s="20" t="s">
        <v>156</v>
      </c>
      <c r="D194" s="20" t="s">
        <v>893</v>
      </c>
      <c r="E194" s="20" t="s">
        <v>148</v>
      </c>
      <c r="F194" s="6">
        <f>F195</f>
        <v>30</v>
      </c>
      <c r="G194" s="6">
        <f t="shared" si="7"/>
        <v>30</v>
      </c>
    </row>
    <row r="195" spans="1:7" ht="47.25" x14ac:dyDescent="0.25">
      <c r="A195" s="25" t="s">
        <v>149</v>
      </c>
      <c r="B195" s="20" t="s">
        <v>134</v>
      </c>
      <c r="C195" s="20" t="s">
        <v>156</v>
      </c>
      <c r="D195" s="20" t="s">
        <v>893</v>
      </c>
      <c r="E195" s="20" t="s">
        <v>150</v>
      </c>
      <c r="F195" s="6">
        <f>'пр.5.1.ведом.21-22'!G119+'пр.5.1.ведом.21-22'!G247</f>
        <v>30</v>
      </c>
      <c r="G195" s="6">
        <f>'пр.5.1.ведом.21-22'!H119+'пр.5.1.ведом.21-22'!H247</f>
        <v>30</v>
      </c>
    </row>
    <row r="196" spans="1:7" ht="47.25" x14ac:dyDescent="0.25">
      <c r="A196" s="220" t="s">
        <v>1188</v>
      </c>
      <c r="B196" s="24" t="s">
        <v>134</v>
      </c>
      <c r="C196" s="24" t="s">
        <v>156</v>
      </c>
      <c r="D196" s="24" t="s">
        <v>899</v>
      </c>
      <c r="E196" s="231"/>
      <c r="F196" s="59">
        <f t="shared" ref="F196:G198" si="8">F197</f>
        <v>15</v>
      </c>
      <c r="G196" s="59">
        <f t="shared" si="8"/>
        <v>15</v>
      </c>
    </row>
    <row r="197" spans="1:7" ht="47.25" x14ac:dyDescent="0.25">
      <c r="A197" s="99" t="s">
        <v>800</v>
      </c>
      <c r="B197" s="20" t="s">
        <v>134</v>
      </c>
      <c r="C197" s="20" t="s">
        <v>156</v>
      </c>
      <c r="D197" s="20" t="s">
        <v>894</v>
      </c>
      <c r="E197" s="32"/>
      <c r="F197" s="6">
        <f t="shared" si="8"/>
        <v>15</v>
      </c>
      <c r="G197" s="6">
        <f t="shared" si="8"/>
        <v>15</v>
      </c>
    </row>
    <row r="198" spans="1:7" ht="31.5" x14ac:dyDescent="0.25">
      <c r="A198" s="25" t="s">
        <v>147</v>
      </c>
      <c r="B198" s="20" t="s">
        <v>134</v>
      </c>
      <c r="C198" s="20" t="s">
        <v>156</v>
      </c>
      <c r="D198" s="20" t="s">
        <v>894</v>
      </c>
      <c r="E198" s="32" t="s">
        <v>148</v>
      </c>
      <c r="F198" s="6">
        <f t="shared" si="8"/>
        <v>15</v>
      </c>
      <c r="G198" s="6">
        <f t="shared" si="8"/>
        <v>15</v>
      </c>
    </row>
    <row r="199" spans="1:7" ht="47.25" x14ac:dyDescent="0.25">
      <c r="A199" s="25" t="s">
        <v>149</v>
      </c>
      <c r="B199" s="20" t="s">
        <v>134</v>
      </c>
      <c r="C199" s="20" t="s">
        <v>156</v>
      </c>
      <c r="D199" s="20" t="s">
        <v>894</v>
      </c>
      <c r="E199" s="32" t="s">
        <v>150</v>
      </c>
      <c r="F199" s="6">
        <f>'пр.5.1.ведом.21-22'!G123</f>
        <v>15</v>
      </c>
      <c r="G199" s="6">
        <f>'пр.5.1.ведом.21-22'!H123</f>
        <v>15</v>
      </c>
    </row>
    <row r="200" spans="1:7" ht="94.5" x14ac:dyDescent="0.25">
      <c r="A200" s="225" t="s">
        <v>1428</v>
      </c>
      <c r="B200" s="24" t="s">
        <v>134</v>
      </c>
      <c r="C200" s="24" t="s">
        <v>156</v>
      </c>
      <c r="D200" s="24" t="s">
        <v>806</v>
      </c>
      <c r="E200" s="231"/>
      <c r="F200" s="59">
        <f>F202</f>
        <v>3266.2200000000003</v>
      </c>
      <c r="G200" s="59">
        <f>G202</f>
        <v>239.82000000000016</v>
      </c>
    </row>
    <row r="201" spans="1:7" ht="31.5" x14ac:dyDescent="0.25">
      <c r="A201" s="23" t="s">
        <v>1003</v>
      </c>
      <c r="B201" s="24" t="s">
        <v>134</v>
      </c>
      <c r="C201" s="24" t="s">
        <v>156</v>
      </c>
      <c r="D201" s="24" t="s">
        <v>1182</v>
      </c>
      <c r="E201" s="231"/>
      <c r="F201" s="59">
        <f t="shared" ref="F201:G203" si="9">F202</f>
        <v>3266.2200000000003</v>
      </c>
      <c r="G201" s="59">
        <f t="shared" si="9"/>
        <v>239.82000000000016</v>
      </c>
    </row>
    <row r="202" spans="1:7" ht="47.25" x14ac:dyDescent="0.25">
      <c r="A202" s="192" t="s">
        <v>816</v>
      </c>
      <c r="B202" s="20" t="s">
        <v>134</v>
      </c>
      <c r="C202" s="20" t="s">
        <v>156</v>
      </c>
      <c r="D202" s="20" t="s">
        <v>1183</v>
      </c>
      <c r="E202" s="32"/>
      <c r="F202" s="6">
        <f t="shared" si="9"/>
        <v>3266.2200000000003</v>
      </c>
      <c r="G202" s="6">
        <f t="shared" si="9"/>
        <v>239.82000000000016</v>
      </c>
    </row>
    <row r="203" spans="1:7" ht="31.5" x14ac:dyDescent="0.25">
      <c r="A203" s="192" t="s">
        <v>147</v>
      </c>
      <c r="B203" s="20" t="s">
        <v>134</v>
      </c>
      <c r="C203" s="20" t="s">
        <v>156</v>
      </c>
      <c r="D203" s="20" t="s">
        <v>1183</v>
      </c>
      <c r="E203" s="32" t="s">
        <v>148</v>
      </c>
      <c r="F203" s="6">
        <f t="shared" si="9"/>
        <v>3266.2200000000003</v>
      </c>
      <c r="G203" s="6">
        <f t="shared" si="9"/>
        <v>239.82000000000016</v>
      </c>
    </row>
    <row r="204" spans="1:7" ht="47.25" x14ac:dyDescent="0.25">
      <c r="A204" s="192" t="s">
        <v>149</v>
      </c>
      <c r="B204" s="20" t="s">
        <v>134</v>
      </c>
      <c r="C204" s="20" t="s">
        <v>156</v>
      </c>
      <c r="D204" s="20" t="s">
        <v>1183</v>
      </c>
      <c r="E204" s="32" t="s">
        <v>150</v>
      </c>
      <c r="F204" s="6">
        <f>'пр.5.1.ведом.21-22'!G524</f>
        <v>3266.2200000000003</v>
      </c>
      <c r="G204" s="6">
        <f>'пр.5.1.ведом.21-22'!H524</f>
        <v>239.82000000000016</v>
      </c>
    </row>
    <row r="205" spans="1:7" ht="94.5" x14ac:dyDescent="0.25">
      <c r="A205" s="41" t="s">
        <v>1419</v>
      </c>
      <c r="B205" s="8" t="s">
        <v>134</v>
      </c>
      <c r="C205" s="8" t="s">
        <v>156</v>
      </c>
      <c r="D205" s="256" t="s">
        <v>861</v>
      </c>
      <c r="E205" s="8"/>
      <c r="F205" s="59">
        <f t="shared" ref="F205:F208" si="10">F206</f>
        <v>40</v>
      </c>
      <c r="G205" s="59">
        <f>G206</f>
        <v>40</v>
      </c>
    </row>
    <row r="206" spans="1:7" ht="47.25" x14ac:dyDescent="0.25">
      <c r="A206" s="221" t="s">
        <v>900</v>
      </c>
      <c r="B206" s="8" t="s">
        <v>134</v>
      </c>
      <c r="C206" s="8" t="s">
        <v>156</v>
      </c>
      <c r="D206" s="206" t="s">
        <v>1262</v>
      </c>
      <c r="E206" s="8"/>
      <c r="F206" s="59">
        <f t="shared" si="10"/>
        <v>40</v>
      </c>
      <c r="G206" s="59">
        <f>G207</f>
        <v>40</v>
      </c>
    </row>
    <row r="207" spans="1:7" ht="47.25" x14ac:dyDescent="0.25">
      <c r="A207" s="98" t="s">
        <v>187</v>
      </c>
      <c r="B207" s="9" t="s">
        <v>134</v>
      </c>
      <c r="C207" s="9" t="s">
        <v>156</v>
      </c>
      <c r="D207" s="5" t="s">
        <v>901</v>
      </c>
      <c r="E207" s="9"/>
      <c r="F207" s="6">
        <f t="shared" si="10"/>
        <v>40</v>
      </c>
      <c r="G207" s="6">
        <f>G208</f>
        <v>40</v>
      </c>
    </row>
    <row r="208" spans="1:7" ht="31.5" x14ac:dyDescent="0.25">
      <c r="A208" s="25" t="s">
        <v>147</v>
      </c>
      <c r="B208" s="9" t="s">
        <v>134</v>
      </c>
      <c r="C208" s="9" t="s">
        <v>156</v>
      </c>
      <c r="D208" s="5" t="s">
        <v>901</v>
      </c>
      <c r="E208" s="9" t="s">
        <v>148</v>
      </c>
      <c r="F208" s="6">
        <f t="shared" si="10"/>
        <v>40</v>
      </c>
      <c r="G208" s="6">
        <f>G209</f>
        <v>40</v>
      </c>
    </row>
    <row r="209" spans="1:7" ht="47.25" x14ac:dyDescent="0.25">
      <c r="A209" s="25" t="s">
        <v>149</v>
      </c>
      <c r="B209" s="9" t="s">
        <v>134</v>
      </c>
      <c r="C209" s="9" t="s">
        <v>156</v>
      </c>
      <c r="D209" s="5" t="s">
        <v>901</v>
      </c>
      <c r="E209" s="9" t="s">
        <v>150</v>
      </c>
      <c r="F209" s="6">
        <f>'пр.5.1.ведом.21-22'!G128</f>
        <v>40</v>
      </c>
      <c r="G209" s="6">
        <f>'пр.5.1.ведом.21-22'!H128</f>
        <v>40</v>
      </c>
    </row>
    <row r="210" spans="1:7" ht="94.5" x14ac:dyDescent="0.25">
      <c r="A210" s="41" t="s">
        <v>1418</v>
      </c>
      <c r="B210" s="8" t="s">
        <v>134</v>
      </c>
      <c r="C210" s="8" t="s">
        <v>156</v>
      </c>
      <c r="D210" s="206" t="s">
        <v>862</v>
      </c>
      <c r="E210" s="8"/>
      <c r="F210" s="4">
        <f>F211</f>
        <v>100</v>
      </c>
      <c r="G210" s="4">
        <f>G211</f>
        <v>100</v>
      </c>
    </row>
    <row r="211" spans="1:7" ht="31.5" x14ac:dyDescent="0.25">
      <c r="A211" s="58" t="s">
        <v>902</v>
      </c>
      <c r="B211" s="8" t="s">
        <v>134</v>
      </c>
      <c r="C211" s="8" t="s">
        <v>156</v>
      </c>
      <c r="D211" s="206" t="s">
        <v>910</v>
      </c>
      <c r="E211" s="8"/>
      <c r="F211" s="4">
        <f t="shared" ref="F211:G211" si="11">F212</f>
        <v>100</v>
      </c>
      <c r="G211" s="4">
        <f t="shared" si="11"/>
        <v>100</v>
      </c>
    </row>
    <row r="212" spans="1:7" ht="31.5" x14ac:dyDescent="0.25">
      <c r="A212" s="45" t="s">
        <v>867</v>
      </c>
      <c r="B212" s="9" t="s">
        <v>134</v>
      </c>
      <c r="C212" s="9" t="s">
        <v>156</v>
      </c>
      <c r="D212" s="5" t="s">
        <v>903</v>
      </c>
      <c r="E212" s="9"/>
      <c r="F212" s="6">
        <f>F213</f>
        <v>100</v>
      </c>
      <c r="G212" s="6">
        <f t="shared" si="7"/>
        <v>100</v>
      </c>
    </row>
    <row r="213" spans="1:7" ht="31.5" x14ac:dyDescent="0.25">
      <c r="A213" s="25" t="s">
        <v>147</v>
      </c>
      <c r="B213" s="9" t="s">
        <v>134</v>
      </c>
      <c r="C213" s="9" t="s">
        <v>156</v>
      </c>
      <c r="D213" s="5" t="s">
        <v>903</v>
      </c>
      <c r="E213" s="9" t="s">
        <v>148</v>
      </c>
      <c r="F213" s="6">
        <f>F214</f>
        <v>100</v>
      </c>
      <c r="G213" s="6">
        <f t="shared" ref="G213:G272" si="12">F213</f>
        <v>100</v>
      </c>
    </row>
    <row r="214" spans="1:7" ht="47.25" x14ac:dyDescent="0.25">
      <c r="A214" s="25" t="s">
        <v>149</v>
      </c>
      <c r="B214" s="9" t="s">
        <v>134</v>
      </c>
      <c r="C214" s="9" t="s">
        <v>156</v>
      </c>
      <c r="D214" s="5" t="s">
        <v>903</v>
      </c>
      <c r="E214" s="9" t="s">
        <v>150</v>
      </c>
      <c r="F214" s="6">
        <f>'пр.5.1.ведом.21-22'!G133</f>
        <v>100</v>
      </c>
      <c r="G214" s="6">
        <f>'пр.5.1.ведом.21-22'!H133</f>
        <v>100</v>
      </c>
    </row>
    <row r="215" spans="1:7" ht="15.75" hidden="1" x14ac:dyDescent="0.25">
      <c r="A215" s="23" t="s">
        <v>228</v>
      </c>
      <c r="B215" s="24" t="s">
        <v>229</v>
      </c>
      <c r="C215" s="24"/>
      <c r="D215" s="24"/>
      <c r="E215" s="24"/>
      <c r="F215" s="4">
        <f t="shared" ref="F215:G218" si="13">F216</f>
        <v>0</v>
      </c>
      <c r="G215" s="4">
        <f t="shared" si="13"/>
        <v>0</v>
      </c>
    </row>
    <row r="216" spans="1:7" ht="31.5" hidden="1" x14ac:dyDescent="0.25">
      <c r="A216" s="23" t="s">
        <v>234</v>
      </c>
      <c r="B216" s="24" t="s">
        <v>229</v>
      </c>
      <c r="C216" s="24" t="s">
        <v>235</v>
      </c>
      <c r="D216" s="24"/>
      <c r="E216" s="24"/>
      <c r="F216" s="4">
        <f t="shared" si="13"/>
        <v>0</v>
      </c>
      <c r="G216" s="4">
        <f t="shared" si="13"/>
        <v>0</v>
      </c>
    </row>
    <row r="217" spans="1:7" ht="15.75" hidden="1" x14ac:dyDescent="0.25">
      <c r="A217" s="23" t="s">
        <v>157</v>
      </c>
      <c r="B217" s="24" t="s">
        <v>229</v>
      </c>
      <c r="C217" s="24" t="s">
        <v>235</v>
      </c>
      <c r="D217" s="24" t="s">
        <v>912</v>
      </c>
      <c r="E217" s="24"/>
      <c r="F217" s="4">
        <f t="shared" si="13"/>
        <v>0</v>
      </c>
      <c r="G217" s="4">
        <f t="shared" si="13"/>
        <v>0</v>
      </c>
    </row>
    <row r="218" spans="1:7" ht="31.5" hidden="1" x14ac:dyDescent="0.25">
      <c r="A218" s="23" t="s">
        <v>916</v>
      </c>
      <c r="B218" s="24" t="s">
        <v>229</v>
      </c>
      <c r="C218" s="24" t="s">
        <v>235</v>
      </c>
      <c r="D218" s="24" t="s">
        <v>911</v>
      </c>
      <c r="E218" s="24"/>
      <c r="F218" s="4">
        <f t="shared" si="13"/>
        <v>0</v>
      </c>
      <c r="G218" s="4">
        <f t="shared" si="13"/>
        <v>0</v>
      </c>
    </row>
    <row r="219" spans="1:7" ht="31.5" hidden="1" x14ac:dyDescent="0.25">
      <c r="A219" s="25" t="s">
        <v>236</v>
      </c>
      <c r="B219" s="20" t="s">
        <v>229</v>
      </c>
      <c r="C219" s="20" t="s">
        <v>235</v>
      </c>
      <c r="D219" s="20" t="s">
        <v>917</v>
      </c>
      <c r="E219" s="20"/>
      <c r="F219" s="6">
        <f>'Пр.3 Рд,пр, ЦС,ВР 20'!F229</f>
        <v>0</v>
      </c>
      <c r="G219" s="6">
        <f t="shared" si="12"/>
        <v>0</v>
      </c>
    </row>
    <row r="220" spans="1:7" ht="47.25" hidden="1" x14ac:dyDescent="0.25">
      <c r="A220" s="25" t="s">
        <v>214</v>
      </c>
      <c r="B220" s="20" t="s">
        <v>229</v>
      </c>
      <c r="C220" s="20" t="s">
        <v>235</v>
      </c>
      <c r="D220" s="20" t="s">
        <v>917</v>
      </c>
      <c r="E220" s="20" t="s">
        <v>148</v>
      </c>
      <c r="F220" s="6">
        <f>'Пр.3 Рд,пр, ЦС,ВР 20'!F230</f>
        <v>0</v>
      </c>
      <c r="G220" s="6">
        <f t="shared" si="12"/>
        <v>0</v>
      </c>
    </row>
    <row r="221" spans="1:7" ht="47.25" hidden="1" x14ac:dyDescent="0.25">
      <c r="A221" s="25" t="s">
        <v>149</v>
      </c>
      <c r="B221" s="20" t="s">
        <v>229</v>
      </c>
      <c r="C221" s="20" t="s">
        <v>235</v>
      </c>
      <c r="D221" s="20" t="s">
        <v>917</v>
      </c>
      <c r="E221" s="20" t="s">
        <v>150</v>
      </c>
      <c r="F221" s="6">
        <f>'Пр.3 Рд,пр, ЦС,ВР 20'!F231</f>
        <v>0</v>
      </c>
      <c r="G221" s="6">
        <f t="shared" si="12"/>
        <v>0</v>
      </c>
    </row>
    <row r="222" spans="1:7" ht="31.5" x14ac:dyDescent="0.25">
      <c r="A222" s="23" t="s">
        <v>238</v>
      </c>
      <c r="B222" s="24" t="s">
        <v>231</v>
      </c>
      <c r="C222" s="24"/>
      <c r="D222" s="24"/>
      <c r="E222" s="24"/>
      <c r="F222" s="4">
        <f t="shared" ref="F222:G223" si="14">F223</f>
        <v>8029</v>
      </c>
      <c r="G222" s="4">
        <f t="shared" si="14"/>
        <v>8029</v>
      </c>
    </row>
    <row r="223" spans="1:7" ht="63" x14ac:dyDescent="0.25">
      <c r="A223" s="23" t="s">
        <v>239</v>
      </c>
      <c r="B223" s="24" t="s">
        <v>231</v>
      </c>
      <c r="C223" s="24" t="s">
        <v>235</v>
      </c>
      <c r="D223" s="20"/>
      <c r="E223" s="20"/>
      <c r="F223" s="4">
        <f t="shared" si="14"/>
        <v>8029</v>
      </c>
      <c r="G223" s="4">
        <f t="shared" si="14"/>
        <v>8029</v>
      </c>
    </row>
    <row r="224" spans="1:7" ht="15.75" x14ac:dyDescent="0.25">
      <c r="A224" s="23" t="s">
        <v>157</v>
      </c>
      <c r="B224" s="24" t="s">
        <v>231</v>
      </c>
      <c r="C224" s="24" t="s">
        <v>235</v>
      </c>
      <c r="D224" s="24" t="s">
        <v>912</v>
      </c>
      <c r="E224" s="24"/>
      <c r="F224" s="4">
        <f>F225+F232</f>
        <v>8029</v>
      </c>
      <c r="G224" s="4">
        <f>G225+G232</f>
        <v>8029</v>
      </c>
    </row>
    <row r="225" spans="1:7" ht="31.5" x14ac:dyDescent="0.25">
      <c r="A225" s="23" t="s">
        <v>916</v>
      </c>
      <c r="B225" s="24" t="s">
        <v>231</v>
      </c>
      <c r="C225" s="24" t="s">
        <v>235</v>
      </c>
      <c r="D225" s="24" t="s">
        <v>911</v>
      </c>
      <c r="E225" s="24"/>
      <c r="F225" s="4">
        <f>F226+F229</f>
        <v>2089</v>
      </c>
      <c r="G225" s="4">
        <f>G226+G229</f>
        <v>2089</v>
      </c>
    </row>
    <row r="226" spans="1:7" ht="47.25" x14ac:dyDescent="0.25">
      <c r="A226" s="25" t="s">
        <v>240</v>
      </c>
      <c r="B226" s="20" t="s">
        <v>231</v>
      </c>
      <c r="C226" s="20" t="s">
        <v>235</v>
      </c>
      <c r="D226" s="20" t="s">
        <v>921</v>
      </c>
      <c r="E226" s="20"/>
      <c r="F226" s="6">
        <f>F227</f>
        <v>1785</v>
      </c>
      <c r="G226" s="6">
        <f>G227</f>
        <v>1785</v>
      </c>
    </row>
    <row r="227" spans="1:7" ht="47.25" x14ac:dyDescent="0.25">
      <c r="A227" s="25" t="s">
        <v>214</v>
      </c>
      <c r="B227" s="20" t="s">
        <v>231</v>
      </c>
      <c r="C227" s="20" t="s">
        <v>235</v>
      </c>
      <c r="D227" s="20" t="s">
        <v>921</v>
      </c>
      <c r="E227" s="20" t="s">
        <v>148</v>
      </c>
      <c r="F227" s="6">
        <f>F228</f>
        <v>1785</v>
      </c>
      <c r="G227" s="6">
        <f>G228</f>
        <v>1785</v>
      </c>
    </row>
    <row r="228" spans="1:7" ht="47.25" x14ac:dyDescent="0.25">
      <c r="A228" s="25" t="s">
        <v>149</v>
      </c>
      <c r="B228" s="20" t="s">
        <v>231</v>
      </c>
      <c r="C228" s="20" t="s">
        <v>235</v>
      </c>
      <c r="D228" s="20" t="s">
        <v>921</v>
      </c>
      <c r="E228" s="20" t="s">
        <v>150</v>
      </c>
      <c r="F228" s="6">
        <f>'пр.5.1.ведом.21-22'!G147</f>
        <v>1785</v>
      </c>
      <c r="G228" s="6">
        <f>'пр.5.1.ведом.21-22'!H147</f>
        <v>1785</v>
      </c>
    </row>
    <row r="229" spans="1:7" ht="15.75" x14ac:dyDescent="0.25">
      <c r="A229" s="25" t="s">
        <v>246</v>
      </c>
      <c r="B229" s="20" t="s">
        <v>231</v>
      </c>
      <c r="C229" s="20" t="s">
        <v>235</v>
      </c>
      <c r="D229" s="20" t="s">
        <v>922</v>
      </c>
      <c r="E229" s="20"/>
      <c r="F229" s="6">
        <f>F230</f>
        <v>304</v>
      </c>
      <c r="G229" s="6">
        <f>G230</f>
        <v>304</v>
      </c>
    </row>
    <row r="230" spans="1:7" ht="47.25" x14ac:dyDescent="0.25">
      <c r="A230" s="25" t="s">
        <v>214</v>
      </c>
      <c r="B230" s="20" t="s">
        <v>231</v>
      </c>
      <c r="C230" s="20" t="s">
        <v>235</v>
      </c>
      <c r="D230" s="20" t="s">
        <v>922</v>
      </c>
      <c r="E230" s="20" t="s">
        <v>148</v>
      </c>
      <c r="F230" s="6">
        <f>F231</f>
        <v>304</v>
      </c>
      <c r="G230" s="6">
        <f>G231</f>
        <v>304</v>
      </c>
    </row>
    <row r="231" spans="1:7" ht="47.25" x14ac:dyDescent="0.25">
      <c r="A231" s="25" t="s">
        <v>149</v>
      </c>
      <c r="B231" s="20" t="s">
        <v>231</v>
      </c>
      <c r="C231" s="20" t="s">
        <v>235</v>
      </c>
      <c r="D231" s="20" t="s">
        <v>922</v>
      </c>
      <c r="E231" s="20" t="s">
        <v>150</v>
      </c>
      <c r="F231" s="6">
        <f>'пр.5.1.ведом.21-22'!G150+'пр.5.1.ведом.21-22'!G871</f>
        <v>304</v>
      </c>
      <c r="G231" s="6">
        <f>'пр.5.1.ведом.21-22'!H150+'пр.5.1.ведом.21-22'!H871</f>
        <v>304</v>
      </c>
    </row>
    <row r="232" spans="1:7" ht="47.25" x14ac:dyDescent="0.25">
      <c r="A232" s="23" t="s">
        <v>996</v>
      </c>
      <c r="B232" s="24" t="s">
        <v>231</v>
      </c>
      <c r="C232" s="24" t="s">
        <v>235</v>
      </c>
      <c r="D232" s="24" t="s">
        <v>918</v>
      </c>
      <c r="E232" s="24"/>
      <c r="F232" s="4">
        <f>F233+F238</f>
        <v>5940</v>
      </c>
      <c r="G232" s="4">
        <f>G233+G238</f>
        <v>5940</v>
      </c>
    </row>
    <row r="233" spans="1:7" ht="31.5" x14ac:dyDescent="0.25">
      <c r="A233" s="25" t="s">
        <v>1000</v>
      </c>
      <c r="B233" s="20" t="s">
        <v>231</v>
      </c>
      <c r="C233" s="20" t="s">
        <v>235</v>
      </c>
      <c r="D233" s="20" t="s">
        <v>919</v>
      </c>
      <c r="E233" s="20"/>
      <c r="F233" s="6">
        <f>F234+F236</f>
        <v>5688</v>
      </c>
      <c r="G233" s="6">
        <f>G234+G236</f>
        <v>5688</v>
      </c>
    </row>
    <row r="234" spans="1:7" ht="94.5" x14ac:dyDescent="0.25">
      <c r="A234" s="25" t="s">
        <v>143</v>
      </c>
      <c r="B234" s="20" t="s">
        <v>231</v>
      </c>
      <c r="C234" s="20" t="s">
        <v>235</v>
      </c>
      <c r="D234" s="20" t="s">
        <v>919</v>
      </c>
      <c r="E234" s="20" t="s">
        <v>144</v>
      </c>
      <c r="F234" s="6">
        <f>F235</f>
        <v>5525</v>
      </c>
      <c r="G234" s="6">
        <f>G235</f>
        <v>5525</v>
      </c>
    </row>
    <row r="235" spans="1:7" ht="31.5" x14ac:dyDescent="0.25">
      <c r="A235" s="25" t="s">
        <v>224</v>
      </c>
      <c r="B235" s="20" t="s">
        <v>231</v>
      </c>
      <c r="C235" s="20" t="s">
        <v>235</v>
      </c>
      <c r="D235" s="20" t="s">
        <v>919</v>
      </c>
      <c r="E235" s="20" t="s">
        <v>225</v>
      </c>
      <c r="F235" s="6">
        <f>'пр.5.1.ведом.21-22'!G154</f>
        <v>5525</v>
      </c>
      <c r="G235" s="6">
        <f>'пр.5.1.ведом.21-22'!H154</f>
        <v>5525</v>
      </c>
    </row>
    <row r="236" spans="1:7" ht="47.25" x14ac:dyDescent="0.25">
      <c r="A236" s="25" t="s">
        <v>214</v>
      </c>
      <c r="B236" s="20" t="s">
        <v>231</v>
      </c>
      <c r="C236" s="20" t="s">
        <v>235</v>
      </c>
      <c r="D236" s="20" t="s">
        <v>919</v>
      </c>
      <c r="E236" s="20" t="s">
        <v>148</v>
      </c>
      <c r="F236" s="6">
        <f>F237</f>
        <v>163</v>
      </c>
      <c r="G236" s="6">
        <f>G237</f>
        <v>163</v>
      </c>
    </row>
    <row r="237" spans="1:7" ht="47.25" x14ac:dyDescent="0.25">
      <c r="A237" s="25" t="s">
        <v>149</v>
      </c>
      <c r="B237" s="20" t="s">
        <v>231</v>
      </c>
      <c r="C237" s="20" t="s">
        <v>235</v>
      </c>
      <c r="D237" s="20" t="s">
        <v>919</v>
      </c>
      <c r="E237" s="20" t="s">
        <v>150</v>
      </c>
      <c r="F237" s="6">
        <f>'пр.5.1.ведом.21-22'!G156</f>
        <v>163</v>
      </c>
      <c r="G237" s="6">
        <f>'пр.5.1.ведом.21-22'!H156</f>
        <v>163</v>
      </c>
    </row>
    <row r="238" spans="1:7" ht="47.25" x14ac:dyDescent="0.25">
      <c r="A238" s="25" t="s">
        <v>885</v>
      </c>
      <c r="B238" s="20" t="s">
        <v>231</v>
      </c>
      <c r="C238" s="20" t="s">
        <v>235</v>
      </c>
      <c r="D238" s="20" t="s">
        <v>920</v>
      </c>
      <c r="E238" s="20"/>
      <c r="F238" s="6">
        <f>F239</f>
        <v>252</v>
      </c>
      <c r="G238" s="6">
        <f>G239</f>
        <v>252</v>
      </c>
    </row>
    <row r="239" spans="1:7" ht="94.5" x14ac:dyDescent="0.25">
      <c r="A239" s="25" t="s">
        <v>143</v>
      </c>
      <c r="B239" s="20" t="s">
        <v>231</v>
      </c>
      <c r="C239" s="20" t="s">
        <v>235</v>
      </c>
      <c r="D239" s="20" t="s">
        <v>920</v>
      </c>
      <c r="E239" s="20" t="s">
        <v>144</v>
      </c>
      <c r="F239" s="6">
        <f>F240</f>
        <v>252</v>
      </c>
      <c r="G239" s="6">
        <f>G240</f>
        <v>252</v>
      </c>
    </row>
    <row r="240" spans="1:7" ht="47.25" x14ac:dyDescent="0.25">
      <c r="A240" s="25" t="s">
        <v>145</v>
      </c>
      <c r="B240" s="20" t="s">
        <v>231</v>
      </c>
      <c r="C240" s="20" t="s">
        <v>235</v>
      </c>
      <c r="D240" s="20" t="s">
        <v>920</v>
      </c>
      <c r="E240" s="20" t="s">
        <v>146</v>
      </c>
      <c r="F240" s="6">
        <f>'пр.5.1.ведом.21-22'!G159</f>
        <v>252</v>
      </c>
      <c r="G240" s="6">
        <f>'пр.5.1.ведом.21-22'!H159</f>
        <v>252</v>
      </c>
    </row>
    <row r="241" spans="1:7" ht="15.75" x14ac:dyDescent="0.25">
      <c r="A241" s="23" t="s">
        <v>248</v>
      </c>
      <c r="B241" s="24" t="s">
        <v>166</v>
      </c>
      <c r="C241" s="24"/>
      <c r="D241" s="24"/>
      <c r="E241" s="20"/>
      <c r="F241" s="4">
        <f t="shared" ref="F241" si="15">F255+F261+F273+F242</f>
        <v>7611.8</v>
      </c>
      <c r="G241" s="4">
        <f>G255+G261+G273+G242</f>
        <v>7579.5</v>
      </c>
    </row>
    <row r="242" spans="1:7" ht="15.75" x14ac:dyDescent="0.25">
      <c r="A242" s="23" t="s">
        <v>249</v>
      </c>
      <c r="B242" s="24" t="s">
        <v>166</v>
      </c>
      <c r="C242" s="24" t="s">
        <v>250</v>
      </c>
      <c r="D242" s="24"/>
      <c r="E242" s="20"/>
      <c r="F242" s="4">
        <f>F243</f>
        <v>306</v>
      </c>
      <c r="G242" s="4">
        <f>G243</f>
        <v>306</v>
      </c>
    </row>
    <row r="243" spans="1:7" ht="47.25" x14ac:dyDescent="0.25">
      <c r="A243" s="34" t="s">
        <v>1438</v>
      </c>
      <c r="B243" s="24" t="s">
        <v>166</v>
      </c>
      <c r="C243" s="24" t="s">
        <v>250</v>
      </c>
      <c r="D243" s="206" t="s">
        <v>198</v>
      </c>
      <c r="E243" s="231"/>
      <c r="F243" s="4">
        <f>F244+F251</f>
        <v>306</v>
      </c>
      <c r="G243" s="4">
        <f>G244+G251</f>
        <v>306</v>
      </c>
    </row>
    <row r="244" spans="1:7" ht="47.25" x14ac:dyDescent="0.25">
      <c r="A244" s="34" t="s">
        <v>1159</v>
      </c>
      <c r="B244" s="24" t="s">
        <v>166</v>
      </c>
      <c r="C244" s="24" t="s">
        <v>250</v>
      </c>
      <c r="D244" s="266" t="s">
        <v>923</v>
      </c>
      <c r="E244" s="231"/>
      <c r="F244" s="4">
        <f>F245+F248</f>
        <v>256</v>
      </c>
      <c r="G244" s="4">
        <f>G245+G248</f>
        <v>256</v>
      </c>
    </row>
    <row r="245" spans="1:7" ht="15.75" x14ac:dyDescent="0.25">
      <c r="A245" s="25" t="s">
        <v>924</v>
      </c>
      <c r="B245" s="20" t="s">
        <v>166</v>
      </c>
      <c r="C245" s="20" t="s">
        <v>250</v>
      </c>
      <c r="D245" s="20" t="s">
        <v>968</v>
      </c>
      <c r="E245" s="32"/>
      <c r="F245" s="6">
        <f>F246</f>
        <v>1</v>
      </c>
      <c r="G245" s="6">
        <f>G246</f>
        <v>1</v>
      </c>
    </row>
    <row r="246" spans="1:7" ht="15.75" x14ac:dyDescent="0.25">
      <c r="A246" s="29" t="s">
        <v>151</v>
      </c>
      <c r="B246" s="20" t="s">
        <v>166</v>
      </c>
      <c r="C246" s="20" t="s">
        <v>250</v>
      </c>
      <c r="D246" s="20" t="s">
        <v>968</v>
      </c>
      <c r="E246" s="32" t="s">
        <v>161</v>
      </c>
      <c r="F246" s="6">
        <f>F247</f>
        <v>1</v>
      </c>
      <c r="G246" s="6">
        <f>G247</f>
        <v>1</v>
      </c>
    </row>
    <row r="247" spans="1:7" ht="63" x14ac:dyDescent="0.25">
      <c r="A247" s="29" t="s">
        <v>200</v>
      </c>
      <c r="B247" s="20" t="s">
        <v>166</v>
      </c>
      <c r="C247" s="20" t="s">
        <v>250</v>
      </c>
      <c r="D247" s="20" t="s">
        <v>968</v>
      </c>
      <c r="E247" s="32" t="s">
        <v>176</v>
      </c>
      <c r="F247" s="6">
        <f>'пр.5.1.ведом.21-22'!G166</f>
        <v>1</v>
      </c>
      <c r="G247" s="6">
        <f>'пр.5.1.ведом.21-22'!H166</f>
        <v>1</v>
      </c>
    </row>
    <row r="248" spans="1:7" ht="31.5" x14ac:dyDescent="0.25">
      <c r="A248" s="25" t="s">
        <v>251</v>
      </c>
      <c r="B248" s="20" t="s">
        <v>166</v>
      </c>
      <c r="C248" s="20" t="s">
        <v>250</v>
      </c>
      <c r="D248" s="20" t="s">
        <v>927</v>
      </c>
      <c r="E248" s="20"/>
      <c r="F248" s="6">
        <f>F249</f>
        <v>255</v>
      </c>
      <c r="G248" s="6">
        <f>G249</f>
        <v>255</v>
      </c>
    </row>
    <row r="249" spans="1:7" ht="15.75" x14ac:dyDescent="0.25">
      <c r="A249" s="25" t="s">
        <v>151</v>
      </c>
      <c r="B249" s="20" t="s">
        <v>166</v>
      </c>
      <c r="C249" s="20" t="s">
        <v>250</v>
      </c>
      <c r="D249" s="20" t="s">
        <v>927</v>
      </c>
      <c r="E249" s="20" t="s">
        <v>161</v>
      </c>
      <c r="F249" s="6">
        <f>F250</f>
        <v>255</v>
      </c>
      <c r="G249" s="6">
        <f>G250</f>
        <v>255</v>
      </c>
    </row>
    <row r="250" spans="1:7" ht="63" x14ac:dyDescent="0.25">
      <c r="A250" s="25" t="s">
        <v>200</v>
      </c>
      <c r="B250" s="20" t="s">
        <v>166</v>
      </c>
      <c r="C250" s="20" t="s">
        <v>250</v>
      </c>
      <c r="D250" s="20" t="s">
        <v>927</v>
      </c>
      <c r="E250" s="20" t="s">
        <v>176</v>
      </c>
      <c r="F250" s="6">
        <f>'пр.5.1.ведом.21-22'!G169</f>
        <v>255</v>
      </c>
      <c r="G250" s="6">
        <f>'пр.5.1.ведом.21-22'!H169</f>
        <v>255</v>
      </c>
    </row>
    <row r="251" spans="1:7" ht="47.25" x14ac:dyDescent="0.25">
      <c r="A251" s="222" t="s">
        <v>1160</v>
      </c>
      <c r="B251" s="24" t="s">
        <v>166</v>
      </c>
      <c r="C251" s="24" t="s">
        <v>250</v>
      </c>
      <c r="D251" s="206" t="s">
        <v>926</v>
      </c>
      <c r="E251" s="231"/>
      <c r="F251" s="4">
        <f t="shared" ref="F251:G253" si="16">F252</f>
        <v>50</v>
      </c>
      <c r="G251" s="4">
        <f t="shared" si="16"/>
        <v>50</v>
      </c>
    </row>
    <row r="252" spans="1:7" ht="15.75" x14ac:dyDescent="0.25">
      <c r="A252" s="25" t="s">
        <v>925</v>
      </c>
      <c r="B252" s="20" t="s">
        <v>166</v>
      </c>
      <c r="C252" s="20" t="s">
        <v>250</v>
      </c>
      <c r="D252" s="5" t="s">
        <v>969</v>
      </c>
      <c r="E252" s="32"/>
      <c r="F252" s="6">
        <f t="shared" si="16"/>
        <v>50</v>
      </c>
      <c r="G252" s="6">
        <f t="shared" si="16"/>
        <v>50</v>
      </c>
    </row>
    <row r="253" spans="1:7" ht="15.75" x14ac:dyDescent="0.25">
      <c r="A253" s="29" t="s">
        <v>151</v>
      </c>
      <c r="B253" s="20" t="s">
        <v>166</v>
      </c>
      <c r="C253" s="20" t="s">
        <v>250</v>
      </c>
      <c r="D253" s="5" t="s">
        <v>969</v>
      </c>
      <c r="E253" s="32" t="s">
        <v>161</v>
      </c>
      <c r="F253" s="6">
        <f t="shared" si="16"/>
        <v>50</v>
      </c>
      <c r="G253" s="6">
        <f t="shared" si="16"/>
        <v>50</v>
      </c>
    </row>
    <row r="254" spans="1:7" ht="63" x14ac:dyDescent="0.25">
      <c r="A254" s="29" t="s">
        <v>200</v>
      </c>
      <c r="B254" s="20" t="s">
        <v>166</v>
      </c>
      <c r="C254" s="20" t="s">
        <v>250</v>
      </c>
      <c r="D254" s="5" t="s">
        <v>969</v>
      </c>
      <c r="E254" s="32" t="s">
        <v>176</v>
      </c>
      <c r="F254" s="6">
        <f>'пр.5.1.ведом.21-22'!G173</f>
        <v>50</v>
      </c>
      <c r="G254" s="6">
        <f>'пр.5.1.ведом.21-22'!H173</f>
        <v>50</v>
      </c>
    </row>
    <row r="255" spans="1:7" ht="15.75" x14ac:dyDescent="0.25">
      <c r="A255" s="23" t="s">
        <v>521</v>
      </c>
      <c r="B255" s="24" t="s">
        <v>166</v>
      </c>
      <c r="C255" s="24" t="s">
        <v>315</v>
      </c>
      <c r="D255" s="24"/>
      <c r="E255" s="24"/>
      <c r="F255" s="4">
        <f t="shared" ref="F255:G257" si="17">F256</f>
        <v>3258</v>
      </c>
      <c r="G255" s="4">
        <f t="shared" si="17"/>
        <v>3258</v>
      </c>
    </row>
    <row r="256" spans="1:7" ht="15.75" x14ac:dyDescent="0.25">
      <c r="A256" s="23" t="s">
        <v>157</v>
      </c>
      <c r="B256" s="24" t="s">
        <v>166</v>
      </c>
      <c r="C256" s="24" t="s">
        <v>315</v>
      </c>
      <c r="D256" s="24" t="s">
        <v>912</v>
      </c>
      <c r="E256" s="24"/>
      <c r="F256" s="4">
        <f t="shared" si="17"/>
        <v>3258</v>
      </c>
      <c r="G256" s="4">
        <f t="shared" si="17"/>
        <v>3258</v>
      </c>
    </row>
    <row r="257" spans="1:7" ht="31.5" x14ac:dyDescent="0.25">
      <c r="A257" s="23" t="s">
        <v>916</v>
      </c>
      <c r="B257" s="24" t="s">
        <v>166</v>
      </c>
      <c r="C257" s="24" t="s">
        <v>315</v>
      </c>
      <c r="D257" s="24" t="s">
        <v>911</v>
      </c>
      <c r="E257" s="24"/>
      <c r="F257" s="4">
        <f t="shared" si="17"/>
        <v>3258</v>
      </c>
      <c r="G257" s="4">
        <f t="shared" si="17"/>
        <v>3258</v>
      </c>
    </row>
    <row r="258" spans="1:7" ht="31.5" x14ac:dyDescent="0.25">
      <c r="A258" s="25" t="s">
        <v>522</v>
      </c>
      <c r="B258" s="20" t="s">
        <v>166</v>
      </c>
      <c r="C258" s="20" t="s">
        <v>315</v>
      </c>
      <c r="D258" s="20" t="s">
        <v>1093</v>
      </c>
      <c r="E258" s="20"/>
      <c r="F258" s="6">
        <f>F259</f>
        <v>3258</v>
      </c>
      <c r="G258" s="6">
        <f>G259</f>
        <v>3258</v>
      </c>
    </row>
    <row r="259" spans="1:7" ht="31.5" x14ac:dyDescent="0.25">
      <c r="A259" s="25" t="s">
        <v>147</v>
      </c>
      <c r="B259" s="20" t="s">
        <v>166</v>
      </c>
      <c r="C259" s="20" t="s">
        <v>315</v>
      </c>
      <c r="D259" s="20" t="s">
        <v>1093</v>
      </c>
      <c r="E259" s="20" t="s">
        <v>148</v>
      </c>
      <c r="F259" s="6">
        <f>F260</f>
        <v>3258</v>
      </c>
      <c r="G259" s="6">
        <f>G260</f>
        <v>3258</v>
      </c>
    </row>
    <row r="260" spans="1:7" ht="47.25" x14ac:dyDescent="0.25">
      <c r="A260" s="25" t="s">
        <v>149</v>
      </c>
      <c r="B260" s="20" t="s">
        <v>166</v>
      </c>
      <c r="C260" s="20" t="s">
        <v>315</v>
      </c>
      <c r="D260" s="20" t="s">
        <v>1093</v>
      </c>
      <c r="E260" s="20" t="s">
        <v>150</v>
      </c>
      <c r="F260" s="6">
        <f>'пр.5.1.ведом.21-22'!G878</f>
        <v>3258</v>
      </c>
      <c r="G260" s="6">
        <f>'пр.5.1.ведом.21-22'!H878</f>
        <v>3258</v>
      </c>
    </row>
    <row r="261" spans="1:7" ht="15.75" x14ac:dyDescent="0.25">
      <c r="A261" s="23" t="s">
        <v>524</v>
      </c>
      <c r="B261" s="24" t="s">
        <v>166</v>
      </c>
      <c r="C261" s="24" t="s">
        <v>235</v>
      </c>
      <c r="D261" s="20"/>
      <c r="E261" s="24"/>
      <c r="F261" s="4">
        <f t="shared" ref="F261:G261" si="18">F262</f>
        <v>3189</v>
      </c>
      <c r="G261" s="4">
        <f t="shared" si="18"/>
        <v>3278</v>
      </c>
    </row>
    <row r="262" spans="1:7" ht="63" x14ac:dyDescent="0.25">
      <c r="A262" s="34" t="s">
        <v>1434</v>
      </c>
      <c r="B262" s="24" t="s">
        <v>166</v>
      </c>
      <c r="C262" s="24" t="s">
        <v>235</v>
      </c>
      <c r="D262" s="24" t="s">
        <v>526</v>
      </c>
      <c r="E262" s="24"/>
      <c r="F262" s="59">
        <f>F263+F267</f>
        <v>3189</v>
      </c>
      <c r="G262" s="59">
        <f>G263+G267</f>
        <v>3278</v>
      </c>
    </row>
    <row r="263" spans="1:7" ht="31.5" hidden="1" x14ac:dyDescent="0.25">
      <c r="A263" s="34" t="s">
        <v>1150</v>
      </c>
      <c r="B263" s="24" t="s">
        <v>166</v>
      </c>
      <c r="C263" s="24" t="s">
        <v>235</v>
      </c>
      <c r="D263" s="7" t="s">
        <v>1094</v>
      </c>
      <c r="E263" s="24"/>
      <c r="F263" s="59">
        <f>F264</f>
        <v>0</v>
      </c>
      <c r="G263" s="59">
        <f>G264</f>
        <v>0</v>
      </c>
    </row>
    <row r="264" spans="1:7" ht="31.5" hidden="1" x14ac:dyDescent="0.25">
      <c r="A264" s="29" t="s">
        <v>1152</v>
      </c>
      <c r="B264" s="20" t="s">
        <v>166</v>
      </c>
      <c r="C264" s="20" t="s">
        <v>235</v>
      </c>
      <c r="D264" s="40" t="s">
        <v>1151</v>
      </c>
      <c r="E264" s="20"/>
      <c r="F264" s="6">
        <f>'Пр.3 Рд,пр, ЦС,ВР 20'!F274</f>
        <v>0</v>
      </c>
      <c r="G264" s="6">
        <f t="shared" si="12"/>
        <v>0</v>
      </c>
    </row>
    <row r="265" spans="1:7" ht="31.5" hidden="1" x14ac:dyDescent="0.25">
      <c r="A265" s="25" t="s">
        <v>147</v>
      </c>
      <c r="B265" s="20" t="s">
        <v>166</v>
      </c>
      <c r="C265" s="20" t="s">
        <v>235</v>
      </c>
      <c r="D265" s="40" t="s">
        <v>1151</v>
      </c>
      <c r="E265" s="20" t="s">
        <v>148</v>
      </c>
      <c r="F265" s="6">
        <f>'Пр.3 Рд,пр, ЦС,ВР 20'!F275</f>
        <v>0</v>
      </c>
      <c r="G265" s="6">
        <f t="shared" si="12"/>
        <v>0</v>
      </c>
    </row>
    <row r="266" spans="1:7" ht="47.25" hidden="1" x14ac:dyDescent="0.25">
      <c r="A266" s="25" t="s">
        <v>149</v>
      </c>
      <c r="B266" s="20" t="s">
        <v>166</v>
      </c>
      <c r="C266" s="20" t="s">
        <v>235</v>
      </c>
      <c r="D266" s="40" t="s">
        <v>1151</v>
      </c>
      <c r="E266" s="20" t="s">
        <v>150</v>
      </c>
      <c r="F266" s="6">
        <f>'Пр.3 Рд,пр, ЦС,ВР 20'!F276</f>
        <v>0</v>
      </c>
      <c r="G266" s="6">
        <f t="shared" si="12"/>
        <v>0</v>
      </c>
    </row>
    <row r="267" spans="1:7" ht="47.25" x14ac:dyDescent="0.25">
      <c r="A267" s="34" t="s">
        <v>1237</v>
      </c>
      <c r="B267" s="24" t="s">
        <v>166</v>
      </c>
      <c r="C267" s="24" t="s">
        <v>235</v>
      </c>
      <c r="D267" s="24" t="s">
        <v>1095</v>
      </c>
      <c r="E267" s="24"/>
      <c r="F267" s="305">
        <f t="shared" ref="F267:G269" si="19">F268</f>
        <v>3189</v>
      </c>
      <c r="G267" s="305">
        <f t="shared" si="19"/>
        <v>3278</v>
      </c>
    </row>
    <row r="268" spans="1:7" ht="15.75" x14ac:dyDescent="0.25">
      <c r="A268" s="29" t="s">
        <v>527</v>
      </c>
      <c r="B268" s="20" t="s">
        <v>166</v>
      </c>
      <c r="C268" s="20" t="s">
        <v>235</v>
      </c>
      <c r="D268" s="40" t="s">
        <v>1153</v>
      </c>
      <c r="E268" s="20"/>
      <c r="F268" s="6">
        <f t="shared" si="19"/>
        <v>3189</v>
      </c>
      <c r="G268" s="6">
        <f t="shared" si="19"/>
        <v>3278</v>
      </c>
    </row>
    <row r="269" spans="1:7" ht="31.5" x14ac:dyDescent="0.25">
      <c r="A269" s="25" t="s">
        <v>147</v>
      </c>
      <c r="B269" s="20" t="s">
        <v>166</v>
      </c>
      <c r="C269" s="20" t="s">
        <v>235</v>
      </c>
      <c r="D269" s="40" t="s">
        <v>1153</v>
      </c>
      <c r="E269" s="20" t="s">
        <v>148</v>
      </c>
      <c r="F269" s="6">
        <f t="shared" si="19"/>
        <v>3189</v>
      </c>
      <c r="G269" s="6">
        <f t="shared" si="19"/>
        <v>3278</v>
      </c>
    </row>
    <row r="270" spans="1:7" ht="47.25" x14ac:dyDescent="0.25">
      <c r="A270" s="25" t="s">
        <v>149</v>
      </c>
      <c r="B270" s="20" t="s">
        <v>166</v>
      </c>
      <c r="C270" s="20" t="s">
        <v>235</v>
      </c>
      <c r="D270" s="40" t="s">
        <v>1153</v>
      </c>
      <c r="E270" s="20" t="s">
        <v>150</v>
      </c>
      <c r="F270" s="6">
        <f>'пр.5.1.ведом.21-22'!G888</f>
        <v>3189</v>
      </c>
      <c r="G270" s="6">
        <f>'пр.5.1.ведом.21-22'!H888</f>
        <v>3278</v>
      </c>
    </row>
    <row r="271" spans="1:7" ht="15.75" hidden="1" x14ac:dyDescent="0.25">
      <c r="A271" s="25" t="s">
        <v>151</v>
      </c>
      <c r="B271" s="20" t="s">
        <v>166</v>
      </c>
      <c r="C271" s="20" t="s">
        <v>235</v>
      </c>
      <c r="D271" s="40" t="s">
        <v>1153</v>
      </c>
      <c r="E271" s="20" t="s">
        <v>161</v>
      </c>
      <c r="F271" s="6">
        <f>'Пр.3 Рд,пр, ЦС,ВР 20'!F283</f>
        <v>0</v>
      </c>
      <c r="G271" s="6">
        <f t="shared" si="12"/>
        <v>0</v>
      </c>
    </row>
    <row r="272" spans="1:7" ht="31.5" hidden="1" x14ac:dyDescent="0.25">
      <c r="A272" s="25" t="s">
        <v>584</v>
      </c>
      <c r="B272" s="20" t="s">
        <v>166</v>
      </c>
      <c r="C272" s="20" t="s">
        <v>235</v>
      </c>
      <c r="D272" s="40" t="s">
        <v>1153</v>
      </c>
      <c r="E272" s="20" t="s">
        <v>154</v>
      </c>
      <c r="F272" s="6">
        <f>'Пр.3 Рд,пр, ЦС,ВР 20'!F284</f>
        <v>0</v>
      </c>
      <c r="G272" s="6">
        <f t="shared" si="12"/>
        <v>0</v>
      </c>
    </row>
    <row r="273" spans="1:7" ht="31.5" x14ac:dyDescent="0.25">
      <c r="A273" s="23" t="s">
        <v>253</v>
      </c>
      <c r="B273" s="24" t="s">
        <v>166</v>
      </c>
      <c r="C273" s="24" t="s">
        <v>254</v>
      </c>
      <c r="D273" s="24"/>
      <c r="E273" s="24"/>
      <c r="F273" s="59">
        <f>F274+F281+F308</f>
        <v>858.8</v>
      </c>
      <c r="G273" s="59">
        <f>G274+G281+G308</f>
        <v>737.5</v>
      </c>
    </row>
    <row r="274" spans="1:7" ht="31.5" x14ac:dyDescent="0.25">
      <c r="A274" s="23" t="s">
        <v>990</v>
      </c>
      <c r="B274" s="24" t="s">
        <v>166</v>
      </c>
      <c r="C274" s="24" t="s">
        <v>254</v>
      </c>
      <c r="D274" s="24" t="s">
        <v>904</v>
      </c>
      <c r="E274" s="24"/>
      <c r="F274" s="59">
        <f>F275</f>
        <v>288.8</v>
      </c>
      <c r="G274" s="59">
        <f>G275</f>
        <v>288.8</v>
      </c>
    </row>
    <row r="275" spans="1:7" ht="47.25" x14ac:dyDescent="0.25">
      <c r="A275" s="23" t="s">
        <v>932</v>
      </c>
      <c r="B275" s="24" t="s">
        <v>166</v>
      </c>
      <c r="C275" s="24" t="s">
        <v>254</v>
      </c>
      <c r="D275" s="24" t="s">
        <v>909</v>
      </c>
      <c r="E275" s="24"/>
      <c r="F275" s="59">
        <f>F276</f>
        <v>288.8</v>
      </c>
      <c r="G275" s="59">
        <f>G276</f>
        <v>288.8</v>
      </c>
    </row>
    <row r="276" spans="1:7" ht="78.75" x14ac:dyDescent="0.25">
      <c r="A276" s="31" t="s">
        <v>257</v>
      </c>
      <c r="B276" s="20" t="s">
        <v>166</v>
      </c>
      <c r="C276" s="20" t="s">
        <v>254</v>
      </c>
      <c r="D276" s="20" t="s">
        <v>997</v>
      </c>
      <c r="E276" s="20"/>
      <c r="F276" s="6">
        <f>F277+F279</f>
        <v>288.8</v>
      </c>
      <c r="G276" s="6">
        <f>G277+G279</f>
        <v>288.8</v>
      </c>
    </row>
    <row r="277" spans="1:7" ht="94.5" x14ac:dyDescent="0.25">
      <c r="A277" s="25" t="s">
        <v>143</v>
      </c>
      <c r="B277" s="20" t="s">
        <v>166</v>
      </c>
      <c r="C277" s="20" t="s">
        <v>254</v>
      </c>
      <c r="D277" s="20" t="s">
        <v>997</v>
      </c>
      <c r="E277" s="20" t="s">
        <v>144</v>
      </c>
      <c r="F277" s="6">
        <f>F278</f>
        <v>187</v>
      </c>
      <c r="G277" s="6">
        <f>G278</f>
        <v>187</v>
      </c>
    </row>
    <row r="278" spans="1:7" ht="47.25" x14ac:dyDescent="0.25">
      <c r="A278" s="25" t="s">
        <v>145</v>
      </c>
      <c r="B278" s="20" t="s">
        <v>166</v>
      </c>
      <c r="C278" s="20" t="s">
        <v>254</v>
      </c>
      <c r="D278" s="20" t="s">
        <v>997</v>
      </c>
      <c r="E278" s="20" t="s">
        <v>146</v>
      </c>
      <c r="F278" s="6">
        <f>'пр.5.1.ведом.21-22'!G179</f>
        <v>187</v>
      </c>
      <c r="G278" s="6">
        <f>'пр.5.1.ведом.21-22'!H179</f>
        <v>187</v>
      </c>
    </row>
    <row r="279" spans="1:7" ht="31.5" x14ac:dyDescent="0.25">
      <c r="A279" s="25" t="s">
        <v>147</v>
      </c>
      <c r="B279" s="20" t="s">
        <v>166</v>
      </c>
      <c r="C279" s="20" t="s">
        <v>254</v>
      </c>
      <c r="D279" s="20" t="s">
        <v>997</v>
      </c>
      <c r="E279" s="20" t="s">
        <v>148</v>
      </c>
      <c r="F279" s="6">
        <f>F280</f>
        <v>101.8</v>
      </c>
      <c r="G279" s="6">
        <f>G280</f>
        <v>101.8</v>
      </c>
    </row>
    <row r="280" spans="1:7" ht="47.25" x14ac:dyDescent="0.25">
      <c r="A280" s="25" t="s">
        <v>149</v>
      </c>
      <c r="B280" s="20" t="s">
        <v>166</v>
      </c>
      <c r="C280" s="20" t="s">
        <v>254</v>
      </c>
      <c r="D280" s="20" t="s">
        <v>997</v>
      </c>
      <c r="E280" s="20" t="s">
        <v>150</v>
      </c>
      <c r="F280" s="6">
        <f>'пр.5.1.ведом.21-22'!G181</f>
        <v>101.8</v>
      </c>
      <c r="G280" s="6">
        <f>'пр.5.1.ведом.21-22'!H181</f>
        <v>101.8</v>
      </c>
    </row>
    <row r="281" spans="1:7" ht="63" x14ac:dyDescent="0.25">
      <c r="A281" s="23" t="s">
        <v>1422</v>
      </c>
      <c r="B281" s="24" t="s">
        <v>166</v>
      </c>
      <c r="C281" s="24" t="s">
        <v>254</v>
      </c>
      <c r="D281" s="24" t="s">
        <v>360</v>
      </c>
      <c r="E281" s="231"/>
      <c r="F281" s="59">
        <f>F282</f>
        <v>570</v>
      </c>
      <c r="G281" s="59">
        <f>G282</f>
        <v>448.7</v>
      </c>
    </row>
    <row r="282" spans="1:7" ht="63" x14ac:dyDescent="0.25">
      <c r="A282" s="23" t="s">
        <v>383</v>
      </c>
      <c r="B282" s="24" t="s">
        <v>166</v>
      </c>
      <c r="C282" s="24" t="s">
        <v>254</v>
      </c>
      <c r="D282" s="24" t="s">
        <v>384</v>
      </c>
      <c r="E282" s="24"/>
      <c r="F282" s="59">
        <f>F283+F290+F297+F304</f>
        <v>570</v>
      </c>
      <c r="G282" s="59">
        <f>G283+G290+G297+G304</f>
        <v>448.7</v>
      </c>
    </row>
    <row r="283" spans="1:7" ht="47.25" hidden="1" x14ac:dyDescent="0.25">
      <c r="A283" s="223" t="s">
        <v>1211</v>
      </c>
      <c r="B283" s="24" t="s">
        <v>166</v>
      </c>
      <c r="C283" s="24" t="s">
        <v>254</v>
      </c>
      <c r="D283" s="24" t="s">
        <v>937</v>
      </c>
      <c r="E283" s="24"/>
      <c r="F283" s="59">
        <f>F284+F287</f>
        <v>0</v>
      </c>
      <c r="G283" s="59">
        <f>G284+G287</f>
        <v>0</v>
      </c>
    </row>
    <row r="284" spans="1:7" ht="63" hidden="1" x14ac:dyDescent="0.25">
      <c r="A284" s="25" t="s">
        <v>391</v>
      </c>
      <c r="B284" s="20" t="s">
        <v>166</v>
      </c>
      <c r="C284" s="20" t="s">
        <v>254</v>
      </c>
      <c r="D284" s="20" t="s">
        <v>1212</v>
      </c>
      <c r="E284" s="20"/>
      <c r="F284" s="6">
        <f>'Пр.3 Рд,пр, ЦС,ВР 20'!F301</f>
        <v>0</v>
      </c>
      <c r="G284" s="6">
        <f t="shared" ref="G284:G343" si="20">F284</f>
        <v>0</v>
      </c>
    </row>
    <row r="285" spans="1:7" ht="31.5" hidden="1" x14ac:dyDescent="0.25">
      <c r="A285" s="25" t="s">
        <v>264</v>
      </c>
      <c r="B285" s="20" t="s">
        <v>166</v>
      </c>
      <c r="C285" s="20" t="s">
        <v>254</v>
      </c>
      <c r="D285" s="20" t="s">
        <v>1212</v>
      </c>
      <c r="E285" s="20" t="s">
        <v>265</v>
      </c>
      <c r="F285" s="6">
        <f>'Пр.3 Рд,пр, ЦС,ВР 20'!F302</f>
        <v>0</v>
      </c>
      <c r="G285" s="6">
        <f t="shared" si="20"/>
        <v>0</v>
      </c>
    </row>
    <row r="286" spans="1:7" ht="47.25" hidden="1" x14ac:dyDescent="0.25">
      <c r="A286" s="25" t="s">
        <v>266</v>
      </c>
      <c r="B286" s="20" t="s">
        <v>166</v>
      </c>
      <c r="C286" s="20" t="s">
        <v>254</v>
      </c>
      <c r="D286" s="20" t="s">
        <v>1212</v>
      </c>
      <c r="E286" s="20" t="s">
        <v>267</v>
      </c>
      <c r="F286" s="6">
        <f>'Пр.3 Рд,пр, ЦС,ВР 20'!F303</f>
        <v>0</v>
      </c>
      <c r="G286" s="6">
        <f t="shared" si="20"/>
        <v>0</v>
      </c>
    </row>
    <row r="287" spans="1:7" ht="63" hidden="1" x14ac:dyDescent="0.25">
      <c r="A287" s="25" t="s">
        <v>391</v>
      </c>
      <c r="B287" s="20" t="s">
        <v>166</v>
      </c>
      <c r="C287" s="20" t="s">
        <v>254</v>
      </c>
      <c r="D287" s="20" t="s">
        <v>1213</v>
      </c>
      <c r="E287" s="20"/>
      <c r="F287" s="6">
        <f>'Пр.3 Рд,пр, ЦС,ВР 20'!F304</f>
        <v>0</v>
      </c>
      <c r="G287" s="6">
        <f t="shared" si="20"/>
        <v>0</v>
      </c>
    </row>
    <row r="288" spans="1:7" ht="31.5" hidden="1" x14ac:dyDescent="0.25">
      <c r="A288" s="25" t="s">
        <v>264</v>
      </c>
      <c r="B288" s="20" t="s">
        <v>166</v>
      </c>
      <c r="C288" s="20" t="s">
        <v>254</v>
      </c>
      <c r="D288" s="20" t="s">
        <v>1213</v>
      </c>
      <c r="E288" s="20" t="s">
        <v>265</v>
      </c>
      <c r="F288" s="6">
        <f>'Пр.3 Рд,пр, ЦС,ВР 20'!F305</f>
        <v>0</v>
      </c>
      <c r="G288" s="6">
        <f t="shared" si="20"/>
        <v>0</v>
      </c>
    </row>
    <row r="289" spans="1:7" ht="47.25" hidden="1" x14ac:dyDescent="0.25">
      <c r="A289" s="25" t="s">
        <v>266</v>
      </c>
      <c r="B289" s="20" t="s">
        <v>166</v>
      </c>
      <c r="C289" s="20" t="s">
        <v>254</v>
      </c>
      <c r="D289" s="20" t="s">
        <v>1213</v>
      </c>
      <c r="E289" s="20" t="s">
        <v>267</v>
      </c>
      <c r="F289" s="6">
        <f>'Пр.3 Рд,пр, ЦС,ВР 20'!F306</f>
        <v>0</v>
      </c>
      <c r="G289" s="6">
        <f t="shared" si="20"/>
        <v>0</v>
      </c>
    </row>
    <row r="290" spans="1:7" ht="47.25" x14ac:dyDescent="0.25">
      <c r="A290" s="23" t="s">
        <v>1209</v>
      </c>
      <c r="B290" s="24" t="s">
        <v>166</v>
      </c>
      <c r="C290" s="24" t="s">
        <v>254</v>
      </c>
      <c r="D290" s="24" t="s">
        <v>938</v>
      </c>
      <c r="E290" s="24"/>
      <c r="F290" s="59">
        <f>F291+F294</f>
        <v>560</v>
      </c>
      <c r="G290" s="59">
        <f>G291+G294</f>
        <v>438.7</v>
      </c>
    </row>
    <row r="291" spans="1:7" ht="31.5" x14ac:dyDescent="0.25">
      <c r="A291" s="25" t="s">
        <v>1210</v>
      </c>
      <c r="B291" s="20" t="s">
        <v>166</v>
      </c>
      <c r="C291" s="20" t="s">
        <v>254</v>
      </c>
      <c r="D291" s="20" t="s">
        <v>1214</v>
      </c>
      <c r="E291" s="20"/>
      <c r="F291" s="6">
        <f>F292</f>
        <v>60</v>
      </c>
      <c r="G291" s="6">
        <f>G292</f>
        <v>60</v>
      </c>
    </row>
    <row r="292" spans="1:7" ht="15.75" x14ac:dyDescent="0.25">
      <c r="A292" s="25" t="s">
        <v>151</v>
      </c>
      <c r="B292" s="20" t="s">
        <v>166</v>
      </c>
      <c r="C292" s="20" t="s">
        <v>254</v>
      </c>
      <c r="D292" s="20" t="s">
        <v>1214</v>
      </c>
      <c r="E292" s="20" t="s">
        <v>161</v>
      </c>
      <c r="F292" s="6">
        <f>F293</f>
        <v>60</v>
      </c>
      <c r="G292" s="6">
        <f>G293</f>
        <v>60</v>
      </c>
    </row>
    <row r="293" spans="1:7" ht="63" x14ac:dyDescent="0.25">
      <c r="A293" s="25" t="s">
        <v>200</v>
      </c>
      <c r="B293" s="20" t="s">
        <v>166</v>
      </c>
      <c r="C293" s="20" t="s">
        <v>254</v>
      </c>
      <c r="D293" s="20" t="s">
        <v>1214</v>
      </c>
      <c r="E293" s="20" t="s">
        <v>176</v>
      </c>
      <c r="F293" s="6">
        <f>'пр.5.1.ведом.21-22'!G262</f>
        <v>60</v>
      </c>
      <c r="G293" s="6">
        <f>'пр.5.1.ведом.21-22'!H262</f>
        <v>60</v>
      </c>
    </row>
    <row r="294" spans="1:7" ht="126" x14ac:dyDescent="0.25">
      <c r="A294" s="25" t="s">
        <v>389</v>
      </c>
      <c r="B294" s="20" t="s">
        <v>166</v>
      </c>
      <c r="C294" s="20" t="s">
        <v>254</v>
      </c>
      <c r="D294" s="20" t="s">
        <v>1215</v>
      </c>
      <c r="E294" s="20"/>
      <c r="F294" s="6">
        <f>F295</f>
        <v>500</v>
      </c>
      <c r="G294" s="6">
        <f>G295</f>
        <v>378.7</v>
      </c>
    </row>
    <row r="295" spans="1:7" ht="15.75" x14ac:dyDescent="0.25">
      <c r="A295" s="25" t="s">
        <v>151</v>
      </c>
      <c r="B295" s="20" t="s">
        <v>166</v>
      </c>
      <c r="C295" s="20" t="s">
        <v>254</v>
      </c>
      <c r="D295" s="20" t="s">
        <v>1215</v>
      </c>
      <c r="E295" s="20" t="s">
        <v>161</v>
      </c>
      <c r="F295" s="6">
        <f>F296</f>
        <v>500</v>
      </c>
      <c r="G295" s="6">
        <f>G296</f>
        <v>378.7</v>
      </c>
    </row>
    <row r="296" spans="1:7" ht="63" x14ac:dyDescent="0.25">
      <c r="A296" s="25" t="s">
        <v>200</v>
      </c>
      <c r="B296" s="20" t="s">
        <v>166</v>
      </c>
      <c r="C296" s="20" t="s">
        <v>254</v>
      </c>
      <c r="D296" s="20" t="s">
        <v>1215</v>
      </c>
      <c r="E296" s="20" t="s">
        <v>176</v>
      </c>
      <c r="F296" s="6">
        <f>'пр.5.1.ведом.21-22'!G265</f>
        <v>500</v>
      </c>
      <c r="G296" s="6">
        <f>'пр.5.1.ведом.21-22'!H264</f>
        <v>378.7</v>
      </c>
    </row>
    <row r="297" spans="1:7" ht="31.5" x14ac:dyDescent="0.25">
      <c r="A297" s="23" t="s">
        <v>1145</v>
      </c>
      <c r="B297" s="24" t="s">
        <v>166</v>
      </c>
      <c r="C297" s="24" t="s">
        <v>254</v>
      </c>
      <c r="D297" s="24" t="s">
        <v>939</v>
      </c>
      <c r="E297" s="24"/>
      <c r="F297" s="59">
        <f>F298+F301</f>
        <v>0</v>
      </c>
      <c r="G297" s="59">
        <f>G298+G301</f>
        <v>0</v>
      </c>
    </row>
    <row r="298" spans="1:7" ht="47.25" x14ac:dyDescent="0.25">
      <c r="A298" s="267" t="s">
        <v>1218</v>
      </c>
      <c r="B298" s="20" t="s">
        <v>166</v>
      </c>
      <c r="C298" s="20" t="s">
        <v>254</v>
      </c>
      <c r="D298" s="20" t="s">
        <v>1216</v>
      </c>
      <c r="E298" s="20"/>
      <c r="F298" s="6">
        <f>'Пр.3 Рд,пр, ЦС,ВР 20'!F315</f>
        <v>0</v>
      </c>
      <c r="G298" s="6">
        <f t="shared" si="20"/>
        <v>0</v>
      </c>
    </row>
    <row r="299" spans="1:7" ht="31.5" x14ac:dyDescent="0.25">
      <c r="A299" s="25" t="s">
        <v>147</v>
      </c>
      <c r="B299" s="20" t="s">
        <v>166</v>
      </c>
      <c r="C299" s="20" t="s">
        <v>254</v>
      </c>
      <c r="D299" s="20" t="s">
        <v>1216</v>
      </c>
      <c r="E299" s="20" t="s">
        <v>148</v>
      </c>
      <c r="F299" s="6">
        <f>'Пр.3 Рд,пр, ЦС,ВР 20'!F316</f>
        <v>0</v>
      </c>
      <c r="G299" s="6">
        <f t="shared" si="20"/>
        <v>0</v>
      </c>
    </row>
    <row r="300" spans="1:7" ht="47.25" x14ac:dyDescent="0.25">
      <c r="A300" s="25" t="s">
        <v>149</v>
      </c>
      <c r="B300" s="20" t="s">
        <v>166</v>
      </c>
      <c r="C300" s="20" t="s">
        <v>254</v>
      </c>
      <c r="D300" s="20" t="s">
        <v>1216</v>
      </c>
      <c r="E300" s="20" t="s">
        <v>150</v>
      </c>
      <c r="F300" s="6">
        <f>'Пр.3 Рд,пр, ЦС,ВР 20'!F317</f>
        <v>0</v>
      </c>
      <c r="G300" s="6">
        <f t="shared" si="20"/>
        <v>0</v>
      </c>
    </row>
    <row r="301" spans="1:7" ht="47.25" x14ac:dyDescent="0.25">
      <c r="A301" s="25" t="s">
        <v>393</v>
      </c>
      <c r="B301" s="20" t="s">
        <v>166</v>
      </c>
      <c r="C301" s="20" t="s">
        <v>254</v>
      </c>
      <c r="D301" s="20" t="s">
        <v>1217</v>
      </c>
      <c r="E301" s="20"/>
      <c r="F301" s="6">
        <f>'Пр.3 Рд,пр, ЦС,ВР 20'!F318</f>
        <v>0</v>
      </c>
      <c r="G301" s="6">
        <f t="shared" si="20"/>
        <v>0</v>
      </c>
    </row>
    <row r="302" spans="1:7" ht="31.5" x14ac:dyDescent="0.25">
      <c r="A302" s="25" t="s">
        <v>147</v>
      </c>
      <c r="B302" s="20" t="s">
        <v>166</v>
      </c>
      <c r="C302" s="20" t="s">
        <v>254</v>
      </c>
      <c r="D302" s="20" t="s">
        <v>1217</v>
      </c>
      <c r="E302" s="20" t="s">
        <v>148</v>
      </c>
      <c r="F302" s="6">
        <f>'Пр.3 Рд,пр, ЦС,ВР 20'!F319</f>
        <v>0</v>
      </c>
      <c r="G302" s="6">
        <f t="shared" si="20"/>
        <v>0</v>
      </c>
    </row>
    <row r="303" spans="1:7" ht="47.25" x14ac:dyDescent="0.25">
      <c r="A303" s="25" t="s">
        <v>149</v>
      </c>
      <c r="B303" s="20" t="s">
        <v>166</v>
      </c>
      <c r="C303" s="20" t="s">
        <v>254</v>
      </c>
      <c r="D303" s="20" t="s">
        <v>1217</v>
      </c>
      <c r="E303" s="20" t="s">
        <v>150</v>
      </c>
      <c r="F303" s="6">
        <f>'Пр.3 Рд,пр, ЦС,ВР 20'!F320</f>
        <v>0</v>
      </c>
      <c r="G303" s="6">
        <f t="shared" si="20"/>
        <v>0</v>
      </c>
    </row>
    <row r="304" spans="1:7" s="213" customFormat="1" ht="47.25" x14ac:dyDescent="0.25">
      <c r="A304" s="220" t="s">
        <v>1309</v>
      </c>
      <c r="B304" s="24" t="s">
        <v>166</v>
      </c>
      <c r="C304" s="24" t="s">
        <v>254</v>
      </c>
      <c r="D304" s="24" t="s">
        <v>1308</v>
      </c>
      <c r="E304" s="24"/>
      <c r="F304" s="21">
        <f t="shared" ref="F304:G306" si="21">F305</f>
        <v>10</v>
      </c>
      <c r="G304" s="21">
        <f t="shared" si="21"/>
        <v>10</v>
      </c>
    </row>
    <row r="305" spans="1:7" s="213" customFormat="1" ht="31.5" x14ac:dyDescent="0.25">
      <c r="A305" s="245" t="s">
        <v>1310</v>
      </c>
      <c r="B305" s="20" t="s">
        <v>166</v>
      </c>
      <c r="C305" s="20" t="s">
        <v>254</v>
      </c>
      <c r="D305" s="20" t="s">
        <v>1359</v>
      </c>
      <c r="E305" s="20"/>
      <c r="F305" s="26">
        <f t="shared" si="21"/>
        <v>10</v>
      </c>
      <c r="G305" s="6">
        <f t="shared" si="21"/>
        <v>10</v>
      </c>
    </row>
    <row r="306" spans="1:7" s="213" customFormat="1" ht="31.5" x14ac:dyDescent="0.25">
      <c r="A306" s="25" t="s">
        <v>147</v>
      </c>
      <c r="B306" s="20" t="s">
        <v>166</v>
      </c>
      <c r="C306" s="20" t="s">
        <v>254</v>
      </c>
      <c r="D306" s="20" t="s">
        <v>1359</v>
      </c>
      <c r="E306" s="20" t="s">
        <v>148</v>
      </c>
      <c r="F306" s="26">
        <f t="shared" si="21"/>
        <v>10</v>
      </c>
      <c r="G306" s="6">
        <f t="shared" si="21"/>
        <v>10</v>
      </c>
    </row>
    <row r="307" spans="1:7" s="213" customFormat="1" ht="47.25" x14ac:dyDescent="0.25">
      <c r="A307" s="25" t="s">
        <v>149</v>
      </c>
      <c r="B307" s="20" t="s">
        <v>166</v>
      </c>
      <c r="C307" s="20" t="s">
        <v>254</v>
      </c>
      <c r="D307" s="20" t="s">
        <v>1359</v>
      </c>
      <c r="E307" s="20" t="s">
        <v>150</v>
      </c>
      <c r="F307" s="26">
        <f>'пр.5.1.ведом.21-22'!G276</f>
        <v>10</v>
      </c>
      <c r="G307" s="6">
        <f>'пр.5.1.ведом.21-22'!H276</f>
        <v>10</v>
      </c>
    </row>
    <row r="308" spans="1:7" ht="63" hidden="1" x14ac:dyDescent="0.25">
      <c r="A308" s="23" t="s">
        <v>1439</v>
      </c>
      <c r="B308" s="24" t="s">
        <v>166</v>
      </c>
      <c r="C308" s="24" t="s">
        <v>254</v>
      </c>
      <c r="D308" s="24" t="s">
        <v>172</v>
      </c>
      <c r="E308" s="24"/>
      <c r="F308" s="59">
        <f>F309</f>
        <v>0</v>
      </c>
      <c r="G308" s="59">
        <f>G309</f>
        <v>0</v>
      </c>
    </row>
    <row r="309" spans="1:7" ht="47.25" hidden="1" x14ac:dyDescent="0.25">
      <c r="A309" s="23" t="s">
        <v>1243</v>
      </c>
      <c r="B309" s="24" t="s">
        <v>166</v>
      </c>
      <c r="C309" s="24" t="s">
        <v>254</v>
      </c>
      <c r="D309" s="24" t="s">
        <v>1240</v>
      </c>
      <c r="E309" s="24"/>
      <c r="F309" s="59">
        <f>F310+F313</f>
        <v>0</v>
      </c>
      <c r="G309" s="59">
        <f>G310+G313</f>
        <v>0</v>
      </c>
    </row>
    <row r="310" spans="1:7" ht="31.5" hidden="1" x14ac:dyDescent="0.25">
      <c r="A310" s="25" t="s">
        <v>1244</v>
      </c>
      <c r="B310" s="20" t="s">
        <v>166</v>
      </c>
      <c r="C310" s="20" t="s">
        <v>254</v>
      </c>
      <c r="D310" s="20" t="s">
        <v>1241</v>
      </c>
      <c r="E310" s="20"/>
      <c r="F310" s="6">
        <f>F311</f>
        <v>0</v>
      </c>
      <c r="G310" s="6">
        <f t="shared" si="20"/>
        <v>0</v>
      </c>
    </row>
    <row r="311" spans="1:7" ht="15.75" hidden="1" x14ac:dyDescent="0.25">
      <c r="A311" s="25" t="s">
        <v>151</v>
      </c>
      <c r="B311" s="20" t="s">
        <v>166</v>
      </c>
      <c r="C311" s="20" t="s">
        <v>254</v>
      </c>
      <c r="D311" s="20" t="s">
        <v>1241</v>
      </c>
      <c r="E311" s="20" t="s">
        <v>161</v>
      </c>
      <c r="F311" s="6">
        <f>F312</f>
        <v>0</v>
      </c>
      <c r="G311" s="6">
        <f t="shared" si="20"/>
        <v>0</v>
      </c>
    </row>
    <row r="312" spans="1:7" ht="63" hidden="1" x14ac:dyDescent="0.25">
      <c r="A312" s="25" t="s">
        <v>200</v>
      </c>
      <c r="B312" s="20" t="s">
        <v>166</v>
      </c>
      <c r="C312" s="20" t="s">
        <v>254</v>
      </c>
      <c r="D312" s="20" t="s">
        <v>1241</v>
      </c>
      <c r="E312" s="20" t="s">
        <v>176</v>
      </c>
      <c r="F312" s="6">
        <v>0</v>
      </c>
      <c r="G312" s="6">
        <f t="shared" si="20"/>
        <v>0</v>
      </c>
    </row>
    <row r="313" spans="1:7" ht="47.25" hidden="1" x14ac:dyDescent="0.25">
      <c r="A313" s="25" t="s">
        <v>255</v>
      </c>
      <c r="B313" s="20" t="s">
        <v>166</v>
      </c>
      <c r="C313" s="20" t="s">
        <v>254</v>
      </c>
      <c r="D313" s="20" t="s">
        <v>1242</v>
      </c>
      <c r="E313" s="24"/>
      <c r="F313" s="6">
        <f>'Пр.3 Рд,пр, ЦС,ВР 20'!F330</f>
        <v>0</v>
      </c>
      <c r="G313" s="6">
        <f t="shared" si="20"/>
        <v>0</v>
      </c>
    </row>
    <row r="314" spans="1:7" ht="15.75" hidden="1" x14ac:dyDescent="0.25">
      <c r="A314" s="25" t="s">
        <v>151</v>
      </c>
      <c r="B314" s="20" t="s">
        <v>166</v>
      </c>
      <c r="C314" s="20" t="s">
        <v>254</v>
      </c>
      <c r="D314" s="20" t="s">
        <v>1242</v>
      </c>
      <c r="E314" s="20" t="s">
        <v>161</v>
      </c>
      <c r="F314" s="6">
        <f>'Пр.3 Рд,пр, ЦС,ВР 20'!F331</f>
        <v>0</v>
      </c>
      <c r="G314" s="6">
        <f t="shared" si="20"/>
        <v>0</v>
      </c>
    </row>
    <row r="315" spans="1:7" ht="63" hidden="1" x14ac:dyDescent="0.25">
      <c r="A315" s="25" t="s">
        <v>200</v>
      </c>
      <c r="B315" s="20" t="s">
        <v>166</v>
      </c>
      <c r="C315" s="20" t="s">
        <v>254</v>
      </c>
      <c r="D315" s="20" t="s">
        <v>1242</v>
      </c>
      <c r="E315" s="20" t="s">
        <v>176</v>
      </c>
      <c r="F315" s="6">
        <f>'Пр.3 Рд,пр, ЦС,ВР 20'!F332</f>
        <v>0</v>
      </c>
      <c r="G315" s="6">
        <f t="shared" si="20"/>
        <v>0</v>
      </c>
    </row>
    <row r="316" spans="1:7" ht="15.75" x14ac:dyDescent="0.25">
      <c r="A316" s="23" t="s">
        <v>406</v>
      </c>
      <c r="B316" s="24" t="s">
        <v>250</v>
      </c>
      <c r="C316" s="24"/>
      <c r="D316" s="24"/>
      <c r="E316" s="24"/>
      <c r="F316" s="4">
        <f>F317++F331+F395+F444</f>
        <v>38717.5</v>
      </c>
      <c r="G316" s="4">
        <f>G317++G331+G395+G444</f>
        <v>44867.9</v>
      </c>
    </row>
    <row r="317" spans="1:7" ht="15.75" x14ac:dyDescent="0.25">
      <c r="A317" s="23" t="s">
        <v>407</v>
      </c>
      <c r="B317" s="24" t="s">
        <v>250</v>
      </c>
      <c r="C317" s="24" t="s">
        <v>134</v>
      </c>
      <c r="D317" s="24"/>
      <c r="E317" s="24"/>
      <c r="F317" s="4">
        <f t="shared" ref="F317:G318" si="22">F318</f>
        <v>6341</v>
      </c>
      <c r="G317" s="4">
        <f t="shared" si="22"/>
        <v>6341</v>
      </c>
    </row>
    <row r="318" spans="1:7" ht="15.75" x14ac:dyDescent="0.25">
      <c r="A318" s="23" t="s">
        <v>157</v>
      </c>
      <c r="B318" s="24" t="s">
        <v>250</v>
      </c>
      <c r="C318" s="24" t="s">
        <v>134</v>
      </c>
      <c r="D318" s="24" t="s">
        <v>912</v>
      </c>
      <c r="E318" s="24"/>
      <c r="F318" s="4">
        <f t="shared" si="22"/>
        <v>6341</v>
      </c>
      <c r="G318" s="4">
        <f t="shared" si="22"/>
        <v>6341</v>
      </c>
    </row>
    <row r="319" spans="1:7" ht="31.5" x14ac:dyDescent="0.25">
      <c r="A319" s="23" t="s">
        <v>916</v>
      </c>
      <c r="B319" s="24" t="s">
        <v>250</v>
      </c>
      <c r="C319" s="24" t="s">
        <v>134</v>
      </c>
      <c r="D319" s="24" t="s">
        <v>911</v>
      </c>
      <c r="E319" s="24"/>
      <c r="F319" s="4">
        <f>F320+F325+F328</f>
        <v>6341</v>
      </c>
      <c r="G319" s="4">
        <f>G320+G325+G328</f>
        <v>6341</v>
      </c>
    </row>
    <row r="320" spans="1:7" ht="31.5" hidden="1" x14ac:dyDescent="0.25">
      <c r="A320" s="25" t="s">
        <v>531</v>
      </c>
      <c r="B320" s="20" t="s">
        <v>797</v>
      </c>
      <c r="C320" s="20" t="s">
        <v>134</v>
      </c>
      <c r="D320" s="20" t="s">
        <v>1096</v>
      </c>
      <c r="E320" s="24"/>
      <c r="F320" s="6">
        <f>F321</f>
        <v>0</v>
      </c>
      <c r="G320" s="6">
        <f>G321</f>
        <v>0</v>
      </c>
    </row>
    <row r="321" spans="1:7" ht="31.5" hidden="1" x14ac:dyDescent="0.25">
      <c r="A321" s="25" t="s">
        <v>147</v>
      </c>
      <c r="B321" s="20" t="s">
        <v>250</v>
      </c>
      <c r="C321" s="20" t="s">
        <v>134</v>
      </c>
      <c r="D321" s="20" t="s">
        <v>1096</v>
      </c>
      <c r="E321" s="20" t="s">
        <v>148</v>
      </c>
      <c r="F321" s="6">
        <f>F322</f>
        <v>0</v>
      </c>
      <c r="G321" s="6">
        <f>G322</f>
        <v>0</v>
      </c>
    </row>
    <row r="322" spans="1:7" ht="47.25" hidden="1" x14ac:dyDescent="0.25">
      <c r="A322" s="25" t="s">
        <v>149</v>
      </c>
      <c r="B322" s="20" t="s">
        <v>250</v>
      </c>
      <c r="C322" s="20" t="s">
        <v>134</v>
      </c>
      <c r="D322" s="20" t="s">
        <v>1096</v>
      </c>
      <c r="E322" s="20" t="s">
        <v>150</v>
      </c>
      <c r="F322" s="6">
        <f>'пр.5.1.ведом.21-22'!G897</f>
        <v>0</v>
      </c>
      <c r="G322" s="6">
        <f>'пр.5.1.ведом.21-22'!H897</f>
        <v>0</v>
      </c>
    </row>
    <row r="323" spans="1:7" ht="15.75" hidden="1" x14ac:dyDescent="0.25">
      <c r="A323" s="25" t="s">
        <v>151</v>
      </c>
      <c r="B323" s="20" t="s">
        <v>250</v>
      </c>
      <c r="C323" s="20" t="s">
        <v>134</v>
      </c>
      <c r="D323" s="20" t="s">
        <v>1096</v>
      </c>
      <c r="E323" s="20" t="s">
        <v>161</v>
      </c>
      <c r="F323" s="6">
        <f>'Пр.3 Рд,пр, ЦС,ВР 20'!F340</f>
        <v>0</v>
      </c>
      <c r="G323" s="6">
        <f t="shared" si="20"/>
        <v>0</v>
      </c>
    </row>
    <row r="324" spans="1:7" ht="63" hidden="1" x14ac:dyDescent="0.25">
      <c r="A324" s="25" t="s">
        <v>200</v>
      </c>
      <c r="B324" s="20" t="s">
        <v>250</v>
      </c>
      <c r="C324" s="20" t="s">
        <v>134</v>
      </c>
      <c r="D324" s="20" t="s">
        <v>1096</v>
      </c>
      <c r="E324" s="20" t="s">
        <v>176</v>
      </c>
      <c r="F324" s="6">
        <f>'Пр.3 Рд,пр, ЦС,ВР 20'!F341</f>
        <v>0</v>
      </c>
      <c r="G324" s="6">
        <f t="shared" si="20"/>
        <v>0</v>
      </c>
    </row>
    <row r="325" spans="1:7" ht="31.5" x14ac:dyDescent="0.25">
      <c r="A325" s="29" t="s">
        <v>414</v>
      </c>
      <c r="B325" s="20" t="s">
        <v>250</v>
      </c>
      <c r="C325" s="20" t="s">
        <v>134</v>
      </c>
      <c r="D325" s="20" t="s">
        <v>1097</v>
      </c>
      <c r="E325" s="24"/>
      <c r="F325" s="6">
        <f>F326</f>
        <v>4290.3999999999996</v>
      </c>
      <c r="G325" s="6">
        <f>G326</f>
        <v>4290.3999999999996</v>
      </c>
    </row>
    <row r="326" spans="1:7" ht="31.5" x14ac:dyDescent="0.25">
      <c r="A326" s="25" t="s">
        <v>147</v>
      </c>
      <c r="B326" s="20" t="s">
        <v>250</v>
      </c>
      <c r="C326" s="20" t="s">
        <v>134</v>
      </c>
      <c r="D326" s="20" t="s">
        <v>1097</v>
      </c>
      <c r="E326" s="20" t="s">
        <v>148</v>
      </c>
      <c r="F326" s="6">
        <f>F327</f>
        <v>4290.3999999999996</v>
      </c>
      <c r="G326" s="6">
        <f>G327</f>
        <v>4290.3999999999996</v>
      </c>
    </row>
    <row r="327" spans="1:7" ht="47.25" x14ac:dyDescent="0.25">
      <c r="A327" s="25" t="s">
        <v>149</v>
      </c>
      <c r="B327" s="20" t="s">
        <v>250</v>
      </c>
      <c r="C327" s="20" t="s">
        <v>134</v>
      </c>
      <c r="D327" s="20" t="s">
        <v>1097</v>
      </c>
      <c r="E327" s="20" t="s">
        <v>150</v>
      </c>
      <c r="F327" s="6">
        <f>'пр.5.1.ведом.21-22'!G902+'пр.5.1.ведом.21-22'!G531</f>
        <v>4290.3999999999996</v>
      </c>
      <c r="G327" s="6">
        <f>'пр.5.1.ведом.21-22'!H902+'пр.5.1.ведом.21-22'!H531</f>
        <v>4290.3999999999996</v>
      </c>
    </row>
    <row r="328" spans="1:7" ht="47.25" x14ac:dyDescent="0.25">
      <c r="A328" s="29" t="s">
        <v>1005</v>
      </c>
      <c r="B328" s="20" t="s">
        <v>250</v>
      </c>
      <c r="C328" s="20" t="s">
        <v>134</v>
      </c>
      <c r="D328" s="20" t="s">
        <v>1098</v>
      </c>
      <c r="E328" s="24"/>
      <c r="F328" s="6">
        <f>F329</f>
        <v>2050.6</v>
      </c>
      <c r="G328" s="6">
        <f>G329</f>
        <v>2050.6</v>
      </c>
    </row>
    <row r="329" spans="1:7" ht="31.5" x14ac:dyDescent="0.25">
      <c r="A329" s="25" t="s">
        <v>147</v>
      </c>
      <c r="B329" s="20" t="s">
        <v>250</v>
      </c>
      <c r="C329" s="20" t="s">
        <v>134</v>
      </c>
      <c r="D329" s="20" t="s">
        <v>1098</v>
      </c>
      <c r="E329" s="20" t="s">
        <v>148</v>
      </c>
      <c r="F329" s="6">
        <f>F330</f>
        <v>2050.6</v>
      </c>
      <c r="G329" s="6">
        <f>G330</f>
        <v>2050.6</v>
      </c>
    </row>
    <row r="330" spans="1:7" ht="47.25" x14ac:dyDescent="0.25">
      <c r="A330" s="25" t="s">
        <v>149</v>
      </c>
      <c r="B330" s="20" t="s">
        <v>250</v>
      </c>
      <c r="C330" s="20" t="s">
        <v>134</v>
      </c>
      <c r="D330" s="20" t="s">
        <v>1098</v>
      </c>
      <c r="E330" s="20" t="s">
        <v>150</v>
      </c>
      <c r="F330" s="6">
        <f>'пр.5.1.ведом.21-22'!G534+'пр.5.1.ведом.21-22'!G905</f>
        <v>2050.6</v>
      </c>
      <c r="G330" s="6">
        <f>'пр.5.1.ведом.21-22'!H534+'пр.5.1.ведом.21-22'!H905</f>
        <v>2050.6</v>
      </c>
    </row>
    <row r="331" spans="1:7" ht="15.75" x14ac:dyDescent="0.25">
      <c r="A331" s="23" t="s">
        <v>533</v>
      </c>
      <c r="B331" s="24" t="s">
        <v>250</v>
      </c>
      <c r="C331" s="24" t="s">
        <v>229</v>
      </c>
      <c r="D331" s="24"/>
      <c r="E331" s="24"/>
      <c r="F331" s="4">
        <f>F361+F332+F390</f>
        <v>5935</v>
      </c>
      <c r="G331" s="4">
        <f>G361+G332+G390</f>
        <v>4693.3999999999996</v>
      </c>
    </row>
    <row r="332" spans="1:7" ht="15.75" x14ac:dyDescent="0.25">
      <c r="A332" s="23" t="s">
        <v>157</v>
      </c>
      <c r="B332" s="24" t="s">
        <v>250</v>
      </c>
      <c r="C332" s="24" t="s">
        <v>229</v>
      </c>
      <c r="D332" s="24" t="s">
        <v>912</v>
      </c>
      <c r="E332" s="24"/>
      <c r="F332" s="4">
        <f>F333+F344</f>
        <v>5000</v>
      </c>
      <c r="G332" s="4">
        <f>G333+G344</f>
        <v>3789.4</v>
      </c>
    </row>
    <row r="333" spans="1:7" ht="31.5" x14ac:dyDescent="0.25">
      <c r="A333" s="23" t="s">
        <v>916</v>
      </c>
      <c r="B333" s="24" t="s">
        <v>250</v>
      </c>
      <c r="C333" s="24" t="s">
        <v>229</v>
      </c>
      <c r="D333" s="24" t="s">
        <v>911</v>
      </c>
      <c r="E333" s="24"/>
      <c r="F333" s="4">
        <f>F334+F339</f>
        <v>5000</v>
      </c>
      <c r="G333" s="4">
        <f>G334+G339</f>
        <v>3789.4</v>
      </c>
    </row>
    <row r="334" spans="1:7" ht="31.5" hidden="1" x14ac:dyDescent="0.25">
      <c r="A334" s="35" t="s">
        <v>553</v>
      </c>
      <c r="B334" s="20" t="s">
        <v>250</v>
      </c>
      <c r="C334" s="20" t="s">
        <v>229</v>
      </c>
      <c r="D334" s="20" t="s">
        <v>1115</v>
      </c>
      <c r="E334" s="20"/>
      <c r="F334" s="6">
        <f>F335+F337</f>
        <v>0</v>
      </c>
      <c r="G334" s="6">
        <f t="shared" si="20"/>
        <v>0</v>
      </c>
    </row>
    <row r="335" spans="1:7" ht="31.5" hidden="1" x14ac:dyDescent="0.25">
      <c r="A335" s="25" t="s">
        <v>147</v>
      </c>
      <c r="B335" s="20" t="s">
        <v>250</v>
      </c>
      <c r="C335" s="20" t="s">
        <v>229</v>
      </c>
      <c r="D335" s="20" t="s">
        <v>1115</v>
      </c>
      <c r="E335" s="20" t="s">
        <v>148</v>
      </c>
      <c r="F335" s="6">
        <f>F336</f>
        <v>0</v>
      </c>
      <c r="G335" s="6">
        <f t="shared" si="20"/>
        <v>0</v>
      </c>
    </row>
    <row r="336" spans="1:7" ht="47.25" hidden="1" x14ac:dyDescent="0.25">
      <c r="A336" s="25" t="s">
        <v>149</v>
      </c>
      <c r="B336" s="20" t="s">
        <v>250</v>
      </c>
      <c r="C336" s="20" t="s">
        <v>229</v>
      </c>
      <c r="D336" s="20" t="s">
        <v>1115</v>
      </c>
      <c r="E336" s="20" t="s">
        <v>150</v>
      </c>
      <c r="F336" s="6">
        <f>'пр.5.1.ведом.21-22'!G911</f>
        <v>0</v>
      </c>
      <c r="G336" s="6">
        <f t="shared" si="20"/>
        <v>0</v>
      </c>
    </row>
    <row r="337" spans="1:7" ht="15.75" hidden="1" x14ac:dyDescent="0.25">
      <c r="A337" s="25" t="s">
        <v>151</v>
      </c>
      <c r="B337" s="20" t="s">
        <v>250</v>
      </c>
      <c r="C337" s="20" t="s">
        <v>229</v>
      </c>
      <c r="D337" s="20" t="s">
        <v>1115</v>
      </c>
      <c r="E337" s="20" t="s">
        <v>161</v>
      </c>
      <c r="F337" s="6">
        <f>F338</f>
        <v>0</v>
      </c>
      <c r="G337" s="6">
        <f t="shared" si="20"/>
        <v>0</v>
      </c>
    </row>
    <row r="338" spans="1:7" ht="63" hidden="1" x14ac:dyDescent="0.25">
      <c r="A338" s="25" t="s">
        <v>200</v>
      </c>
      <c r="B338" s="20" t="s">
        <v>250</v>
      </c>
      <c r="C338" s="20" t="s">
        <v>229</v>
      </c>
      <c r="D338" s="20" t="s">
        <v>1115</v>
      </c>
      <c r="E338" s="20" t="s">
        <v>176</v>
      </c>
      <c r="F338" s="6">
        <f>'пр.5.1.ведом.21-22'!G913</f>
        <v>0</v>
      </c>
      <c r="G338" s="6">
        <f t="shared" si="20"/>
        <v>0</v>
      </c>
    </row>
    <row r="339" spans="1:7" ht="47.25" x14ac:dyDescent="0.25">
      <c r="A339" s="29" t="s">
        <v>1005</v>
      </c>
      <c r="B339" s="20" t="s">
        <v>250</v>
      </c>
      <c r="C339" s="20" t="s">
        <v>229</v>
      </c>
      <c r="D339" s="20" t="s">
        <v>1098</v>
      </c>
      <c r="E339" s="20"/>
      <c r="F339" s="6">
        <f>F340</f>
        <v>5000</v>
      </c>
      <c r="G339" s="6">
        <f>G340</f>
        <v>3789.4</v>
      </c>
    </row>
    <row r="340" spans="1:7" ht="31.5" x14ac:dyDescent="0.25">
      <c r="A340" s="25" t="s">
        <v>147</v>
      </c>
      <c r="B340" s="20" t="s">
        <v>250</v>
      </c>
      <c r="C340" s="20" t="s">
        <v>229</v>
      </c>
      <c r="D340" s="20" t="s">
        <v>1098</v>
      </c>
      <c r="E340" s="20" t="s">
        <v>148</v>
      </c>
      <c r="F340" s="6">
        <f>F341</f>
        <v>5000</v>
      </c>
      <c r="G340" s="6">
        <f>G341</f>
        <v>3789.4</v>
      </c>
    </row>
    <row r="341" spans="1:7" ht="47.25" x14ac:dyDescent="0.25">
      <c r="A341" s="25" t="s">
        <v>149</v>
      </c>
      <c r="B341" s="20" t="s">
        <v>250</v>
      </c>
      <c r="C341" s="20" t="s">
        <v>229</v>
      </c>
      <c r="D341" s="20" t="s">
        <v>1098</v>
      </c>
      <c r="E341" s="20" t="s">
        <v>150</v>
      </c>
      <c r="F341" s="6">
        <f>'пр.5.1.ведом.21-22'!G916</f>
        <v>5000</v>
      </c>
      <c r="G341" s="6">
        <f>'пр.5.1.ведом.21-22'!H916</f>
        <v>3789.4</v>
      </c>
    </row>
    <row r="342" spans="1:7" ht="15.75" hidden="1" x14ac:dyDescent="0.25">
      <c r="A342" s="25" t="s">
        <v>151</v>
      </c>
      <c r="B342" s="20" t="s">
        <v>250</v>
      </c>
      <c r="C342" s="20" t="s">
        <v>229</v>
      </c>
      <c r="D342" s="20" t="s">
        <v>1098</v>
      </c>
      <c r="E342" s="20" t="s">
        <v>161</v>
      </c>
      <c r="F342" s="6">
        <f>'Пр.3 Рд,пр, ЦС,ВР 20'!F365</f>
        <v>0</v>
      </c>
      <c r="G342" s="6">
        <f t="shared" si="20"/>
        <v>0</v>
      </c>
    </row>
    <row r="343" spans="1:7" ht="15.75" hidden="1" x14ac:dyDescent="0.25">
      <c r="A343" s="25" t="s">
        <v>162</v>
      </c>
      <c r="B343" s="20" t="s">
        <v>250</v>
      </c>
      <c r="C343" s="20" t="s">
        <v>229</v>
      </c>
      <c r="D343" s="20" t="s">
        <v>1098</v>
      </c>
      <c r="E343" s="20" t="s">
        <v>163</v>
      </c>
      <c r="F343" s="6">
        <f>'Пр.3 Рд,пр, ЦС,ВР 20'!F366</f>
        <v>0</v>
      </c>
      <c r="G343" s="6">
        <f t="shared" si="20"/>
        <v>0</v>
      </c>
    </row>
    <row r="344" spans="1:7" ht="63" hidden="1" x14ac:dyDescent="0.25">
      <c r="A344" s="23" t="s">
        <v>1171</v>
      </c>
      <c r="B344" s="24" t="s">
        <v>250</v>
      </c>
      <c r="C344" s="24" t="s">
        <v>229</v>
      </c>
      <c r="D344" s="24" t="s">
        <v>1116</v>
      </c>
      <c r="E344" s="24"/>
      <c r="F344" s="4">
        <f>F345+F350+F353+F358</f>
        <v>0</v>
      </c>
      <c r="G344" s="4">
        <f>G345+G350+G353+G358</f>
        <v>0</v>
      </c>
    </row>
    <row r="345" spans="1:7" ht="47.25" hidden="1" x14ac:dyDescent="0.25">
      <c r="A345" s="25" t="s">
        <v>873</v>
      </c>
      <c r="B345" s="20" t="s">
        <v>250</v>
      </c>
      <c r="C345" s="20" t="s">
        <v>229</v>
      </c>
      <c r="D345" s="20" t="s">
        <v>1117</v>
      </c>
      <c r="E345" s="20"/>
      <c r="F345" s="6">
        <f>F346</f>
        <v>0</v>
      </c>
      <c r="G345" s="6">
        <f t="shared" ref="G345:G389" si="23">F345</f>
        <v>0</v>
      </c>
    </row>
    <row r="346" spans="1:7" ht="31.5" hidden="1" x14ac:dyDescent="0.25">
      <c r="A346" s="25" t="s">
        <v>147</v>
      </c>
      <c r="B346" s="20" t="s">
        <v>250</v>
      </c>
      <c r="C346" s="20" t="s">
        <v>229</v>
      </c>
      <c r="D346" s="20" t="s">
        <v>1117</v>
      </c>
      <c r="E346" s="20" t="s">
        <v>148</v>
      </c>
      <c r="F346" s="6">
        <f>F347</f>
        <v>0</v>
      </c>
      <c r="G346" s="6">
        <f t="shared" si="23"/>
        <v>0</v>
      </c>
    </row>
    <row r="347" spans="1:7" ht="47.25" hidden="1" x14ac:dyDescent="0.25">
      <c r="A347" s="25" t="s">
        <v>149</v>
      </c>
      <c r="B347" s="20" t="s">
        <v>250</v>
      </c>
      <c r="C347" s="20" t="s">
        <v>229</v>
      </c>
      <c r="D347" s="20" t="s">
        <v>1117</v>
      </c>
      <c r="E347" s="20" t="s">
        <v>150</v>
      </c>
      <c r="F347" s="6">
        <f>'пр.5.1.ведом.21-22'!G922</f>
        <v>0</v>
      </c>
      <c r="G347" s="6">
        <f t="shared" si="23"/>
        <v>0</v>
      </c>
    </row>
    <row r="348" spans="1:7" ht="15.75" hidden="1" x14ac:dyDescent="0.25">
      <c r="A348" s="25" t="s">
        <v>151</v>
      </c>
      <c r="B348" s="20" t="s">
        <v>250</v>
      </c>
      <c r="C348" s="20" t="s">
        <v>229</v>
      </c>
      <c r="D348" s="20" t="s">
        <v>1117</v>
      </c>
      <c r="E348" s="20" t="s">
        <v>883</v>
      </c>
      <c r="F348" s="6">
        <f>F349</f>
        <v>0</v>
      </c>
      <c r="G348" s="6">
        <f t="shared" si="23"/>
        <v>0</v>
      </c>
    </row>
    <row r="349" spans="1:7" ht="31.5" hidden="1" x14ac:dyDescent="0.25">
      <c r="A349" s="25" t="s">
        <v>584</v>
      </c>
      <c r="B349" s="20" t="s">
        <v>250</v>
      </c>
      <c r="C349" s="20" t="s">
        <v>229</v>
      </c>
      <c r="D349" s="20" t="s">
        <v>1117</v>
      </c>
      <c r="E349" s="20" t="s">
        <v>1246</v>
      </c>
      <c r="F349" s="6">
        <f>'пр.5.1.ведом.21-22'!G924</f>
        <v>0</v>
      </c>
      <c r="G349" s="6">
        <f t="shared" si="23"/>
        <v>0</v>
      </c>
    </row>
    <row r="350" spans="1:7" ht="78.75" hidden="1" x14ac:dyDescent="0.25">
      <c r="A350" s="25" t="s">
        <v>824</v>
      </c>
      <c r="B350" s="20" t="s">
        <v>250</v>
      </c>
      <c r="C350" s="20" t="s">
        <v>229</v>
      </c>
      <c r="D350" s="20" t="s">
        <v>1118</v>
      </c>
      <c r="E350" s="20"/>
      <c r="F350" s="6">
        <f>'Пр.3 Рд,пр, ЦС,ВР 20'!F373</f>
        <v>0</v>
      </c>
      <c r="G350" s="6">
        <f t="shared" si="23"/>
        <v>0</v>
      </c>
    </row>
    <row r="351" spans="1:7" ht="31.5" hidden="1" x14ac:dyDescent="0.25">
      <c r="A351" s="25" t="s">
        <v>147</v>
      </c>
      <c r="B351" s="20" t="s">
        <v>250</v>
      </c>
      <c r="C351" s="20" t="s">
        <v>229</v>
      </c>
      <c r="D351" s="20" t="s">
        <v>1118</v>
      </c>
      <c r="E351" s="20" t="s">
        <v>148</v>
      </c>
      <c r="F351" s="6">
        <f>'Пр.3 Рд,пр, ЦС,ВР 20'!F374</f>
        <v>0</v>
      </c>
      <c r="G351" s="6">
        <f t="shared" si="23"/>
        <v>0</v>
      </c>
    </row>
    <row r="352" spans="1:7" ht="47.25" hidden="1" x14ac:dyDescent="0.25">
      <c r="A352" s="25" t="s">
        <v>149</v>
      </c>
      <c r="B352" s="20" t="s">
        <v>250</v>
      </c>
      <c r="C352" s="20" t="s">
        <v>229</v>
      </c>
      <c r="D352" s="20" t="s">
        <v>1118</v>
      </c>
      <c r="E352" s="20" t="s">
        <v>150</v>
      </c>
      <c r="F352" s="6">
        <f>'Пр.3 Рд,пр, ЦС,ВР 20'!F375</f>
        <v>0</v>
      </c>
      <c r="G352" s="6">
        <f t="shared" si="23"/>
        <v>0</v>
      </c>
    </row>
    <row r="353" spans="1:7" ht="63" hidden="1" x14ac:dyDescent="0.25">
      <c r="A353" s="98" t="s">
        <v>879</v>
      </c>
      <c r="B353" s="20" t="s">
        <v>250</v>
      </c>
      <c r="C353" s="20" t="s">
        <v>229</v>
      </c>
      <c r="D353" s="20" t="s">
        <v>1119</v>
      </c>
      <c r="E353" s="20"/>
      <c r="F353" s="6">
        <f>'Пр.3 Рд,пр, ЦС,ВР 20'!F376</f>
        <v>0</v>
      </c>
      <c r="G353" s="6">
        <f t="shared" si="23"/>
        <v>0</v>
      </c>
    </row>
    <row r="354" spans="1:7" ht="47.25" hidden="1" x14ac:dyDescent="0.25">
      <c r="A354" s="25" t="s">
        <v>884</v>
      </c>
      <c r="B354" s="20" t="s">
        <v>250</v>
      </c>
      <c r="C354" s="20" t="s">
        <v>229</v>
      </c>
      <c r="D354" s="20" t="s">
        <v>1119</v>
      </c>
      <c r="E354" s="20" t="s">
        <v>883</v>
      </c>
      <c r="F354" s="6">
        <f>'Пр.3 Рд,пр, ЦС,ВР 20'!F377</f>
        <v>0</v>
      </c>
      <c r="G354" s="6">
        <f t="shared" si="23"/>
        <v>0</v>
      </c>
    </row>
    <row r="355" spans="1:7" ht="78.75" hidden="1" x14ac:dyDescent="0.25">
      <c r="A355" s="25" t="s">
        <v>1224</v>
      </c>
      <c r="B355" s="20" t="s">
        <v>250</v>
      </c>
      <c r="C355" s="20" t="s">
        <v>229</v>
      </c>
      <c r="D355" s="20" t="s">
        <v>1119</v>
      </c>
      <c r="E355" s="20" t="s">
        <v>1246</v>
      </c>
      <c r="F355" s="6">
        <f>'Пр.3 Рд,пр, ЦС,ВР 20'!F378</f>
        <v>0</v>
      </c>
      <c r="G355" s="6">
        <f t="shared" si="23"/>
        <v>0</v>
      </c>
    </row>
    <row r="356" spans="1:7" ht="15.75" hidden="1" x14ac:dyDescent="0.25">
      <c r="A356" s="25" t="s">
        <v>151</v>
      </c>
      <c r="B356" s="20" t="s">
        <v>250</v>
      </c>
      <c r="C356" s="20" t="s">
        <v>229</v>
      </c>
      <c r="D356" s="20" t="s">
        <v>1119</v>
      </c>
      <c r="E356" s="20" t="s">
        <v>161</v>
      </c>
      <c r="F356" s="6">
        <f>'Пр.3 Рд,пр, ЦС,ВР 20'!F379</f>
        <v>0</v>
      </c>
      <c r="G356" s="6">
        <f t="shared" si="23"/>
        <v>0</v>
      </c>
    </row>
    <row r="357" spans="1:7" ht="15.75" hidden="1" x14ac:dyDescent="0.25">
      <c r="A357" s="25" t="s">
        <v>727</v>
      </c>
      <c r="B357" s="20" t="s">
        <v>250</v>
      </c>
      <c r="C357" s="20" t="s">
        <v>229</v>
      </c>
      <c r="D357" s="20" t="s">
        <v>1119</v>
      </c>
      <c r="E357" s="20" t="s">
        <v>154</v>
      </c>
      <c r="F357" s="6">
        <f>'Пр.3 Рд,пр, ЦС,ВР 20'!F380</f>
        <v>0</v>
      </c>
      <c r="G357" s="6">
        <f t="shared" si="23"/>
        <v>0</v>
      </c>
    </row>
    <row r="358" spans="1:7" ht="47.25" hidden="1" x14ac:dyDescent="0.25">
      <c r="A358" s="25" t="s">
        <v>1247</v>
      </c>
      <c r="B358" s="20" t="s">
        <v>250</v>
      </c>
      <c r="C358" s="20" t="s">
        <v>229</v>
      </c>
      <c r="D358" s="20" t="s">
        <v>1248</v>
      </c>
      <c r="E358" s="20"/>
      <c r="F358" s="6">
        <f>'Пр.3 Рд,пр, ЦС,ВР 20'!F381</f>
        <v>0</v>
      </c>
      <c r="G358" s="6">
        <f t="shared" si="23"/>
        <v>0</v>
      </c>
    </row>
    <row r="359" spans="1:7" ht="31.5" hidden="1" x14ac:dyDescent="0.25">
      <c r="A359" s="25" t="s">
        <v>147</v>
      </c>
      <c r="B359" s="20" t="s">
        <v>250</v>
      </c>
      <c r="C359" s="20" t="s">
        <v>229</v>
      </c>
      <c r="D359" s="20" t="s">
        <v>1248</v>
      </c>
      <c r="E359" s="20" t="s">
        <v>148</v>
      </c>
      <c r="F359" s="6">
        <f>'Пр.3 Рд,пр, ЦС,ВР 20'!F382</f>
        <v>0</v>
      </c>
      <c r="G359" s="6">
        <f t="shared" si="23"/>
        <v>0</v>
      </c>
    </row>
    <row r="360" spans="1:7" ht="47.25" hidden="1" x14ac:dyDescent="0.25">
      <c r="A360" s="25" t="s">
        <v>149</v>
      </c>
      <c r="B360" s="20" t="s">
        <v>250</v>
      </c>
      <c r="C360" s="20" t="s">
        <v>229</v>
      </c>
      <c r="D360" s="20" t="s">
        <v>1248</v>
      </c>
      <c r="E360" s="20" t="s">
        <v>150</v>
      </c>
      <c r="F360" s="6">
        <f>'Пр.3 Рд,пр, ЦС,ВР 20'!F383</f>
        <v>0</v>
      </c>
      <c r="G360" s="6">
        <f t="shared" si="23"/>
        <v>0</v>
      </c>
    </row>
    <row r="361" spans="1:7" ht="78.75" x14ac:dyDescent="0.25">
      <c r="A361" s="23" t="s">
        <v>1355</v>
      </c>
      <c r="B361" s="24" t="s">
        <v>250</v>
      </c>
      <c r="C361" s="24" t="s">
        <v>229</v>
      </c>
      <c r="D361" s="24" t="s">
        <v>534</v>
      </c>
      <c r="E361" s="24"/>
      <c r="F361" s="4">
        <f>F362+F366+F370+F374+F378+F382+F386</f>
        <v>700</v>
      </c>
      <c r="G361" s="4">
        <f>G362+G366+G370+G374+G378+G382+G386</f>
        <v>700</v>
      </c>
    </row>
    <row r="362" spans="1:7" ht="31.5" x14ac:dyDescent="0.25">
      <c r="A362" s="23" t="s">
        <v>1099</v>
      </c>
      <c r="B362" s="24" t="s">
        <v>250</v>
      </c>
      <c r="C362" s="24" t="s">
        <v>229</v>
      </c>
      <c r="D362" s="24" t="s">
        <v>1101</v>
      </c>
      <c r="E362" s="24"/>
      <c r="F362" s="4">
        <f t="shared" ref="F362:G364" si="24">F363</f>
        <v>700</v>
      </c>
      <c r="G362" s="4">
        <f t="shared" si="24"/>
        <v>700</v>
      </c>
    </row>
    <row r="363" spans="1:7" ht="15.75" x14ac:dyDescent="0.25">
      <c r="A363" s="45" t="s">
        <v>1100</v>
      </c>
      <c r="B363" s="40" t="s">
        <v>250</v>
      </c>
      <c r="C363" s="40" t="s">
        <v>229</v>
      </c>
      <c r="D363" s="20" t="s">
        <v>1102</v>
      </c>
      <c r="E363" s="40"/>
      <c r="F363" s="6">
        <f t="shared" si="24"/>
        <v>700</v>
      </c>
      <c r="G363" s="6">
        <f t="shared" si="24"/>
        <v>700</v>
      </c>
    </row>
    <row r="364" spans="1:7" ht="31.5" x14ac:dyDescent="0.25">
      <c r="A364" s="31" t="s">
        <v>147</v>
      </c>
      <c r="B364" s="40" t="s">
        <v>250</v>
      </c>
      <c r="C364" s="40" t="s">
        <v>229</v>
      </c>
      <c r="D364" s="20" t="s">
        <v>1102</v>
      </c>
      <c r="E364" s="40" t="s">
        <v>148</v>
      </c>
      <c r="F364" s="6">
        <f t="shared" si="24"/>
        <v>700</v>
      </c>
      <c r="G364" s="6">
        <f t="shared" si="24"/>
        <v>700</v>
      </c>
    </row>
    <row r="365" spans="1:7" ht="47.25" x14ac:dyDescent="0.25">
      <c r="A365" s="31" t="s">
        <v>149</v>
      </c>
      <c r="B365" s="40" t="s">
        <v>250</v>
      </c>
      <c r="C365" s="40" t="s">
        <v>229</v>
      </c>
      <c r="D365" s="20" t="s">
        <v>1102</v>
      </c>
      <c r="E365" s="40" t="s">
        <v>150</v>
      </c>
      <c r="F365" s="6">
        <f>'пр.5.1.ведом.21-22'!G940</f>
        <v>700</v>
      </c>
      <c r="G365" s="6">
        <f>'пр.5.1.ведом.21-22'!H940</f>
        <v>700</v>
      </c>
    </row>
    <row r="366" spans="1:7" ht="31.5" hidden="1" x14ac:dyDescent="0.25">
      <c r="A366" s="34" t="s">
        <v>1103</v>
      </c>
      <c r="B366" s="7" t="s">
        <v>250</v>
      </c>
      <c r="C366" s="7" t="s">
        <v>229</v>
      </c>
      <c r="D366" s="24" t="s">
        <v>1104</v>
      </c>
      <c r="E366" s="7"/>
      <c r="F366" s="4">
        <f t="shared" ref="F366:G368" si="25">F367</f>
        <v>0</v>
      </c>
      <c r="G366" s="4">
        <f t="shared" si="25"/>
        <v>0</v>
      </c>
    </row>
    <row r="367" spans="1:7" ht="15.75" hidden="1" x14ac:dyDescent="0.25">
      <c r="A367" s="45" t="s">
        <v>539</v>
      </c>
      <c r="B367" s="40" t="s">
        <v>250</v>
      </c>
      <c r="C367" s="40" t="s">
        <v>229</v>
      </c>
      <c r="D367" s="20" t="s">
        <v>1107</v>
      </c>
      <c r="E367" s="40"/>
      <c r="F367" s="6">
        <f t="shared" si="25"/>
        <v>0</v>
      </c>
      <c r="G367" s="6">
        <f t="shared" si="25"/>
        <v>0</v>
      </c>
    </row>
    <row r="368" spans="1:7" ht="31.5" hidden="1" x14ac:dyDescent="0.25">
      <c r="A368" s="31" t="s">
        <v>147</v>
      </c>
      <c r="B368" s="40" t="s">
        <v>250</v>
      </c>
      <c r="C368" s="40" t="s">
        <v>229</v>
      </c>
      <c r="D368" s="20" t="s">
        <v>1107</v>
      </c>
      <c r="E368" s="40" t="s">
        <v>148</v>
      </c>
      <c r="F368" s="6">
        <f t="shared" si="25"/>
        <v>0</v>
      </c>
      <c r="G368" s="6">
        <f t="shared" si="25"/>
        <v>0</v>
      </c>
    </row>
    <row r="369" spans="1:7" ht="47.25" hidden="1" x14ac:dyDescent="0.25">
      <c r="A369" s="31" t="s">
        <v>149</v>
      </c>
      <c r="B369" s="40" t="s">
        <v>250</v>
      </c>
      <c r="C369" s="40" t="s">
        <v>229</v>
      </c>
      <c r="D369" s="20" t="s">
        <v>1107</v>
      </c>
      <c r="E369" s="40" t="s">
        <v>150</v>
      </c>
      <c r="F369" s="6">
        <f>'пр.5.1.ведом.21-22'!G944</f>
        <v>0</v>
      </c>
      <c r="G369" s="6">
        <f>'пр.5.1.ведом.21-22'!H944</f>
        <v>0</v>
      </c>
    </row>
    <row r="370" spans="1:7" ht="31.5" hidden="1" x14ac:dyDescent="0.25">
      <c r="A370" s="58" t="s">
        <v>1105</v>
      </c>
      <c r="B370" s="7" t="s">
        <v>250</v>
      </c>
      <c r="C370" s="7" t="s">
        <v>229</v>
      </c>
      <c r="D370" s="24" t="s">
        <v>1106</v>
      </c>
      <c r="E370" s="7"/>
      <c r="F370" s="4">
        <f>F371</f>
        <v>0</v>
      </c>
      <c r="G370" s="4">
        <f>G371</f>
        <v>0</v>
      </c>
    </row>
    <row r="371" spans="1:7" ht="15.75" hidden="1" x14ac:dyDescent="0.25">
      <c r="A371" s="45" t="s">
        <v>541</v>
      </c>
      <c r="B371" s="40" t="s">
        <v>250</v>
      </c>
      <c r="C371" s="40" t="s">
        <v>229</v>
      </c>
      <c r="D371" s="20" t="s">
        <v>1108</v>
      </c>
      <c r="E371" s="40"/>
      <c r="F371" s="6">
        <f>'Пр.3 Рд,пр, ЦС,ВР 20'!F394</f>
        <v>0</v>
      </c>
      <c r="G371" s="6">
        <f t="shared" si="23"/>
        <v>0</v>
      </c>
    </row>
    <row r="372" spans="1:7" ht="31.5" hidden="1" x14ac:dyDescent="0.25">
      <c r="A372" s="31" t="s">
        <v>147</v>
      </c>
      <c r="B372" s="40" t="s">
        <v>250</v>
      </c>
      <c r="C372" s="40" t="s">
        <v>229</v>
      </c>
      <c r="D372" s="20" t="s">
        <v>1108</v>
      </c>
      <c r="E372" s="40" t="s">
        <v>148</v>
      </c>
      <c r="F372" s="6">
        <f>'Пр.3 Рд,пр, ЦС,ВР 20'!F395</f>
        <v>0</v>
      </c>
      <c r="G372" s="6">
        <f t="shared" si="23"/>
        <v>0</v>
      </c>
    </row>
    <row r="373" spans="1:7" ht="47.25" hidden="1" x14ac:dyDescent="0.25">
      <c r="A373" s="31" t="s">
        <v>149</v>
      </c>
      <c r="B373" s="40" t="s">
        <v>250</v>
      </c>
      <c r="C373" s="40" t="s">
        <v>229</v>
      </c>
      <c r="D373" s="20" t="s">
        <v>1108</v>
      </c>
      <c r="E373" s="40" t="s">
        <v>150</v>
      </c>
      <c r="F373" s="6">
        <f>'Пр.3 Рд,пр, ЦС,ВР 20'!F396</f>
        <v>0</v>
      </c>
      <c r="G373" s="6">
        <f t="shared" si="23"/>
        <v>0</v>
      </c>
    </row>
    <row r="374" spans="1:7" ht="31.5" hidden="1" x14ac:dyDescent="0.25">
      <c r="A374" s="58" t="s">
        <v>1109</v>
      </c>
      <c r="B374" s="7" t="s">
        <v>250</v>
      </c>
      <c r="C374" s="7" t="s">
        <v>229</v>
      </c>
      <c r="D374" s="24" t="s">
        <v>1110</v>
      </c>
      <c r="E374" s="7"/>
      <c r="F374" s="4">
        <f t="shared" ref="F374:G376" si="26">F375</f>
        <v>0</v>
      </c>
      <c r="G374" s="4">
        <f t="shared" si="26"/>
        <v>0</v>
      </c>
    </row>
    <row r="375" spans="1:7" ht="31.5" hidden="1" x14ac:dyDescent="0.25">
      <c r="A375" s="45" t="s">
        <v>543</v>
      </c>
      <c r="B375" s="40" t="s">
        <v>250</v>
      </c>
      <c r="C375" s="40" t="s">
        <v>229</v>
      </c>
      <c r="D375" s="20" t="s">
        <v>1111</v>
      </c>
      <c r="E375" s="40"/>
      <c r="F375" s="6">
        <f t="shared" si="26"/>
        <v>0</v>
      </c>
      <c r="G375" s="6">
        <f t="shared" si="26"/>
        <v>0</v>
      </c>
    </row>
    <row r="376" spans="1:7" ht="31.5" hidden="1" x14ac:dyDescent="0.25">
      <c r="A376" s="31" t="s">
        <v>147</v>
      </c>
      <c r="B376" s="40" t="s">
        <v>250</v>
      </c>
      <c r="C376" s="40" t="s">
        <v>229</v>
      </c>
      <c r="D376" s="20" t="s">
        <v>1111</v>
      </c>
      <c r="E376" s="40" t="s">
        <v>148</v>
      </c>
      <c r="F376" s="6">
        <f t="shared" si="26"/>
        <v>0</v>
      </c>
      <c r="G376" s="6">
        <f t="shared" si="26"/>
        <v>0</v>
      </c>
    </row>
    <row r="377" spans="1:7" ht="47.25" hidden="1" x14ac:dyDescent="0.25">
      <c r="A377" s="31" t="s">
        <v>149</v>
      </c>
      <c r="B377" s="40" t="s">
        <v>250</v>
      </c>
      <c r="C377" s="40" t="s">
        <v>229</v>
      </c>
      <c r="D377" s="20" t="s">
        <v>1111</v>
      </c>
      <c r="E377" s="40" t="s">
        <v>150</v>
      </c>
      <c r="F377" s="6">
        <f>'пр.5.1.ведом.21-22'!G948</f>
        <v>0</v>
      </c>
      <c r="G377" s="6">
        <f t="shared" si="23"/>
        <v>0</v>
      </c>
    </row>
    <row r="378" spans="1:7" ht="31.5" hidden="1" x14ac:dyDescent="0.25">
      <c r="A378" s="34" t="s">
        <v>1172</v>
      </c>
      <c r="B378" s="7" t="s">
        <v>250</v>
      </c>
      <c r="C378" s="7" t="s">
        <v>229</v>
      </c>
      <c r="D378" s="24" t="s">
        <v>1173</v>
      </c>
      <c r="E378" s="7"/>
      <c r="F378" s="4">
        <f>F379</f>
        <v>0</v>
      </c>
      <c r="G378" s="4">
        <f>G379</f>
        <v>0</v>
      </c>
    </row>
    <row r="379" spans="1:7" ht="15.75" hidden="1" x14ac:dyDescent="0.25">
      <c r="A379" s="45" t="s">
        <v>545</v>
      </c>
      <c r="B379" s="40" t="s">
        <v>250</v>
      </c>
      <c r="C379" s="40" t="s">
        <v>229</v>
      </c>
      <c r="D379" s="20" t="s">
        <v>1176</v>
      </c>
      <c r="E379" s="40"/>
      <c r="F379" s="6">
        <f>'Пр.3 Рд,пр, ЦС,ВР 20'!F402</f>
        <v>0</v>
      </c>
      <c r="G379" s="6">
        <f t="shared" si="23"/>
        <v>0</v>
      </c>
    </row>
    <row r="380" spans="1:7" ht="31.5" hidden="1" x14ac:dyDescent="0.25">
      <c r="A380" s="31" t="s">
        <v>147</v>
      </c>
      <c r="B380" s="40" t="s">
        <v>250</v>
      </c>
      <c r="C380" s="40" t="s">
        <v>229</v>
      </c>
      <c r="D380" s="20" t="s">
        <v>1176</v>
      </c>
      <c r="E380" s="40" t="s">
        <v>148</v>
      </c>
      <c r="F380" s="6">
        <f>'Пр.3 Рд,пр, ЦС,ВР 20'!F403</f>
        <v>0</v>
      </c>
      <c r="G380" s="6">
        <f t="shared" si="23"/>
        <v>0</v>
      </c>
    </row>
    <row r="381" spans="1:7" ht="47.25" hidden="1" x14ac:dyDescent="0.25">
      <c r="A381" s="31" t="s">
        <v>149</v>
      </c>
      <c r="B381" s="40" t="s">
        <v>250</v>
      </c>
      <c r="C381" s="40" t="s">
        <v>229</v>
      </c>
      <c r="D381" s="20" t="s">
        <v>1176</v>
      </c>
      <c r="E381" s="40" t="s">
        <v>150</v>
      </c>
      <c r="F381" s="6">
        <f>'Пр.3 Рд,пр, ЦС,ВР 20'!F404</f>
        <v>0</v>
      </c>
      <c r="G381" s="6">
        <f t="shared" si="23"/>
        <v>0</v>
      </c>
    </row>
    <row r="382" spans="1:7" ht="47.25" hidden="1" x14ac:dyDescent="0.25">
      <c r="A382" s="228" t="s">
        <v>1174</v>
      </c>
      <c r="B382" s="7" t="s">
        <v>250</v>
      </c>
      <c r="C382" s="7" t="s">
        <v>229</v>
      </c>
      <c r="D382" s="24" t="s">
        <v>1175</v>
      </c>
      <c r="E382" s="7"/>
      <c r="F382" s="4">
        <f>F383</f>
        <v>0</v>
      </c>
      <c r="G382" s="4">
        <f>G383</f>
        <v>0</v>
      </c>
    </row>
    <row r="383" spans="1:7" ht="31.5" hidden="1" x14ac:dyDescent="0.25">
      <c r="A383" s="178" t="s">
        <v>547</v>
      </c>
      <c r="B383" s="40" t="s">
        <v>250</v>
      </c>
      <c r="C383" s="40" t="s">
        <v>229</v>
      </c>
      <c r="D383" s="20" t="s">
        <v>1177</v>
      </c>
      <c r="E383" s="40"/>
      <c r="F383" s="6">
        <f>'Пр.3 Рд,пр, ЦС,ВР 20'!F406</f>
        <v>0</v>
      </c>
      <c r="G383" s="6">
        <f t="shared" si="23"/>
        <v>0</v>
      </c>
    </row>
    <row r="384" spans="1:7" ht="31.5" hidden="1" x14ac:dyDescent="0.25">
      <c r="A384" s="31" t="s">
        <v>147</v>
      </c>
      <c r="B384" s="40" t="s">
        <v>250</v>
      </c>
      <c r="C384" s="40" t="s">
        <v>229</v>
      </c>
      <c r="D384" s="20" t="s">
        <v>1177</v>
      </c>
      <c r="E384" s="40" t="s">
        <v>148</v>
      </c>
      <c r="F384" s="6">
        <f>'Пр.3 Рд,пр, ЦС,ВР 20'!F407</f>
        <v>0</v>
      </c>
      <c r="G384" s="6">
        <f t="shared" si="23"/>
        <v>0</v>
      </c>
    </row>
    <row r="385" spans="1:7" ht="47.25" hidden="1" x14ac:dyDescent="0.25">
      <c r="A385" s="31" t="s">
        <v>149</v>
      </c>
      <c r="B385" s="40" t="s">
        <v>250</v>
      </c>
      <c r="C385" s="40" t="s">
        <v>229</v>
      </c>
      <c r="D385" s="20" t="s">
        <v>1177</v>
      </c>
      <c r="E385" s="40" t="s">
        <v>150</v>
      </c>
      <c r="F385" s="6">
        <f>'Пр.3 Рд,пр, ЦС,ВР 20'!F408</f>
        <v>0</v>
      </c>
      <c r="G385" s="6">
        <f t="shared" si="23"/>
        <v>0</v>
      </c>
    </row>
    <row r="386" spans="1:7" ht="31.5" hidden="1" x14ac:dyDescent="0.25">
      <c r="A386" s="228" t="s">
        <v>1113</v>
      </c>
      <c r="B386" s="7" t="s">
        <v>250</v>
      </c>
      <c r="C386" s="7" t="s">
        <v>229</v>
      </c>
      <c r="D386" s="24" t="s">
        <v>1114</v>
      </c>
      <c r="E386" s="7"/>
      <c r="F386" s="4">
        <f>F387</f>
        <v>0</v>
      </c>
      <c r="G386" s="4">
        <f>G387</f>
        <v>0</v>
      </c>
    </row>
    <row r="387" spans="1:7" ht="31.5" hidden="1" x14ac:dyDescent="0.25">
      <c r="A387" s="178" t="s">
        <v>549</v>
      </c>
      <c r="B387" s="40" t="s">
        <v>250</v>
      </c>
      <c r="C387" s="40" t="s">
        <v>229</v>
      </c>
      <c r="D387" s="20" t="s">
        <v>1112</v>
      </c>
      <c r="E387" s="40"/>
      <c r="F387" s="6">
        <f>'Пр.3 Рд,пр, ЦС,ВР 20'!F410</f>
        <v>0</v>
      </c>
      <c r="G387" s="6">
        <f t="shared" si="23"/>
        <v>0</v>
      </c>
    </row>
    <row r="388" spans="1:7" ht="31.5" hidden="1" x14ac:dyDescent="0.25">
      <c r="A388" s="25" t="s">
        <v>147</v>
      </c>
      <c r="B388" s="40" t="s">
        <v>250</v>
      </c>
      <c r="C388" s="40" t="s">
        <v>229</v>
      </c>
      <c r="D388" s="20" t="s">
        <v>1112</v>
      </c>
      <c r="E388" s="40" t="s">
        <v>148</v>
      </c>
      <c r="F388" s="6">
        <f>'Пр.3 Рд,пр, ЦС,ВР 20'!F411</f>
        <v>0</v>
      </c>
      <c r="G388" s="6">
        <f t="shared" si="23"/>
        <v>0</v>
      </c>
    </row>
    <row r="389" spans="1:7" ht="47.25" hidden="1" x14ac:dyDescent="0.25">
      <c r="A389" s="25" t="s">
        <v>149</v>
      </c>
      <c r="B389" s="40" t="s">
        <v>250</v>
      </c>
      <c r="C389" s="40" t="s">
        <v>229</v>
      </c>
      <c r="D389" s="20" t="s">
        <v>1112</v>
      </c>
      <c r="E389" s="40" t="s">
        <v>150</v>
      </c>
      <c r="F389" s="6">
        <f>'Пр.3 Рд,пр, ЦС,ВР 20'!F412</f>
        <v>0</v>
      </c>
      <c r="G389" s="6">
        <f t="shared" si="23"/>
        <v>0</v>
      </c>
    </row>
    <row r="390" spans="1:7" s="213" customFormat="1" ht="47.25" x14ac:dyDescent="0.25">
      <c r="A390" s="23" t="s">
        <v>1362</v>
      </c>
      <c r="B390" s="7" t="s">
        <v>250</v>
      </c>
      <c r="C390" s="7" t="s">
        <v>229</v>
      </c>
      <c r="D390" s="24" t="s">
        <v>1361</v>
      </c>
      <c r="E390" s="7"/>
      <c r="F390" s="4">
        <f t="shared" ref="F390:G393" si="27">F391</f>
        <v>235</v>
      </c>
      <c r="G390" s="4">
        <f t="shared" si="27"/>
        <v>204</v>
      </c>
    </row>
    <row r="391" spans="1:7" s="213" customFormat="1" ht="31.5" x14ac:dyDescent="0.25">
      <c r="A391" s="23" t="s">
        <v>1363</v>
      </c>
      <c r="B391" s="7" t="s">
        <v>250</v>
      </c>
      <c r="C391" s="7" t="s">
        <v>229</v>
      </c>
      <c r="D391" s="24" t="s">
        <v>1364</v>
      </c>
      <c r="E391" s="7"/>
      <c r="F391" s="4">
        <f t="shared" si="27"/>
        <v>235</v>
      </c>
      <c r="G391" s="4">
        <f t="shared" si="27"/>
        <v>204</v>
      </c>
    </row>
    <row r="392" spans="1:7" s="213" customFormat="1" ht="31.5" x14ac:dyDescent="0.25">
      <c r="A392" s="25" t="s">
        <v>553</v>
      </c>
      <c r="B392" s="40" t="s">
        <v>250</v>
      </c>
      <c r="C392" s="40" t="s">
        <v>229</v>
      </c>
      <c r="D392" s="20" t="s">
        <v>1365</v>
      </c>
      <c r="E392" s="40"/>
      <c r="F392" s="6">
        <f t="shared" si="27"/>
        <v>235</v>
      </c>
      <c r="G392" s="6">
        <f t="shared" si="27"/>
        <v>204</v>
      </c>
    </row>
    <row r="393" spans="1:7" s="213" customFormat="1" ht="31.5" x14ac:dyDescent="0.25">
      <c r="A393" s="25" t="s">
        <v>147</v>
      </c>
      <c r="B393" s="40" t="s">
        <v>250</v>
      </c>
      <c r="C393" s="40" t="s">
        <v>229</v>
      </c>
      <c r="D393" s="20" t="s">
        <v>1365</v>
      </c>
      <c r="E393" s="40" t="s">
        <v>148</v>
      </c>
      <c r="F393" s="6">
        <f t="shared" si="27"/>
        <v>235</v>
      </c>
      <c r="G393" s="6">
        <f t="shared" si="27"/>
        <v>204</v>
      </c>
    </row>
    <row r="394" spans="1:7" s="213" customFormat="1" ht="47.25" x14ac:dyDescent="0.25">
      <c r="A394" s="25" t="s">
        <v>149</v>
      </c>
      <c r="B394" s="40" t="s">
        <v>250</v>
      </c>
      <c r="C394" s="40" t="s">
        <v>229</v>
      </c>
      <c r="D394" s="20" t="s">
        <v>1365</v>
      </c>
      <c r="E394" s="40" t="s">
        <v>150</v>
      </c>
      <c r="F394" s="6">
        <f>'пр.5.1.ведом.21-22'!G969</f>
        <v>235</v>
      </c>
      <c r="G394" s="6">
        <f>'пр.5.1.ведом.21-22'!H969</f>
        <v>204</v>
      </c>
    </row>
    <row r="395" spans="1:7" ht="15.75" x14ac:dyDescent="0.25">
      <c r="A395" s="41" t="s">
        <v>557</v>
      </c>
      <c r="B395" s="7" t="s">
        <v>250</v>
      </c>
      <c r="C395" s="7" t="s">
        <v>231</v>
      </c>
      <c r="D395" s="7"/>
      <c r="E395" s="7"/>
      <c r="F395" s="4">
        <f>F396+F401+F439</f>
        <v>4134.5</v>
      </c>
      <c r="G395" s="4">
        <f>G396+G401+G439</f>
        <v>11526.5</v>
      </c>
    </row>
    <row r="396" spans="1:7" ht="15.75" x14ac:dyDescent="0.25">
      <c r="A396" s="23" t="s">
        <v>157</v>
      </c>
      <c r="B396" s="24" t="s">
        <v>250</v>
      </c>
      <c r="C396" s="24" t="s">
        <v>231</v>
      </c>
      <c r="D396" s="24" t="s">
        <v>912</v>
      </c>
      <c r="E396" s="24"/>
      <c r="F396" s="4">
        <f t="shared" ref="F396:G399" si="28">F397</f>
        <v>390</v>
      </c>
      <c r="G396" s="4">
        <f t="shared" si="28"/>
        <v>390</v>
      </c>
    </row>
    <row r="397" spans="1:7" ht="31.5" x14ac:dyDescent="0.25">
      <c r="A397" s="23" t="s">
        <v>916</v>
      </c>
      <c r="B397" s="24" t="s">
        <v>250</v>
      </c>
      <c r="C397" s="24" t="s">
        <v>231</v>
      </c>
      <c r="D397" s="24" t="s">
        <v>911</v>
      </c>
      <c r="E397" s="24"/>
      <c r="F397" s="4">
        <f t="shared" si="28"/>
        <v>390</v>
      </c>
      <c r="G397" s="4">
        <f t="shared" si="28"/>
        <v>390</v>
      </c>
    </row>
    <row r="398" spans="1:7" ht="15.75" x14ac:dyDescent="0.25">
      <c r="A398" s="25" t="s">
        <v>580</v>
      </c>
      <c r="B398" s="20" t="s">
        <v>250</v>
      </c>
      <c r="C398" s="20" t="s">
        <v>231</v>
      </c>
      <c r="D398" s="20" t="s">
        <v>1261</v>
      </c>
      <c r="E398" s="20"/>
      <c r="F398" s="6">
        <f t="shared" si="28"/>
        <v>390</v>
      </c>
      <c r="G398" s="6">
        <f t="shared" si="28"/>
        <v>390</v>
      </c>
    </row>
    <row r="399" spans="1:7" ht="31.5" x14ac:dyDescent="0.25">
      <c r="A399" s="25" t="s">
        <v>147</v>
      </c>
      <c r="B399" s="20" t="s">
        <v>250</v>
      </c>
      <c r="C399" s="20" t="s">
        <v>231</v>
      </c>
      <c r="D399" s="20" t="s">
        <v>1261</v>
      </c>
      <c r="E399" s="20" t="s">
        <v>148</v>
      </c>
      <c r="F399" s="6">
        <f t="shared" si="28"/>
        <v>390</v>
      </c>
      <c r="G399" s="6">
        <f t="shared" si="28"/>
        <v>390</v>
      </c>
    </row>
    <row r="400" spans="1:7" ht="47.25" x14ac:dyDescent="0.25">
      <c r="A400" s="25" t="s">
        <v>149</v>
      </c>
      <c r="B400" s="20" t="s">
        <v>250</v>
      </c>
      <c r="C400" s="20" t="s">
        <v>231</v>
      </c>
      <c r="D400" s="20" t="s">
        <v>1261</v>
      </c>
      <c r="E400" s="20" t="s">
        <v>150</v>
      </c>
      <c r="F400" s="6">
        <f>'пр.5.1.ведом.21-22'!G975</f>
        <v>390</v>
      </c>
      <c r="G400" s="6">
        <f>'пр.5.1.ведом.21-22'!H975</f>
        <v>390</v>
      </c>
    </row>
    <row r="401" spans="1:7" ht="63" x14ac:dyDescent="0.25">
      <c r="A401" s="23" t="s">
        <v>1435</v>
      </c>
      <c r="B401" s="7" t="s">
        <v>250</v>
      </c>
      <c r="C401" s="7" t="s">
        <v>231</v>
      </c>
      <c r="D401" s="7" t="s">
        <v>559</v>
      </c>
      <c r="E401" s="7"/>
      <c r="F401" s="4">
        <f t="shared" ref="F401:G401" si="29">F402+F416</f>
        <v>3244.5</v>
      </c>
      <c r="G401" s="4">
        <f t="shared" si="29"/>
        <v>10636.5</v>
      </c>
    </row>
    <row r="402" spans="1:7" ht="63" x14ac:dyDescent="0.25">
      <c r="A402" s="23" t="s">
        <v>560</v>
      </c>
      <c r="B402" s="24" t="s">
        <v>250</v>
      </c>
      <c r="C402" s="24" t="s">
        <v>231</v>
      </c>
      <c r="D402" s="24" t="s">
        <v>561</v>
      </c>
      <c r="E402" s="24"/>
      <c r="F402" s="4">
        <f>F403</f>
        <v>940</v>
      </c>
      <c r="G402" s="4">
        <f>G403</f>
        <v>940</v>
      </c>
    </row>
    <row r="403" spans="1:7" ht="47.25" x14ac:dyDescent="0.25">
      <c r="A403" s="23" t="s">
        <v>1122</v>
      </c>
      <c r="B403" s="24" t="s">
        <v>250</v>
      </c>
      <c r="C403" s="24" t="s">
        <v>231</v>
      </c>
      <c r="D403" s="24" t="s">
        <v>1120</v>
      </c>
      <c r="E403" s="24"/>
      <c r="F403" s="4">
        <f>F404+F407+F413</f>
        <v>940</v>
      </c>
      <c r="G403" s="4">
        <f>G404+G407+G413</f>
        <v>940</v>
      </c>
    </row>
    <row r="404" spans="1:7" ht="31.5" x14ac:dyDescent="0.25">
      <c r="A404" s="25" t="s">
        <v>562</v>
      </c>
      <c r="B404" s="20" t="s">
        <v>250</v>
      </c>
      <c r="C404" s="20" t="s">
        <v>231</v>
      </c>
      <c r="D404" s="20" t="s">
        <v>1121</v>
      </c>
      <c r="E404" s="20"/>
      <c r="F404" s="6">
        <f>F405</f>
        <v>90</v>
      </c>
      <c r="G404" s="6">
        <f>G405</f>
        <v>90</v>
      </c>
    </row>
    <row r="405" spans="1:7" ht="31.5" x14ac:dyDescent="0.25">
      <c r="A405" s="25" t="s">
        <v>147</v>
      </c>
      <c r="B405" s="20" t="s">
        <v>250</v>
      </c>
      <c r="C405" s="20" t="s">
        <v>231</v>
      </c>
      <c r="D405" s="20" t="s">
        <v>1121</v>
      </c>
      <c r="E405" s="20" t="s">
        <v>148</v>
      </c>
      <c r="F405" s="6">
        <f>F406</f>
        <v>90</v>
      </c>
      <c r="G405" s="6">
        <f>G406</f>
        <v>90</v>
      </c>
    </row>
    <row r="406" spans="1:7" ht="47.25" x14ac:dyDescent="0.25">
      <c r="A406" s="25" t="s">
        <v>149</v>
      </c>
      <c r="B406" s="20" t="s">
        <v>250</v>
      </c>
      <c r="C406" s="20" t="s">
        <v>231</v>
      </c>
      <c r="D406" s="20" t="s">
        <v>1121</v>
      </c>
      <c r="E406" s="20" t="s">
        <v>150</v>
      </c>
      <c r="F406" s="6">
        <f>'пр.5.1.ведом.21-22'!G981</f>
        <v>90</v>
      </c>
      <c r="G406" s="6">
        <f>'пр.5.1.ведом.21-22'!H981</f>
        <v>90</v>
      </c>
    </row>
    <row r="407" spans="1:7" ht="15.75" x14ac:dyDescent="0.25">
      <c r="A407" s="25" t="s">
        <v>564</v>
      </c>
      <c r="B407" s="20" t="s">
        <v>250</v>
      </c>
      <c r="C407" s="20" t="s">
        <v>231</v>
      </c>
      <c r="D407" s="20" t="s">
        <v>1123</v>
      </c>
      <c r="E407" s="20"/>
      <c r="F407" s="6">
        <f>F408</f>
        <v>650</v>
      </c>
      <c r="G407" s="6">
        <f>G408</f>
        <v>650</v>
      </c>
    </row>
    <row r="408" spans="1:7" ht="31.5" x14ac:dyDescent="0.25">
      <c r="A408" s="25" t="s">
        <v>147</v>
      </c>
      <c r="B408" s="20" t="s">
        <v>250</v>
      </c>
      <c r="C408" s="20" t="s">
        <v>231</v>
      </c>
      <c r="D408" s="20" t="s">
        <v>1123</v>
      </c>
      <c r="E408" s="20" t="s">
        <v>148</v>
      </c>
      <c r="F408" s="6">
        <f>F409</f>
        <v>650</v>
      </c>
      <c r="G408" s="6">
        <f>G409</f>
        <v>650</v>
      </c>
    </row>
    <row r="409" spans="1:7" ht="47.25" x14ac:dyDescent="0.25">
      <c r="A409" s="25" t="s">
        <v>149</v>
      </c>
      <c r="B409" s="20" t="s">
        <v>250</v>
      </c>
      <c r="C409" s="20" t="s">
        <v>231</v>
      </c>
      <c r="D409" s="20" t="s">
        <v>1123</v>
      </c>
      <c r="E409" s="20" t="s">
        <v>150</v>
      </c>
      <c r="F409" s="6">
        <f>'пр.5.1.ведом.21-22'!G984</f>
        <v>650</v>
      </c>
      <c r="G409" s="6">
        <f>'пр.5.1.ведом.21-22'!H984</f>
        <v>650</v>
      </c>
    </row>
    <row r="410" spans="1:7" ht="15.75" hidden="1" x14ac:dyDescent="0.25">
      <c r="A410" s="29" t="s">
        <v>151</v>
      </c>
      <c r="B410" s="20" t="s">
        <v>250</v>
      </c>
      <c r="C410" s="20" t="s">
        <v>231</v>
      </c>
      <c r="D410" s="20" t="s">
        <v>1123</v>
      </c>
      <c r="E410" s="20" t="s">
        <v>161</v>
      </c>
      <c r="F410" s="6">
        <f>'Пр.3 Рд,пр, ЦС,ВР 20'!F435</f>
        <v>0</v>
      </c>
      <c r="G410" s="6">
        <f>'Пр.3 Рд,пр, ЦС,ВР 20'!G435</f>
        <v>0</v>
      </c>
    </row>
    <row r="411" spans="1:7" ht="47.25" hidden="1" x14ac:dyDescent="0.25">
      <c r="A411" s="25" t="s">
        <v>882</v>
      </c>
      <c r="B411" s="20" t="s">
        <v>250</v>
      </c>
      <c r="C411" s="20" t="s">
        <v>231</v>
      </c>
      <c r="D411" s="20" t="s">
        <v>1123</v>
      </c>
      <c r="E411" s="20" t="s">
        <v>163</v>
      </c>
      <c r="F411" s="6">
        <f>'Пр.3 Рд,пр, ЦС,ВР 20'!F436</f>
        <v>0</v>
      </c>
      <c r="G411" s="6">
        <f>'Пр.3 Рд,пр, ЦС,ВР 20'!G436</f>
        <v>0</v>
      </c>
    </row>
    <row r="412" spans="1:7" ht="31.5" hidden="1" x14ac:dyDescent="0.25">
      <c r="A412" s="29" t="s">
        <v>584</v>
      </c>
      <c r="B412" s="20" t="s">
        <v>250</v>
      </c>
      <c r="C412" s="20" t="s">
        <v>231</v>
      </c>
      <c r="D412" s="20" t="s">
        <v>1123</v>
      </c>
      <c r="E412" s="20" t="s">
        <v>154</v>
      </c>
      <c r="F412" s="6">
        <f>'Пр.3 Рд,пр, ЦС,ВР 20'!F437</f>
        <v>0</v>
      </c>
      <c r="G412" s="6">
        <f>'Пр.3 Рд,пр, ЦС,ВР 20'!G437</f>
        <v>0</v>
      </c>
    </row>
    <row r="413" spans="1:7" ht="15.75" x14ac:dyDescent="0.25">
      <c r="A413" s="25" t="s">
        <v>566</v>
      </c>
      <c r="B413" s="20" t="s">
        <v>250</v>
      </c>
      <c r="C413" s="20" t="s">
        <v>231</v>
      </c>
      <c r="D413" s="20" t="s">
        <v>1124</v>
      </c>
      <c r="E413" s="20"/>
      <c r="F413" s="6">
        <f>F414</f>
        <v>200</v>
      </c>
      <c r="G413" s="6">
        <f>G414</f>
        <v>200</v>
      </c>
    </row>
    <row r="414" spans="1:7" ht="31.5" x14ac:dyDescent="0.25">
      <c r="A414" s="25" t="s">
        <v>147</v>
      </c>
      <c r="B414" s="20" t="s">
        <v>250</v>
      </c>
      <c r="C414" s="20" t="s">
        <v>231</v>
      </c>
      <c r="D414" s="20" t="s">
        <v>1124</v>
      </c>
      <c r="E414" s="20" t="s">
        <v>148</v>
      </c>
      <c r="F414" s="6">
        <f>F415</f>
        <v>200</v>
      </c>
      <c r="G414" s="6">
        <f>G415</f>
        <v>200</v>
      </c>
    </row>
    <row r="415" spans="1:7" ht="47.25" x14ac:dyDescent="0.25">
      <c r="A415" s="25" t="s">
        <v>149</v>
      </c>
      <c r="B415" s="20" t="s">
        <v>250</v>
      </c>
      <c r="C415" s="20" t="s">
        <v>231</v>
      </c>
      <c r="D415" s="20" t="s">
        <v>1124</v>
      </c>
      <c r="E415" s="20" t="s">
        <v>150</v>
      </c>
      <c r="F415" s="6">
        <f>'пр.5.1.ведом.21-22'!G990</f>
        <v>200</v>
      </c>
      <c r="G415" s="6">
        <f>'пр.5.1.ведом.21-22'!H990</f>
        <v>200</v>
      </c>
    </row>
    <row r="416" spans="1:7" ht="47.25" x14ac:dyDescent="0.25">
      <c r="A416" s="23" t="s">
        <v>1450</v>
      </c>
      <c r="B416" s="24" t="s">
        <v>250</v>
      </c>
      <c r="C416" s="24" t="s">
        <v>231</v>
      </c>
      <c r="D416" s="24" t="s">
        <v>569</v>
      </c>
      <c r="E416" s="24"/>
      <c r="F416" s="4">
        <f>F417+F432</f>
        <v>2304.5</v>
      </c>
      <c r="G416" s="4">
        <f>G417+G432</f>
        <v>9696.5</v>
      </c>
    </row>
    <row r="417" spans="1:7" ht="31.5" x14ac:dyDescent="0.25">
      <c r="A417" s="23" t="s">
        <v>1140</v>
      </c>
      <c r="B417" s="24" t="s">
        <v>250</v>
      </c>
      <c r="C417" s="24" t="s">
        <v>231</v>
      </c>
      <c r="D417" s="24" t="s">
        <v>1125</v>
      </c>
      <c r="E417" s="24"/>
      <c r="F417" s="4">
        <f>F418+F421+F429</f>
        <v>390</v>
      </c>
      <c r="G417" s="4">
        <f>G418+G421+G429</f>
        <v>390</v>
      </c>
    </row>
    <row r="418" spans="1:7" ht="15.75" x14ac:dyDescent="0.25">
      <c r="A418" s="25" t="s">
        <v>571</v>
      </c>
      <c r="B418" s="20" t="s">
        <v>250</v>
      </c>
      <c r="C418" s="20" t="s">
        <v>231</v>
      </c>
      <c r="D418" s="20" t="s">
        <v>1127</v>
      </c>
      <c r="E418" s="20"/>
      <c r="F418" s="6">
        <f>F419</f>
        <v>4</v>
      </c>
      <c r="G418" s="6">
        <f>G419</f>
        <v>4</v>
      </c>
    </row>
    <row r="419" spans="1:7" ht="31.5" x14ac:dyDescent="0.25">
      <c r="A419" s="25" t="s">
        <v>147</v>
      </c>
      <c r="B419" s="20" t="s">
        <v>250</v>
      </c>
      <c r="C419" s="20" t="s">
        <v>231</v>
      </c>
      <c r="D419" s="20" t="s">
        <v>1127</v>
      </c>
      <c r="E419" s="20" t="s">
        <v>148</v>
      </c>
      <c r="F419" s="6">
        <f>F420</f>
        <v>4</v>
      </c>
      <c r="G419" s="6">
        <f>G420</f>
        <v>4</v>
      </c>
    </row>
    <row r="420" spans="1:7" ht="47.25" x14ac:dyDescent="0.25">
      <c r="A420" s="25" t="s">
        <v>149</v>
      </c>
      <c r="B420" s="20" t="s">
        <v>250</v>
      </c>
      <c r="C420" s="20" t="s">
        <v>231</v>
      </c>
      <c r="D420" s="20" t="s">
        <v>1127</v>
      </c>
      <c r="E420" s="20" t="s">
        <v>150</v>
      </c>
      <c r="F420" s="6">
        <f>'пр.5.1.ведом.21-22'!G995</f>
        <v>4</v>
      </c>
      <c r="G420" s="6">
        <f>'пр.5.1.ведом.21-22'!H995</f>
        <v>4</v>
      </c>
    </row>
    <row r="421" spans="1:7" ht="47.25" x14ac:dyDescent="0.25">
      <c r="A421" s="99" t="s">
        <v>573</v>
      </c>
      <c r="B421" s="20" t="s">
        <v>250</v>
      </c>
      <c r="C421" s="20" t="s">
        <v>231</v>
      </c>
      <c r="D421" s="20" t="s">
        <v>1128</v>
      </c>
      <c r="E421" s="20"/>
      <c r="F421" s="6">
        <f>F422+F424</f>
        <v>375</v>
      </c>
      <c r="G421" s="6">
        <f>G422+G424</f>
        <v>375</v>
      </c>
    </row>
    <row r="422" spans="1:7" ht="31.5" x14ac:dyDescent="0.25">
      <c r="A422" s="25" t="s">
        <v>147</v>
      </c>
      <c r="B422" s="20" t="s">
        <v>250</v>
      </c>
      <c r="C422" s="20" t="s">
        <v>231</v>
      </c>
      <c r="D422" s="20" t="s">
        <v>1128</v>
      </c>
      <c r="E422" s="20" t="s">
        <v>148</v>
      </c>
      <c r="F422" s="6">
        <f>F423</f>
        <v>300</v>
      </c>
      <c r="G422" s="6">
        <f>G423</f>
        <v>300</v>
      </c>
    </row>
    <row r="423" spans="1:7" ht="47.25" x14ac:dyDescent="0.25">
      <c r="A423" s="25" t="s">
        <v>149</v>
      </c>
      <c r="B423" s="20" t="s">
        <v>250</v>
      </c>
      <c r="C423" s="20" t="s">
        <v>231</v>
      </c>
      <c r="D423" s="20" t="s">
        <v>1128</v>
      </c>
      <c r="E423" s="20" t="s">
        <v>150</v>
      </c>
      <c r="F423" s="6">
        <f>'пр.5.1.ведом.21-22'!G998</f>
        <v>300</v>
      </c>
      <c r="G423" s="6">
        <f>'пр.5.1.ведом.21-22'!H998</f>
        <v>300</v>
      </c>
    </row>
    <row r="424" spans="1:7" ht="15.75" x14ac:dyDescent="0.25">
      <c r="A424" s="29" t="s">
        <v>151</v>
      </c>
      <c r="B424" s="20" t="s">
        <v>250</v>
      </c>
      <c r="C424" s="20" t="s">
        <v>231</v>
      </c>
      <c r="D424" s="20" t="s">
        <v>1128</v>
      </c>
      <c r="E424" s="20" t="s">
        <v>161</v>
      </c>
      <c r="F424" s="6">
        <f>F425</f>
        <v>75</v>
      </c>
      <c r="G424" s="6">
        <f>G425</f>
        <v>75</v>
      </c>
    </row>
    <row r="425" spans="1:7" ht="20.25" customHeight="1" x14ac:dyDescent="0.25">
      <c r="A425" s="29" t="s">
        <v>584</v>
      </c>
      <c r="B425" s="20" t="s">
        <v>250</v>
      </c>
      <c r="C425" s="20" t="s">
        <v>231</v>
      </c>
      <c r="D425" s="20" t="s">
        <v>1128</v>
      </c>
      <c r="E425" s="20" t="s">
        <v>154</v>
      </c>
      <c r="F425" s="6">
        <f>'пр.5.1.ведом.21-22'!G1000</f>
        <v>75</v>
      </c>
      <c r="G425" s="6">
        <f>'пр.5.1.ведом.21-22'!H1000</f>
        <v>75</v>
      </c>
    </row>
    <row r="426" spans="1:7" ht="31.5" hidden="1" x14ac:dyDescent="0.25">
      <c r="A426" s="99" t="s">
        <v>575</v>
      </c>
      <c r="B426" s="20" t="s">
        <v>250</v>
      </c>
      <c r="C426" s="20" t="s">
        <v>231</v>
      </c>
      <c r="D426" s="20" t="s">
        <v>1129</v>
      </c>
      <c r="E426" s="20"/>
      <c r="F426" s="6">
        <f>'Пр.3 Рд,пр, ЦС,ВР 20'!F454</f>
        <v>0</v>
      </c>
      <c r="G426" s="6">
        <f t="shared" ref="G426:G464" si="30">F426</f>
        <v>0</v>
      </c>
    </row>
    <row r="427" spans="1:7" ht="31.5" hidden="1" x14ac:dyDescent="0.25">
      <c r="A427" s="25" t="s">
        <v>147</v>
      </c>
      <c r="B427" s="20" t="s">
        <v>250</v>
      </c>
      <c r="C427" s="20" t="s">
        <v>231</v>
      </c>
      <c r="D427" s="20" t="s">
        <v>1129</v>
      </c>
      <c r="E427" s="20" t="s">
        <v>148</v>
      </c>
      <c r="F427" s="6">
        <f>'Пр.3 Рд,пр, ЦС,ВР 20'!F455</f>
        <v>0</v>
      </c>
      <c r="G427" s="6">
        <f t="shared" si="30"/>
        <v>0</v>
      </c>
    </row>
    <row r="428" spans="1:7" ht="47.25" hidden="1" x14ac:dyDescent="0.25">
      <c r="A428" s="25" t="s">
        <v>149</v>
      </c>
      <c r="B428" s="20" t="s">
        <v>250</v>
      </c>
      <c r="C428" s="20" t="s">
        <v>231</v>
      </c>
      <c r="D428" s="20" t="s">
        <v>1129</v>
      </c>
      <c r="E428" s="20" t="s">
        <v>150</v>
      </c>
      <c r="F428" s="6">
        <f>'Пр.3 Рд,пр, ЦС,ВР 20'!F456</f>
        <v>0</v>
      </c>
      <c r="G428" s="6">
        <f t="shared" si="30"/>
        <v>0</v>
      </c>
    </row>
    <row r="429" spans="1:7" s="213" customFormat="1" ht="31.5" x14ac:dyDescent="0.25">
      <c r="A429" s="240" t="s">
        <v>1289</v>
      </c>
      <c r="B429" s="20" t="s">
        <v>250</v>
      </c>
      <c r="C429" s="20" t="s">
        <v>231</v>
      </c>
      <c r="D429" s="20" t="s">
        <v>1290</v>
      </c>
      <c r="E429" s="20"/>
      <c r="F429" s="26">
        <f>F430</f>
        <v>11</v>
      </c>
      <c r="G429" s="26">
        <f>G430</f>
        <v>11</v>
      </c>
    </row>
    <row r="430" spans="1:7" s="213" customFormat="1" ht="31.5" x14ac:dyDescent="0.25">
      <c r="A430" s="25" t="s">
        <v>147</v>
      </c>
      <c r="B430" s="20" t="s">
        <v>250</v>
      </c>
      <c r="C430" s="20" t="s">
        <v>231</v>
      </c>
      <c r="D430" s="20" t="s">
        <v>1290</v>
      </c>
      <c r="E430" s="20" t="s">
        <v>148</v>
      </c>
      <c r="F430" s="26">
        <f>F431</f>
        <v>11</v>
      </c>
      <c r="G430" s="26">
        <f>G431</f>
        <v>11</v>
      </c>
    </row>
    <row r="431" spans="1:7" s="213" customFormat="1" ht="47.25" x14ac:dyDescent="0.25">
      <c r="A431" s="25" t="s">
        <v>149</v>
      </c>
      <c r="B431" s="20" t="s">
        <v>250</v>
      </c>
      <c r="C431" s="20" t="s">
        <v>231</v>
      </c>
      <c r="D431" s="20" t="s">
        <v>1290</v>
      </c>
      <c r="E431" s="20" t="s">
        <v>150</v>
      </c>
      <c r="F431" s="26">
        <f>'пр.5.1.ведом.21-22'!G1006</f>
        <v>11</v>
      </c>
      <c r="G431" s="26">
        <f>'пр.5.1.ведом.21-22'!H1006</f>
        <v>11</v>
      </c>
    </row>
    <row r="432" spans="1:7" ht="41.25" customHeight="1" x14ac:dyDescent="0.25">
      <c r="A432" s="23" t="s">
        <v>950</v>
      </c>
      <c r="B432" s="7" t="s">
        <v>250</v>
      </c>
      <c r="C432" s="7" t="s">
        <v>231</v>
      </c>
      <c r="D432" s="24" t="s">
        <v>1130</v>
      </c>
      <c r="E432" s="24"/>
      <c r="F432" s="4">
        <f>F433+F436</f>
        <v>1914.5</v>
      </c>
      <c r="G432" s="4">
        <f>G433+G436</f>
        <v>9306.5</v>
      </c>
    </row>
    <row r="433" spans="1:7" ht="47.25" hidden="1" x14ac:dyDescent="0.25">
      <c r="A433" s="25" t="s">
        <v>707</v>
      </c>
      <c r="B433" s="20" t="s">
        <v>250</v>
      </c>
      <c r="C433" s="20" t="s">
        <v>231</v>
      </c>
      <c r="D433" s="20" t="s">
        <v>1131</v>
      </c>
      <c r="E433" s="20"/>
      <c r="F433" s="6">
        <f>F434</f>
        <v>0</v>
      </c>
      <c r="G433" s="6">
        <f t="shared" si="30"/>
        <v>0</v>
      </c>
    </row>
    <row r="434" spans="1:7" ht="31.5" hidden="1" x14ac:dyDescent="0.25">
      <c r="A434" s="25" t="s">
        <v>147</v>
      </c>
      <c r="B434" s="20" t="s">
        <v>250</v>
      </c>
      <c r="C434" s="20" t="s">
        <v>231</v>
      </c>
      <c r="D434" s="20" t="s">
        <v>1131</v>
      </c>
      <c r="E434" s="20" t="s">
        <v>148</v>
      </c>
      <c r="F434" s="6">
        <f>F435</f>
        <v>0</v>
      </c>
      <c r="G434" s="6">
        <f t="shared" si="30"/>
        <v>0</v>
      </c>
    </row>
    <row r="435" spans="1:7" ht="47.25" hidden="1" x14ac:dyDescent="0.25">
      <c r="A435" s="25" t="s">
        <v>149</v>
      </c>
      <c r="B435" s="20" t="s">
        <v>250</v>
      </c>
      <c r="C435" s="20" t="s">
        <v>231</v>
      </c>
      <c r="D435" s="20" t="s">
        <v>1131</v>
      </c>
      <c r="E435" s="20" t="s">
        <v>150</v>
      </c>
      <c r="F435" s="6">
        <f>'Пр.3 Рд,пр, ЦС,ВР 20'!F460</f>
        <v>0</v>
      </c>
      <c r="G435" s="6">
        <f t="shared" si="30"/>
        <v>0</v>
      </c>
    </row>
    <row r="436" spans="1:7" ht="78.75" x14ac:dyDescent="0.25">
      <c r="A436" s="25" t="s">
        <v>1249</v>
      </c>
      <c r="B436" s="20" t="s">
        <v>250</v>
      </c>
      <c r="C436" s="20" t="s">
        <v>231</v>
      </c>
      <c r="D436" s="20" t="s">
        <v>1250</v>
      </c>
      <c r="E436" s="20"/>
      <c r="F436" s="6">
        <f>F437</f>
        <v>1914.5</v>
      </c>
      <c r="G436" s="6">
        <f>G437</f>
        <v>9306.5</v>
      </c>
    </row>
    <row r="437" spans="1:7" ht="31.5" x14ac:dyDescent="0.25">
      <c r="A437" s="25" t="s">
        <v>147</v>
      </c>
      <c r="B437" s="20" t="s">
        <v>250</v>
      </c>
      <c r="C437" s="20" t="s">
        <v>231</v>
      </c>
      <c r="D437" s="20" t="s">
        <v>1250</v>
      </c>
      <c r="E437" s="20" t="s">
        <v>148</v>
      </c>
      <c r="F437" s="6">
        <f>F438</f>
        <v>1914.5</v>
      </c>
      <c r="G437" s="6">
        <f>G438</f>
        <v>9306.5</v>
      </c>
    </row>
    <row r="438" spans="1:7" ht="47.25" x14ac:dyDescent="0.25">
      <c r="A438" s="25" t="s">
        <v>149</v>
      </c>
      <c r="B438" s="20" t="s">
        <v>250</v>
      </c>
      <c r="C438" s="20" t="s">
        <v>231</v>
      </c>
      <c r="D438" s="20" t="s">
        <v>1250</v>
      </c>
      <c r="E438" s="20" t="s">
        <v>150</v>
      </c>
      <c r="F438" s="6">
        <f>'пр.5.1.ведом.21-22'!G1013</f>
        <v>1914.5</v>
      </c>
      <c r="G438" s="6">
        <f>'пр.5.1.ведом.21-22'!H1013</f>
        <v>9306.5</v>
      </c>
    </row>
    <row r="439" spans="1:7" ht="78.75" x14ac:dyDescent="0.25">
      <c r="A439" s="23" t="s">
        <v>822</v>
      </c>
      <c r="B439" s="24" t="s">
        <v>250</v>
      </c>
      <c r="C439" s="24" t="s">
        <v>231</v>
      </c>
      <c r="D439" s="24" t="s">
        <v>734</v>
      </c>
      <c r="E439" s="24"/>
      <c r="F439" s="4">
        <f t="shared" ref="F439:G439" si="31">F441</f>
        <v>500</v>
      </c>
      <c r="G439" s="4">
        <f t="shared" si="31"/>
        <v>500</v>
      </c>
    </row>
    <row r="440" spans="1:7" ht="31.5" x14ac:dyDescent="0.25">
      <c r="A440" s="23" t="s">
        <v>1245</v>
      </c>
      <c r="B440" s="24" t="s">
        <v>250</v>
      </c>
      <c r="C440" s="24" t="s">
        <v>231</v>
      </c>
      <c r="D440" s="24" t="s">
        <v>881</v>
      </c>
      <c r="E440" s="20"/>
      <c r="F440" s="4">
        <f t="shared" ref="F440:G442" si="32">F441</f>
        <v>500</v>
      </c>
      <c r="G440" s="4">
        <f t="shared" si="32"/>
        <v>500</v>
      </c>
    </row>
    <row r="441" spans="1:7" ht="31.5" x14ac:dyDescent="0.25">
      <c r="A441" s="268" t="s">
        <v>733</v>
      </c>
      <c r="B441" s="20" t="s">
        <v>250</v>
      </c>
      <c r="C441" s="20" t="s">
        <v>231</v>
      </c>
      <c r="D441" s="20" t="s">
        <v>881</v>
      </c>
      <c r="E441" s="20"/>
      <c r="F441" s="6">
        <f t="shared" si="32"/>
        <v>500</v>
      </c>
      <c r="G441" s="6">
        <f t="shared" si="32"/>
        <v>500</v>
      </c>
    </row>
    <row r="442" spans="1:7" ht="31.5" x14ac:dyDescent="0.25">
      <c r="A442" s="25" t="s">
        <v>147</v>
      </c>
      <c r="B442" s="20" t="s">
        <v>250</v>
      </c>
      <c r="C442" s="20" t="s">
        <v>231</v>
      </c>
      <c r="D442" s="20" t="s">
        <v>881</v>
      </c>
      <c r="E442" s="20" t="s">
        <v>148</v>
      </c>
      <c r="F442" s="6">
        <f t="shared" si="32"/>
        <v>500</v>
      </c>
      <c r="G442" s="6">
        <f t="shared" si="32"/>
        <v>500</v>
      </c>
    </row>
    <row r="443" spans="1:7" ht="47.25" x14ac:dyDescent="0.25">
      <c r="A443" s="25" t="s">
        <v>149</v>
      </c>
      <c r="B443" s="20" t="s">
        <v>250</v>
      </c>
      <c r="C443" s="20" t="s">
        <v>231</v>
      </c>
      <c r="D443" s="20" t="s">
        <v>881</v>
      </c>
      <c r="E443" s="20" t="s">
        <v>150</v>
      </c>
      <c r="F443" s="6">
        <f>'пр.5.1.ведом.21-22'!G1018</f>
        <v>500</v>
      </c>
      <c r="G443" s="6">
        <f>'пр.5.1.ведом.21-22'!H1018</f>
        <v>500</v>
      </c>
    </row>
    <row r="444" spans="1:7" ht="31.5" x14ac:dyDescent="0.25">
      <c r="A444" s="41" t="s">
        <v>585</v>
      </c>
      <c r="B444" s="7" t="s">
        <v>250</v>
      </c>
      <c r="C444" s="7" t="s">
        <v>250</v>
      </c>
      <c r="D444" s="7"/>
      <c r="E444" s="7"/>
      <c r="F444" s="4">
        <f>F445+F457+F474</f>
        <v>22307</v>
      </c>
      <c r="G444" s="4">
        <f>G445+G457+G474</f>
        <v>22307</v>
      </c>
    </row>
    <row r="445" spans="1:7" ht="31.5" x14ac:dyDescent="0.25">
      <c r="A445" s="23" t="s">
        <v>990</v>
      </c>
      <c r="B445" s="24" t="s">
        <v>250</v>
      </c>
      <c r="C445" s="24" t="s">
        <v>250</v>
      </c>
      <c r="D445" s="24" t="s">
        <v>904</v>
      </c>
      <c r="E445" s="24"/>
      <c r="F445" s="4">
        <f>F446</f>
        <v>11546</v>
      </c>
      <c r="G445" s="4">
        <f>G446</f>
        <v>11546</v>
      </c>
    </row>
    <row r="446" spans="1:7" ht="15.75" x14ac:dyDescent="0.25">
      <c r="A446" s="23" t="s">
        <v>991</v>
      </c>
      <c r="B446" s="24" t="s">
        <v>250</v>
      </c>
      <c r="C446" s="24" t="s">
        <v>250</v>
      </c>
      <c r="D446" s="24" t="s">
        <v>905</v>
      </c>
      <c r="E446" s="24"/>
      <c r="F446" s="4">
        <f>F447+F454</f>
        <v>11546</v>
      </c>
      <c r="G446" s="4">
        <f>G447+G454</f>
        <v>11546</v>
      </c>
    </row>
    <row r="447" spans="1:7" ht="31.5" x14ac:dyDescent="0.25">
      <c r="A447" s="25" t="s">
        <v>967</v>
      </c>
      <c r="B447" s="20" t="s">
        <v>250</v>
      </c>
      <c r="C447" s="20" t="s">
        <v>250</v>
      </c>
      <c r="D447" s="20" t="s">
        <v>906</v>
      </c>
      <c r="E447" s="20"/>
      <c r="F447" s="6">
        <f>F448+F450+F452</f>
        <v>11210</v>
      </c>
      <c r="G447" s="6">
        <f>G448+G450+G452</f>
        <v>11210</v>
      </c>
    </row>
    <row r="448" spans="1:7" ht="94.5" x14ac:dyDescent="0.25">
      <c r="A448" s="25" t="s">
        <v>143</v>
      </c>
      <c r="B448" s="20" t="s">
        <v>250</v>
      </c>
      <c r="C448" s="20" t="s">
        <v>250</v>
      </c>
      <c r="D448" s="20" t="s">
        <v>906</v>
      </c>
      <c r="E448" s="20" t="s">
        <v>144</v>
      </c>
      <c r="F448" s="6">
        <f>F449</f>
        <v>11138</v>
      </c>
      <c r="G448" s="6">
        <f>G449</f>
        <v>11138</v>
      </c>
    </row>
    <row r="449" spans="1:7" ht="36.75" customHeight="1" x14ac:dyDescent="0.25">
      <c r="A449" s="25" t="s">
        <v>145</v>
      </c>
      <c r="B449" s="20" t="s">
        <v>250</v>
      </c>
      <c r="C449" s="20" t="s">
        <v>250</v>
      </c>
      <c r="D449" s="20" t="s">
        <v>906</v>
      </c>
      <c r="E449" s="20" t="s">
        <v>146</v>
      </c>
      <c r="F449" s="6">
        <f>'пр.5.1.ведом.21-22'!G1024</f>
        <v>11138</v>
      </c>
      <c r="G449" s="6">
        <f>'пр.5.1.ведом.21-22'!H1024</f>
        <v>11138</v>
      </c>
    </row>
    <row r="450" spans="1:7" ht="31.5" x14ac:dyDescent="0.25">
      <c r="A450" s="25" t="s">
        <v>147</v>
      </c>
      <c r="B450" s="20" t="s">
        <v>250</v>
      </c>
      <c r="C450" s="20" t="s">
        <v>250</v>
      </c>
      <c r="D450" s="20" t="s">
        <v>906</v>
      </c>
      <c r="E450" s="20" t="s">
        <v>148</v>
      </c>
      <c r="F450" s="6">
        <f>F451</f>
        <v>25</v>
      </c>
      <c r="G450" s="6">
        <f>G451</f>
        <v>25</v>
      </c>
    </row>
    <row r="451" spans="1:7" ht="47.25" x14ac:dyDescent="0.25">
      <c r="A451" s="25" t="s">
        <v>149</v>
      </c>
      <c r="B451" s="20" t="s">
        <v>250</v>
      </c>
      <c r="C451" s="20" t="s">
        <v>250</v>
      </c>
      <c r="D451" s="20" t="s">
        <v>906</v>
      </c>
      <c r="E451" s="20" t="s">
        <v>150</v>
      </c>
      <c r="F451" s="6">
        <f>'пр.5.1.ведом.21-22'!G1026</f>
        <v>25</v>
      </c>
      <c r="G451" s="6">
        <f>'пр.5.1.ведом.21-22'!H1026</f>
        <v>25</v>
      </c>
    </row>
    <row r="452" spans="1:7" ht="15.75" x14ac:dyDescent="0.25">
      <c r="A452" s="25" t="s">
        <v>151</v>
      </c>
      <c r="B452" s="20" t="s">
        <v>250</v>
      </c>
      <c r="C452" s="20" t="s">
        <v>250</v>
      </c>
      <c r="D452" s="20" t="s">
        <v>906</v>
      </c>
      <c r="E452" s="20" t="s">
        <v>161</v>
      </c>
      <c r="F452" s="6">
        <f>F453</f>
        <v>47</v>
      </c>
      <c r="G452" s="6">
        <f>G453</f>
        <v>47</v>
      </c>
    </row>
    <row r="453" spans="1:7" ht="21.75" customHeight="1" x14ac:dyDescent="0.25">
      <c r="A453" s="25" t="s">
        <v>584</v>
      </c>
      <c r="B453" s="20" t="s">
        <v>250</v>
      </c>
      <c r="C453" s="20" t="s">
        <v>250</v>
      </c>
      <c r="D453" s="20" t="s">
        <v>906</v>
      </c>
      <c r="E453" s="20" t="s">
        <v>154</v>
      </c>
      <c r="F453" s="6">
        <f>'пр.5.1.ведом.21-22'!G1028</f>
        <v>47</v>
      </c>
      <c r="G453" s="6">
        <f>'пр.5.1.ведом.21-22'!H1028</f>
        <v>47</v>
      </c>
    </row>
    <row r="454" spans="1:7" ht="47.25" x14ac:dyDescent="0.25">
      <c r="A454" s="25" t="s">
        <v>885</v>
      </c>
      <c r="B454" s="20" t="s">
        <v>250</v>
      </c>
      <c r="C454" s="20" t="s">
        <v>250</v>
      </c>
      <c r="D454" s="20" t="s">
        <v>908</v>
      </c>
      <c r="E454" s="20"/>
      <c r="F454" s="6">
        <f>F455</f>
        <v>336</v>
      </c>
      <c r="G454" s="6">
        <f>G455</f>
        <v>336</v>
      </c>
    </row>
    <row r="455" spans="1:7" ht="94.5" x14ac:dyDescent="0.25">
      <c r="A455" s="25" t="s">
        <v>143</v>
      </c>
      <c r="B455" s="20" t="s">
        <v>250</v>
      </c>
      <c r="C455" s="20" t="s">
        <v>250</v>
      </c>
      <c r="D455" s="20" t="s">
        <v>908</v>
      </c>
      <c r="E455" s="20" t="s">
        <v>144</v>
      </c>
      <c r="F455" s="6">
        <f>F456</f>
        <v>336</v>
      </c>
      <c r="G455" s="6">
        <f>G456</f>
        <v>336</v>
      </c>
    </row>
    <row r="456" spans="1:7" ht="33" customHeight="1" x14ac:dyDescent="0.25">
      <c r="A456" s="25" t="s">
        <v>145</v>
      </c>
      <c r="B456" s="20" t="s">
        <v>250</v>
      </c>
      <c r="C456" s="20" t="s">
        <v>250</v>
      </c>
      <c r="D456" s="20" t="s">
        <v>908</v>
      </c>
      <c r="E456" s="20" t="s">
        <v>146</v>
      </c>
      <c r="F456" s="6">
        <f>'пр.5.1.ведом.21-22'!G1031</f>
        <v>336</v>
      </c>
      <c r="G456" s="6">
        <f>'пр.5.1.ведом.21-22'!H1031</f>
        <v>336</v>
      </c>
    </row>
    <row r="457" spans="1:7" ht="15.75" x14ac:dyDescent="0.25">
      <c r="A457" s="23" t="s">
        <v>157</v>
      </c>
      <c r="B457" s="24" t="s">
        <v>250</v>
      </c>
      <c r="C457" s="24" t="s">
        <v>250</v>
      </c>
      <c r="D457" s="24" t="s">
        <v>912</v>
      </c>
      <c r="E457" s="24"/>
      <c r="F457" s="4">
        <f>F458+F465</f>
        <v>10761</v>
      </c>
      <c r="G457" s="4">
        <f>G458+G465</f>
        <v>10761</v>
      </c>
    </row>
    <row r="458" spans="1:7" ht="31.5" x14ac:dyDescent="0.25">
      <c r="A458" s="23" t="s">
        <v>916</v>
      </c>
      <c r="B458" s="24" t="s">
        <v>250</v>
      </c>
      <c r="C458" s="24" t="s">
        <v>250</v>
      </c>
      <c r="D458" s="24" t="s">
        <v>911</v>
      </c>
      <c r="E458" s="24"/>
      <c r="F458" s="305">
        <f>F459+F462</f>
        <v>982</v>
      </c>
      <c r="G458" s="305">
        <f>G459+G462</f>
        <v>982</v>
      </c>
    </row>
    <row r="459" spans="1:7" ht="31.5" x14ac:dyDescent="0.25">
      <c r="A459" s="25" t="s">
        <v>586</v>
      </c>
      <c r="B459" s="20" t="s">
        <v>250</v>
      </c>
      <c r="C459" s="20" t="s">
        <v>250</v>
      </c>
      <c r="D459" s="20" t="s">
        <v>1132</v>
      </c>
      <c r="E459" s="20"/>
      <c r="F459" s="6">
        <f>F460</f>
        <v>982</v>
      </c>
      <c r="G459" s="6">
        <f>G460</f>
        <v>982</v>
      </c>
    </row>
    <row r="460" spans="1:7" ht="15.75" x14ac:dyDescent="0.25">
      <c r="A460" s="25" t="s">
        <v>151</v>
      </c>
      <c r="B460" s="20" t="s">
        <v>250</v>
      </c>
      <c r="C460" s="20" t="s">
        <v>250</v>
      </c>
      <c r="D460" s="20" t="s">
        <v>1132</v>
      </c>
      <c r="E460" s="20" t="s">
        <v>161</v>
      </c>
      <c r="F460" s="6">
        <f>F461</f>
        <v>982</v>
      </c>
      <c r="G460" s="6">
        <f>G461</f>
        <v>982</v>
      </c>
    </row>
    <row r="461" spans="1:7" ht="63" x14ac:dyDescent="0.25">
      <c r="A461" s="25" t="s">
        <v>200</v>
      </c>
      <c r="B461" s="20" t="s">
        <v>250</v>
      </c>
      <c r="C461" s="20" t="s">
        <v>250</v>
      </c>
      <c r="D461" s="20" t="s">
        <v>1132</v>
      </c>
      <c r="E461" s="20" t="s">
        <v>176</v>
      </c>
      <c r="F461" s="6">
        <f>'пр.5.1.ведом.21-22'!G1036</f>
        <v>982</v>
      </c>
      <c r="G461" s="6">
        <f>'пр.5.1.ведом.21-22'!H1036</f>
        <v>982</v>
      </c>
    </row>
    <row r="462" spans="1:7" ht="47.25" hidden="1" x14ac:dyDescent="0.25">
      <c r="A462" s="25" t="s">
        <v>868</v>
      </c>
      <c r="B462" s="20" t="s">
        <v>250</v>
      </c>
      <c r="C462" s="20" t="s">
        <v>250</v>
      </c>
      <c r="D462" s="20" t="s">
        <v>1251</v>
      </c>
      <c r="E462" s="20"/>
      <c r="F462" s="6">
        <f>'Пр.3 Рд,пр, ЦС,ВР 20'!F489</f>
        <v>0</v>
      </c>
      <c r="G462" s="6">
        <f t="shared" si="30"/>
        <v>0</v>
      </c>
    </row>
    <row r="463" spans="1:7" ht="15.75" hidden="1" x14ac:dyDescent="0.25">
      <c r="A463" s="25" t="s">
        <v>151</v>
      </c>
      <c r="B463" s="20" t="s">
        <v>250</v>
      </c>
      <c r="C463" s="20" t="s">
        <v>250</v>
      </c>
      <c r="D463" s="20" t="s">
        <v>1251</v>
      </c>
      <c r="E463" s="20" t="s">
        <v>161</v>
      </c>
      <c r="F463" s="6">
        <f>'Пр.3 Рд,пр, ЦС,ВР 20'!F490</f>
        <v>0</v>
      </c>
      <c r="G463" s="6">
        <f t="shared" si="30"/>
        <v>0</v>
      </c>
    </row>
    <row r="464" spans="1:7" ht="63" hidden="1" x14ac:dyDescent="0.25">
      <c r="A464" s="25" t="s">
        <v>200</v>
      </c>
      <c r="B464" s="20" t="s">
        <v>250</v>
      </c>
      <c r="C464" s="20" t="s">
        <v>250</v>
      </c>
      <c r="D464" s="20" t="s">
        <v>1251</v>
      </c>
      <c r="E464" s="20" t="s">
        <v>176</v>
      </c>
      <c r="F464" s="6">
        <f>'Пр.3 Рд,пр, ЦС,ВР 20'!F491</f>
        <v>0</v>
      </c>
      <c r="G464" s="6">
        <f t="shared" si="30"/>
        <v>0</v>
      </c>
    </row>
    <row r="465" spans="1:11" ht="47.25" x14ac:dyDescent="0.25">
      <c r="A465" s="23" t="s">
        <v>1002</v>
      </c>
      <c r="B465" s="24" t="s">
        <v>250</v>
      </c>
      <c r="C465" s="24" t="s">
        <v>250</v>
      </c>
      <c r="D465" s="24" t="s">
        <v>987</v>
      </c>
      <c r="E465" s="24"/>
      <c r="F465" s="305">
        <f>F466+F471</f>
        <v>9779</v>
      </c>
      <c r="G465" s="305">
        <f>G466+G471</f>
        <v>9779</v>
      </c>
    </row>
    <row r="466" spans="1:11" ht="31.5" x14ac:dyDescent="0.25">
      <c r="A466" s="25" t="s">
        <v>974</v>
      </c>
      <c r="B466" s="20" t="s">
        <v>250</v>
      </c>
      <c r="C466" s="20" t="s">
        <v>250</v>
      </c>
      <c r="D466" s="20" t="s">
        <v>988</v>
      </c>
      <c r="E466" s="20"/>
      <c r="F466" s="6">
        <f>F467+F470</f>
        <v>9359</v>
      </c>
      <c r="G466" s="6">
        <f>G467+G470</f>
        <v>9359</v>
      </c>
    </row>
    <row r="467" spans="1:11" ht="94.5" x14ac:dyDescent="0.25">
      <c r="A467" s="25" t="s">
        <v>143</v>
      </c>
      <c r="B467" s="20" t="s">
        <v>250</v>
      </c>
      <c r="C467" s="20" t="s">
        <v>250</v>
      </c>
      <c r="D467" s="20" t="s">
        <v>988</v>
      </c>
      <c r="E467" s="20" t="s">
        <v>144</v>
      </c>
      <c r="F467" s="6">
        <f>F468</f>
        <v>8047</v>
      </c>
      <c r="G467" s="6">
        <f>G468</f>
        <v>8047</v>
      </c>
    </row>
    <row r="468" spans="1:11" ht="31.5" x14ac:dyDescent="0.25">
      <c r="A468" s="25" t="s">
        <v>358</v>
      </c>
      <c r="B468" s="20" t="s">
        <v>250</v>
      </c>
      <c r="C468" s="20" t="s">
        <v>250</v>
      </c>
      <c r="D468" s="20" t="s">
        <v>988</v>
      </c>
      <c r="E468" s="20" t="s">
        <v>225</v>
      </c>
      <c r="F468" s="6">
        <f>'пр.5.1.ведом.21-22'!G1043</f>
        <v>8047</v>
      </c>
      <c r="G468" s="6">
        <f>'пр.5.1.ведом.21-22'!H1043</f>
        <v>8047</v>
      </c>
    </row>
    <row r="469" spans="1:11" ht="31.5" x14ac:dyDescent="0.25">
      <c r="A469" s="25" t="s">
        <v>147</v>
      </c>
      <c r="B469" s="20" t="s">
        <v>250</v>
      </c>
      <c r="C469" s="20" t="s">
        <v>250</v>
      </c>
      <c r="D469" s="20" t="s">
        <v>988</v>
      </c>
      <c r="E469" s="20" t="s">
        <v>148</v>
      </c>
      <c r="F469" s="6">
        <f>F470</f>
        <v>1312</v>
      </c>
      <c r="G469" s="6">
        <f>G470</f>
        <v>1312</v>
      </c>
    </row>
    <row r="470" spans="1:11" ht="47.25" x14ac:dyDescent="0.25">
      <c r="A470" s="25" t="s">
        <v>149</v>
      </c>
      <c r="B470" s="20" t="s">
        <v>250</v>
      </c>
      <c r="C470" s="20" t="s">
        <v>250</v>
      </c>
      <c r="D470" s="20" t="s">
        <v>988</v>
      </c>
      <c r="E470" s="20" t="s">
        <v>150</v>
      </c>
      <c r="F470" s="6">
        <f>'пр.5.1.ведом.21-22'!G1045</f>
        <v>1312</v>
      </c>
      <c r="G470" s="6">
        <f>'пр.5.1.ведом.21-22'!H1045</f>
        <v>1312</v>
      </c>
    </row>
    <row r="471" spans="1:11" ht="47.25" x14ac:dyDescent="0.25">
      <c r="A471" s="25" t="s">
        <v>885</v>
      </c>
      <c r="B471" s="20" t="s">
        <v>250</v>
      </c>
      <c r="C471" s="20" t="s">
        <v>250</v>
      </c>
      <c r="D471" s="20" t="s">
        <v>989</v>
      </c>
      <c r="E471" s="20"/>
      <c r="F471" s="6">
        <f>F472</f>
        <v>420</v>
      </c>
      <c r="G471" s="6">
        <f>G472</f>
        <v>420</v>
      </c>
    </row>
    <row r="472" spans="1:11" ht="94.5" x14ac:dyDescent="0.25">
      <c r="A472" s="25" t="s">
        <v>143</v>
      </c>
      <c r="B472" s="20" t="s">
        <v>250</v>
      </c>
      <c r="C472" s="20" t="s">
        <v>250</v>
      </c>
      <c r="D472" s="20" t="s">
        <v>989</v>
      </c>
      <c r="E472" s="20" t="s">
        <v>144</v>
      </c>
      <c r="F472" s="6">
        <f>F473</f>
        <v>420</v>
      </c>
      <c r="G472" s="6">
        <f>G473</f>
        <v>420</v>
      </c>
    </row>
    <row r="473" spans="1:11" ht="39.75" customHeight="1" x14ac:dyDescent="0.25">
      <c r="A473" s="25" t="s">
        <v>145</v>
      </c>
      <c r="B473" s="20" t="s">
        <v>250</v>
      </c>
      <c r="C473" s="20" t="s">
        <v>250</v>
      </c>
      <c r="D473" s="20" t="s">
        <v>989</v>
      </c>
      <c r="E473" s="20" t="s">
        <v>146</v>
      </c>
      <c r="F473" s="6">
        <f>'пр.5.1.ведом.21-22'!G1048</f>
        <v>420</v>
      </c>
      <c r="G473" s="6">
        <f>'пр.5.1.ведом.21-22'!H1048</f>
        <v>420</v>
      </c>
    </row>
    <row r="474" spans="1:11" s="213" customFormat="1" ht="78.75" hidden="1" x14ac:dyDescent="0.25">
      <c r="A474" s="34" t="s">
        <v>805</v>
      </c>
      <c r="B474" s="24" t="s">
        <v>250</v>
      </c>
      <c r="C474" s="24" t="s">
        <v>250</v>
      </c>
      <c r="D474" s="24" t="s">
        <v>340</v>
      </c>
      <c r="E474" s="24"/>
      <c r="F474" s="21">
        <f t="shared" ref="F474:G477" si="33">F475</f>
        <v>0</v>
      </c>
      <c r="G474" s="21">
        <f t="shared" si="33"/>
        <v>0</v>
      </c>
    </row>
    <row r="475" spans="1:11" s="213" customFormat="1" ht="63" hidden="1" x14ac:dyDescent="0.25">
      <c r="A475" s="34" t="s">
        <v>1162</v>
      </c>
      <c r="B475" s="24" t="s">
        <v>250</v>
      </c>
      <c r="C475" s="24" t="s">
        <v>250</v>
      </c>
      <c r="D475" s="24" t="s">
        <v>1025</v>
      </c>
      <c r="E475" s="24"/>
      <c r="F475" s="21">
        <f t="shared" si="33"/>
        <v>0</v>
      </c>
      <c r="G475" s="21">
        <f t="shared" si="33"/>
        <v>0</v>
      </c>
    </row>
    <row r="476" spans="1:11" s="213" customFormat="1" ht="63" hidden="1" x14ac:dyDescent="0.25">
      <c r="A476" s="31" t="s">
        <v>1273</v>
      </c>
      <c r="B476" s="20" t="s">
        <v>250</v>
      </c>
      <c r="C476" s="20" t="s">
        <v>250</v>
      </c>
      <c r="D476" s="20" t="s">
        <v>1192</v>
      </c>
      <c r="E476" s="20"/>
      <c r="F476" s="26">
        <f t="shared" si="33"/>
        <v>0</v>
      </c>
      <c r="G476" s="26">
        <f t="shared" si="33"/>
        <v>0</v>
      </c>
    </row>
    <row r="477" spans="1:11" s="213" customFormat="1" ht="31.5" hidden="1" x14ac:dyDescent="0.25">
      <c r="A477" s="25" t="s">
        <v>147</v>
      </c>
      <c r="B477" s="20" t="s">
        <v>250</v>
      </c>
      <c r="C477" s="20" t="s">
        <v>250</v>
      </c>
      <c r="D477" s="20" t="s">
        <v>1192</v>
      </c>
      <c r="E477" s="20" t="s">
        <v>148</v>
      </c>
      <c r="F477" s="26">
        <f t="shared" si="33"/>
        <v>0</v>
      </c>
      <c r="G477" s="26">
        <f t="shared" si="33"/>
        <v>0</v>
      </c>
    </row>
    <row r="478" spans="1:11" s="213" customFormat="1" ht="47.25" hidden="1" x14ac:dyDescent="0.25">
      <c r="A478" s="25" t="s">
        <v>149</v>
      </c>
      <c r="B478" s="20" t="s">
        <v>250</v>
      </c>
      <c r="C478" s="20" t="s">
        <v>250</v>
      </c>
      <c r="D478" s="20" t="s">
        <v>1192</v>
      </c>
      <c r="E478" s="20" t="s">
        <v>150</v>
      </c>
      <c r="F478" s="26">
        <f>'пр.5.1.ведом.21-22'!G1053</f>
        <v>0</v>
      </c>
      <c r="G478" s="6">
        <f>'пр.5.1.ведом.21-22'!H1053</f>
        <v>0</v>
      </c>
    </row>
    <row r="479" spans="1:11" ht="15.75" x14ac:dyDescent="0.25">
      <c r="A479" s="41" t="s">
        <v>279</v>
      </c>
      <c r="B479" s="7" t="s">
        <v>280</v>
      </c>
      <c r="C479" s="40"/>
      <c r="D479" s="40"/>
      <c r="E479" s="40"/>
      <c r="F479" s="4">
        <f>F480+F551+F738+F635+F709</f>
        <v>383473.10000000003</v>
      </c>
      <c r="G479" s="4">
        <f>G480+G551+G738+G635+G709</f>
        <v>383281.60000000003</v>
      </c>
      <c r="H479" s="234">
        <v>378154.5</v>
      </c>
      <c r="I479" s="234">
        <v>378163</v>
      </c>
      <c r="J479" s="234">
        <f>H479-F479</f>
        <v>-5318.6000000000349</v>
      </c>
      <c r="K479" s="234">
        <f>I479-G479</f>
        <v>-5118.6000000000349</v>
      </c>
    </row>
    <row r="480" spans="1:11" ht="15.75" x14ac:dyDescent="0.25">
      <c r="A480" s="41" t="s">
        <v>420</v>
      </c>
      <c r="B480" s="7" t="s">
        <v>280</v>
      </c>
      <c r="C480" s="7" t="s">
        <v>134</v>
      </c>
      <c r="D480" s="7"/>
      <c r="E480" s="7"/>
      <c r="F480" s="4">
        <f>F481+F541+F546</f>
        <v>109970.90000000001</v>
      </c>
      <c r="G480" s="4">
        <f>G481+G541+G546</f>
        <v>109970.90000000001</v>
      </c>
    </row>
    <row r="481" spans="1:11" ht="47.25" x14ac:dyDescent="0.25">
      <c r="A481" s="23" t="s">
        <v>1429</v>
      </c>
      <c r="B481" s="24" t="s">
        <v>280</v>
      </c>
      <c r="C481" s="24" t="s">
        <v>134</v>
      </c>
      <c r="D481" s="24" t="s">
        <v>422</v>
      </c>
      <c r="E481" s="24"/>
      <c r="F481" s="4">
        <f>F482+F506</f>
        <v>109506.6</v>
      </c>
      <c r="G481" s="4">
        <f>G482+G506</f>
        <v>109506.6</v>
      </c>
    </row>
    <row r="482" spans="1:11" ht="47.25" x14ac:dyDescent="0.25">
      <c r="A482" s="23" t="s">
        <v>423</v>
      </c>
      <c r="B482" s="24" t="s">
        <v>280</v>
      </c>
      <c r="C482" s="24" t="s">
        <v>134</v>
      </c>
      <c r="D482" s="24" t="s">
        <v>424</v>
      </c>
      <c r="E482" s="24"/>
      <c r="F482" s="4">
        <f>F483+F490</f>
        <v>97867.5</v>
      </c>
      <c r="G482" s="4">
        <f>G483+G490</f>
        <v>97867.5</v>
      </c>
    </row>
    <row r="483" spans="1:11" ht="47.25" x14ac:dyDescent="0.25">
      <c r="A483" s="23" t="s">
        <v>1028</v>
      </c>
      <c r="B483" s="24" t="s">
        <v>280</v>
      </c>
      <c r="C483" s="24" t="s">
        <v>134</v>
      </c>
      <c r="D483" s="24" t="s">
        <v>1006</v>
      </c>
      <c r="E483" s="24"/>
      <c r="F483" s="4">
        <f>F484+F487</f>
        <v>12027</v>
      </c>
      <c r="G483" s="4">
        <f>G484+G487</f>
        <v>12027</v>
      </c>
    </row>
    <row r="484" spans="1:11" ht="63" x14ac:dyDescent="0.25">
      <c r="A484" s="25" t="s">
        <v>1063</v>
      </c>
      <c r="B484" s="20" t="s">
        <v>280</v>
      </c>
      <c r="C484" s="20" t="s">
        <v>134</v>
      </c>
      <c r="D484" s="20" t="s">
        <v>1062</v>
      </c>
      <c r="E484" s="20"/>
      <c r="F484" s="6">
        <f>F485</f>
        <v>7224.3</v>
      </c>
      <c r="G484" s="6">
        <f>G485</f>
        <v>7224.3</v>
      </c>
    </row>
    <row r="485" spans="1:11" ht="47.25" x14ac:dyDescent="0.25">
      <c r="A485" s="25" t="s">
        <v>288</v>
      </c>
      <c r="B485" s="20" t="s">
        <v>280</v>
      </c>
      <c r="C485" s="20" t="s">
        <v>134</v>
      </c>
      <c r="D485" s="20" t="s">
        <v>1062</v>
      </c>
      <c r="E485" s="20" t="s">
        <v>289</v>
      </c>
      <c r="F485" s="6">
        <f>F486</f>
        <v>7224.3</v>
      </c>
      <c r="G485" s="6">
        <f>G486</f>
        <v>7224.3</v>
      </c>
    </row>
    <row r="486" spans="1:11" ht="15.75" x14ac:dyDescent="0.25">
      <c r="A486" s="25" t="s">
        <v>290</v>
      </c>
      <c r="B486" s="20" t="s">
        <v>280</v>
      </c>
      <c r="C486" s="20" t="s">
        <v>134</v>
      </c>
      <c r="D486" s="20" t="s">
        <v>1062</v>
      </c>
      <c r="E486" s="20" t="s">
        <v>291</v>
      </c>
      <c r="F486" s="6">
        <f>'пр.5.1.ведом.21-22'!G553</f>
        <v>7224.3</v>
      </c>
      <c r="G486" s="6">
        <f>'пр.5.1.ведом.21-22'!H553</f>
        <v>7224.3</v>
      </c>
    </row>
    <row r="487" spans="1:11" ht="63" x14ac:dyDescent="0.25">
      <c r="A487" s="25" t="s">
        <v>1238</v>
      </c>
      <c r="B487" s="20" t="s">
        <v>280</v>
      </c>
      <c r="C487" s="20" t="s">
        <v>134</v>
      </c>
      <c r="D487" s="20" t="s">
        <v>1064</v>
      </c>
      <c r="E487" s="20"/>
      <c r="F487" s="6">
        <f>F488</f>
        <v>4802.7</v>
      </c>
      <c r="G487" s="6">
        <f>G488</f>
        <v>4802.7</v>
      </c>
    </row>
    <row r="488" spans="1:11" ht="47.25" x14ac:dyDescent="0.25">
      <c r="A488" s="25" t="s">
        <v>288</v>
      </c>
      <c r="B488" s="20" t="s">
        <v>280</v>
      </c>
      <c r="C488" s="20" t="s">
        <v>134</v>
      </c>
      <c r="D488" s="20" t="s">
        <v>1064</v>
      </c>
      <c r="E488" s="20" t="s">
        <v>289</v>
      </c>
      <c r="F488" s="6">
        <f>F489</f>
        <v>4802.7</v>
      </c>
      <c r="G488" s="6">
        <f>G489</f>
        <v>4802.7</v>
      </c>
    </row>
    <row r="489" spans="1:11" ht="15.75" x14ac:dyDescent="0.25">
      <c r="A489" s="25" t="s">
        <v>290</v>
      </c>
      <c r="B489" s="20" t="s">
        <v>280</v>
      </c>
      <c r="C489" s="20" t="s">
        <v>134</v>
      </c>
      <c r="D489" s="20" t="s">
        <v>1064</v>
      </c>
      <c r="E489" s="20" t="s">
        <v>291</v>
      </c>
      <c r="F489" s="6">
        <f>'пр.5.1.ведом.21-22'!G556</f>
        <v>4802.7</v>
      </c>
      <c r="G489" s="6">
        <f>'пр.5.1.ведом.21-22'!H556</f>
        <v>4802.7</v>
      </c>
    </row>
    <row r="490" spans="1:11" ht="50.25" customHeight="1" x14ac:dyDescent="0.25">
      <c r="A490" s="23" t="s">
        <v>971</v>
      </c>
      <c r="B490" s="24" t="s">
        <v>280</v>
      </c>
      <c r="C490" s="24" t="s">
        <v>134</v>
      </c>
      <c r="D490" s="24" t="s">
        <v>1021</v>
      </c>
      <c r="E490" s="24"/>
      <c r="F490" s="4">
        <f>F494+F497+F500+F503+F491</f>
        <v>85840.5</v>
      </c>
      <c r="G490" s="4">
        <f>G494+G497+G500+G503+G491</f>
        <v>85840.5</v>
      </c>
    </row>
    <row r="491" spans="1:11" s="324" customFormat="1" ht="110.25" customHeight="1" x14ac:dyDescent="0.25">
      <c r="A491" s="31" t="s">
        <v>309</v>
      </c>
      <c r="B491" s="331" t="s">
        <v>280</v>
      </c>
      <c r="C491" s="331" t="s">
        <v>134</v>
      </c>
      <c r="D491" s="331" t="s">
        <v>1517</v>
      </c>
      <c r="E491" s="331"/>
      <c r="F491" s="6">
        <f>F492</f>
        <v>2916.1</v>
      </c>
      <c r="G491" s="6">
        <f t="shared" ref="G491:K492" si="34">G492</f>
        <v>2916.1</v>
      </c>
      <c r="H491" s="6">
        <f t="shared" si="34"/>
        <v>0</v>
      </c>
      <c r="I491" s="6">
        <f t="shared" si="34"/>
        <v>0</v>
      </c>
      <c r="J491" s="6">
        <f t="shared" si="34"/>
        <v>0</v>
      </c>
      <c r="K491" s="6">
        <f t="shared" si="34"/>
        <v>0</v>
      </c>
    </row>
    <row r="492" spans="1:11" s="324" customFormat="1" ht="50.25" customHeight="1" x14ac:dyDescent="0.25">
      <c r="A492" s="335" t="s">
        <v>288</v>
      </c>
      <c r="B492" s="331" t="s">
        <v>280</v>
      </c>
      <c r="C492" s="331" t="s">
        <v>134</v>
      </c>
      <c r="D492" s="331" t="s">
        <v>1517</v>
      </c>
      <c r="E492" s="331" t="s">
        <v>144</v>
      </c>
      <c r="F492" s="6">
        <f>F493</f>
        <v>2916.1</v>
      </c>
      <c r="G492" s="6">
        <f t="shared" si="34"/>
        <v>2916.1</v>
      </c>
      <c r="H492" s="6">
        <f t="shared" si="34"/>
        <v>0</v>
      </c>
      <c r="I492" s="6">
        <f t="shared" si="34"/>
        <v>0</v>
      </c>
      <c r="J492" s="6">
        <f t="shared" si="34"/>
        <v>0</v>
      </c>
      <c r="K492" s="6">
        <f t="shared" si="34"/>
        <v>0</v>
      </c>
    </row>
    <row r="493" spans="1:11" s="324" customFormat="1" ht="22.7" customHeight="1" x14ac:dyDescent="0.25">
      <c r="A493" s="335" t="s">
        <v>290</v>
      </c>
      <c r="B493" s="331" t="s">
        <v>280</v>
      </c>
      <c r="C493" s="331" t="s">
        <v>134</v>
      </c>
      <c r="D493" s="331" t="s">
        <v>1517</v>
      </c>
      <c r="E493" s="331" t="s">
        <v>225</v>
      </c>
      <c r="F493" s="6">
        <f>'пр.5.1.ведом.21-22'!G560</f>
        <v>2916.1</v>
      </c>
      <c r="G493" s="6">
        <f>'пр.5.1.ведом.21-22'!H560</f>
        <v>2916.1</v>
      </c>
    </row>
    <row r="494" spans="1:11" ht="78.75" x14ac:dyDescent="0.25">
      <c r="A494" s="31" t="s">
        <v>305</v>
      </c>
      <c r="B494" s="20" t="s">
        <v>280</v>
      </c>
      <c r="C494" s="20" t="s">
        <v>134</v>
      </c>
      <c r="D494" s="20" t="s">
        <v>1020</v>
      </c>
      <c r="E494" s="20"/>
      <c r="F494" s="6">
        <f>F495</f>
        <v>559.70000000000005</v>
      </c>
      <c r="G494" s="6">
        <f>G495</f>
        <v>559.70000000000005</v>
      </c>
    </row>
    <row r="495" spans="1:11" ht="47.25" x14ac:dyDescent="0.25">
      <c r="A495" s="25" t="s">
        <v>288</v>
      </c>
      <c r="B495" s="20" t="s">
        <v>280</v>
      </c>
      <c r="C495" s="20" t="s">
        <v>134</v>
      </c>
      <c r="D495" s="20" t="s">
        <v>1020</v>
      </c>
      <c r="E495" s="20" t="s">
        <v>289</v>
      </c>
      <c r="F495" s="6">
        <f>F496</f>
        <v>559.70000000000005</v>
      </c>
      <c r="G495" s="6">
        <f>G496</f>
        <v>559.70000000000005</v>
      </c>
    </row>
    <row r="496" spans="1:11" ht="15.75" x14ac:dyDescent="0.25">
      <c r="A496" s="25" t="s">
        <v>290</v>
      </c>
      <c r="B496" s="20" t="s">
        <v>280</v>
      </c>
      <c r="C496" s="20" t="s">
        <v>134</v>
      </c>
      <c r="D496" s="20" t="s">
        <v>1020</v>
      </c>
      <c r="E496" s="20" t="s">
        <v>291</v>
      </c>
      <c r="F496" s="6">
        <f>'пр.5.1.ведом.21-22'!G563</f>
        <v>559.70000000000005</v>
      </c>
      <c r="G496" s="6">
        <f>'пр.5.1.ведом.21-22'!H563</f>
        <v>559.70000000000005</v>
      </c>
    </row>
    <row r="497" spans="1:7" ht="94.5" x14ac:dyDescent="0.25">
      <c r="A497" s="31" t="s">
        <v>307</v>
      </c>
      <c r="B497" s="20" t="s">
        <v>280</v>
      </c>
      <c r="C497" s="20" t="s">
        <v>134</v>
      </c>
      <c r="D497" s="20" t="s">
        <v>1023</v>
      </c>
      <c r="E497" s="20"/>
      <c r="F497" s="6">
        <f>F498</f>
        <v>1629.3</v>
      </c>
      <c r="G497" s="6">
        <f>G498</f>
        <v>1629.3</v>
      </c>
    </row>
    <row r="498" spans="1:7" ht="47.25" x14ac:dyDescent="0.25">
      <c r="A498" s="25" t="s">
        <v>288</v>
      </c>
      <c r="B498" s="20" t="s">
        <v>280</v>
      </c>
      <c r="C498" s="20" t="s">
        <v>134</v>
      </c>
      <c r="D498" s="20" t="s">
        <v>1023</v>
      </c>
      <c r="E498" s="20" t="s">
        <v>289</v>
      </c>
      <c r="F498" s="6">
        <f>F499</f>
        <v>1629.3</v>
      </c>
      <c r="G498" s="6">
        <f>G499</f>
        <v>1629.3</v>
      </c>
    </row>
    <row r="499" spans="1:7" ht="15.75" x14ac:dyDescent="0.25">
      <c r="A499" s="25" t="s">
        <v>290</v>
      </c>
      <c r="B499" s="20" t="s">
        <v>280</v>
      </c>
      <c r="C499" s="20" t="s">
        <v>134</v>
      </c>
      <c r="D499" s="20" t="s">
        <v>1023</v>
      </c>
      <c r="E499" s="20" t="s">
        <v>291</v>
      </c>
      <c r="F499" s="6">
        <f>'пр.5.1.ведом.21-22'!G566</f>
        <v>1629.3</v>
      </c>
      <c r="G499" s="6">
        <f>'пр.5.1.ведом.21-22'!H566</f>
        <v>1629.3</v>
      </c>
    </row>
    <row r="500" spans="1:7" ht="110.25" x14ac:dyDescent="0.25">
      <c r="A500" s="31" t="s">
        <v>1455</v>
      </c>
      <c r="B500" s="20" t="s">
        <v>280</v>
      </c>
      <c r="C500" s="20" t="s">
        <v>134</v>
      </c>
      <c r="D500" s="20" t="s">
        <v>1022</v>
      </c>
      <c r="E500" s="20"/>
      <c r="F500" s="6">
        <f>F501</f>
        <v>80735.399999999994</v>
      </c>
      <c r="G500" s="6">
        <f>G501</f>
        <v>80735.399999999994</v>
      </c>
    </row>
    <row r="501" spans="1:7" ht="47.25" x14ac:dyDescent="0.25">
      <c r="A501" s="25" t="s">
        <v>288</v>
      </c>
      <c r="B501" s="20" t="s">
        <v>280</v>
      </c>
      <c r="C501" s="20" t="s">
        <v>134</v>
      </c>
      <c r="D501" s="20" t="s">
        <v>1022</v>
      </c>
      <c r="E501" s="20" t="s">
        <v>289</v>
      </c>
      <c r="F501" s="6">
        <f>F502</f>
        <v>80735.399999999994</v>
      </c>
      <c r="G501" s="6">
        <f>G502</f>
        <v>80735.399999999994</v>
      </c>
    </row>
    <row r="502" spans="1:7" ht="15.75" x14ac:dyDescent="0.25">
      <c r="A502" s="25" t="s">
        <v>290</v>
      </c>
      <c r="B502" s="20" t="s">
        <v>280</v>
      </c>
      <c r="C502" s="20" t="s">
        <v>134</v>
      </c>
      <c r="D502" s="20" t="s">
        <v>1022</v>
      </c>
      <c r="E502" s="20" t="s">
        <v>291</v>
      </c>
      <c r="F502" s="6">
        <f>'пр.5.1.ведом.21-22'!G569</f>
        <v>80735.399999999994</v>
      </c>
      <c r="G502" s="6">
        <f>'пр.5.1.ведом.21-22'!H569</f>
        <v>80735.399999999994</v>
      </c>
    </row>
    <row r="503" spans="1:7" ht="126" x14ac:dyDescent="0.25">
      <c r="A503" s="31" t="s">
        <v>309</v>
      </c>
      <c r="B503" s="20" t="s">
        <v>280</v>
      </c>
      <c r="C503" s="20" t="s">
        <v>134</v>
      </c>
      <c r="D503" s="20" t="s">
        <v>1024</v>
      </c>
      <c r="E503" s="20"/>
      <c r="F503" s="6">
        <f>F504</f>
        <v>0</v>
      </c>
      <c r="G503" s="6">
        <f>G504</f>
        <v>0</v>
      </c>
    </row>
    <row r="504" spans="1:7" ht="47.25" x14ac:dyDescent="0.25">
      <c r="A504" s="25" t="s">
        <v>288</v>
      </c>
      <c r="B504" s="20" t="s">
        <v>280</v>
      </c>
      <c r="C504" s="20" t="s">
        <v>134</v>
      </c>
      <c r="D504" s="20" t="s">
        <v>1024</v>
      </c>
      <c r="E504" s="20" t="s">
        <v>289</v>
      </c>
      <c r="F504" s="6">
        <f>F505</f>
        <v>0</v>
      </c>
      <c r="G504" s="6">
        <f>G505</f>
        <v>0</v>
      </c>
    </row>
    <row r="505" spans="1:7" ht="15.75" x14ac:dyDescent="0.25">
      <c r="A505" s="25" t="s">
        <v>290</v>
      </c>
      <c r="B505" s="20" t="s">
        <v>280</v>
      </c>
      <c r="C505" s="20" t="s">
        <v>134</v>
      </c>
      <c r="D505" s="20" t="s">
        <v>1024</v>
      </c>
      <c r="E505" s="20" t="s">
        <v>291</v>
      </c>
      <c r="F505" s="6">
        <f>'пр.5.1.ведом.21-22'!G572</f>
        <v>0</v>
      </c>
      <c r="G505" s="6">
        <f>'пр.5.1.ведом.21-22'!H572</f>
        <v>0</v>
      </c>
    </row>
    <row r="506" spans="1:7" ht="47.25" x14ac:dyDescent="0.25">
      <c r="A506" s="23" t="s">
        <v>427</v>
      </c>
      <c r="B506" s="24" t="s">
        <v>280</v>
      </c>
      <c r="C506" s="24" t="s">
        <v>134</v>
      </c>
      <c r="D506" s="24" t="s">
        <v>428</v>
      </c>
      <c r="E506" s="24"/>
      <c r="F506" s="4">
        <f>F507+F517+F527+F534</f>
        <v>11639.1</v>
      </c>
      <c r="G506" s="4">
        <f>G507+G517+G527+G534</f>
        <v>11639.1</v>
      </c>
    </row>
    <row r="507" spans="1:7" ht="31.5" x14ac:dyDescent="0.25">
      <c r="A507" s="23" t="s">
        <v>1007</v>
      </c>
      <c r="B507" s="24" t="s">
        <v>280</v>
      </c>
      <c r="C507" s="24" t="s">
        <v>134</v>
      </c>
      <c r="D507" s="24" t="s">
        <v>1008</v>
      </c>
      <c r="E507" s="24"/>
      <c r="F507" s="4">
        <f>F508+F511+F514</f>
        <v>5071.3999999999996</v>
      </c>
      <c r="G507" s="4">
        <f>G508+G511+G514</f>
        <v>5071.3999999999996</v>
      </c>
    </row>
    <row r="508" spans="1:7" ht="47.25" hidden="1" x14ac:dyDescent="0.25">
      <c r="A508" s="25" t="s">
        <v>294</v>
      </c>
      <c r="B508" s="20" t="s">
        <v>280</v>
      </c>
      <c r="C508" s="20" t="s">
        <v>134</v>
      </c>
      <c r="D508" s="20" t="s">
        <v>1009</v>
      </c>
      <c r="E508" s="20"/>
      <c r="F508" s="6">
        <f>'Пр.3 Рд,пр, ЦС,ВР 20'!F535</f>
        <v>574</v>
      </c>
      <c r="G508" s="6">
        <f t="shared" ref="G508:G545" si="35">F508</f>
        <v>574</v>
      </c>
    </row>
    <row r="509" spans="1:7" ht="47.25" hidden="1" x14ac:dyDescent="0.25">
      <c r="A509" s="25" t="s">
        <v>288</v>
      </c>
      <c r="B509" s="20" t="s">
        <v>280</v>
      </c>
      <c r="C509" s="20" t="s">
        <v>134</v>
      </c>
      <c r="D509" s="20" t="s">
        <v>1009</v>
      </c>
      <c r="E509" s="20" t="s">
        <v>289</v>
      </c>
      <c r="F509" s="6">
        <f>'Пр.3 Рд,пр, ЦС,ВР 20'!F536</f>
        <v>574</v>
      </c>
      <c r="G509" s="6">
        <f t="shared" si="35"/>
        <v>574</v>
      </c>
    </row>
    <row r="510" spans="1:7" ht="15.75" hidden="1" x14ac:dyDescent="0.25">
      <c r="A510" s="25" t="s">
        <v>290</v>
      </c>
      <c r="B510" s="20" t="s">
        <v>280</v>
      </c>
      <c r="C510" s="20" t="s">
        <v>134</v>
      </c>
      <c r="D510" s="20" t="s">
        <v>1009</v>
      </c>
      <c r="E510" s="20" t="s">
        <v>291</v>
      </c>
      <c r="F510" s="6">
        <f>'Пр.3 Рд,пр, ЦС,ВР 20'!F537</f>
        <v>574</v>
      </c>
      <c r="G510" s="6">
        <f t="shared" si="35"/>
        <v>574</v>
      </c>
    </row>
    <row r="511" spans="1:7" ht="31.5" hidden="1" x14ac:dyDescent="0.25">
      <c r="A511" s="25" t="s">
        <v>296</v>
      </c>
      <c r="B511" s="20" t="s">
        <v>280</v>
      </c>
      <c r="C511" s="20" t="s">
        <v>134</v>
      </c>
      <c r="D511" s="20" t="s">
        <v>1010</v>
      </c>
      <c r="E511" s="20"/>
      <c r="F511" s="6">
        <f>'Пр.3 Рд,пр, ЦС,ВР 20'!F538</f>
        <v>67.400000000000006</v>
      </c>
      <c r="G511" s="6">
        <f t="shared" si="35"/>
        <v>67.400000000000006</v>
      </c>
    </row>
    <row r="512" spans="1:7" ht="47.25" hidden="1" x14ac:dyDescent="0.25">
      <c r="A512" s="25" t="s">
        <v>288</v>
      </c>
      <c r="B512" s="20" t="s">
        <v>280</v>
      </c>
      <c r="C512" s="20" t="s">
        <v>134</v>
      </c>
      <c r="D512" s="20" t="s">
        <v>1010</v>
      </c>
      <c r="E512" s="20" t="s">
        <v>289</v>
      </c>
      <c r="F512" s="6">
        <f>'Пр.3 Рд,пр, ЦС,ВР 20'!F539</f>
        <v>67.400000000000006</v>
      </c>
      <c r="G512" s="6">
        <f t="shared" si="35"/>
        <v>67.400000000000006</v>
      </c>
    </row>
    <row r="513" spans="1:7" ht="15.75" hidden="1" x14ac:dyDescent="0.25">
      <c r="A513" s="25" t="s">
        <v>290</v>
      </c>
      <c r="B513" s="20" t="s">
        <v>280</v>
      </c>
      <c r="C513" s="20" t="s">
        <v>134</v>
      </c>
      <c r="D513" s="20" t="s">
        <v>1010</v>
      </c>
      <c r="E513" s="20" t="s">
        <v>291</v>
      </c>
      <c r="F513" s="6">
        <f>'Пр.3 Рд,пр, ЦС,ВР 20'!F540</f>
        <v>67.400000000000006</v>
      </c>
      <c r="G513" s="6">
        <f t="shared" si="35"/>
        <v>67.400000000000006</v>
      </c>
    </row>
    <row r="514" spans="1:7" ht="47.25" x14ac:dyDescent="0.25">
      <c r="A514" s="29" t="s">
        <v>431</v>
      </c>
      <c r="B514" s="20" t="s">
        <v>280</v>
      </c>
      <c r="C514" s="20" t="s">
        <v>134</v>
      </c>
      <c r="D514" s="20" t="s">
        <v>1011</v>
      </c>
      <c r="E514" s="20"/>
      <c r="F514" s="6">
        <f>F515</f>
        <v>4430</v>
      </c>
      <c r="G514" s="6">
        <f>G515</f>
        <v>4430</v>
      </c>
    </row>
    <row r="515" spans="1:7" ht="47.25" x14ac:dyDescent="0.25">
      <c r="A515" s="25" t="s">
        <v>288</v>
      </c>
      <c r="B515" s="20" t="s">
        <v>280</v>
      </c>
      <c r="C515" s="20" t="s">
        <v>134</v>
      </c>
      <c r="D515" s="20" t="s">
        <v>1011</v>
      </c>
      <c r="E515" s="20" t="s">
        <v>289</v>
      </c>
      <c r="F515" s="6">
        <f>F516</f>
        <v>4430</v>
      </c>
      <c r="G515" s="6">
        <f>G516</f>
        <v>4430</v>
      </c>
    </row>
    <row r="516" spans="1:7" ht="15.75" x14ac:dyDescent="0.25">
      <c r="A516" s="25" t="s">
        <v>290</v>
      </c>
      <c r="B516" s="20" t="s">
        <v>280</v>
      </c>
      <c r="C516" s="20" t="s">
        <v>134</v>
      </c>
      <c r="D516" s="20" t="s">
        <v>1011</v>
      </c>
      <c r="E516" s="20" t="s">
        <v>291</v>
      </c>
      <c r="F516" s="6">
        <f>'пр.5.1.ведом.21-22'!G583</f>
        <v>4430</v>
      </c>
      <c r="G516" s="6">
        <f>'пр.5.1.ведом.21-22'!H583</f>
        <v>4430</v>
      </c>
    </row>
    <row r="517" spans="1:7" ht="47.25" x14ac:dyDescent="0.25">
      <c r="A517" s="227" t="s">
        <v>1077</v>
      </c>
      <c r="B517" s="24" t="s">
        <v>280</v>
      </c>
      <c r="C517" s="24" t="s">
        <v>134</v>
      </c>
      <c r="D517" s="24" t="s">
        <v>1012</v>
      </c>
      <c r="E517" s="24"/>
      <c r="F517" s="4">
        <f>F518+F521+F524</f>
        <v>4610</v>
      </c>
      <c r="G517" s="4">
        <f>G518+G521+G524</f>
        <v>4610</v>
      </c>
    </row>
    <row r="518" spans="1:7" ht="31.5" hidden="1" x14ac:dyDescent="0.25">
      <c r="A518" s="25" t="s">
        <v>300</v>
      </c>
      <c r="B518" s="20" t="s">
        <v>280</v>
      </c>
      <c r="C518" s="20" t="s">
        <v>134</v>
      </c>
      <c r="D518" s="20" t="s">
        <v>1013</v>
      </c>
      <c r="E518" s="20"/>
      <c r="F518" s="6">
        <f>'Пр.3 Рд,пр, ЦС,ВР 20'!F545</f>
        <v>0</v>
      </c>
      <c r="G518" s="6">
        <f t="shared" si="35"/>
        <v>0</v>
      </c>
    </row>
    <row r="519" spans="1:7" ht="47.25" hidden="1" x14ac:dyDescent="0.25">
      <c r="A519" s="25" t="s">
        <v>288</v>
      </c>
      <c r="B519" s="20" t="s">
        <v>280</v>
      </c>
      <c r="C519" s="20" t="s">
        <v>134</v>
      </c>
      <c r="D519" s="20" t="s">
        <v>1013</v>
      </c>
      <c r="E519" s="20" t="s">
        <v>289</v>
      </c>
      <c r="F519" s="6">
        <f>'Пр.3 Рд,пр, ЦС,ВР 20'!F546</f>
        <v>0</v>
      </c>
      <c r="G519" s="6">
        <f t="shared" si="35"/>
        <v>0</v>
      </c>
    </row>
    <row r="520" spans="1:7" ht="15.75" hidden="1" x14ac:dyDescent="0.25">
      <c r="A520" s="25" t="s">
        <v>290</v>
      </c>
      <c r="B520" s="20" t="s">
        <v>280</v>
      </c>
      <c r="C520" s="20" t="s">
        <v>134</v>
      </c>
      <c r="D520" s="20" t="s">
        <v>1013</v>
      </c>
      <c r="E520" s="20" t="s">
        <v>291</v>
      </c>
      <c r="F520" s="6">
        <f>'Пр.3 Рд,пр, ЦС,ВР 20'!F547</f>
        <v>0</v>
      </c>
      <c r="G520" s="6">
        <f t="shared" si="35"/>
        <v>0</v>
      </c>
    </row>
    <row r="521" spans="1:7" ht="47.25" x14ac:dyDescent="0.25">
      <c r="A521" s="60" t="s">
        <v>787</v>
      </c>
      <c r="B521" s="20" t="s">
        <v>280</v>
      </c>
      <c r="C521" s="20" t="s">
        <v>134</v>
      </c>
      <c r="D521" s="20" t="s">
        <v>1014</v>
      </c>
      <c r="E521" s="20"/>
      <c r="F521" s="6">
        <f>F522</f>
        <v>2850</v>
      </c>
      <c r="G521" s="6">
        <f>G522</f>
        <v>2850</v>
      </c>
    </row>
    <row r="522" spans="1:7" ht="47.25" x14ac:dyDescent="0.25">
      <c r="A522" s="29" t="s">
        <v>288</v>
      </c>
      <c r="B522" s="20" t="s">
        <v>280</v>
      </c>
      <c r="C522" s="20" t="s">
        <v>134</v>
      </c>
      <c r="D522" s="20" t="s">
        <v>1014</v>
      </c>
      <c r="E522" s="20" t="s">
        <v>289</v>
      </c>
      <c r="F522" s="6">
        <f>F523</f>
        <v>2850</v>
      </c>
      <c r="G522" s="6">
        <f>G523</f>
        <v>2850</v>
      </c>
    </row>
    <row r="523" spans="1:7" ht="15.75" x14ac:dyDescent="0.25">
      <c r="A523" s="192" t="s">
        <v>290</v>
      </c>
      <c r="B523" s="20" t="s">
        <v>280</v>
      </c>
      <c r="C523" s="20" t="s">
        <v>134</v>
      </c>
      <c r="D523" s="20" t="s">
        <v>1014</v>
      </c>
      <c r="E523" s="20" t="s">
        <v>291</v>
      </c>
      <c r="F523" s="6">
        <f>'пр.5.1.ведом.21-22'!G590</f>
        <v>2850</v>
      </c>
      <c r="G523" s="6">
        <f>'пр.5.1.ведом.21-22'!H590</f>
        <v>2850</v>
      </c>
    </row>
    <row r="524" spans="1:7" ht="63" x14ac:dyDescent="0.25">
      <c r="A524" s="60" t="s">
        <v>788</v>
      </c>
      <c r="B524" s="20" t="s">
        <v>280</v>
      </c>
      <c r="C524" s="20" t="s">
        <v>134</v>
      </c>
      <c r="D524" s="20" t="s">
        <v>1015</v>
      </c>
      <c r="E524" s="20"/>
      <c r="F524" s="6">
        <f>F525</f>
        <v>1760</v>
      </c>
      <c r="G524" s="6">
        <f>G525</f>
        <v>1760</v>
      </c>
    </row>
    <row r="525" spans="1:7" ht="47.25" x14ac:dyDescent="0.25">
      <c r="A525" s="29" t="s">
        <v>288</v>
      </c>
      <c r="B525" s="20" t="s">
        <v>280</v>
      </c>
      <c r="C525" s="20" t="s">
        <v>134</v>
      </c>
      <c r="D525" s="20" t="s">
        <v>1015</v>
      </c>
      <c r="E525" s="20" t="s">
        <v>289</v>
      </c>
      <c r="F525" s="6">
        <f>F526</f>
        <v>1760</v>
      </c>
      <c r="G525" s="6">
        <f>G526</f>
        <v>1760</v>
      </c>
    </row>
    <row r="526" spans="1:7" ht="15.75" x14ac:dyDescent="0.25">
      <c r="A526" s="192" t="s">
        <v>290</v>
      </c>
      <c r="B526" s="20" t="s">
        <v>280</v>
      </c>
      <c r="C526" s="20" t="s">
        <v>134</v>
      </c>
      <c r="D526" s="20" t="s">
        <v>1015</v>
      </c>
      <c r="E526" s="20" t="s">
        <v>291</v>
      </c>
      <c r="F526" s="6">
        <f>'пр.5.1.ведом.21-22'!G593</f>
        <v>1760</v>
      </c>
      <c r="G526" s="6">
        <f>'пр.5.1.ведом.21-22'!H593</f>
        <v>1760</v>
      </c>
    </row>
    <row r="527" spans="1:7" ht="78" customHeight="1" x14ac:dyDescent="0.25">
      <c r="A527" s="23" t="s">
        <v>1016</v>
      </c>
      <c r="B527" s="24" t="s">
        <v>280</v>
      </c>
      <c r="C527" s="24" t="s">
        <v>134</v>
      </c>
      <c r="D527" s="24" t="s">
        <v>1017</v>
      </c>
      <c r="E527" s="24"/>
      <c r="F527" s="4">
        <f>F528+F531</f>
        <v>291.10000000000002</v>
      </c>
      <c r="G527" s="4">
        <f>G528+G531</f>
        <v>291.10000000000002</v>
      </c>
    </row>
    <row r="528" spans="1:7" ht="173.25" x14ac:dyDescent="0.25">
      <c r="A528" s="25" t="s">
        <v>1463</v>
      </c>
      <c r="B528" s="20" t="s">
        <v>280</v>
      </c>
      <c r="C528" s="20" t="s">
        <v>134</v>
      </c>
      <c r="D528" s="20" t="s">
        <v>1018</v>
      </c>
      <c r="E528" s="20"/>
      <c r="F528" s="6">
        <f>F529</f>
        <v>124.4</v>
      </c>
      <c r="G528" s="6">
        <f>G529</f>
        <v>124.4</v>
      </c>
    </row>
    <row r="529" spans="1:7" ht="47.25" x14ac:dyDescent="0.25">
      <c r="A529" s="29" t="s">
        <v>288</v>
      </c>
      <c r="B529" s="20" t="s">
        <v>280</v>
      </c>
      <c r="C529" s="20" t="s">
        <v>134</v>
      </c>
      <c r="D529" s="20" t="s">
        <v>1018</v>
      </c>
      <c r="E529" s="20" t="s">
        <v>289</v>
      </c>
      <c r="F529" s="6">
        <f>F530</f>
        <v>124.4</v>
      </c>
      <c r="G529" s="6">
        <f>G530</f>
        <v>124.4</v>
      </c>
    </row>
    <row r="530" spans="1:7" ht="15.75" x14ac:dyDescent="0.25">
      <c r="A530" s="192" t="s">
        <v>290</v>
      </c>
      <c r="B530" s="20" t="s">
        <v>280</v>
      </c>
      <c r="C530" s="20" t="s">
        <v>134</v>
      </c>
      <c r="D530" s="20" t="s">
        <v>1018</v>
      </c>
      <c r="E530" s="20" t="s">
        <v>291</v>
      </c>
      <c r="F530" s="6">
        <f>'пр.5.1.ведом.21-22'!G597</f>
        <v>124.4</v>
      </c>
      <c r="G530" s="6">
        <f>'пр.5.1.ведом.21-22'!H597</f>
        <v>124.4</v>
      </c>
    </row>
    <row r="531" spans="1:7" ht="173.25" x14ac:dyDescent="0.25">
      <c r="A531" s="25" t="s">
        <v>439</v>
      </c>
      <c r="B531" s="20" t="s">
        <v>280</v>
      </c>
      <c r="C531" s="20" t="s">
        <v>134</v>
      </c>
      <c r="D531" s="20" t="s">
        <v>1019</v>
      </c>
      <c r="E531" s="20"/>
      <c r="F531" s="6">
        <f>F532</f>
        <v>166.7</v>
      </c>
      <c r="G531" s="6">
        <f>G532</f>
        <v>166.7</v>
      </c>
    </row>
    <row r="532" spans="1:7" ht="47.25" x14ac:dyDescent="0.25">
      <c r="A532" s="25" t="s">
        <v>288</v>
      </c>
      <c r="B532" s="20" t="s">
        <v>280</v>
      </c>
      <c r="C532" s="20" t="s">
        <v>134</v>
      </c>
      <c r="D532" s="20" t="s">
        <v>1019</v>
      </c>
      <c r="E532" s="20" t="s">
        <v>289</v>
      </c>
      <c r="F532" s="6">
        <f>F533</f>
        <v>166.7</v>
      </c>
      <c r="G532" s="6">
        <f>G533</f>
        <v>166.7</v>
      </c>
    </row>
    <row r="533" spans="1:7" ht="15.75" x14ac:dyDescent="0.25">
      <c r="A533" s="25" t="s">
        <v>290</v>
      </c>
      <c r="B533" s="20" t="s">
        <v>280</v>
      </c>
      <c r="C533" s="20" t="s">
        <v>134</v>
      </c>
      <c r="D533" s="20" t="s">
        <v>1019</v>
      </c>
      <c r="E533" s="20" t="s">
        <v>291</v>
      </c>
      <c r="F533" s="6">
        <f>'пр.5.1.ведом.21-22'!G600</f>
        <v>166.7</v>
      </c>
      <c r="G533" s="6">
        <f>'пр.5.1.ведом.21-22'!H600</f>
        <v>166.7</v>
      </c>
    </row>
    <row r="534" spans="1:7" s="213" customFormat="1" ht="126" x14ac:dyDescent="0.25">
      <c r="A534" s="23" t="s">
        <v>1400</v>
      </c>
      <c r="B534" s="24" t="s">
        <v>280</v>
      </c>
      <c r="C534" s="24" t="s">
        <v>134</v>
      </c>
      <c r="D534" s="24" t="s">
        <v>1398</v>
      </c>
      <c r="E534" s="24"/>
      <c r="F534" s="21">
        <f>F535+F538</f>
        <v>1666.6</v>
      </c>
      <c r="G534" s="21">
        <f>G535+G538</f>
        <v>1666.6</v>
      </c>
    </row>
    <row r="535" spans="1:7" s="213" customFormat="1" ht="110.25" x14ac:dyDescent="0.25">
      <c r="A535" s="151" t="s">
        <v>1464</v>
      </c>
      <c r="B535" s="20" t="s">
        <v>280</v>
      </c>
      <c r="C535" s="20" t="s">
        <v>134</v>
      </c>
      <c r="D535" s="20" t="s">
        <v>1402</v>
      </c>
      <c r="E535" s="20"/>
      <c r="F535" s="26">
        <f>F536</f>
        <v>0</v>
      </c>
      <c r="G535" s="26">
        <f>G536</f>
        <v>0</v>
      </c>
    </row>
    <row r="536" spans="1:7" s="213" customFormat="1" ht="47.25" x14ac:dyDescent="0.25">
      <c r="A536" s="25" t="s">
        <v>288</v>
      </c>
      <c r="B536" s="20" t="s">
        <v>280</v>
      </c>
      <c r="C536" s="20" t="s">
        <v>134</v>
      </c>
      <c r="D536" s="20" t="s">
        <v>1402</v>
      </c>
      <c r="E536" s="20" t="s">
        <v>289</v>
      </c>
      <c r="F536" s="26">
        <f>F537</f>
        <v>0</v>
      </c>
      <c r="G536" s="26">
        <f>G537</f>
        <v>0</v>
      </c>
    </row>
    <row r="537" spans="1:7" s="213" customFormat="1" ht="15.75" x14ac:dyDescent="0.25">
      <c r="A537" s="25" t="s">
        <v>290</v>
      </c>
      <c r="B537" s="20" t="s">
        <v>280</v>
      </c>
      <c r="C537" s="20" t="s">
        <v>134</v>
      </c>
      <c r="D537" s="20" t="s">
        <v>1402</v>
      </c>
      <c r="E537" s="20" t="s">
        <v>291</v>
      </c>
      <c r="F537" s="26">
        <f>'пр.5.1.ведом.21-22'!G609</f>
        <v>0</v>
      </c>
      <c r="G537" s="6">
        <f>'пр.5.1.ведом.21-22'!H609</f>
        <v>0</v>
      </c>
    </row>
    <row r="538" spans="1:7" s="213" customFormat="1" ht="116.45" customHeight="1" x14ac:dyDescent="0.25">
      <c r="A538" s="151" t="s">
        <v>1399</v>
      </c>
      <c r="B538" s="20" t="s">
        <v>280</v>
      </c>
      <c r="C538" s="20" t="s">
        <v>134</v>
      </c>
      <c r="D538" s="20" t="s">
        <v>1401</v>
      </c>
      <c r="E538" s="20"/>
      <c r="F538" s="26">
        <f>F539</f>
        <v>1666.6</v>
      </c>
      <c r="G538" s="26">
        <f>G539</f>
        <v>1666.6</v>
      </c>
    </row>
    <row r="539" spans="1:7" s="213" customFormat="1" ht="47.25" x14ac:dyDescent="0.25">
      <c r="A539" s="25" t="s">
        <v>288</v>
      </c>
      <c r="B539" s="20" t="s">
        <v>280</v>
      </c>
      <c r="C539" s="20" t="s">
        <v>134</v>
      </c>
      <c r="D539" s="20" t="s">
        <v>1401</v>
      </c>
      <c r="E539" s="20" t="s">
        <v>289</v>
      </c>
      <c r="F539" s="26">
        <f>F540</f>
        <v>1666.6</v>
      </c>
      <c r="G539" s="26">
        <f>G540</f>
        <v>1666.6</v>
      </c>
    </row>
    <row r="540" spans="1:7" s="213" customFormat="1" ht="15.75" x14ac:dyDescent="0.25">
      <c r="A540" s="25" t="s">
        <v>290</v>
      </c>
      <c r="B540" s="20" t="s">
        <v>280</v>
      </c>
      <c r="C540" s="20" t="s">
        <v>134</v>
      </c>
      <c r="D540" s="20" t="s">
        <v>1401</v>
      </c>
      <c r="E540" s="20" t="s">
        <v>291</v>
      </c>
      <c r="F540" s="26">
        <f>'пр.5.1.ведом.21-22'!G612</f>
        <v>1666.6</v>
      </c>
      <c r="G540" s="6">
        <f>'пр.5.1.ведом.21-22'!H612</f>
        <v>1666.6</v>
      </c>
    </row>
    <row r="541" spans="1:7" ht="78.75" hidden="1" x14ac:dyDescent="0.25">
      <c r="A541" s="34" t="s">
        <v>805</v>
      </c>
      <c r="B541" s="24" t="s">
        <v>280</v>
      </c>
      <c r="C541" s="24" t="s">
        <v>134</v>
      </c>
      <c r="D541" s="24" t="s">
        <v>340</v>
      </c>
      <c r="E541" s="24"/>
      <c r="F541" s="4">
        <f>F542</f>
        <v>0</v>
      </c>
      <c r="G541" s="4">
        <f>G542</f>
        <v>0</v>
      </c>
    </row>
    <row r="542" spans="1:7" ht="63" hidden="1" x14ac:dyDescent="0.25">
      <c r="A542" s="34" t="s">
        <v>1162</v>
      </c>
      <c r="B542" s="24" t="s">
        <v>280</v>
      </c>
      <c r="C542" s="24" t="s">
        <v>134</v>
      </c>
      <c r="D542" s="24" t="s">
        <v>1025</v>
      </c>
      <c r="E542" s="24"/>
      <c r="F542" s="4">
        <f>F543</f>
        <v>0</v>
      </c>
      <c r="G542" s="4">
        <f>G543</f>
        <v>0</v>
      </c>
    </row>
    <row r="543" spans="1:7" ht="63" hidden="1" x14ac:dyDescent="0.25">
      <c r="A543" s="31" t="s">
        <v>1161</v>
      </c>
      <c r="B543" s="20" t="s">
        <v>280</v>
      </c>
      <c r="C543" s="20" t="s">
        <v>134</v>
      </c>
      <c r="D543" s="20" t="s">
        <v>1026</v>
      </c>
      <c r="E543" s="20"/>
      <c r="F543" s="6">
        <f>'Пр.3 Рд,пр, ЦС,ВР 20'!F563</f>
        <v>0</v>
      </c>
      <c r="G543" s="6">
        <f t="shared" si="35"/>
        <v>0</v>
      </c>
    </row>
    <row r="544" spans="1:7" ht="47.25" hidden="1" x14ac:dyDescent="0.25">
      <c r="A544" s="31" t="s">
        <v>288</v>
      </c>
      <c r="B544" s="20" t="s">
        <v>280</v>
      </c>
      <c r="C544" s="20" t="s">
        <v>134</v>
      </c>
      <c r="D544" s="20" t="s">
        <v>1026</v>
      </c>
      <c r="E544" s="20" t="s">
        <v>289</v>
      </c>
      <c r="F544" s="6">
        <f>'Пр.3 Рд,пр, ЦС,ВР 20'!F564</f>
        <v>0</v>
      </c>
      <c r="G544" s="6">
        <f t="shared" si="35"/>
        <v>0</v>
      </c>
    </row>
    <row r="545" spans="1:7" ht="15.75" hidden="1" x14ac:dyDescent="0.25">
      <c r="A545" s="31" t="s">
        <v>290</v>
      </c>
      <c r="B545" s="20" t="s">
        <v>280</v>
      </c>
      <c r="C545" s="20" t="s">
        <v>134</v>
      </c>
      <c r="D545" s="20" t="s">
        <v>1026</v>
      </c>
      <c r="E545" s="20" t="s">
        <v>291</v>
      </c>
      <c r="F545" s="6">
        <f>'Пр.3 Рд,пр, ЦС,ВР 20'!F565</f>
        <v>0</v>
      </c>
      <c r="G545" s="6">
        <f t="shared" si="35"/>
        <v>0</v>
      </c>
    </row>
    <row r="546" spans="1:7" ht="78.75" x14ac:dyDescent="0.25">
      <c r="A546" s="41" t="s">
        <v>1424</v>
      </c>
      <c r="B546" s="24" t="s">
        <v>280</v>
      </c>
      <c r="C546" s="24" t="s">
        <v>134</v>
      </c>
      <c r="D546" s="24" t="s">
        <v>728</v>
      </c>
      <c r="E546" s="231"/>
      <c r="F546" s="4">
        <f>F547</f>
        <v>464.3</v>
      </c>
      <c r="G546" s="4">
        <f>G547</f>
        <v>464.3</v>
      </c>
    </row>
    <row r="547" spans="1:7" ht="63" x14ac:dyDescent="0.25">
      <c r="A547" s="41" t="s">
        <v>949</v>
      </c>
      <c r="B547" s="24" t="s">
        <v>280</v>
      </c>
      <c r="C547" s="24" t="s">
        <v>134</v>
      </c>
      <c r="D547" s="24" t="s">
        <v>947</v>
      </c>
      <c r="E547" s="231"/>
      <c r="F547" s="4">
        <f t="shared" ref="F547:G547" si="36">F548</f>
        <v>464.3</v>
      </c>
      <c r="G547" s="4">
        <f t="shared" si="36"/>
        <v>464.3</v>
      </c>
    </row>
    <row r="548" spans="1:7" ht="47.25" x14ac:dyDescent="0.25">
      <c r="A548" s="99" t="s">
        <v>803</v>
      </c>
      <c r="B548" s="20" t="s">
        <v>280</v>
      </c>
      <c r="C548" s="20" t="s">
        <v>134</v>
      </c>
      <c r="D548" s="20" t="s">
        <v>1027</v>
      </c>
      <c r="E548" s="32"/>
      <c r="F548" s="6">
        <f>F549</f>
        <v>464.3</v>
      </c>
      <c r="G548" s="6">
        <f>G549</f>
        <v>464.3</v>
      </c>
    </row>
    <row r="549" spans="1:7" ht="47.25" x14ac:dyDescent="0.25">
      <c r="A549" s="29" t="s">
        <v>288</v>
      </c>
      <c r="B549" s="20" t="s">
        <v>280</v>
      </c>
      <c r="C549" s="20" t="s">
        <v>134</v>
      </c>
      <c r="D549" s="20" t="s">
        <v>1027</v>
      </c>
      <c r="E549" s="32" t="s">
        <v>289</v>
      </c>
      <c r="F549" s="6">
        <f>F550</f>
        <v>464.3</v>
      </c>
      <c r="G549" s="6">
        <f>G550</f>
        <v>464.3</v>
      </c>
    </row>
    <row r="550" spans="1:7" ht="15.75" x14ac:dyDescent="0.25">
      <c r="A550" s="192" t="s">
        <v>290</v>
      </c>
      <c r="B550" s="20" t="s">
        <v>280</v>
      </c>
      <c r="C550" s="20" t="s">
        <v>134</v>
      </c>
      <c r="D550" s="20" t="s">
        <v>1027</v>
      </c>
      <c r="E550" s="32" t="s">
        <v>291</v>
      </c>
      <c r="F550" s="6">
        <f>'пр.5.1.ведом.21-22'!G617</f>
        <v>464.3</v>
      </c>
      <c r="G550" s="6">
        <f>'пр.5.1.ведом.21-22'!H617</f>
        <v>464.3</v>
      </c>
    </row>
    <row r="551" spans="1:7" ht="15.75" x14ac:dyDescent="0.25">
      <c r="A551" s="41" t="s">
        <v>441</v>
      </c>
      <c r="B551" s="7" t="s">
        <v>280</v>
      </c>
      <c r="C551" s="7" t="s">
        <v>229</v>
      </c>
      <c r="D551" s="7"/>
      <c r="E551" s="7"/>
      <c r="F551" s="4">
        <f>F552+F625+F630</f>
        <v>194965.7</v>
      </c>
      <c r="G551" s="4">
        <f>G552+G625+G630</f>
        <v>194774.2</v>
      </c>
    </row>
    <row r="552" spans="1:7" ht="47.25" x14ac:dyDescent="0.25">
      <c r="A552" s="23" t="s">
        <v>1430</v>
      </c>
      <c r="B552" s="24" t="s">
        <v>280</v>
      </c>
      <c r="C552" s="24" t="s">
        <v>229</v>
      </c>
      <c r="D552" s="24" t="s">
        <v>422</v>
      </c>
      <c r="E552" s="24"/>
      <c r="F552" s="4">
        <f>F553+F586</f>
        <v>194242.40000000002</v>
      </c>
      <c r="G552" s="4">
        <f>G553+G586</f>
        <v>194050.90000000002</v>
      </c>
    </row>
    <row r="553" spans="1:7" ht="47.25" x14ac:dyDescent="0.25">
      <c r="A553" s="23" t="s">
        <v>423</v>
      </c>
      <c r="B553" s="24" t="s">
        <v>280</v>
      </c>
      <c r="C553" s="24" t="s">
        <v>229</v>
      </c>
      <c r="D553" s="24" t="s">
        <v>424</v>
      </c>
      <c r="E553" s="24"/>
      <c r="F553" s="4">
        <f>F554+F564</f>
        <v>183876.30000000002</v>
      </c>
      <c r="G553" s="4">
        <f>G554+G564</f>
        <v>183876.30000000002</v>
      </c>
    </row>
    <row r="554" spans="1:7" ht="47.25" x14ac:dyDescent="0.25">
      <c r="A554" s="23" t="s">
        <v>1028</v>
      </c>
      <c r="B554" s="24" t="s">
        <v>280</v>
      </c>
      <c r="C554" s="24" t="s">
        <v>229</v>
      </c>
      <c r="D554" s="24" t="s">
        <v>1006</v>
      </c>
      <c r="E554" s="24"/>
      <c r="F554" s="4">
        <f>F555+F558+F561</f>
        <v>28803</v>
      </c>
      <c r="G554" s="4">
        <f>G555+G558+G561</f>
        <v>28803</v>
      </c>
    </row>
    <row r="555" spans="1:7" ht="63" x14ac:dyDescent="0.25">
      <c r="A555" s="25" t="s">
        <v>1068</v>
      </c>
      <c r="B555" s="20" t="s">
        <v>280</v>
      </c>
      <c r="C555" s="20" t="s">
        <v>229</v>
      </c>
      <c r="D555" s="20" t="s">
        <v>1065</v>
      </c>
      <c r="E555" s="20"/>
      <c r="F555" s="6">
        <f>F556</f>
        <v>9775.4</v>
      </c>
      <c r="G555" s="6">
        <f>G556</f>
        <v>9775.4</v>
      </c>
    </row>
    <row r="556" spans="1:7" ht="47.25" x14ac:dyDescent="0.25">
      <c r="A556" s="25" t="s">
        <v>288</v>
      </c>
      <c r="B556" s="20" t="s">
        <v>280</v>
      </c>
      <c r="C556" s="20" t="s">
        <v>229</v>
      </c>
      <c r="D556" s="20" t="s">
        <v>1065</v>
      </c>
      <c r="E556" s="20" t="s">
        <v>289</v>
      </c>
      <c r="F556" s="6">
        <f>F557</f>
        <v>9775.4</v>
      </c>
      <c r="G556" s="6">
        <f>G557</f>
        <v>9775.4</v>
      </c>
    </row>
    <row r="557" spans="1:7" ht="15.75" x14ac:dyDescent="0.25">
      <c r="A557" s="25" t="s">
        <v>290</v>
      </c>
      <c r="B557" s="20" t="s">
        <v>280</v>
      </c>
      <c r="C557" s="20" t="s">
        <v>229</v>
      </c>
      <c r="D557" s="20" t="s">
        <v>1065</v>
      </c>
      <c r="E557" s="20" t="s">
        <v>291</v>
      </c>
      <c r="F557" s="6">
        <f>'пр.5.1.ведом.21-22'!G624</f>
        <v>9775.4</v>
      </c>
      <c r="G557" s="6">
        <f>'пр.5.1.ведом.21-22'!H624</f>
        <v>9775.4</v>
      </c>
    </row>
    <row r="558" spans="1:7" ht="63" x14ac:dyDescent="0.25">
      <c r="A558" s="25" t="s">
        <v>1069</v>
      </c>
      <c r="B558" s="20" t="s">
        <v>280</v>
      </c>
      <c r="C558" s="20" t="s">
        <v>229</v>
      </c>
      <c r="D558" s="20" t="s">
        <v>1066</v>
      </c>
      <c r="E558" s="20"/>
      <c r="F558" s="6">
        <f>F559</f>
        <v>12351.7</v>
      </c>
      <c r="G558" s="6">
        <f>G559</f>
        <v>12351.7</v>
      </c>
    </row>
    <row r="559" spans="1:7" ht="47.25" x14ac:dyDescent="0.25">
      <c r="A559" s="25" t="s">
        <v>288</v>
      </c>
      <c r="B559" s="20" t="s">
        <v>280</v>
      </c>
      <c r="C559" s="20" t="s">
        <v>229</v>
      </c>
      <c r="D559" s="20" t="s">
        <v>1066</v>
      </c>
      <c r="E559" s="20" t="s">
        <v>289</v>
      </c>
      <c r="F559" s="6">
        <f>F560</f>
        <v>12351.7</v>
      </c>
      <c r="G559" s="6">
        <f>G560</f>
        <v>12351.7</v>
      </c>
    </row>
    <row r="560" spans="1:7" ht="15.75" x14ac:dyDescent="0.25">
      <c r="A560" s="25" t="s">
        <v>290</v>
      </c>
      <c r="B560" s="20" t="s">
        <v>280</v>
      </c>
      <c r="C560" s="20" t="s">
        <v>229</v>
      </c>
      <c r="D560" s="20" t="s">
        <v>1066</v>
      </c>
      <c r="E560" s="20" t="s">
        <v>291</v>
      </c>
      <c r="F560" s="6">
        <f>'пр.5.1.ведом.21-22'!G627</f>
        <v>12351.7</v>
      </c>
      <c r="G560" s="6">
        <f>'пр.5.1.ведом.21-22'!H627</f>
        <v>12351.7</v>
      </c>
    </row>
    <row r="561" spans="1:7" ht="63" x14ac:dyDescent="0.25">
      <c r="A561" s="25" t="s">
        <v>1070</v>
      </c>
      <c r="B561" s="20" t="s">
        <v>280</v>
      </c>
      <c r="C561" s="20" t="s">
        <v>229</v>
      </c>
      <c r="D561" s="20" t="s">
        <v>1067</v>
      </c>
      <c r="E561" s="20"/>
      <c r="F561" s="6">
        <f>F562</f>
        <v>6675.9</v>
      </c>
      <c r="G561" s="6">
        <f>G562</f>
        <v>6675.9</v>
      </c>
    </row>
    <row r="562" spans="1:7" ht="47.25" x14ac:dyDescent="0.25">
      <c r="A562" s="25" t="s">
        <v>288</v>
      </c>
      <c r="B562" s="20" t="s">
        <v>280</v>
      </c>
      <c r="C562" s="20" t="s">
        <v>229</v>
      </c>
      <c r="D562" s="20" t="s">
        <v>1067</v>
      </c>
      <c r="E562" s="20" t="s">
        <v>289</v>
      </c>
      <c r="F562" s="6">
        <f>F563</f>
        <v>6675.9</v>
      </c>
      <c r="G562" s="6">
        <f>G563</f>
        <v>6675.9</v>
      </c>
    </row>
    <row r="563" spans="1:7" ht="15.75" x14ac:dyDescent="0.25">
      <c r="A563" s="25" t="s">
        <v>290</v>
      </c>
      <c r="B563" s="20" t="s">
        <v>280</v>
      </c>
      <c r="C563" s="20" t="s">
        <v>229</v>
      </c>
      <c r="D563" s="20" t="s">
        <v>1067</v>
      </c>
      <c r="E563" s="20" t="s">
        <v>291</v>
      </c>
      <c r="F563" s="6">
        <f>'пр.5.1.ведом.21-22'!G630</f>
        <v>6675.9</v>
      </c>
      <c r="G563" s="6">
        <f>'пр.5.1.ведом.21-22'!H630</f>
        <v>6675.9</v>
      </c>
    </row>
    <row r="564" spans="1:7" ht="54" customHeight="1" x14ac:dyDescent="0.25">
      <c r="A564" s="23" t="s">
        <v>971</v>
      </c>
      <c r="B564" s="24" t="s">
        <v>280</v>
      </c>
      <c r="C564" s="24" t="s">
        <v>229</v>
      </c>
      <c r="D564" s="24" t="s">
        <v>1021</v>
      </c>
      <c r="E564" s="24"/>
      <c r="F564" s="4">
        <f>F571+F574+F577+F580+F583+F568+F565</f>
        <v>155073.30000000002</v>
      </c>
      <c r="G564" s="4">
        <f>G571+G574+G577+G580+G583+G568+G565</f>
        <v>155073.30000000002</v>
      </c>
    </row>
    <row r="565" spans="1:7" s="324" customFormat="1" ht="78.75" x14ac:dyDescent="0.25">
      <c r="A565" s="335" t="s">
        <v>1525</v>
      </c>
      <c r="B565" s="331" t="s">
        <v>280</v>
      </c>
      <c r="C565" s="331" t="s">
        <v>229</v>
      </c>
      <c r="D565" s="331" t="s">
        <v>1526</v>
      </c>
      <c r="E565" s="331"/>
      <c r="F565" s="6">
        <f>F566</f>
        <v>2636.6</v>
      </c>
      <c r="G565" s="6">
        <f>G566</f>
        <v>2636.6</v>
      </c>
    </row>
    <row r="566" spans="1:7" s="324" customFormat="1" ht="47.25" x14ac:dyDescent="0.25">
      <c r="A566" s="335" t="s">
        <v>288</v>
      </c>
      <c r="B566" s="331" t="s">
        <v>280</v>
      </c>
      <c r="C566" s="331" t="s">
        <v>229</v>
      </c>
      <c r="D566" s="331" t="s">
        <v>1526</v>
      </c>
      <c r="E566" s="331" t="s">
        <v>289</v>
      </c>
      <c r="F566" s="6">
        <f>F567</f>
        <v>2636.6</v>
      </c>
      <c r="G566" s="6">
        <f>G567</f>
        <v>2636.6</v>
      </c>
    </row>
    <row r="567" spans="1:7" s="324" customFormat="1" ht="15.75" x14ac:dyDescent="0.25">
      <c r="A567" s="335" t="s">
        <v>290</v>
      </c>
      <c r="B567" s="331" t="s">
        <v>280</v>
      </c>
      <c r="C567" s="331" t="s">
        <v>229</v>
      </c>
      <c r="D567" s="331" t="s">
        <v>1526</v>
      </c>
      <c r="E567" s="331" t="s">
        <v>291</v>
      </c>
      <c r="F567" s="6">
        <f>'пр.5.1.ведом.21-22'!G634</f>
        <v>2636.6</v>
      </c>
      <c r="G567" s="6">
        <f>'пр.5.1.ведом.21-22'!H634</f>
        <v>2636.6</v>
      </c>
    </row>
    <row r="568" spans="1:7" s="324" customFormat="1" ht="112.7" customHeight="1" x14ac:dyDescent="0.25">
      <c r="A568" s="31" t="s">
        <v>480</v>
      </c>
      <c r="B568" s="331" t="s">
        <v>280</v>
      </c>
      <c r="C568" s="331" t="s">
        <v>229</v>
      </c>
      <c r="D568" s="331" t="s">
        <v>1517</v>
      </c>
      <c r="E568" s="331"/>
      <c r="F568" s="6">
        <f>F569</f>
        <v>4841</v>
      </c>
      <c r="G568" s="6">
        <f>G569</f>
        <v>4841</v>
      </c>
    </row>
    <row r="569" spans="1:7" s="324" customFormat="1" ht="54" customHeight="1" x14ac:dyDescent="0.25">
      <c r="A569" s="335" t="s">
        <v>288</v>
      </c>
      <c r="B569" s="331" t="s">
        <v>280</v>
      </c>
      <c r="C569" s="331" t="s">
        <v>229</v>
      </c>
      <c r="D569" s="331" t="s">
        <v>1517</v>
      </c>
      <c r="E569" s="331" t="s">
        <v>289</v>
      </c>
      <c r="F569" s="6">
        <f>F570</f>
        <v>4841</v>
      </c>
      <c r="G569" s="6">
        <f>G570</f>
        <v>4841</v>
      </c>
    </row>
    <row r="570" spans="1:7" s="324" customFormat="1" ht="15.75" x14ac:dyDescent="0.25">
      <c r="A570" s="335" t="s">
        <v>290</v>
      </c>
      <c r="B570" s="331" t="s">
        <v>280</v>
      </c>
      <c r="C570" s="331" t="s">
        <v>229</v>
      </c>
      <c r="D570" s="331" t="s">
        <v>1517</v>
      </c>
      <c r="E570" s="331" t="s">
        <v>291</v>
      </c>
      <c r="F570" s="6">
        <f>'пр.5.1.ведом.21-22'!G637</f>
        <v>4841</v>
      </c>
      <c r="G570" s="6">
        <f>'пр.5.1.ведом.21-22'!H637</f>
        <v>4841</v>
      </c>
    </row>
    <row r="571" spans="1:7" ht="96" customHeight="1" x14ac:dyDescent="0.25">
      <c r="A571" s="31" t="s">
        <v>1456</v>
      </c>
      <c r="B571" s="20" t="s">
        <v>280</v>
      </c>
      <c r="C571" s="20" t="s">
        <v>229</v>
      </c>
      <c r="D571" s="20" t="s">
        <v>1049</v>
      </c>
      <c r="E571" s="20"/>
      <c r="F571" s="6">
        <f>F572</f>
        <v>143160</v>
      </c>
      <c r="G571" s="6">
        <f>G572</f>
        <v>143160</v>
      </c>
    </row>
    <row r="572" spans="1:7" ht="47.25" x14ac:dyDescent="0.25">
      <c r="A572" s="25" t="s">
        <v>288</v>
      </c>
      <c r="B572" s="20" t="s">
        <v>280</v>
      </c>
      <c r="C572" s="20" t="s">
        <v>229</v>
      </c>
      <c r="D572" s="20" t="s">
        <v>1049</v>
      </c>
      <c r="E572" s="20" t="s">
        <v>289</v>
      </c>
      <c r="F572" s="6">
        <f>F573</f>
        <v>143160</v>
      </c>
      <c r="G572" s="6">
        <f>G573</f>
        <v>143160</v>
      </c>
    </row>
    <row r="573" spans="1:7" ht="15.75" x14ac:dyDescent="0.25">
      <c r="A573" s="25" t="s">
        <v>290</v>
      </c>
      <c r="B573" s="20" t="s">
        <v>280</v>
      </c>
      <c r="C573" s="20" t="s">
        <v>229</v>
      </c>
      <c r="D573" s="20" t="s">
        <v>1049</v>
      </c>
      <c r="E573" s="20" t="s">
        <v>291</v>
      </c>
      <c r="F573" s="6">
        <f>'пр.5.1.ведом.21-22'!G640</f>
        <v>143160</v>
      </c>
      <c r="G573" s="6">
        <f>'пр.5.1.ведом.21-22'!H640</f>
        <v>143160</v>
      </c>
    </row>
    <row r="574" spans="1:7" ht="78.75" x14ac:dyDescent="0.25">
      <c r="A574" s="31" t="s">
        <v>305</v>
      </c>
      <c r="B574" s="20" t="s">
        <v>280</v>
      </c>
      <c r="C574" s="20" t="s">
        <v>229</v>
      </c>
      <c r="D574" s="20" t="s">
        <v>1020</v>
      </c>
      <c r="E574" s="20"/>
      <c r="F574" s="6">
        <f>F575</f>
        <v>1245.5999999999999</v>
      </c>
      <c r="G574" s="6">
        <f>G575</f>
        <v>1245.5999999999999</v>
      </c>
    </row>
    <row r="575" spans="1:7" ht="47.25" x14ac:dyDescent="0.25">
      <c r="A575" s="25" t="s">
        <v>288</v>
      </c>
      <c r="B575" s="20" t="s">
        <v>280</v>
      </c>
      <c r="C575" s="20" t="s">
        <v>229</v>
      </c>
      <c r="D575" s="20" t="s">
        <v>1020</v>
      </c>
      <c r="E575" s="20" t="s">
        <v>289</v>
      </c>
      <c r="F575" s="6">
        <f>F576</f>
        <v>1245.5999999999999</v>
      </c>
      <c r="G575" s="6">
        <f>G576</f>
        <v>1245.5999999999999</v>
      </c>
    </row>
    <row r="576" spans="1:7" ht="15.75" x14ac:dyDescent="0.25">
      <c r="A576" s="25" t="s">
        <v>290</v>
      </c>
      <c r="B576" s="20" t="s">
        <v>280</v>
      </c>
      <c r="C576" s="20" t="s">
        <v>229</v>
      </c>
      <c r="D576" s="20" t="s">
        <v>1020</v>
      </c>
      <c r="E576" s="20" t="s">
        <v>291</v>
      </c>
      <c r="F576" s="6">
        <f>'пр.5.1.ведом.21-22'!G643</f>
        <v>1245.5999999999999</v>
      </c>
      <c r="G576" s="6">
        <f>'пр.5.1.ведом.21-22'!H643</f>
        <v>1245.5999999999999</v>
      </c>
    </row>
    <row r="577" spans="1:7" ht="94.5" x14ac:dyDescent="0.25">
      <c r="A577" s="31" t="s">
        <v>307</v>
      </c>
      <c r="B577" s="20" t="s">
        <v>280</v>
      </c>
      <c r="C577" s="20" t="s">
        <v>229</v>
      </c>
      <c r="D577" s="20" t="s">
        <v>1023</v>
      </c>
      <c r="E577" s="20"/>
      <c r="F577" s="6">
        <f>F578</f>
        <v>2266.6999999999998</v>
      </c>
      <c r="G577" s="6">
        <f>G578</f>
        <v>2266.6999999999998</v>
      </c>
    </row>
    <row r="578" spans="1:7" ht="47.25" x14ac:dyDescent="0.25">
      <c r="A578" s="25" t="s">
        <v>288</v>
      </c>
      <c r="B578" s="20" t="s">
        <v>280</v>
      </c>
      <c r="C578" s="20" t="s">
        <v>229</v>
      </c>
      <c r="D578" s="20" t="s">
        <v>1023</v>
      </c>
      <c r="E578" s="20" t="s">
        <v>289</v>
      </c>
      <c r="F578" s="6">
        <f>F579</f>
        <v>2266.6999999999998</v>
      </c>
      <c r="G578" s="6">
        <f>G579</f>
        <v>2266.6999999999998</v>
      </c>
    </row>
    <row r="579" spans="1:7" ht="15.75" x14ac:dyDescent="0.25">
      <c r="A579" s="25" t="s">
        <v>290</v>
      </c>
      <c r="B579" s="20" t="s">
        <v>280</v>
      </c>
      <c r="C579" s="20" t="s">
        <v>229</v>
      </c>
      <c r="D579" s="20" t="s">
        <v>1023</v>
      </c>
      <c r="E579" s="20" t="s">
        <v>291</v>
      </c>
      <c r="F579" s="6">
        <f>'пр.5.1.ведом.21-22'!G646</f>
        <v>2266.6999999999998</v>
      </c>
      <c r="G579" s="6">
        <f>'пр.5.1.ведом.21-22'!H646</f>
        <v>2266.6999999999998</v>
      </c>
    </row>
    <row r="580" spans="1:7" ht="63" x14ac:dyDescent="0.25">
      <c r="A580" s="31" t="s">
        <v>478</v>
      </c>
      <c r="B580" s="20" t="s">
        <v>280</v>
      </c>
      <c r="C580" s="20" t="s">
        <v>229</v>
      </c>
      <c r="D580" s="20" t="s">
        <v>1050</v>
      </c>
      <c r="E580" s="20"/>
      <c r="F580" s="6">
        <f>F581</f>
        <v>923.4</v>
      </c>
      <c r="G580" s="6">
        <f>G581</f>
        <v>923.4</v>
      </c>
    </row>
    <row r="581" spans="1:7" ht="47.25" x14ac:dyDescent="0.25">
      <c r="A581" s="25" t="s">
        <v>288</v>
      </c>
      <c r="B581" s="20" t="s">
        <v>280</v>
      </c>
      <c r="C581" s="20" t="s">
        <v>229</v>
      </c>
      <c r="D581" s="20" t="s">
        <v>1050</v>
      </c>
      <c r="E581" s="20" t="s">
        <v>289</v>
      </c>
      <c r="F581" s="6">
        <f>F582</f>
        <v>923.4</v>
      </c>
      <c r="G581" s="6">
        <f>G582</f>
        <v>923.4</v>
      </c>
    </row>
    <row r="582" spans="1:7" ht="15.75" x14ac:dyDescent="0.25">
      <c r="A582" s="25" t="s">
        <v>290</v>
      </c>
      <c r="B582" s="20" t="s">
        <v>280</v>
      </c>
      <c r="C582" s="20" t="s">
        <v>229</v>
      </c>
      <c r="D582" s="20" t="s">
        <v>1050</v>
      </c>
      <c r="E582" s="20" t="s">
        <v>291</v>
      </c>
      <c r="F582" s="6">
        <f>'пр.5.1.ведом.21-22'!G649</f>
        <v>923.4</v>
      </c>
      <c r="G582" s="6">
        <f>'пр.5.1.ведом.21-22'!H649</f>
        <v>923.4</v>
      </c>
    </row>
    <row r="583" spans="1:7" ht="111.2" customHeight="1" x14ac:dyDescent="0.25">
      <c r="A583" s="31" t="s">
        <v>480</v>
      </c>
      <c r="B583" s="20" t="s">
        <v>280</v>
      </c>
      <c r="C583" s="20" t="s">
        <v>229</v>
      </c>
      <c r="D583" s="20" t="s">
        <v>1024</v>
      </c>
      <c r="E583" s="20"/>
      <c r="F583" s="6">
        <f>F584</f>
        <v>0</v>
      </c>
      <c r="G583" s="6">
        <f>G584</f>
        <v>0</v>
      </c>
    </row>
    <row r="584" spans="1:7" ht="47.25" x14ac:dyDescent="0.25">
      <c r="A584" s="25" t="s">
        <v>288</v>
      </c>
      <c r="B584" s="20" t="s">
        <v>280</v>
      </c>
      <c r="C584" s="20" t="s">
        <v>229</v>
      </c>
      <c r="D584" s="20" t="s">
        <v>1024</v>
      </c>
      <c r="E584" s="20" t="s">
        <v>289</v>
      </c>
      <c r="F584" s="6">
        <f>F585</f>
        <v>0</v>
      </c>
      <c r="G584" s="6">
        <f>G585</f>
        <v>0</v>
      </c>
    </row>
    <row r="585" spans="1:7" ht="15.75" x14ac:dyDescent="0.25">
      <c r="A585" s="25" t="s">
        <v>290</v>
      </c>
      <c r="B585" s="20" t="s">
        <v>280</v>
      </c>
      <c r="C585" s="20" t="s">
        <v>229</v>
      </c>
      <c r="D585" s="20" t="s">
        <v>1024</v>
      </c>
      <c r="E585" s="20" t="s">
        <v>291</v>
      </c>
      <c r="F585" s="6">
        <f>'пр.5.1.ведом.21-22'!G652</f>
        <v>0</v>
      </c>
      <c r="G585" s="6">
        <f>'пр.5.1.ведом.21-22'!H652</f>
        <v>0</v>
      </c>
    </row>
    <row r="586" spans="1:7" ht="47.25" x14ac:dyDescent="0.25">
      <c r="A586" s="269" t="s">
        <v>446</v>
      </c>
      <c r="B586" s="24" t="s">
        <v>280</v>
      </c>
      <c r="C586" s="24" t="s">
        <v>229</v>
      </c>
      <c r="D586" s="24" t="s">
        <v>447</v>
      </c>
      <c r="E586" s="24"/>
      <c r="F586" s="4">
        <f>F587+F600+F607+F614+F621</f>
        <v>10366.099999999999</v>
      </c>
      <c r="G586" s="4">
        <f>G587+G600+G607+G614+G621</f>
        <v>10174.599999999999</v>
      </c>
    </row>
    <row r="587" spans="1:7" ht="31.5" x14ac:dyDescent="0.25">
      <c r="A587" s="23" t="s">
        <v>1268</v>
      </c>
      <c r="B587" s="24" t="s">
        <v>280</v>
      </c>
      <c r="C587" s="24" t="s">
        <v>229</v>
      </c>
      <c r="D587" s="24" t="s">
        <v>1030</v>
      </c>
      <c r="E587" s="24"/>
      <c r="F587" s="4">
        <f>F588+F591+F594+F597</f>
        <v>1746</v>
      </c>
      <c r="G587" s="4">
        <f>G588+G591+G594+G597</f>
        <v>1546</v>
      </c>
    </row>
    <row r="588" spans="1:7" ht="47.25" hidden="1" x14ac:dyDescent="0.25">
      <c r="A588" s="25" t="s">
        <v>456</v>
      </c>
      <c r="B588" s="20" t="s">
        <v>280</v>
      </c>
      <c r="C588" s="20" t="s">
        <v>229</v>
      </c>
      <c r="D588" s="20" t="s">
        <v>1034</v>
      </c>
      <c r="E588" s="20"/>
      <c r="F588" s="6">
        <f>'Пр.3 Рд,пр, ЦС,ВР 20'!F615</f>
        <v>0</v>
      </c>
      <c r="G588" s="6">
        <f>'Пр.3 Рд,пр, ЦС,ВР 20'!G615</f>
        <v>0</v>
      </c>
    </row>
    <row r="589" spans="1:7" ht="47.25" hidden="1" x14ac:dyDescent="0.25">
      <c r="A589" s="25" t="s">
        <v>288</v>
      </c>
      <c r="B589" s="20" t="s">
        <v>280</v>
      </c>
      <c r="C589" s="20" t="s">
        <v>229</v>
      </c>
      <c r="D589" s="20" t="s">
        <v>1034</v>
      </c>
      <c r="E589" s="20" t="s">
        <v>289</v>
      </c>
      <c r="F589" s="6">
        <f>'Пр.3 Рд,пр, ЦС,ВР 20'!F616</f>
        <v>0</v>
      </c>
      <c r="G589" s="6">
        <f>'Пр.3 Рд,пр, ЦС,ВР 20'!G616</f>
        <v>0</v>
      </c>
    </row>
    <row r="590" spans="1:7" ht="15.75" hidden="1" x14ac:dyDescent="0.25">
      <c r="A590" s="25" t="s">
        <v>290</v>
      </c>
      <c r="B590" s="20" t="s">
        <v>280</v>
      </c>
      <c r="C590" s="20" t="s">
        <v>229</v>
      </c>
      <c r="D590" s="20" t="s">
        <v>1034</v>
      </c>
      <c r="E590" s="20" t="s">
        <v>291</v>
      </c>
      <c r="F590" s="6">
        <f>'Пр.3 Рд,пр, ЦС,ВР 20'!F617</f>
        <v>0</v>
      </c>
      <c r="G590" s="6">
        <f>'Пр.3 Рд,пр, ЦС,ВР 20'!G617</f>
        <v>0</v>
      </c>
    </row>
    <row r="591" spans="1:7" ht="47.25" hidden="1" x14ac:dyDescent="0.25">
      <c r="A591" s="25" t="s">
        <v>294</v>
      </c>
      <c r="B591" s="20" t="s">
        <v>280</v>
      </c>
      <c r="C591" s="20" t="s">
        <v>229</v>
      </c>
      <c r="D591" s="20" t="s">
        <v>1035</v>
      </c>
      <c r="E591" s="20"/>
      <c r="F591" s="6">
        <f>'Пр.3 Рд,пр, ЦС,ВР 20'!F618</f>
        <v>1522</v>
      </c>
      <c r="G591" s="6">
        <f>'Пр.3 Рд,пр, ЦС,ВР 20'!G618</f>
        <v>1322</v>
      </c>
    </row>
    <row r="592" spans="1:7" ht="47.25" hidden="1" x14ac:dyDescent="0.25">
      <c r="A592" s="25" t="s">
        <v>288</v>
      </c>
      <c r="B592" s="20" t="s">
        <v>280</v>
      </c>
      <c r="C592" s="20" t="s">
        <v>229</v>
      </c>
      <c r="D592" s="20" t="s">
        <v>1035</v>
      </c>
      <c r="E592" s="20" t="s">
        <v>289</v>
      </c>
      <c r="F592" s="6">
        <f>'Пр.3 Рд,пр, ЦС,ВР 20'!F619</f>
        <v>1522</v>
      </c>
      <c r="G592" s="6">
        <f>'Пр.3 Рд,пр, ЦС,ВР 20'!G619</f>
        <v>1322</v>
      </c>
    </row>
    <row r="593" spans="1:7" ht="15.75" hidden="1" x14ac:dyDescent="0.25">
      <c r="A593" s="25" t="s">
        <v>290</v>
      </c>
      <c r="B593" s="20" t="s">
        <v>280</v>
      </c>
      <c r="C593" s="20" t="s">
        <v>229</v>
      </c>
      <c r="D593" s="20" t="s">
        <v>1035</v>
      </c>
      <c r="E593" s="20" t="s">
        <v>291</v>
      </c>
      <c r="F593" s="6">
        <f>'Пр.3 Рд,пр, ЦС,ВР 20'!F620</f>
        <v>1522</v>
      </c>
      <c r="G593" s="6">
        <f>'Пр.3 Рд,пр, ЦС,ВР 20'!G620</f>
        <v>1322</v>
      </c>
    </row>
    <row r="594" spans="1:7" ht="31.5" hidden="1" x14ac:dyDescent="0.25">
      <c r="A594" s="25" t="s">
        <v>296</v>
      </c>
      <c r="B594" s="20" t="s">
        <v>280</v>
      </c>
      <c r="C594" s="20" t="s">
        <v>229</v>
      </c>
      <c r="D594" s="20" t="s">
        <v>1036</v>
      </c>
      <c r="E594" s="20"/>
      <c r="F594" s="6">
        <f>F595</f>
        <v>0</v>
      </c>
      <c r="G594" s="6">
        <f>G595</f>
        <v>0</v>
      </c>
    </row>
    <row r="595" spans="1:7" ht="47.25" hidden="1" x14ac:dyDescent="0.25">
      <c r="A595" s="25" t="s">
        <v>288</v>
      </c>
      <c r="B595" s="20" t="s">
        <v>280</v>
      </c>
      <c r="C595" s="20" t="s">
        <v>229</v>
      </c>
      <c r="D595" s="20" t="s">
        <v>1036</v>
      </c>
      <c r="E595" s="20" t="s">
        <v>289</v>
      </c>
      <c r="F595" s="6">
        <f>F596</f>
        <v>0</v>
      </c>
      <c r="G595" s="6">
        <f>G596</f>
        <v>0</v>
      </c>
    </row>
    <row r="596" spans="1:7" ht="15.75" hidden="1" x14ac:dyDescent="0.25">
      <c r="A596" s="25" t="s">
        <v>290</v>
      </c>
      <c r="B596" s="20" t="s">
        <v>280</v>
      </c>
      <c r="C596" s="20" t="s">
        <v>229</v>
      </c>
      <c r="D596" s="20" t="s">
        <v>1036</v>
      </c>
      <c r="E596" s="20" t="s">
        <v>291</v>
      </c>
      <c r="F596" s="6">
        <f>'пр.5.1.ведом.21-22'!G663</f>
        <v>0</v>
      </c>
      <c r="G596" s="6">
        <f>'пр.5.1.ведом.21-22'!H663</f>
        <v>0</v>
      </c>
    </row>
    <row r="597" spans="1:7" ht="47.25" x14ac:dyDescent="0.25">
      <c r="A597" s="25" t="s">
        <v>298</v>
      </c>
      <c r="B597" s="20" t="s">
        <v>280</v>
      </c>
      <c r="C597" s="20" t="s">
        <v>229</v>
      </c>
      <c r="D597" s="20" t="s">
        <v>1037</v>
      </c>
      <c r="E597" s="20"/>
      <c r="F597" s="6">
        <f>F598</f>
        <v>224</v>
      </c>
      <c r="G597" s="6">
        <f>G598</f>
        <v>224</v>
      </c>
    </row>
    <row r="598" spans="1:7" ht="47.25" x14ac:dyDescent="0.25">
      <c r="A598" s="25" t="s">
        <v>288</v>
      </c>
      <c r="B598" s="20" t="s">
        <v>280</v>
      </c>
      <c r="C598" s="20" t="s">
        <v>229</v>
      </c>
      <c r="D598" s="20" t="s">
        <v>1037</v>
      </c>
      <c r="E598" s="20" t="s">
        <v>289</v>
      </c>
      <c r="F598" s="6">
        <f>F599</f>
        <v>224</v>
      </c>
      <c r="G598" s="6">
        <f>G599</f>
        <v>224</v>
      </c>
    </row>
    <row r="599" spans="1:7" ht="15.75" x14ac:dyDescent="0.25">
      <c r="A599" s="25" t="s">
        <v>290</v>
      </c>
      <c r="B599" s="20" t="s">
        <v>280</v>
      </c>
      <c r="C599" s="20" t="s">
        <v>229</v>
      </c>
      <c r="D599" s="20" t="s">
        <v>1037</v>
      </c>
      <c r="E599" s="20" t="s">
        <v>291</v>
      </c>
      <c r="F599" s="6">
        <f>'пр.5.1.ведом.21-22'!G666</f>
        <v>224</v>
      </c>
      <c r="G599" s="6">
        <f>'пр.5.1.ведом.21-22'!H666</f>
        <v>224</v>
      </c>
    </row>
    <row r="600" spans="1:7" ht="47.25" x14ac:dyDescent="0.25">
      <c r="A600" s="23" t="s">
        <v>1031</v>
      </c>
      <c r="B600" s="24" t="s">
        <v>280</v>
      </c>
      <c r="C600" s="24" t="s">
        <v>229</v>
      </c>
      <c r="D600" s="24" t="s">
        <v>1032</v>
      </c>
      <c r="E600" s="24"/>
      <c r="F600" s="4">
        <f>F601+F604</f>
        <v>3943.4</v>
      </c>
      <c r="G600" s="4">
        <f>G601+G604</f>
        <v>3951.9</v>
      </c>
    </row>
    <row r="601" spans="1:7" ht="56.25" customHeight="1" x14ac:dyDescent="0.25">
      <c r="A601" s="29" t="s">
        <v>619</v>
      </c>
      <c r="B601" s="20" t="s">
        <v>280</v>
      </c>
      <c r="C601" s="20" t="s">
        <v>229</v>
      </c>
      <c r="D601" s="20" t="s">
        <v>1038</v>
      </c>
      <c r="E601" s="20"/>
      <c r="F601" s="6">
        <f>F602</f>
        <v>2200</v>
      </c>
      <c r="G601" s="6">
        <f>G602</f>
        <v>2200</v>
      </c>
    </row>
    <row r="602" spans="1:7" ht="47.25" x14ac:dyDescent="0.25">
      <c r="A602" s="25" t="s">
        <v>288</v>
      </c>
      <c r="B602" s="20" t="s">
        <v>280</v>
      </c>
      <c r="C602" s="20" t="s">
        <v>229</v>
      </c>
      <c r="D602" s="20" t="s">
        <v>1038</v>
      </c>
      <c r="E602" s="20" t="s">
        <v>289</v>
      </c>
      <c r="F602" s="6">
        <f>F603</f>
        <v>2200</v>
      </c>
      <c r="G602" s="6">
        <f>G603</f>
        <v>2200</v>
      </c>
    </row>
    <row r="603" spans="1:7" ht="15.75" x14ac:dyDescent="0.25">
      <c r="A603" s="25" t="s">
        <v>290</v>
      </c>
      <c r="B603" s="20" t="s">
        <v>280</v>
      </c>
      <c r="C603" s="20" t="s">
        <v>229</v>
      </c>
      <c r="D603" s="20" t="s">
        <v>1038</v>
      </c>
      <c r="E603" s="20" t="s">
        <v>291</v>
      </c>
      <c r="F603" s="6">
        <f>'пр.5.1.ведом.21-22'!G670</f>
        <v>2200</v>
      </c>
      <c r="G603" s="6">
        <f>'пр.5.1.ведом.21-22'!H670</f>
        <v>2200</v>
      </c>
    </row>
    <row r="604" spans="1:7" ht="31.5" x14ac:dyDescent="0.25">
      <c r="A604" s="25" t="s">
        <v>472</v>
      </c>
      <c r="B604" s="20" t="s">
        <v>280</v>
      </c>
      <c r="C604" s="20" t="s">
        <v>229</v>
      </c>
      <c r="D604" s="20" t="s">
        <v>1039</v>
      </c>
      <c r="E604" s="20"/>
      <c r="F604" s="6">
        <f>F605</f>
        <v>1743.4</v>
      </c>
      <c r="G604" s="6">
        <f>G605</f>
        <v>1751.9</v>
      </c>
    </row>
    <row r="605" spans="1:7" ht="47.25" x14ac:dyDescent="0.25">
      <c r="A605" s="25" t="s">
        <v>288</v>
      </c>
      <c r="B605" s="20" t="s">
        <v>280</v>
      </c>
      <c r="C605" s="20" t="s">
        <v>229</v>
      </c>
      <c r="D605" s="20" t="s">
        <v>1039</v>
      </c>
      <c r="E605" s="20" t="s">
        <v>289</v>
      </c>
      <c r="F605" s="6">
        <f>F606</f>
        <v>1743.4</v>
      </c>
      <c r="G605" s="6">
        <f>G606</f>
        <v>1751.9</v>
      </c>
    </row>
    <row r="606" spans="1:7" ht="15.75" x14ac:dyDescent="0.25">
      <c r="A606" s="25" t="s">
        <v>290</v>
      </c>
      <c r="B606" s="20" t="s">
        <v>280</v>
      </c>
      <c r="C606" s="20" t="s">
        <v>229</v>
      </c>
      <c r="D606" s="20" t="s">
        <v>1039</v>
      </c>
      <c r="E606" s="20" t="s">
        <v>291</v>
      </c>
      <c r="F606" s="6">
        <f>'пр.5.1.ведом.21-22'!G673</f>
        <v>1743.4</v>
      </c>
      <c r="G606" s="6">
        <f>'пр.5.1.ведом.21-22'!H673</f>
        <v>1751.9</v>
      </c>
    </row>
    <row r="607" spans="1:7" ht="31.5" x14ac:dyDescent="0.25">
      <c r="A607" s="23" t="s">
        <v>1033</v>
      </c>
      <c r="B607" s="24" t="s">
        <v>280</v>
      </c>
      <c r="C607" s="24" t="s">
        <v>229</v>
      </c>
      <c r="D607" s="24" t="s">
        <v>1040</v>
      </c>
      <c r="E607" s="24"/>
      <c r="F607" s="4">
        <f>F608+F611</f>
        <v>1364.7</v>
      </c>
      <c r="G607" s="4">
        <f>G608+G611</f>
        <v>1364.7</v>
      </c>
    </row>
    <row r="608" spans="1:7" ht="63" x14ac:dyDescent="0.25">
      <c r="A608" s="25" t="s">
        <v>454</v>
      </c>
      <c r="B608" s="20" t="s">
        <v>280</v>
      </c>
      <c r="C608" s="20" t="s">
        <v>229</v>
      </c>
      <c r="D608" s="20" t="s">
        <v>1041</v>
      </c>
      <c r="E608" s="20"/>
      <c r="F608" s="6">
        <f>F609</f>
        <v>868</v>
      </c>
      <c r="G608" s="6">
        <f>G609</f>
        <v>868</v>
      </c>
    </row>
    <row r="609" spans="1:7" ht="47.25" x14ac:dyDescent="0.25">
      <c r="A609" s="25" t="s">
        <v>288</v>
      </c>
      <c r="B609" s="20" t="s">
        <v>280</v>
      </c>
      <c r="C609" s="20" t="s">
        <v>229</v>
      </c>
      <c r="D609" s="20" t="s">
        <v>1041</v>
      </c>
      <c r="E609" s="20" t="s">
        <v>289</v>
      </c>
      <c r="F609" s="6">
        <f>F610</f>
        <v>868</v>
      </c>
      <c r="G609" s="6">
        <f>G610</f>
        <v>868</v>
      </c>
    </row>
    <row r="610" spans="1:7" ht="15.75" x14ac:dyDescent="0.25">
      <c r="A610" s="25" t="s">
        <v>290</v>
      </c>
      <c r="B610" s="20" t="s">
        <v>280</v>
      </c>
      <c r="C610" s="20" t="s">
        <v>229</v>
      </c>
      <c r="D610" s="20" t="s">
        <v>1041</v>
      </c>
      <c r="E610" s="20" t="s">
        <v>291</v>
      </c>
      <c r="F610" s="6">
        <f>'пр.5.1.ведом.21-22'!G677</f>
        <v>868</v>
      </c>
      <c r="G610" s="6">
        <f>'пр.5.1.ведом.21-22'!H677</f>
        <v>868</v>
      </c>
    </row>
    <row r="611" spans="1:7" ht="47.25" x14ac:dyDescent="0.25">
      <c r="A611" s="25" t="s">
        <v>474</v>
      </c>
      <c r="B611" s="20" t="s">
        <v>280</v>
      </c>
      <c r="C611" s="20" t="s">
        <v>229</v>
      </c>
      <c r="D611" s="20" t="s">
        <v>1042</v>
      </c>
      <c r="E611" s="20"/>
      <c r="F611" s="6">
        <f>F612</f>
        <v>496.7</v>
      </c>
      <c r="G611" s="6">
        <f>G612</f>
        <v>496.7</v>
      </c>
    </row>
    <row r="612" spans="1:7" ht="47.25" x14ac:dyDescent="0.25">
      <c r="A612" s="270" t="s">
        <v>288</v>
      </c>
      <c r="B612" s="20" t="s">
        <v>280</v>
      </c>
      <c r="C612" s="20" t="s">
        <v>229</v>
      </c>
      <c r="D612" s="20" t="s">
        <v>1042</v>
      </c>
      <c r="E612" s="20" t="s">
        <v>289</v>
      </c>
      <c r="F612" s="6">
        <f>F613</f>
        <v>496.7</v>
      </c>
      <c r="G612" s="6">
        <f>G613</f>
        <v>496.7</v>
      </c>
    </row>
    <row r="613" spans="1:7" ht="15.75" x14ac:dyDescent="0.25">
      <c r="A613" s="25" t="s">
        <v>290</v>
      </c>
      <c r="B613" s="20" t="s">
        <v>280</v>
      </c>
      <c r="C613" s="20" t="s">
        <v>229</v>
      </c>
      <c r="D613" s="20" t="s">
        <v>1042</v>
      </c>
      <c r="E613" s="20" t="s">
        <v>291</v>
      </c>
      <c r="F613" s="6">
        <f>'пр.5.1.ведом.21-22'!G680</f>
        <v>496.7</v>
      </c>
      <c r="G613" s="6">
        <f>'пр.5.1.ведом.21-22'!H680</f>
        <v>496.7</v>
      </c>
    </row>
    <row r="614" spans="1:7" ht="47.25" x14ac:dyDescent="0.25">
      <c r="A614" s="227" t="s">
        <v>1077</v>
      </c>
      <c r="B614" s="24" t="s">
        <v>280</v>
      </c>
      <c r="C614" s="24" t="s">
        <v>229</v>
      </c>
      <c r="D614" s="24" t="s">
        <v>1043</v>
      </c>
      <c r="E614" s="24"/>
      <c r="F614" s="4">
        <f>F615+F618</f>
        <v>2634</v>
      </c>
      <c r="G614" s="4">
        <f>G615+G618</f>
        <v>2634</v>
      </c>
    </row>
    <row r="615" spans="1:7" ht="31.5" hidden="1" x14ac:dyDescent="0.25">
      <c r="A615" s="25" t="s">
        <v>300</v>
      </c>
      <c r="B615" s="20" t="s">
        <v>280</v>
      </c>
      <c r="C615" s="20" t="s">
        <v>229</v>
      </c>
      <c r="D615" s="20" t="s">
        <v>1045</v>
      </c>
      <c r="E615" s="20"/>
      <c r="F615" s="6">
        <f>'Пр.3 Рд,пр, ЦС,ВР 20'!F642</f>
        <v>0</v>
      </c>
      <c r="G615" s="6">
        <f>'Пр.3 Рд,пр, ЦС,ВР 20'!G642</f>
        <v>0</v>
      </c>
    </row>
    <row r="616" spans="1:7" ht="47.25" hidden="1" x14ac:dyDescent="0.25">
      <c r="A616" s="25" t="s">
        <v>288</v>
      </c>
      <c r="B616" s="20" t="s">
        <v>280</v>
      </c>
      <c r="C616" s="20" t="s">
        <v>229</v>
      </c>
      <c r="D616" s="20" t="s">
        <v>1045</v>
      </c>
      <c r="E616" s="20" t="s">
        <v>289</v>
      </c>
      <c r="F616" s="6">
        <f>'Пр.3 Рд,пр, ЦС,ВР 20'!F643</f>
        <v>0</v>
      </c>
      <c r="G616" s="6">
        <f>'Пр.3 Рд,пр, ЦС,ВР 20'!G643</f>
        <v>0</v>
      </c>
    </row>
    <row r="617" spans="1:7" ht="15.75" hidden="1" x14ac:dyDescent="0.25">
      <c r="A617" s="25" t="s">
        <v>290</v>
      </c>
      <c r="B617" s="20" t="s">
        <v>280</v>
      </c>
      <c r="C617" s="20" t="s">
        <v>229</v>
      </c>
      <c r="D617" s="20" t="s">
        <v>1045</v>
      </c>
      <c r="E617" s="20" t="s">
        <v>291</v>
      </c>
      <c r="F617" s="6">
        <f>'Пр.3 Рд,пр, ЦС,ВР 20'!F644</f>
        <v>0</v>
      </c>
      <c r="G617" s="6">
        <f>'Пр.3 Рд,пр, ЦС,ВР 20'!G644</f>
        <v>0</v>
      </c>
    </row>
    <row r="618" spans="1:7" ht="47.25" x14ac:dyDescent="0.25">
      <c r="A618" s="60" t="s">
        <v>787</v>
      </c>
      <c r="B618" s="20" t="s">
        <v>280</v>
      </c>
      <c r="C618" s="20" t="s">
        <v>229</v>
      </c>
      <c r="D618" s="20" t="s">
        <v>1046</v>
      </c>
      <c r="E618" s="20"/>
      <c r="F618" s="6">
        <f>F619</f>
        <v>2634</v>
      </c>
      <c r="G618" s="6">
        <f>G619</f>
        <v>2634</v>
      </c>
    </row>
    <row r="619" spans="1:7" ht="47.25" x14ac:dyDescent="0.25">
      <c r="A619" s="29" t="s">
        <v>288</v>
      </c>
      <c r="B619" s="20" t="s">
        <v>280</v>
      </c>
      <c r="C619" s="20" t="s">
        <v>229</v>
      </c>
      <c r="D619" s="20" t="s">
        <v>1046</v>
      </c>
      <c r="E619" s="20" t="s">
        <v>289</v>
      </c>
      <c r="F619" s="6">
        <f>F620</f>
        <v>2634</v>
      </c>
      <c r="G619" s="6">
        <f>G620</f>
        <v>2634</v>
      </c>
    </row>
    <row r="620" spans="1:7" ht="15.75" x14ac:dyDescent="0.25">
      <c r="A620" s="192" t="s">
        <v>290</v>
      </c>
      <c r="B620" s="20" t="s">
        <v>280</v>
      </c>
      <c r="C620" s="20" t="s">
        <v>229</v>
      </c>
      <c r="D620" s="20" t="s">
        <v>1046</v>
      </c>
      <c r="E620" s="20" t="s">
        <v>291</v>
      </c>
      <c r="F620" s="6">
        <f>'пр.5.1.ведом.21-22'!G687</f>
        <v>2634</v>
      </c>
      <c r="G620" s="6">
        <f>'пр.5.1.ведом.21-22'!H687</f>
        <v>2634</v>
      </c>
    </row>
    <row r="621" spans="1:7" ht="47.25" x14ac:dyDescent="0.25">
      <c r="A621" s="225" t="s">
        <v>1048</v>
      </c>
      <c r="B621" s="24" t="s">
        <v>280</v>
      </c>
      <c r="C621" s="24" t="s">
        <v>229</v>
      </c>
      <c r="D621" s="24" t="s">
        <v>1044</v>
      </c>
      <c r="E621" s="24"/>
      <c r="F621" s="4">
        <f t="shared" ref="F621:G621" si="37">F622</f>
        <v>678</v>
      </c>
      <c r="G621" s="4">
        <f t="shared" si="37"/>
        <v>678</v>
      </c>
    </row>
    <row r="622" spans="1:7" ht="63" x14ac:dyDescent="0.25">
      <c r="A622" s="192" t="s">
        <v>874</v>
      </c>
      <c r="B622" s="20" t="s">
        <v>280</v>
      </c>
      <c r="C622" s="20" t="s">
        <v>229</v>
      </c>
      <c r="D622" s="20" t="s">
        <v>1047</v>
      </c>
      <c r="E622" s="20"/>
      <c r="F622" s="6">
        <f>F623</f>
        <v>678</v>
      </c>
      <c r="G622" s="6">
        <f>G623</f>
        <v>678</v>
      </c>
    </row>
    <row r="623" spans="1:7" ht="47.25" x14ac:dyDescent="0.25">
      <c r="A623" s="31" t="s">
        <v>288</v>
      </c>
      <c r="B623" s="20" t="s">
        <v>280</v>
      </c>
      <c r="C623" s="20" t="s">
        <v>229</v>
      </c>
      <c r="D623" s="20" t="s">
        <v>1047</v>
      </c>
      <c r="E623" s="20" t="s">
        <v>289</v>
      </c>
      <c r="F623" s="6">
        <f>F624</f>
        <v>678</v>
      </c>
      <c r="G623" s="6">
        <f>G624</f>
        <v>678</v>
      </c>
    </row>
    <row r="624" spans="1:7" ht="15.75" x14ac:dyDescent="0.25">
      <c r="A624" s="31" t="s">
        <v>290</v>
      </c>
      <c r="B624" s="20" t="s">
        <v>280</v>
      </c>
      <c r="C624" s="20" t="s">
        <v>229</v>
      </c>
      <c r="D624" s="20" t="s">
        <v>1047</v>
      </c>
      <c r="E624" s="20" t="s">
        <v>291</v>
      </c>
      <c r="F624" s="6">
        <f>'пр.5.1.ведом.21-22'!G691</f>
        <v>678</v>
      </c>
      <c r="G624" s="6">
        <f>'пр.5.1.ведом.21-22'!H691</f>
        <v>678</v>
      </c>
    </row>
    <row r="625" spans="1:7" ht="78.75" hidden="1" x14ac:dyDescent="0.25">
      <c r="A625" s="34" t="s">
        <v>805</v>
      </c>
      <c r="B625" s="24" t="s">
        <v>280</v>
      </c>
      <c r="C625" s="24" t="s">
        <v>229</v>
      </c>
      <c r="D625" s="24" t="s">
        <v>340</v>
      </c>
      <c r="E625" s="24"/>
      <c r="F625" s="4">
        <f t="shared" ref="F625:G625" si="38">F626</f>
        <v>0</v>
      </c>
      <c r="G625" s="4">
        <f t="shared" si="38"/>
        <v>0</v>
      </c>
    </row>
    <row r="626" spans="1:7" ht="63" hidden="1" x14ac:dyDescent="0.25">
      <c r="A626" s="34" t="s">
        <v>1190</v>
      </c>
      <c r="B626" s="24" t="s">
        <v>280</v>
      </c>
      <c r="C626" s="24" t="s">
        <v>229</v>
      </c>
      <c r="D626" s="24" t="s">
        <v>1025</v>
      </c>
      <c r="E626" s="24"/>
      <c r="F626" s="4">
        <f t="shared" ref="F626:G628" si="39">F627</f>
        <v>0</v>
      </c>
      <c r="G626" s="4">
        <f t="shared" si="39"/>
        <v>0</v>
      </c>
    </row>
    <row r="627" spans="1:7" ht="63" hidden="1" x14ac:dyDescent="0.25">
      <c r="A627" s="31" t="s">
        <v>1161</v>
      </c>
      <c r="B627" s="20" t="s">
        <v>280</v>
      </c>
      <c r="C627" s="20" t="s">
        <v>229</v>
      </c>
      <c r="D627" s="20" t="s">
        <v>1026</v>
      </c>
      <c r="E627" s="20"/>
      <c r="F627" s="6">
        <f t="shared" si="39"/>
        <v>0</v>
      </c>
      <c r="G627" s="6">
        <f t="shared" si="39"/>
        <v>0</v>
      </c>
    </row>
    <row r="628" spans="1:7" ht="47.25" hidden="1" x14ac:dyDescent="0.25">
      <c r="A628" s="31" t="s">
        <v>288</v>
      </c>
      <c r="B628" s="20" t="s">
        <v>280</v>
      </c>
      <c r="C628" s="20" t="s">
        <v>229</v>
      </c>
      <c r="D628" s="20" t="s">
        <v>1026</v>
      </c>
      <c r="E628" s="20" t="s">
        <v>289</v>
      </c>
      <c r="F628" s="6">
        <f t="shared" si="39"/>
        <v>0</v>
      </c>
      <c r="G628" s="6">
        <f t="shared" si="39"/>
        <v>0</v>
      </c>
    </row>
    <row r="629" spans="1:7" ht="15.75" hidden="1" x14ac:dyDescent="0.25">
      <c r="A629" s="31" t="s">
        <v>290</v>
      </c>
      <c r="B629" s="20" t="s">
        <v>280</v>
      </c>
      <c r="C629" s="20" t="s">
        <v>229</v>
      </c>
      <c r="D629" s="20" t="s">
        <v>1026</v>
      </c>
      <c r="E629" s="20" t="s">
        <v>291</v>
      </c>
      <c r="F629" s="6">
        <f>'пр.5.1.ведом.21-22'!G696</f>
        <v>0</v>
      </c>
      <c r="G629" s="6">
        <f>'пр.5.1.ведом.21-22'!H696</f>
        <v>0</v>
      </c>
    </row>
    <row r="630" spans="1:7" ht="78.75" x14ac:dyDescent="0.25">
      <c r="A630" s="41" t="s">
        <v>1424</v>
      </c>
      <c r="B630" s="24" t="s">
        <v>280</v>
      </c>
      <c r="C630" s="24" t="s">
        <v>229</v>
      </c>
      <c r="D630" s="24" t="s">
        <v>728</v>
      </c>
      <c r="E630" s="231"/>
      <c r="F630" s="4">
        <f t="shared" ref="F630:G631" si="40">F631</f>
        <v>723.3</v>
      </c>
      <c r="G630" s="4">
        <f t="shared" si="40"/>
        <v>723.3</v>
      </c>
    </row>
    <row r="631" spans="1:7" ht="63" x14ac:dyDescent="0.25">
      <c r="A631" s="41" t="s">
        <v>949</v>
      </c>
      <c r="B631" s="24" t="s">
        <v>280</v>
      </c>
      <c r="C631" s="24" t="s">
        <v>229</v>
      </c>
      <c r="D631" s="24" t="s">
        <v>947</v>
      </c>
      <c r="E631" s="231"/>
      <c r="F631" s="4">
        <f t="shared" si="40"/>
        <v>723.3</v>
      </c>
      <c r="G631" s="4">
        <f t="shared" si="40"/>
        <v>723.3</v>
      </c>
    </row>
    <row r="632" spans="1:7" ht="47.25" x14ac:dyDescent="0.25">
      <c r="A632" s="99" t="s">
        <v>803</v>
      </c>
      <c r="B632" s="20" t="s">
        <v>280</v>
      </c>
      <c r="C632" s="20" t="s">
        <v>229</v>
      </c>
      <c r="D632" s="20" t="s">
        <v>1027</v>
      </c>
      <c r="E632" s="32"/>
      <c r="F632" s="6">
        <f>F633</f>
        <v>723.3</v>
      </c>
      <c r="G632" s="6">
        <f>G633</f>
        <v>723.3</v>
      </c>
    </row>
    <row r="633" spans="1:7" ht="47.25" x14ac:dyDescent="0.25">
      <c r="A633" s="29" t="s">
        <v>288</v>
      </c>
      <c r="B633" s="20" t="s">
        <v>280</v>
      </c>
      <c r="C633" s="20" t="s">
        <v>229</v>
      </c>
      <c r="D633" s="20" t="s">
        <v>1027</v>
      </c>
      <c r="E633" s="32" t="s">
        <v>289</v>
      </c>
      <c r="F633" s="6">
        <f>F634</f>
        <v>723.3</v>
      </c>
      <c r="G633" s="6">
        <f>G634</f>
        <v>723.3</v>
      </c>
    </row>
    <row r="634" spans="1:7" ht="15.75" x14ac:dyDescent="0.25">
      <c r="A634" s="192" t="s">
        <v>290</v>
      </c>
      <c r="B634" s="20" t="s">
        <v>280</v>
      </c>
      <c r="C634" s="20" t="s">
        <v>229</v>
      </c>
      <c r="D634" s="20" t="s">
        <v>1027</v>
      </c>
      <c r="E634" s="32" t="s">
        <v>291</v>
      </c>
      <c r="F634" s="6">
        <f>'пр.5.1.ведом.21-22'!G701</f>
        <v>723.3</v>
      </c>
      <c r="G634" s="6">
        <f>'пр.5.1.ведом.21-22'!H701</f>
        <v>723.3</v>
      </c>
    </row>
    <row r="635" spans="1:7" ht="15.75" x14ac:dyDescent="0.25">
      <c r="A635" s="41" t="s">
        <v>281</v>
      </c>
      <c r="B635" s="7" t="s">
        <v>280</v>
      </c>
      <c r="C635" s="7" t="s">
        <v>231</v>
      </c>
      <c r="D635" s="24"/>
      <c r="E635" s="7"/>
      <c r="F635" s="4">
        <f>F636+F664+F701</f>
        <v>52141.599999999991</v>
      </c>
      <c r="G635" s="4">
        <f>G636+G664+G701</f>
        <v>52141.599999999991</v>
      </c>
    </row>
    <row r="636" spans="1:7" ht="47.25" x14ac:dyDescent="0.25">
      <c r="A636" s="23" t="s">
        <v>1430</v>
      </c>
      <c r="B636" s="24" t="s">
        <v>280</v>
      </c>
      <c r="C636" s="24" t="s">
        <v>231</v>
      </c>
      <c r="D636" s="24" t="s">
        <v>422</v>
      </c>
      <c r="E636" s="24"/>
      <c r="F636" s="4">
        <f>F637+F655</f>
        <v>34976.199999999997</v>
      </c>
      <c r="G636" s="4">
        <f>G637+G655</f>
        <v>34976.199999999997</v>
      </c>
    </row>
    <row r="637" spans="1:7" ht="47.25" x14ac:dyDescent="0.25">
      <c r="A637" s="23" t="s">
        <v>423</v>
      </c>
      <c r="B637" s="24" t="s">
        <v>280</v>
      </c>
      <c r="C637" s="24" t="s">
        <v>231</v>
      </c>
      <c r="D637" s="24" t="s">
        <v>424</v>
      </c>
      <c r="E637" s="24"/>
      <c r="F637" s="4">
        <f>F638+F642</f>
        <v>34237.199999999997</v>
      </c>
      <c r="G637" s="4">
        <f>G638+G642</f>
        <v>34237.199999999997</v>
      </c>
    </row>
    <row r="638" spans="1:7" ht="47.25" x14ac:dyDescent="0.25">
      <c r="A638" s="23" t="s">
        <v>1028</v>
      </c>
      <c r="B638" s="24" t="s">
        <v>280</v>
      </c>
      <c r="C638" s="24" t="s">
        <v>231</v>
      </c>
      <c r="D638" s="24" t="s">
        <v>1006</v>
      </c>
      <c r="E638" s="24"/>
      <c r="F638" s="4">
        <f t="shared" ref="F638:G638" si="41">F639</f>
        <v>32615</v>
      </c>
      <c r="G638" s="4">
        <f t="shared" si="41"/>
        <v>32615</v>
      </c>
    </row>
    <row r="639" spans="1:7" ht="47.25" x14ac:dyDescent="0.25">
      <c r="A639" s="25" t="s">
        <v>286</v>
      </c>
      <c r="B639" s="20" t="s">
        <v>280</v>
      </c>
      <c r="C639" s="20" t="s">
        <v>231</v>
      </c>
      <c r="D639" s="20" t="s">
        <v>1051</v>
      </c>
      <c r="E639" s="20"/>
      <c r="F639" s="6">
        <f>F640</f>
        <v>32615</v>
      </c>
      <c r="G639" s="6">
        <f>G640</f>
        <v>32615</v>
      </c>
    </row>
    <row r="640" spans="1:7" ht="47.25" x14ac:dyDescent="0.25">
      <c r="A640" s="25" t="s">
        <v>288</v>
      </c>
      <c r="B640" s="20" t="s">
        <v>280</v>
      </c>
      <c r="C640" s="20" t="s">
        <v>231</v>
      </c>
      <c r="D640" s="20" t="s">
        <v>1051</v>
      </c>
      <c r="E640" s="20" t="s">
        <v>289</v>
      </c>
      <c r="F640" s="6">
        <f>F641</f>
        <v>32615</v>
      </c>
      <c r="G640" s="6">
        <f>G641</f>
        <v>32615</v>
      </c>
    </row>
    <row r="641" spans="1:7" ht="15.75" x14ac:dyDescent="0.25">
      <c r="A641" s="25" t="s">
        <v>290</v>
      </c>
      <c r="B641" s="20" t="s">
        <v>280</v>
      </c>
      <c r="C641" s="20" t="s">
        <v>231</v>
      </c>
      <c r="D641" s="20" t="s">
        <v>1051</v>
      </c>
      <c r="E641" s="20" t="s">
        <v>291</v>
      </c>
      <c r="F641" s="6">
        <f>'пр.5.1.ведом.21-22'!G708</f>
        <v>32615</v>
      </c>
      <c r="G641" s="6">
        <f>'пр.5.1.ведом.21-22'!H708</f>
        <v>32615</v>
      </c>
    </row>
    <row r="642" spans="1:7" ht="63" x14ac:dyDescent="0.25">
      <c r="A642" s="23" t="s">
        <v>971</v>
      </c>
      <c r="B642" s="24" t="s">
        <v>280</v>
      </c>
      <c r="C642" s="24" t="s">
        <v>231</v>
      </c>
      <c r="D642" s="24" t="s">
        <v>1021</v>
      </c>
      <c r="E642" s="24"/>
      <c r="F642" s="4">
        <f>F646+F649+F652+F643</f>
        <v>1622.1999999999998</v>
      </c>
      <c r="G642" s="4">
        <f>G646+G649+G652+G643</f>
        <v>1622.1999999999998</v>
      </c>
    </row>
    <row r="643" spans="1:7" s="324" customFormat="1" ht="126" x14ac:dyDescent="0.25">
      <c r="A643" s="31" t="s">
        <v>309</v>
      </c>
      <c r="B643" s="331" t="s">
        <v>280</v>
      </c>
      <c r="C643" s="331" t="s">
        <v>231</v>
      </c>
      <c r="D643" s="331" t="s">
        <v>1517</v>
      </c>
      <c r="E643" s="331"/>
      <c r="F643" s="6">
        <f>F644</f>
        <v>903.4</v>
      </c>
      <c r="G643" s="6">
        <f>G644</f>
        <v>903.4</v>
      </c>
    </row>
    <row r="644" spans="1:7" s="324" customFormat="1" ht="47.25" x14ac:dyDescent="0.25">
      <c r="A644" s="335" t="s">
        <v>288</v>
      </c>
      <c r="B644" s="331" t="s">
        <v>280</v>
      </c>
      <c r="C644" s="331" t="s">
        <v>231</v>
      </c>
      <c r="D644" s="331" t="s">
        <v>1517</v>
      </c>
      <c r="E644" s="331" t="s">
        <v>289</v>
      </c>
      <c r="F644" s="6">
        <f>F645</f>
        <v>903.4</v>
      </c>
      <c r="G644" s="6">
        <f>G645</f>
        <v>903.4</v>
      </c>
    </row>
    <row r="645" spans="1:7" s="324" customFormat="1" ht="15.75" x14ac:dyDescent="0.25">
      <c r="A645" s="335" t="s">
        <v>290</v>
      </c>
      <c r="B645" s="331" t="s">
        <v>280</v>
      </c>
      <c r="C645" s="331" t="s">
        <v>231</v>
      </c>
      <c r="D645" s="331" t="s">
        <v>1517</v>
      </c>
      <c r="E645" s="331" t="s">
        <v>291</v>
      </c>
      <c r="F645" s="6">
        <f>'пр.5.1.ведом.21-22'!G712</f>
        <v>903.4</v>
      </c>
      <c r="G645" s="6">
        <f>'пр.5.1.ведом.21-22'!H712</f>
        <v>903.4</v>
      </c>
    </row>
    <row r="646" spans="1:7" ht="78.75" x14ac:dyDescent="0.25">
      <c r="A646" s="31" t="s">
        <v>305</v>
      </c>
      <c r="B646" s="20" t="s">
        <v>280</v>
      </c>
      <c r="C646" s="20" t="s">
        <v>231</v>
      </c>
      <c r="D646" s="20" t="s">
        <v>1020</v>
      </c>
      <c r="E646" s="20"/>
      <c r="F646" s="6">
        <f>F647</f>
        <v>169.3</v>
      </c>
      <c r="G646" s="6">
        <f>G647</f>
        <v>169.3</v>
      </c>
    </row>
    <row r="647" spans="1:7" ht="47.25" x14ac:dyDescent="0.25">
      <c r="A647" s="25" t="s">
        <v>288</v>
      </c>
      <c r="B647" s="20" t="s">
        <v>280</v>
      </c>
      <c r="C647" s="20" t="s">
        <v>231</v>
      </c>
      <c r="D647" s="20" t="s">
        <v>1020</v>
      </c>
      <c r="E647" s="20" t="s">
        <v>289</v>
      </c>
      <c r="F647" s="6">
        <f>F648</f>
        <v>169.3</v>
      </c>
      <c r="G647" s="6">
        <f>G648</f>
        <v>169.3</v>
      </c>
    </row>
    <row r="648" spans="1:7" ht="15.75" x14ac:dyDescent="0.25">
      <c r="A648" s="25" t="s">
        <v>290</v>
      </c>
      <c r="B648" s="20" t="s">
        <v>280</v>
      </c>
      <c r="C648" s="20" t="s">
        <v>231</v>
      </c>
      <c r="D648" s="20" t="s">
        <v>1020</v>
      </c>
      <c r="E648" s="20" t="s">
        <v>291</v>
      </c>
      <c r="F648" s="6">
        <f>'пр.5.1.ведом.21-22'!G715</f>
        <v>169.3</v>
      </c>
      <c r="G648" s="6">
        <f>'пр.5.1.ведом.21-22'!H715</f>
        <v>169.3</v>
      </c>
    </row>
    <row r="649" spans="1:7" ht="94.5" x14ac:dyDescent="0.25">
      <c r="A649" s="31" t="s">
        <v>307</v>
      </c>
      <c r="B649" s="20" t="s">
        <v>280</v>
      </c>
      <c r="C649" s="20" t="s">
        <v>231</v>
      </c>
      <c r="D649" s="20" t="s">
        <v>1023</v>
      </c>
      <c r="E649" s="20"/>
      <c r="F649" s="6">
        <f>F650</f>
        <v>549.5</v>
      </c>
      <c r="G649" s="6">
        <f>G650</f>
        <v>549.5</v>
      </c>
    </row>
    <row r="650" spans="1:7" ht="47.25" x14ac:dyDescent="0.25">
      <c r="A650" s="25" t="s">
        <v>288</v>
      </c>
      <c r="B650" s="20" t="s">
        <v>280</v>
      </c>
      <c r="C650" s="20" t="s">
        <v>231</v>
      </c>
      <c r="D650" s="20" t="s">
        <v>1023</v>
      </c>
      <c r="E650" s="20" t="s">
        <v>289</v>
      </c>
      <c r="F650" s="6">
        <f>F651</f>
        <v>549.5</v>
      </c>
      <c r="G650" s="6">
        <f>G651</f>
        <v>549.5</v>
      </c>
    </row>
    <row r="651" spans="1:7" ht="15.75" x14ac:dyDescent="0.25">
      <c r="A651" s="25" t="s">
        <v>290</v>
      </c>
      <c r="B651" s="20" t="s">
        <v>280</v>
      </c>
      <c r="C651" s="20" t="s">
        <v>231</v>
      </c>
      <c r="D651" s="20" t="s">
        <v>1023</v>
      </c>
      <c r="E651" s="20" t="s">
        <v>291</v>
      </c>
      <c r="F651" s="6">
        <f>'пр.5.1.ведом.21-22'!G718</f>
        <v>549.5</v>
      </c>
      <c r="G651" s="6">
        <f>'пр.5.1.ведом.21-22'!H718</f>
        <v>549.5</v>
      </c>
    </row>
    <row r="652" spans="1:7" ht="117.75" customHeight="1" x14ac:dyDescent="0.25">
      <c r="A652" s="31" t="s">
        <v>309</v>
      </c>
      <c r="B652" s="20" t="s">
        <v>280</v>
      </c>
      <c r="C652" s="20" t="s">
        <v>231</v>
      </c>
      <c r="D652" s="20" t="s">
        <v>1024</v>
      </c>
      <c r="E652" s="20"/>
      <c r="F652" s="6">
        <f>F653</f>
        <v>0</v>
      </c>
      <c r="G652" s="6">
        <f>G653</f>
        <v>0</v>
      </c>
    </row>
    <row r="653" spans="1:7" ht="47.25" x14ac:dyDescent="0.25">
      <c r="A653" s="25" t="s">
        <v>288</v>
      </c>
      <c r="B653" s="20" t="s">
        <v>280</v>
      </c>
      <c r="C653" s="20" t="s">
        <v>231</v>
      </c>
      <c r="D653" s="20" t="s">
        <v>1024</v>
      </c>
      <c r="E653" s="20" t="s">
        <v>289</v>
      </c>
      <c r="F653" s="6">
        <f>F654</f>
        <v>0</v>
      </c>
      <c r="G653" s="6">
        <f>G654</f>
        <v>0</v>
      </c>
    </row>
    <row r="654" spans="1:7" ht="15.75" x14ac:dyDescent="0.25">
      <c r="A654" s="25" t="s">
        <v>290</v>
      </c>
      <c r="B654" s="20" t="s">
        <v>280</v>
      </c>
      <c r="C654" s="20" t="s">
        <v>231</v>
      </c>
      <c r="D654" s="20" t="s">
        <v>1024</v>
      </c>
      <c r="E654" s="20" t="s">
        <v>291</v>
      </c>
      <c r="F654" s="6">
        <f>'пр.5.1.ведом.21-22'!G721</f>
        <v>0</v>
      </c>
      <c r="G654" s="6">
        <f>'пр.5.1.ведом.21-22'!H721</f>
        <v>0</v>
      </c>
    </row>
    <row r="655" spans="1:7" ht="47.25" x14ac:dyDescent="0.25">
      <c r="A655" s="34" t="s">
        <v>721</v>
      </c>
      <c r="B655" s="24" t="s">
        <v>280</v>
      </c>
      <c r="C655" s="24" t="s">
        <v>231</v>
      </c>
      <c r="D655" s="24" t="s">
        <v>463</v>
      </c>
      <c r="E655" s="24"/>
      <c r="F655" s="4">
        <f>F656+F660</f>
        <v>739</v>
      </c>
      <c r="G655" s="4">
        <f>G656+G660</f>
        <v>739</v>
      </c>
    </row>
    <row r="656" spans="1:7" ht="47.25" hidden="1" x14ac:dyDescent="0.25">
      <c r="A656" s="23" t="s">
        <v>1052</v>
      </c>
      <c r="B656" s="24" t="s">
        <v>280</v>
      </c>
      <c r="C656" s="24" t="s">
        <v>231</v>
      </c>
      <c r="D656" s="24" t="s">
        <v>1233</v>
      </c>
      <c r="E656" s="24"/>
      <c r="F656" s="4">
        <f>F657</f>
        <v>50</v>
      </c>
      <c r="G656" s="4">
        <f>G657</f>
        <v>50</v>
      </c>
    </row>
    <row r="657" spans="1:7" ht="31.5" hidden="1" x14ac:dyDescent="0.25">
      <c r="A657" s="45" t="s">
        <v>789</v>
      </c>
      <c r="B657" s="20" t="s">
        <v>280</v>
      </c>
      <c r="C657" s="20" t="s">
        <v>231</v>
      </c>
      <c r="D657" s="20" t="s">
        <v>1234</v>
      </c>
      <c r="E657" s="20"/>
      <c r="F657" s="6">
        <f>'Пр.3 Рд,пр, ЦС,ВР 20'!F715</f>
        <v>50</v>
      </c>
      <c r="G657" s="6">
        <f t="shared" ref="G657:G683" si="42">F657</f>
        <v>50</v>
      </c>
    </row>
    <row r="658" spans="1:7" ht="47.25" hidden="1" x14ac:dyDescent="0.25">
      <c r="A658" s="31" t="s">
        <v>288</v>
      </c>
      <c r="B658" s="20" t="s">
        <v>280</v>
      </c>
      <c r="C658" s="20" t="s">
        <v>231</v>
      </c>
      <c r="D658" s="20" t="s">
        <v>1234</v>
      </c>
      <c r="E658" s="20" t="s">
        <v>289</v>
      </c>
      <c r="F658" s="6">
        <f>'Пр.3 Рд,пр, ЦС,ВР 20'!F716</f>
        <v>50</v>
      </c>
      <c r="G658" s="6">
        <f t="shared" si="42"/>
        <v>50</v>
      </c>
    </row>
    <row r="659" spans="1:7" ht="15.75" hidden="1" x14ac:dyDescent="0.25">
      <c r="A659" s="31" t="s">
        <v>290</v>
      </c>
      <c r="B659" s="20" t="s">
        <v>280</v>
      </c>
      <c r="C659" s="20" t="s">
        <v>231</v>
      </c>
      <c r="D659" s="20" t="s">
        <v>1234</v>
      </c>
      <c r="E659" s="20" t="s">
        <v>291</v>
      </c>
      <c r="F659" s="6">
        <f>'Пр.3 Рд,пр, ЦС,ВР 20'!F717</f>
        <v>50</v>
      </c>
      <c r="G659" s="6">
        <f t="shared" si="42"/>
        <v>50</v>
      </c>
    </row>
    <row r="660" spans="1:7" ht="47.25" x14ac:dyDescent="0.25">
      <c r="A660" s="227" t="s">
        <v>1077</v>
      </c>
      <c r="B660" s="24" t="s">
        <v>280</v>
      </c>
      <c r="C660" s="24" t="s">
        <v>231</v>
      </c>
      <c r="D660" s="24" t="s">
        <v>1053</v>
      </c>
      <c r="E660" s="24"/>
      <c r="F660" s="4">
        <f t="shared" ref="F660:G662" si="43">F661</f>
        <v>689</v>
      </c>
      <c r="G660" s="4">
        <f t="shared" si="43"/>
        <v>689</v>
      </c>
    </row>
    <row r="661" spans="1:7" ht="47.25" x14ac:dyDescent="0.25">
      <c r="A661" s="45" t="s">
        <v>787</v>
      </c>
      <c r="B661" s="20" t="s">
        <v>280</v>
      </c>
      <c r="C661" s="20" t="s">
        <v>231</v>
      </c>
      <c r="D661" s="20" t="s">
        <v>1054</v>
      </c>
      <c r="E661" s="20"/>
      <c r="F661" s="6">
        <f t="shared" si="43"/>
        <v>689</v>
      </c>
      <c r="G661" s="6">
        <f t="shared" si="43"/>
        <v>689</v>
      </c>
    </row>
    <row r="662" spans="1:7" ht="47.25" x14ac:dyDescent="0.25">
      <c r="A662" s="25" t="s">
        <v>288</v>
      </c>
      <c r="B662" s="20" t="s">
        <v>280</v>
      </c>
      <c r="C662" s="20" t="s">
        <v>231</v>
      </c>
      <c r="D662" s="20" t="s">
        <v>1054</v>
      </c>
      <c r="E662" s="20" t="s">
        <v>289</v>
      </c>
      <c r="F662" s="6">
        <f t="shared" si="43"/>
        <v>689</v>
      </c>
      <c r="G662" s="6">
        <f t="shared" si="43"/>
        <v>689</v>
      </c>
    </row>
    <row r="663" spans="1:7" ht="15.75" x14ac:dyDescent="0.25">
      <c r="A663" s="31" t="s">
        <v>290</v>
      </c>
      <c r="B663" s="20" t="s">
        <v>280</v>
      </c>
      <c r="C663" s="20" t="s">
        <v>231</v>
      </c>
      <c r="D663" s="20" t="s">
        <v>1054</v>
      </c>
      <c r="E663" s="20" t="s">
        <v>291</v>
      </c>
      <c r="F663" s="6">
        <f>'пр.5.1.ведом.21-22'!G730</f>
        <v>689</v>
      </c>
      <c r="G663" s="6">
        <f>'пр.5.1.ведом.21-22'!H730</f>
        <v>689</v>
      </c>
    </row>
    <row r="664" spans="1:7" ht="47.25" x14ac:dyDescent="0.25">
      <c r="A664" s="23" t="s">
        <v>1425</v>
      </c>
      <c r="B664" s="24" t="s">
        <v>280</v>
      </c>
      <c r="C664" s="24" t="s">
        <v>231</v>
      </c>
      <c r="D664" s="24" t="s">
        <v>283</v>
      </c>
      <c r="E664" s="24"/>
      <c r="F664" s="4">
        <f>F665</f>
        <v>16643.7</v>
      </c>
      <c r="G664" s="4">
        <f>G665</f>
        <v>16643.7</v>
      </c>
    </row>
    <row r="665" spans="1:7" ht="63" x14ac:dyDescent="0.25">
      <c r="A665" s="23" t="s">
        <v>1444</v>
      </c>
      <c r="B665" s="24" t="s">
        <v>280</v>
      </c>
      <c r="C665" s="24" t="s">
        <v>231</v>
      </c>
      <c r="D665" s="24" t="s">
        <v>285</v>
      </c>
      <c r="E665" s="24"/>
      <c r="F665" s="4">
        <f>F666+F674+F678+F684+F688</f>
        <v>16643.7</v>
      </c>
      <c r="G665" s="4">
        <f>G666+G674+G678+G684+G688</f>
        <v>16643.7</v>
      </c>
    </row>
    <row r="666" spans="1:7" ht="47.25" x14ac:dyDescent="0.25">
      <c r="A666" s="23" t="s">
        <v>941</v>
      </c>
      <c r="B666" s="24" t="s">
        <v>280</v>
      </c>
      <c r="C666" s="24" t="s">
        <v>231</v>
      </c>
      <c r="D666" s="24" t="s">
        <v>942</v>
      </c>
      <c r="E666" s="24"/>
      <c r="F666" s="4">
        <f>F667</f>
        <v>15011</v>
      </c>
      <c r="G666" s="4">
        <f>G667</f>
        <v>15011</v>
      </c>
    </row>
    <row r="667" spans="1:7" ht="31.5" x14ac:dyDescent="0.25">
      <c r="A667" s="25" t="s">
        <v>832</v>
      </c>
      <c r="B667" s="20" t="s">
        <v>280</v>
      </c>
      <c r="C667" s="20" t="s">
        <v>231</v>
      </c>
      <c r="D667" s="20" t="s">
        <v>940</v>
      </c>
      <c r="E667" s="20"/>
      <c r="F667" s="6">
        <f>F668+F670+F672</f>
        <v>15011</v>
      </c>
      <c r="G667" s="6">
        <f>G668+G670+G672</f>
        <v>15011</v>
      </c>
    </row>
    <row r="668" spans="1:7" ht="94.5" x14ac:dyDescent="0.25">
      <c r="A668" s="25" t="s">
        <v>143</v>
      </c>
      <c r="B668" s="20" t="s">
        <v>280</v>
      </c>
      <c r="C668" s="20" t="s">
        <v>231</v>
      </c>
      <c r="D668" s="20" t="s">
        <v>940</v>
      </c>
      <c r="E668" s="20" t="s">
        <v>144</v>
      </c>
      <c r="F668" s="6">
        <f>F669</f>
        <v>13393</v>
      </c>
      <c r="G668" s="6">
        <f>G669</f>
        <v>13393</v>
      </c>
    </row>
    <row r="669" spans="1:7" ht="31.5" x14ac:dyDescent="0.25">
      <c r="A669" s="46" t="s">
        <v>358</v>
      </c>
      <c r="B669" s="20" t="s">
        <v>280</v>
      </c>
      <c r="C669" s="20" t="s">
        <v>231</v>
      </c>
      <c r="D669" s="20" t="s">
        <v>940</v>
      </c>
      <c r="E669" s="20" t="s">
        <v>225</v>
      </c>
      <c r="F669" s="6">
        <f>'пр.5.1.ведом.21-22'!G284</f>
        <v>13393</v>
      </c>
      <c r="G669" s="6">
        <f>'пр.5.1.ведом.21-22'!H284</f>
        <v>13393</v>
      </c>
    </row>
    <row r="670" spans="1:7" ht="31.5" x14ac:dyDescent="0.25">
      <c r="A670" s="25" t="s">
        <v>147</v>
      </c>
      <c r="B670" s="20" t="s">
        <v>280</v>
      </c>
      <c r="C670" s="20" t="s">
        <v>231</v>
      </c>
      <c r="D670" s="20" t="s">
        <v>940</v>
      </c>
      <c r="E670" s="20" t="s">
        <v>148</v>
      </c>
      <c r="F670" s="6">
        <f>F671</f>
        <v>1540</v>
      </c>
      <c r="G670" s="6">
        <f>G671</f>
        <v>1540</v>
      </c>
    </row>
    <row r="671" spans="1:7" ht="47.25" x14ac:dyDescent="0.25">
      <c r="A671" s="25" t="s">
        <v>149</v>
      </c>
      <c r="B671" s="20" t="s">
        <v>280</v>
      </c>
      <c r="C671" s="20" t="s">
        <v>231</v>
      </c>
      <c r="D671" s="20" t="s">
        <v>940</v>
      </c>
      <c r="E671" s="20" t="s">
        <v>150</v>
      </c>
      <c r="F671" s="6">
        <f>'пр.5.1.ведом.21-22'!G286</f>
        <v>1540</v>
      </c>
      <c r="G671" s="6">
        <f>'пр.5.1.ведом.21-22'!H286</f>
        <v>1540</v>
      </c>
    </row>
    <row r="672" spans="1:7" ht="15.75" x14ac:dyDescent="0.25">
      <c r="A672" s="25" t="s">
        <v>151</v>
      </c>
      <c r="B672" s="20" t="s">
        <v>280</v>
      </c>
      <c r="C672" s="20" t="s">
        <v>231</v>
      </c>
      <c r="D672" s="20" t="s">
        <v>940</v>
      </c>
      <c r="E672" s="20" t="s">
        <v>161</v>
      </c>
      <c r="F672" s="6">
        <f>F673</f>
        <v>78</v>
      </c>
      <c r="G672" s="6">
        <f>G673</f>
        <v>78</v>
      </c>
    </row>
    <row r="673" spans="1:7" ht="15.75" x14ac:dyDescent="0.25">
      <c r="A673" s="25" t="s">
        <v>727</v>
      </c>
      <c r="B673" s="20" t="s">
        <v>280</v>
      </c>
      <c r="C673" s="20" t="s">
        <v>231</v>
      </c>
      <c r="D673" s="20" t="s">
        <v>940</v>
      </c>
      <c r="E673" s="20" t="s">
        <v>154</v>
      </c>
      <c r="F673" s="6">
        <f>'пр.5.1.ведом.21-22'!G288</f>
        <v>78</v>
      </c>
      <c r="G673" s="6">
        <f>'пр.5.1.ведом.21-22'!H288</f>
        <v>78</v>
      </c>
    </row>
    <row r="674" spans="1:7" ht="47.25" x14ac:dyDescent="0.25">
      <c r="A674" s="224" t="s">
        <v>1189</v>
      </c>
      <c r="B674" s="24" t="s">
        <v>280</v>
      </c>
      <c r="C674" s="24" t="s">
        <v>231</v>
      </c>
      <c r="D674" s="24" t="s">
        <v>944</v>
      </c>
      <c r="E674" s="24"/>
      <c r="F674" s="4">
        <f t="shared" ref="F674:G676" si="44">F675</f>
        <v>45</v>
      </c>
      <c r="G674" s="4">
        <f t="shared" si="44"/>
        <v>45</v>
      </c>
    </row>
    <row r="675" spans="1:7" ht="31.5" x14ac:dyDescent="0.25">
      <c r="A675" s="208" t="s">
        <v>831</v>
      </c>
      <c r="B675" s="20" t="s">
        <v>280</v>
      </c>
      <c r="C675" s="20" t="s">
        <v>231</v>
      </c>
      <c r="D675" s="20" t="s">
        <v>943</v>
      </c>
      <c r="E675" s="20"/>
      <c r="F675" s="6">
        <f t="shared" si="44"/>
        <v>45</v>
      </c>
      <c r="G675" s="6">
        <f t="shared" si="44"/>
        <v>45</v>
      </c>
    </row>
    <row r="676" spans="1:7" ht="31.5" x14ac:dyDescent="0.25">
      <c r="A676" s="25" t="s">
        <v>264</v>
      </c>
      <c r="B676" s="20" t="s">
        <v>280</v>
      </c>
      <c r="C676" s="20" t="s">
        <v>231</v>
      </c>
      <c r="D676" s="20" t="s">
        <v>943</v>
      </c>
      <c r="E676" s="20" t="s">
        <v>265</v>
      </c>
      <c r="F676" s="6">
        <f t="shared" si="44"/>
        <v>45</v>
      </c>
      <c r="G676" s="6">
        <f t="shared" si="44"/>
        <v>45</v>
      </c>
    </row>
    <row r="677" spans="1:7" ht="15.75" x14ac:dyDescent="0.25">
      <c r="A677" s="25" t="s">
        <v>865</v>
      </c>
      <c r="B677" s="20" t="s">
        <v>280</v>
      </c>
      <c r="C677" s="20" t="s">
        <v>231</v>
      </c>
      <c r="D677" s="20" t="s">
        <v>943</v>
      </c>
      <c r="E677" s="20" t="s">
        <v>864</v>
      </c>
      <c r="F677" s="6">
        <f>'пр.5.1.ведом.21-22'!G292</f>
        <v>45</v>
      </c>
      <c r="G677" s="6">
        <f>'пр.5.1.ведом.21-22'!H292</f>
        <v>45</v>
      </c>
    </row>
    <row r="678" spans="1:7" ht="63" x14ac:dyDescent="0.25">
      <c r="A678" s="229" t="s">
        <v>1168</v>
      </c>
      <c r="B678" s="24" t="s">
        <v>280</v>
      </c>
      <c r="C678" s="24" t="s">
        <v>231</v>
      </c>
      <c r="D678" s="24" t="s">
        <v>945</v>
      </c>
      <c r="E678" s="24"/>
      <c r="F678" s="4">
        <f t="shared" ref="F678:G680" si="45">F679</f>
        <v>250</v>
      </c>
      <c r="G678" s="4">
        <f t="shared" si="45"/>
        <v>250</v>
      </c>
    </row>
    <row r="679" spans="1:7" ht="47.25" x14ac:dyDescent="0.25">
      <c r="A679" s="31" t="s">
        <v>860</v>
      </c>
      <c r="B679" s="20" t="s">
        <v>280</v>
      </c>
      <c r="C679" s="20" t="s">
        <v>231</v>
      </c>
      <c r="D679" s="20" t="s">
        <v>946</v>
      </c>
      <c r="E679" s="20"/>
      <c r="F679" s="6">
        <f t="shared" si="45"/>
        <v>250</v>
      </c>
      <c r="G679" s="6">
        <f t="shared" si="45"/>
        <v>250</v>
      </c>
    </row>
    <row r="680" spans="1:7" ht="94.5" x14ac:dyDescent="0.25">
      <c r="A680" s="25" t="s">
        <v>143</v>
      </c>
      <c r="B680" s="20" t="s">
        <v>280</v>
      </c>
      <c r="C680" s="20" t="s">
        <v>231</v>
      </c>
      <c r="D680" s="20" t="s">
        <v>946</v>
      </c>
      <c r="E680" s="20" t="s">
        <v>144</v>
      </c>
      <c r="F680" s="6">
        <f t="shared" si="45"/>
        <v>250</v>
      </c>
      <c r="G680" s="6">
        <f t="shared" si="45"/>
        <v>250</v>
      </c>
    </row>
    <row r="681" spans="1:7" ht="31.5" x14ac:dyDescent="0.25">
      <c r="A681" s="46" t="s">
        <v>358</v>
      </c>
      <c r="B681" s="20" t="s">
        <v>280</v>
      </c>
      <c r="C681" s="20" t="s">
        <v>231</v>
      </c>
      <c r="D681" s="20" t="s">
        <v>946</v>
      </c>
      <c r="E681" s="20" t="s">
        <v>225</v>
      </c>
      <c r="F681" s="6">
        <f>'пр.5.1.ведом.21-22'!G296</f>
        <v>250</v>
      </c>
      <c r="G681" s="6">
        <f>'пр.5.1.ведом.21-22'!H296</f>
        <v>250</v>
      </c>
    </row>
    <row r="682" spans="1:7" ht="31.5" hidden="1" x14ac:dyDescent="0.25">
      <c r="A682" s="25" t="s">
        <v>147</v>
      </c>
      <c r="B682" s="20" t="s">
        <v>280</v>
      </c>
      <c r="C682" s="20" t="s">
        <v>231</v>
      </c>
      <c r="D682" s="20" t="s">
        <v>946</v>
      </c>
      <c r="E682" s="20" t="s">
        <v>148</v>
      </c>
      <c r="F682" s="6">
        <f>'Пр.3 Рд,пр, ЦС,ВР 20'!F743</f>
        <v>0</v>
      </c>
      <c r="G682" s="6">
        <f t="shared" si="42"/>
        <v>0</v>
      </c>
    </row>
    <row r="683" spans="1:7" ht="47.25" hidden="1" x14ac:dyDescent="0.25">
      <c r="A683" s="25" t="s">
        <v>149</v>
      </c>
      <c r="B683" s="20" t="s">
        <v>280</v>
      </c>
      <c r="C683" s="20" t="s">
        <v>231</v>
      </c>
      <c r="D683" s="20" t="s">
        <v>946</v>
      </c>
      <c r="E683" s="20" t="s">
        <v>150</v>
      </c>
      <c r="F683" s="6">
        <f>'Пр.3 Рд,пр, ЦС,ВР 20'!F744</f>
        <v>0</v>
      </c>
      <c r="G683" s="6">
        <f t="shared" si="42"/>
        <v>0</v>
      </c>
    </row>
    <row r="684" spans="1:7" ht="47.25" x14ac:dyDescent="0.25">
      <c r="A684" s="23" t="s">
        <v>1076</v>
      </c>
      <c r="B684" s="24" t="s">
        <v>280</v>
      </c>
      <c r="C684" s="24" t="s">
        <v>231</v>
      </c>
      <c r="D684" s="24" t="s">
        <v>951</v>
      </c>
      <c r="E684" s="24"/>
      <c r="F684" s="4">
        <f t="shared" ref="F684:G686" si="46">F685</f>
        <v>336</v>
      </c>
      <c r="G684" s="4">
        <f t="shared" si="46"/>
        <v>336</v>
      </c>
    </row>
    <row r="685" spans="1:7" ht="47.25" x14ac:dyDescent="0.25">
      <c r="A685" s="25" t="s">
        <v>885</v>
      </c>
      <c r="B685" s="20" t="s">
        <v>280</v>
      </c>
      <c r="C685" s="20" t="s">
        <v>231</v>
      </c>
      <c r="D685" s="20" t="s">
        <v>1263</v>
      </c>
      <c r="E685" s="20"/>
      <c r="F685" s="6">
        <f t="shared" si="46"/>
        <v>336</v>
      </c>
      <c r="G685" s="6">
        <f t="shared" si="46"/>
        <v>336</v>
      </c>
    </row>
    <row r="686" spans="1:7" ht="94.5" x14ac:dyDescent="0.25">
      <c r="A686" s="25" t="s">
        <v>143</v>
      </c>
      <c r="B686" s="20" t="s">
        <v>280</v>
      </c>
      <c r="C686" s="20" t="s">
        <v>231</v>
      </c>
      <c r="D686" s="20" t="s">
        <v>1263</v>
      </c>
      <c r="E686" s="20" t="s">
        <v>144</v>
      </c>
      <c r="F686" s="6">
        <f t="shared" si="46"/>
        <v>336</v>
      </c>
      <c r="G686" s="6">
        <f t="shared" si="46"/>
        <v>336</v>
      </c>
    </row>
    <row r="687" spans="1:7" ht="47.25" x14ac:dyDescent="0.25">
      <c r="A687" s="25" t="s">
        <v>145</v>
      </c>
      <c r="B687" s="20" t="s">
        <v>280</v>
      </c>
      <c r="C687" s="20" t="s">
        <v>231</v>
      </c>
      <c r="D687" s="20" t="s">
        <v>1263</v>
      </c>
      <c r="E687" s="20" t="s">
        <v>225</v>
      </c>
      <c r="F687" s="6">
        <f>'пр.5.1.ведом.21-22'!G302</f>
        <v>336</v>
      </c>
      <c r="G687" s="6">
        <f>'пр.5.1.ведом.21-22'!H302</f>
        <v>336</v>
      </c>
    </row>
    <row r="688" spans="1:7" ht="56.25" customHeight="1" x14ac:dyDescent="0.25">
      <c r="A688" s="23" t="s">
        <v>971</v>
      </c>
      <c r="B688" s="24" t="s">
        <v>280</v>
      </c>
      <c r="C688" s="24" t="s">
        <v>231</v>
      </c>
      <c r="D688" s="24" t="s">
        <v>1264</v>
      </c>
      <c r="E688" s="24"/>
      <c r="F688" s="4">
        <f>F692+F695+F698+F689</f>
        <v>1001.7</v>
      </c>
      <c r="G688" s="4">
        <f>G692+G695+G698+G689</f>
        <v>1001.7</v>
      </c>
    </row>
    <row r="689" spans="1:7" s="324" customFormat="1" ht="115.5" customHeight="1" x14ac:dyDescent="0.25">
      <c r="A689" s="31" t="s">
        <v>309</v>
      </c>
      <c r="B689" s="331" t="s">
        <v>280</v>
      </c>
      <c r="C689" s="331" t="s">
        <v>231</v>
      </c>
      <c r="D689" s="331" t="s">
        <v>1518</v>
      </c>
      <c r="E689" s="331"/>
      <c r="F689" s="6">
        <f>F690</f>
        <v>602.5</v>
      </c>
      <c r="G689" s="6">
        <f>G690</f>
        <v>602.5</v>
      </c>
    </row>
    <row r="690" spans="1:7" s="324" customFormat="1" ht="104.25" customHeight="1" x14ac:dyDescent="0.25">
      <c r="A690" s="335" t="s">
        <v>143</v>
      </c>
      <c r="B690" s="331" t="s">
        <v>280</v>
      </c>
      <c r="C690" s="331" t="s">
        <v>231</v>
      </c>
      <c r="D690" s="331" t="s">
        <v>1518</v>
      </c>
      <c r="E690" s="331" t="s">
        <v>144</v>
      </c>
      <c r="F690" s="6">
        <f>F691</f>
        <v>602.5</v>
      </c>
      <c r="G690" s="6">
        <f>G691</f>
        <v>602.5</v>
      </c>
    </row>
    <row r="691" spans="1:7" s="324" customFormat="1" ht="38.25" customHeight="1" x14ac:dyDescent="0.25">
      <c r="A691" s="46" t="s">
        <v>358</v>
      </c>
      <c r="B691" s="331" t="s">
        <v>280</v>
      </c>
      <c r="C691" s="331" t="s">
        <v>231</v>
      </c>
      <c r="D691" s="331" t="s">
        <v>1518</v>
      </c>
      <c r="E691" s="331" t="s">
        <v>225</v>
      </c>
      <c r="F691" s="6">
        <f>'пр.5.1.ведом.21-22'!G306</f>
        <v>602.5</v>
      </c>
      <c r="G691" s="6">
        <f>'пр.5.1.ведом.21-22'!H306</f>
        <v>602.5</v>
      </c>
    </row>
    <row r="692" spans="1:7" ht="78.75" x14ac:dyDescent="0.25">
      <c r="A692" s="31" t="s">
        <v>305</v>
      </c>
      <c r="B692" s="20" t="s">
        <v>280</v>
      </c>
      <c r="C692" s="20" t="s">
        <v>231</v>
      </c>
      <c r="D692" s="20" t="s">
        <v>1265</v>
      </c>
      <c r="E692" s="20"/>
      <c r="F692" s="6">
        <f>F693</f>
        <v>100.8</v>
      </c>
      <c r="G692" s="6">
        <f>G693</f>
        <v>100.8</v>
      </c>
    </row>
    <row r="693" spans="1:7" ht="94.5" x14ac:dyDescent="0.25">
      <c r="A693" s="25" t="s">
        <v>143</v>
      </c>
      <c r="B693" s="20" t="s">
        <v>280</v>
      </c>
      <c r="C693" s="20" t="s">
        <v>231</v>
      </c>
      <c r="D693" s="20" t="s">
        <v>1265</v>
      </c>
      <c r="E693" s="20" t="s">
        <v>144</v>
      </c>
      <c r="F693" s="6">
        <f>F694</f>
        <v>100.8</v>
      </c>
      <c r="G693" s="6">
        <f>G694</f>
        <v>100.8</v>
      </c>
    </row>
    <row r="694" spans="1:7" ht="31.5" x14ac:dyDescent="0.25">
      <c r="A694" s="46" t="s">
        <v>358</v>
      </c>
      <c r="B694" s="20" t="s">
        <v>280</v>
      </c>
      <c r="C694" s="20" t="s">
        <v>231</v>
      </c>
      <c r="D694" s="20" t="s">
        <v>1265</v>
      </c>
      <c r="E694" s="20" t="s">
        <v>225</v>
      </c>
      <c r="F694" s="6">
        <f>'пр.5.1.ведом.21-22'!G309</f>
        <v>100.8</v>
      </c>
      <c r="G694" s="6">
        <f>'пр.5.1.ведом.21-22'!H309</f>
        <v>100.8</v>
      </c>
    </row>
    <row r="695" spans="1:7" ht="94.5" x14ac:dyDescent="0.25">
      <c r="A695" s="31" t="s">
        <v>307</v>
      </c>
      <c r="B695" s="20" t="s">
        <v>280</v>
      </c>
      <c r="C695" s="20" t="s">
        <v>231</v>
      </c>
      <c r="D695" s="20" t="s">
        <v>1266</v>
      </c>
      <c r="E695" s="20"/>
      <c r="F695" s="6">
        <f>F696</f>
        <v>298.39999999999998</v>
      </c>
      <c r="G695" s="6">
        <f>G696</f>
        <v>298.39999999999998</v>
      </c>
    </row>
    <row r="696" spans="1:7" ht="94.5" x14ac:dyDescent="0.25">
      <c r="A696" s="25" t="s">
        <v>143</v>
      </c>
      <c r="B696" s="20" t="s">
        <v>280</v>
      </c>
      <c r="C696" s="20" t="s">
        <v>231</v>
      </c>
      <c r="D696" s="20" t="s">
        <v>1266</v>
      </c>
      <c r="E696" s="20" t="s">
        <v>144</v>
      </c>
      <c r="F696" s="6">
        <f>F697</f>
        <v>298.39999999999998</v>
      </c>
      <c r="G696" s="6">
        <f>G697</f>
        <v>298.39999999999998</v>
      </c>
    </row>
    <row r="697" spans="1:7" ht="31.5" x14ac:dyDescent="0.25">
      <c r="A697" s="46" t="s">
        <v>358</v>
      </c>
      <c r="B697" s="20" t="s">
        <v>280</v>
      </c>
      <c r="C697" s="20" t="s">
        <v>231</v>
      </c>
      <c r="D697" s="20" t="s">
        <v>1266</v>
      </c>
      <c r="E697" s="20" t="s">
        <v>225</v>
      </c>
      <c r="F697" s="6">
        <f>'пр.5.1.ведом.21-22'!G312</f>
        <v>298.39999999999998</v>
      </c>
      <c r="G697" s="6">
        <f>'пр.5.1.ведом.21-22'!H312</f>
        <v>298.39999999999998</v>
      </c>
    </row>
    <row r="698" spans="1:7" ht="126" hidden="1" x14ac:dyDescent="0.25">
      <c r="A698" s="31" t="s">
        <v>309</v>
      </c>
      <c r="B698" s="20" t="s">
        <v>280</v>
      </c>
      <c r="C698" s="20" t="s">
        <v>231</v>
      </c>
      <c r="D698" s="20" t="s">
        <v>1267</v>
      </c>
      <c r="E698" s="20"/>
      <c r="F698" s="6">
        <f>F699</f>
        <v>0</v>
      </c>
      <c r="G698" s="6">
        <f>G699</f>
        <v>0</v>
      </c>
    </row>
    <row r="699" spans="1:7" ht="94.5" hidden="1" x14ac:dyDescent="0.25">
      <c r="A699" s="25" t="s">
        <v>143</v>
      </c>
      <c r="B699" s="20" t="s">
        <v>280</v>
      </c>
      <c r="C699" s="20" t="s">
        <v>231</v>
      </c>
      <c r="D699" s="20" t="s">
        <v>1267</v>
      </c>
      <c r="E699" s="20" t="s">
        <v>144</v>
      </c>
      <c r="F699" s="6">
        <f>F700</f>
        <v>0</v>
      </c>
      <c r="G699" s="6">
        <f>G700</f>
        <v>0</v>
      </c>
    </row>
    <row r="700" spans="1:7" ht="31.5" hidden="1" x14ac:dyDescent="0.25">
      <c r="A700" s="46" t="s">
        <v>358</v>
      </c>
      <c r="B700" s="20" t="s">
        <v>280</v>
      </c>
      <c r="C700" s="20" t="s">
        <v>231</v>
      </c>
      <c r="D700" s="20" t="s">
        <v>1267</v>
      </c>
      <c r="E700" s="20" t="s">
        <v>225</v>
      </c>
      <c r="F700" s="6">
        <f>'пр.5.1.ведом.21-22'!G315</f>
        <v>0</v>
      </c>
      <c r="G700" s="6">
        <f>'пр.5.1.ведом.21-22'!H315</f>
        <v>0</v>
      </c>
    </row>
    <row r="701" spans="1:7" ht="78.75" x14ac:dyDescent="0.25">
      <c r="A701" s="41" t="s">
        <v>1424</v>
      </c>
      <c r="B701" s="24" t="s">
        <v>280</v>
      </c>
      <c r="C701" s="24" t="s">
        <v>231</v>
      </c>
      <c r="D701" s="24" t="s">
        <v>728</v>
      </c>
      <c r="E701" s="24"/>
      <c r="F701" s="4">
        <f>F702</f>
        <v>521.70000000000005</v>
      </c>
      <c r="G701" s="4">
        <f>G702</f>
        <v>521.70000000000005</v>
      </c>
    </row>
    <row r="702" spans="1:7" ht="63" x14ac:dyDescent="0.25">
      <c r="A702" s="41" t="s">
        <v>949</v>
      </c>
      <c r="B702" s="24" t="s">
        <v>280</v>
      </c>
      <c r="C702" s="24" t="s">
        <v>231</v>
      </c>
      <c r="D702" s="24" t="s">
        <v>947</v>
      </c>
      <c r="E702" s="24"/>
      <c r="F702" s="4">
        <f>F703+F706</f>
        <v>521.70000000000005</v>
      </c>
      <c r="G702" s="4">
        <f>G703+G706</f>
        <v>521.70000000000005</v>
      </c>
    </row>
    <row r="703" spans="1:7" ht="47.25" x14ac:dyDescent="0.25">
      <c r="A703" s="99" t="s">
        <v>1157</v>
      </c>
      <c r="B703" s="20" t="s">
        <v>280</v>
      </c>
      <c r="C703" s="20" t="s">
        <v>231</v>
      </c>
      <c r="D703" s="20" t="s">
        <v>948</v>
      </c>
      <c r="E703" s="32"/>
      <c r="F703" s="6">
        <f>F704</f>
        <v>221</v>
      </c>
      <c r="G703" s="6">
        <f>G704</f>
        <v>221</v>
      </c>
    </row>
    <row r="704" spans="1:7" ht="31.5" x14ac:dyDescent="0.25">
      <c r="A704" s="25" t="s">
        <v>147</v>
      </c>
      <c r="B704" s="20" t="s">
        <v>280</v>
      </c>
      <c r="C704" s="20" t="s">
        <v>231</v>
      </c>
      <c r="D704" s="20" t="s">
        <v>948</v>
      </c>
      <c r="E704" s="32" t="s">
        <v>148</v>
      </c>
      <c r="F704" s="6">
        <f>F705</f>
        <v>221</v>
      </c>
      <c r="G704" s="6">
        <f>G705</f>
        <v>221</v>
      </c>
    </row>
    <row r="705" spans="1:7" ht="47.25" x14ac:dyDescent="0.25">
      <c r="A705" s="25" t="s">
        <v>149</v>
      </c>
      <c r="B705" s="20" t="s">
        <v>280</v>
      </c>
      <c r="C705" s="20" t="s">
        <v>231</v>
      </c>
      <c r="D705" s="20" t="s">
        <v>948</v>
      </c>
      <c r="E705" s="32" t="s">
        <v>150</v>
      </c>
      <c r="F705" s="6">
        <f>'пр.5.1.ведом.21-22'!G320</f>
        <v>221</v>
      </c>
      <c r="G705" s="6">
        <f>'пр.5.1.ведом.21-22'!H320</f>
        <v>221</v>
      </c>
    </row>
    <row r="706" spans="1:7" ht="47.25" x14ac:dyDescent="0.25">
      <c r="A706" s="99" t="s">
        <v>803</v>
      </c>
      <c r="B706" s="20" t="s">
        <v>280</v>
      </c>
      <c r="C706" s="20" t="s">
        <v>231</v>
      </c>
      <c r="D706" s="20" t="s">
        <v>1027</v>
      </c>
      <c r="E706" s="32"/>
      <c r="F706" s="6">
        <f>F707</f>
        <v>300.7</v>
      </c>
      <c r="G706" s="6">
        <f>G707</f>
        <v>300.7</v>
      </c>
    </row>
    <row r="707" spans="1:7" ht="47.25" x14ac:dyDescent="0.25">
      <c r="A707" s="29" t="s">
        <v>288</v>
      </c>
      <c r="B707" s="20" t="s">
        <v>280</v>
      </c>
      <c r="C707" s="20" t="s">
        <v>231</v>
      </c>
      <c r="D707" s="20" t="s">
        <v>1027</v>
      </c>
      <c r="E707" s="32" t="s">
        <v>289</v>
      </c>
      <c r="F707" s="6">
        <f>F708</f>
        <v>300.7</v>
      </c>
      <c r="G707" s="6">
        <f>G708</f>
        <v>300.7</v>
      </c>
    </row>
    <row r="708" spans="1:7" ht="15.75" x14ac:dyDescent="0.25">
      <c r="A708" s="192" t="s">
        <v>290</v>
      </c>
      <c r="B708" s="20" t="s">
        <v>280</v>
      </c>
      <c r="C708" s="20" t="s">
        <v>231</v>
      </c>
      <c r="D708" s="20" t="s">
        <v>1027</v>
      </c>
      <c r="E708" s="32" t="s">
        <v>291</v>
      </c>
      <c r="F708" s="6">
        <f>'пр.5.1.ведом.21-22'!G735</f>
        <v>300.7</v>
      </c>
      <c r="G708" s="6">
        <f>'пр.5.1.ведом.21-22'!H735</f>
        <v>300.7</v>
      </c>
    </row>
    <row r="709" spans="1:7" ht="31.5" x14ac:dyDescent="0.25">
      <c r="A709" s="23" t="s">
        <v>482</v>
      </c>
      <c r="B709" s="24" t="s">
        <v>280</v>
      </c>
      <c r="C709" s="24" t="s">
        <v>280</v>
      </c>
      <c r="D709" s="24"/>
      <c r="E709" s="231"/>
      <c r="F709" s="4">
        <f>F710+F729</f>
        <v>6564.9</v>
      </c>
      <c r="G709" s="4">
        <f>G710+G729</f>
        <v>6564.9</v>
      </c>
    </row>
    <row r="710" spans="1:7" ht="63" x14ac:dyDescent="0.25">
      <c r="A710" s="23" t="s">
        <v>1422</v>
      </c>
      <c r="B710" s="24" t="s">
        <v>280</v>
      </c>
      <c r="C710" s="24" t="s">
        <v>280</v>
      </c>
      <c r="D710" s="24" t="s">
        <v>360</v>
      </c>
      <c r="E710" s="24"/>
      <c r="F710" s="4">
        <f>F711</f>
        <v>760</v>
      </c>
      <c r="G710" s="4">
        <f>G711</f>
        <v>760</v>
      </c>
    </row>
    <row r="711" spans="1:7" ht="31.5" x14ac:dyDescent="0.25">
      <c r="A711" s="23" t="s">
        <v>361</v>
      </c>
      <c r="B711" s="24" t="s">
        <v>280</v>
      </c>
      <c r="C711" s="24" t="s">
        <v>280</v>
      </c>
      <c r="D711" s="24" t="s">
        <v>362</v>
      </c>
      <c r="E711" s="24"/>
      <c r="F711" s="4">
        <f>F712+F719+F725</f>
        <v>760</v>
      </c>
      <c r="G711" s="4">
        <f>G712+G719+G725</f>
        <v>760</v>
      </c>
    </row>
    <row r="712" spans="1:7" ht="63" x14ac:dyDescent="0.25">
      <c r="A712" s="219" t="s">
        <v>1196</v>
      </c>
      <c r="B712" s="24" t="s">
        <v>280</v>
      </c>
      <c r="C712" s="24" t="s">
        <v>280</v>
      </c>
      <c r="D712" s="24" t="s">
        <v>952</v>
      </c>
      <c r="E712" s="24"/>
      <c r="F712" s="4">
        <f>F713+F716</f>
        <v>280</v>
      </c>
      <c r="G712" s="4">
        <f>G713+G716</f>
        <v>280</v>
      </c>
    </row>
    <row r="713" spans="1:7" ht="31.5" x14ac:dyDescent="0.25">
      <c r="A713" s="99" t="s">
        <v>1202</v>
      </c>
      <c r="B713" s="20" t="s">
        <v>280</v>
      </c>
      <c r="C713" s="20" t="s">
        <v>280</v>
      </c>
      <c r="D713" s="20" t="s">
        <v>953</v>
      </c>
      <c r="E713" s="20"/>
      <c r="F713" s="6">
        <f>F714</f>
        <v>280</v>
      </c>
      <c r="G713" s="6">
        <f>G714</f>
        <v>280</v>
      </c>
    </row>
    <row r="714" spans="1:7" ht="94.5" x14ac:dyDescent="0.25">
      <c r="A714" s="25" t="s">
        <v>143</v>
      </c>
      <c r="B714" s="20" t="s">
        <v>280</v>
      </c>
      <c r="C714" s="20" t="s">
        <v>280</v>
      </c>
      <c r="D714" s="20" t="s">
        <v>953</v>
      </c>
      <c r="E714" s="20" t="s">
        <v>144</v>
      </c>
      <c r="F714" s="6">
        <f>F715</f>
        <v>280</v>
      </c>
      <c r="G714" s="6">
        <f>G715</f>
        <v>280</v>
      </c>
    </row>
    <row r="715" spans="1:7" ht="31.5" x14ac:dyDescent="0.25">
      <c r="A715" s="25" t="s">
        <v>358</v>
      </c>
      <c r="B715" s="20" t="s">
        <v>280</v>
      </c>
      <c r="C715" s="20" t="s">
        <v>280</v>
      </c>
      <c r="D715" s="20" t="s">
        <v>953</v>
      </c>
      <c r="E715" s="20" t="s">
        <v>225</v>
      </c>
      <c r="F715" s="6">
        <f>'пр.5.1.ведом.21-22'!G327</f>
        <v>280</v>
      </c>
      <c r="G715" s="6">
        <f>'пр.5.1.ведом.21-22'!H327</f>
        <v>280</v>
      </c>
    </row>
    <row r="716" spans="1:7" ht="31.5" hidden="1" x14ac:dyDescent="0.25">
      <c r="A716" s="25" t="s">
        <v>1197</v>
      </c>
      <c r="B716" s="20" t="s">
        <v>280</v>
      </c>
      <c r="C716" s="20" t="s">
        <v>280</v>
      </c>
      <c r="D716" s="20" t="s">
        <v>1221</v>
      </c>
      <c r="E716" s="20"/>
      <c r="F716" s="6">
        <f>'Пр.3 Рд,пр, ЦС,ВР 20'!F777</f>
        <v>0</v>
      </c>
      <c r="G716" s="6">
        <f t="shared" ref="G716:G718" si="47">F716</f>
        <v>0</v>
      </c>
    </row>
    <row r="717" spans="1:7" ht="31.5" hidden="1" x14ac:dyDescent="0.25">
      <c r="A717" s="25" t="s">
        <v>147</v>
      </c>
      <c r="B717" s="20" t="s">
        <v>280</v>
      </c>
      <c r="C717" s="20" t="s">
        <v>280</v>
      </c>
      <c r="D717" s="20" t="s">
        <v>1221</v>
      </c>
      <c r="E717" s="20" t="s">
        <v>148</v>
      </c>
      <c r="F717" s="6">
        <f>'Пр.3 Рд,пр, ЦС,ВР 20'!F778</f>
        <v>0</v>
      </c>
      <c r="G717" s="6">
        <f t="shared" si="47"/>
        <v>0</v>
      </c>
    </row>
    <row r="718" spans="1:7" ht="47.25" hidden="1" x14ac:dyDescent="0.25">
      <c r="A718" s="25" t="s">
        <v>149</v>
      </c>
      <c r="B718" s="20" t="s">
        <v>280</v>
      </c>
      <c r="C718" s="20" t="s">
        <v>280</v>
      </c>
      <c r="D718" s="20" t="s">
        <v>1221</v>
      </c>
      <c r="E718" s="20" t="s">
        <v>150</v>
      </c>
      <c r="F718" s="6">
        <f>'Пр.3 Рд,пр, ЦС,ВР 20'!F779</f>
        <v>0</v>
      </c>
      <c r="G718" s="6">
        <f t="shared" si="47"/>
        <v>0</v>
      </c>
    </row>
    <row r="719" spans="1:7" ht="78.75" x14ac:dyDescent="0.25">
      <c r="A719" s="23" t="s">
        <v>1198</v>
      </c>
      <c r="B719" s="24" t="s">
        <v>280</v>
      </c>
      <c r="C719" s="24" t="s">
        <v>280</v>
      </c>
      <c r="D719" s="24" t="s">
        <v>954</v>
      </c>
      <c r="E719" s="24"/>
      <c r="F719" s="4">
        <f>F720</f>
        <v>455</v>
      </c>
      <c r="G719" s="4">
        <f>G720</f>
        <v>455</v>
      </c>
    </row>
    <row r="720" spans="1:7" ht="31.5" x14ac:dyDescent="0.25">
      <c r="A720" s="25" t="s">
        <v>1199</v>
      </c>
      <c r="B720" s="20" t="s">
        <v>280</v>
      </c>
      <c r="C720" s="20" t="s">
        <v>280</v>
      </c>
      <c r="D720" s="20" t="s">
        <v>972</v>
      </c>
      <c r="E720" s="20"/>
      <c r="F720" s="6">
        <f>F721+F724</f>
        <v>455</v>
      </c>
      <c r="G720" s="6">
        <f>G721+G724</f>
        <v>455</v>
      </c>
    </row>
    <row r="721" spans="1:7" ht="94.5" x14ac:dyDescent="0.25">
      <c r="A721" s="25" t="s">
        <v>143</v>
      </c>
      <c r="B721" s="20" t="s">
        <v>280</v>
      </c>
      <c r="C721" s="20" t="s">
        <v>280</v>
      </c>
      <c r="D721" s="20" t="s">
        <v>972</v>
      </c>
      <c r="E721" s="20" t="s">
        <v>144</v>
      </c>
      <c r="F721" s="6">
        <f>F722</f>
        <v>40</v>
      </c>
      <c r="G721" s="6">
        <f>G722</f>
        <v>40</v>
      </c>
    </row>
    <row r="722" spans="1:7" ht="31.5" x14ac:dyDescent="0.25">
      <c r="A722" s="25" t="s">
        <v>358</v>
      </c>
      <c r="B722" s="20" t="s">
        <v>280</v>
      </c>
      <c r="C722" s="20" t="s">
        <v>280</v>
      </c>
      <c r="D722" s="20" t="s">
        <v>972</v>
      </c>
      <c r="E722" s="20" t="s">
        <v>225</v>
      </c>
      <c r="F722" s="6">
        <f>'пр.5.1.ведом.21-22'!G334</f>
        <v>40</v>
      </c>
      <c r="G722" s="6">
        <f>'пр.5.1.ведом.21-22'!H334</f>
        <v>40</v>
      </c>
    </row>
    <row r="723" spans="1:7" ht="31.5" x14ac:dyDescent="0.25">
      <c r="A723" s="25" t="s">
        <v>147</v>
      </c>
      <c r="B723" s="20" t="s">
        <v>280</v>
      </c>
      <c r="C723" s="20" t="s">
        <v>280</v>
      </c>
      <c r="D723" s="20" t="s">
        <v>972</v>
      </c>
      <c r="E723" s="20" t="s">
        <v>148</v>
      </c>
      <c r="F723" s="6">
        <f>F724</f>
        <v>415</v>
      </c>
      <c r="G723" s="6">
        <f>G724</f>
        <v>415</v>
      </c>
    </row>
    <row r="724" spans="1:7" ht="47.25" x14ac:dyDescent="0.25">
      <c r="A724" s="25" t="s">
        <v>149</v>
      </c>
      <c r="B724" s="20" t="s">
        <v>280</v>
      </c>
      <c r="C724" s="20" t="s">
        <v>280</v>
      </c>
      <c r="D724" s="20" t="s">
        <v>972</v>
      </c>
      <c r="E724" s="20" t="s">
        <v>150</v>
      </c>
      <c r="F724" s="6">
        <f>'пр.5.1.ведом.21-22'!G336</f>
        <v>415</v>
      </c>
      <c r="G724" s="6">
        <f>'пр.5.1.ведом.21-22'!H336</f>
        <v>415</v>
      </c>
    </row>
    <row r="725" spans="1:7" ht="47.25" x14ac:dyDescent="0.25">
      <c r="A725" s="23" t="s">
        <v>1204</v>
      </c>
      <c r="B725" s="24" t="s">
        <v>280</v>
      </c>
      <c r="C725" s="24" t="s">
        <v>280</v>
      </c>
      <c r="D725" s="24" t="s">
        <v>1200</v>
      </c>
      <c r="E725" s="24"/>
      <c r="F725" s="4">
        <f t="shared" ref="F725:G727" si="48">F726</f>
        <v>25</v>
      </c>
      <c r="G725" s="4">
        <f t="shared" si="48"/>
        <v>25</v>
      </c>
    </row>
    <row r="726" spans="1:7" ht="63" x14ac:dyDescent="0.25">
      <c r="A726" s="245" t="s">
        <v>1201</v>
      </c>
      <c r="B726" s="20" t="s">
        <v>280</v>
      </c>
      <c r="C726" s="20" t="s">
        <v>280</v>
      </c>
      <c r="D726" s="20" t="s">
        <v>1222</v>
      </c>
      <c r="E726" s="20"/>
      <c r="F726" s="6">
        <f t="shared" si="48"/>
        <v>25</v>
      </c>
      <c r="G726" s="6">
        <f t="shared" si="48"/>
        <v>25</v>
      </c>
    </row>
    <row r="727" spans="1:7" ht="31.5" x14ac:dyDescent="0.25">
      <c r="A727" s="25" t="s">
        <v>264</v>
      </c>
      <c r="B727" s="20" t="s">
        <v>280</v>
      </c>
      <c r="C727" s="20" t="s">
        <v>280</v>
      </c>
      <c r="D727" s="20" t="s">
        <v>1222</v>
      </c>
      <c r="E727" s="20" t="s">
        <v>265</v>
      </c>
      <c r="F727" s="6">
        <f t="shared" si="48"/>
        <v>25</v>
      </c>
      <c r="G727" s="6">
        <f t="shared" si="48"/>
        <v>25</v>
      </c>
    </row>
    <row r="728" spans="1:7" ht="37.5" customHeight="1" x14ac:dyDescent="0.25">
      <c r="A728" s="25" t="s">
        <v>1488</v>
      </c>
      <c r="B728" s="20" t="s">
        <v>280</v>
      </c>
      <c r="C728" s="20" t="s">
        <v>280</v>
      </c>
      <c r="D728" s="20" t="s">
        <v>1222</v>
      </c>
      <c r="E728" s="20" t="s">
        <v>1487</v>
      </c>
      <c r="F728" s="6">
        <f>'пр.5.1.ведом.21-22'!G340</f>
        <v>25</v>
      </c>
      <c r="G728" s="6">
        <f>'пр.5.1.ведом.21-22'!H340</f>
        <v>25</v>
      </c>
    </row>
    <row r="729" spans="1:7" ht="47.25" x14ac:dyDescent="0.25">
      <c r="A729" s="23" t="s">
        <v>1430</v>
      </c>
      <c r="B729" s="24" t="s">
        <v>280</v>
      </c>
      <c r="C729" s="24" t="s">
        <v>280</v>
      </c>
      <c r="D729" s="24" t="s">
        <v>422</v>
      </c>
      <c r="E729" s="24"/>
      <c r="F729" s="4">
        <f>F730</f>
        <v>5804.9</v>
      </c>
      <c r="G729" s="4">
        <f>G730</f>
        <v>5804.9</v>
      </c>
    </row>
    <row r="730" spans="1:7" ht="47.25" x14ac:dyDescent="0.25">
      <c r="A730" s="23" t="s">
        <v>483</v>
      </c>
      <c r="B730" s="24" t="s">
        <v>280</v>
      </c>
      <c r="C730" s="24" t="s">
        <v>484</v>
      </c>
      <c r="D730" s="24" t="s">
        <v>485</v>
      </c>
      <c r="E730" s="24"/>
      <c r="F730" s="4">
        <f>F731</f>
        <v>5804.9</v>
      </c>
      <c r="G730" s="4">
        <f>G731</f>
        <v>5804.9</v>
      </c>
    </row>
    <row r="731" spans="1:7" ht="31.5" x14ac:dyDescent="0.25">
      <c r="A731" s="23" t="s">
        <v>1056</v>
      </c>
      <c r="B731" s="24" t="s">
        <v>280</v>
      </c>
      <c r="C731" s="24" t="s">
        <v>280</v>
      </c>
      <c r="D731" s="24" t="s">
        <v>1057</v>
      </c>
      <c r="E731" s="24"/>
      <c r="F731" s="4">
        <f>F732+F735</f>
        <v>5804.9</v>
      </c>
      <c r="G731" s="4">
        <f>G732+G735</f>
        <v>5804.9</v>
      </c>
    </row>
    <row r="732" spans="1:7" ht="47.25" x14ac:dyDescent="0.25">
      <c r="A732" s="31" t="s">
        <v>1235</v>
      </c>
      <c r="B732" s="20" t="s">
        <v>280</v>
      </c>
      <c r="C732" s="20" t="s">
        <v>280</v>
      </c>
      <c r="D732" s="20" t="s">
        <v>1058</v>
      </c>
      <c r="E732" s="20"/>
      <c r="F732" s="6">
        <f>F733</f>
        <v>3584</v>
      </c>
      <c r="G732" s="6">
        <f>G733</f>
        <v>3584</v>
      </c>
    </row>
    <row r="733" spans="1:7" ht="47.25" x14ac:dyDescent="0.25">
      <c r="A733" s="25" t="s">
        <v>288</v>
      </c>
      <c r="B733" s="20" t="s">
        <v>280</v>
      </c>
      <c r="C733" s="20" t="s">
        <v>280</v>
      </c>
      <c r="D733" s="20" t="s">
        <v>1058</v>
      </c>
      <c r="E733" s="20" t="s">
        <v>289</v>
      </c>
      <c r="F733" s="6">
        <f>F734</f>
        <v>3584</v>
      </c>
      <c r="G733" s="6">
        <f>G734</f>
        <v>3584</v>
      </c>
    </row>
    <row r="734" spans="1:7" ht="15.75" x14ac:dyDescent="0.25">
      <c r="A734" s="25" t="s">
        <v>290</v>
      </c>
      <c r="B734" s="20" t="s">
        <v>280</v>
      </c>
      <c r="C734" s="20" t="s">
        <v>280</v>
      </c>
      <c r="D734" s="20" t="s">
        <v>1058</v>
      </c>
      <c r="E734" s="20" t="s">
        <v>291</v>
      </c>
      <c r="F734" s="6">
        <f>'пр.5.1.ведом.21-22'!G742</f>
        <v>3584</v>
      </c>
      <c r="G734" s="6">
        <f>'пр.5.1.ведом.21-22'!H742</f>
        <v>3584</v>
      </c>
    </row>
    <row r="735" spans="1:7" ht="31.5" x14ac:dyDescent="0.25">
      <c r="A735" s="31" t="s">
        <v>490</v>
      </c>
      <c r="B735" s="20" t="s">
        <v>280</v>
      </c>
      <c r="C735" s="20" t="s">
        <v>280</v>
      </c>
      <c r="D735" s="20" t="s">
        <v>1059</v>
      </c>
      <c r="E735" s="20"/>
      <c r="F735" s="6">
        <f>F736</f>
        <v>2220.9</v>
      </c>
      <c r="G735" s="6">
        <f>G736</f>
        <v>2220.9</v>
      </c>
    </row>
    <row r="736" spans="1:7" ht="47.25" x14ac:dyDescent="0.25">
      <c r="A736" s="25" t="s">
        <v>288</v>
      </c>
      <c r="B736" s="20" t="s">
        <v>280</v>
      </c>
      <c r="C736" s="20" t="s">
        <v>280</v>
      </c>
      <c r="D736" s="20" t="s">
        <v>1059</v>
      </c>
      <c r="E736" s="20" t="s">
        <v>289</v>
      </c>
      <c r="F736" s="6">
        <f>F737</f>
        <v>2220.9</v>
      </c>
      <c r="G736" s="6">
        <f>G737</f>
        <v>2220.9</v>
      </c>
    </row>
    <row r="737" spans="1:7" ht="15.75" x14ac:dyDescent="0.25">
      <c r="A737" s="25" t="s">
        <v>290</v>
      </c>
      <c r="B737" s="20" t="s">
        <v>280</v>
      </c>
      <c r="C737" s="20" t="s">
        <v>280</v>
      </c>
      <c r="D737" s="20" t="s">
        <v>1059</v>
      </c>
      <c r="E737" s="20" t="s">
        <v>291</v>
      </c>
      <c r="F737" s="6">
        <f>'пр.5.1.ведом.21-22'!G745</f>
        <v>2220.9</v>
      </c>
      <c r="G737" s="6">
        <f>'пр.5.1.ведом.21-22'!H745</f>
        <v>2220.9</v>
      </c>
    </row>
    <row r="738" spans="1:7" ht="15.75" x14ac:dyDescent="0.25">
      <c r="A738" s="23" t="s">
        <v>311</v>
      </c>
      <c r="B738" s="24" t="s">
        <v>280</v>
      </c>
      <c r="C738" s="24" t="s">
        <v>235</v>
      </c>
      <c r="D738" s="24"/>
      <c r="E738" s="24"/>
      <c r="F738" s="4">
        <f>F739+F749</f>
        <v>19830</v>
      </c>
      <c r="G738" s="4">
        <f>G739+G749</f>
        <v>19830</v>
      </c>
    </row>
    <row r="739" spans="1:7" ht="31.5" x14ac:dyDescent="0.25">
      <c r="A739" s="23" t="s">
        <v>990</v>
      </c>
      <c r="B739" s="24" t="s">
        <v>280</v>
      </c>
      <c r="C739" s="24" t="s">
        <v>235</v>
      </c>
      <c r="D739" s="24" t="s">
        <v>904</v>
      </c>
      <c r="E739" s="24"/>
      <c r="F739" s="4">
        <f>F740</f>
        <v>5585</v>
      </c>
      <c r="G739" s="4">
        <f>G740</f>
        <v>5585</v>
      </c>
    </row>
    <row r="740" spans="1:7" ht="15.75" x14ac:dyDescent="0.25">
      <c r="A740" s="23" t="s">
        <v>991</v>
      </c>
      <c r="B740" s="24" t="s">
        <v>280</v>
      </c>
      <c r="C740" s="24" t="s">
        <v>235</v>
      </c>
      <c r="D740" s="24" t="s">
        <v>905</v>
      </c>
      <c r="E740" s="24"/>
      <c r="F740" s="4">
        <f>F741+F746</f>
        <v>5585</v>
      </c>
      <c r="G740" s="4">
        <f>G741+G746</f>
        <v>5585</v>
      </c>
    </row>
    <row r="741" spans="1:7" ht="31.5" x14ac:dyDescent="0.25">
      <c r="A741" s="25" t="s">
        <v>967</v>
      </c>
      <c r="B741" s="20" t="s">
        <v>280</v>
      </c>
      <c r="C741" s="20" t="s">
        <v>235</v>
      </c>
      <c r="D741" s="20" t="s">
        <v>906</v>
      </c>
      <c r="E741" s="20"/>
      <c r="F741" s="6">
        <f>F742+F744</f>
        <v>5459</v>
      </c>
      <c r="G741" s="6">
        <f>G742+G744</f>
        <v>5459</v>
      </c>
    </row>
    <row r="742" spans="1:7" ht="94.5" x14ac:dyDescent="0.25">
      <c r="A742" s="25" t="s">
        <v>143</v>
      </c>
      <c r="B742" s="20" t="s">
        <v>280</v>
      </c>
      <c r="C742" s="20" t="s">
        <v>235</v>
      </c>
      <c r="D742" s="20" t="s">
        <v>906</v>
      </c>
      <c r="E742" s="20" t="s">
        <v>144</v>
      </c>
      <c r="F742" s="6">
        <f>F743</f>
        <v>5247</v>
      </c>
      <c r="G742" s="6">
        <f>G743</f>
        <v>5247</v>
      </c>
    </row>
    <row r="743" spans="1:7" ht="47.25" x14ac:dyDescent="0.25">
      <c r="A743" s="25" t="s">
        <v>145</v>
      </c>
      <c r="B743" s="20" t="s">
        <v>280</v>
      </c>
      <c r="C743" s="20" t="s">
        <v>235</v>
      </c>
      <c r="D743" s="20" t="s">
        <v>906</v>
      </c>
      <c r="E743" s="20" t="s">
        <v>146</v>
      </c>
      <c r="F743" s="6">
        <f>'пр.5.1.ведом.21-22'!G751</f>
        <v>5247</v>
      </c>
      <c r="G743" s="6">
        <f>'пр.5.1.ведом.21-22'!H751</f>
        <v>5247</v>
      </c>
    </row>
    <row r="744" spans="1:7" ht="31.5" x14ac:dyDescent="0.25">
      <c r="A744" s="25" t="s">
        <v>147</v>
      </c>
      <c r="B744" s="20" t="s">
        <v>280</v>
      </c>
      <c r="C744" s="20" t="s">
        <v>235</v>
      </c>
      <c r="D744" s="20" t="s">
        <v>906</v>
      </c>
      <c r="E744" s="20" t="s">
        <v>148</v>
      </c>
      <c r="F744" s="6">
        <f>F745</f>
        <v>212</v>
      </c>
      <c r="G744" s="6">
        <f>G745</f>
        <v>212</v>
      </c>
    </row>
    <row r="745" spans="1:7" ht="47.25" x14ac:dyDescent="0.25">
      <c r="A745" s="25" t="s">
        <v>149</v>
      </c>
      <c r="B745" s="20" t="s">
        <v>280</v>
      </c>
      <c r="C745" s="20" t="s">
        <v>235</v>
      </c>
      <c r="D745" s="20" t="s">
        <v>906</v>
      </c>
      <c r="E745" s="20" t="s">
        <v>150</v>
      </c>
      <c r="F745" s="6">
        <f>'пр.5.1.ведом.21-22'!G753</f>
        <v>212</v>
      </c>
      <c r="G745" s="6">
        <f>'пр.5.1.ведом.21-22'!H753</f>
        <v>212</v>
      </c>
    </row>
    <row r="746" spans="1:7" ht="47.25" x14ac:dyDescent="0.25">
      <c r="A746" s="25" t="s">
        <v>885</v>
      </c>
      <c r="B746" s="20" t="s">
        <v>280</v>
      </c>
      <c r="C746" s="20" t="s">
        <v>235</v>
      </c>
      <c r="D746" s="20" t="s">
        <v>908</v>
      </c>
      <c r="E746" s="20"/>
      <c r="F746" s="6">
        <f>F747</f>
        <v>126</v>
      </c>
      <c r="G746" s="6">
        <f>G747</f>
        <v>126</v>
      </c>
    </row>
    <row r="747" spans="1:7" ht="94.5" x14ac:dyDescent="0.25">
      <c r="A747" s="25" t="s">
        <v>143</v>
      </c>
      <c r="B747" s="20" t="s">
        <v>280</v>
      </c>
      <c r="C747" s="20" t="s">
        <v>235</v>
      </c>
      <c r="D747" s="20" t="s">
        <v>908</v>
      </c>
      <c r="E747" s="20" t="s">
        <v>144</v>
      </c>
      <c r="F747" s="6">
        <f>F748</f>
        <v>126</v>
      </c>
      <c r="G747" s="6">
        <f>G748</f>
        <v>126</v>
      </c>
    </row>
    <row r="748" spans="1:7" ht="47.25" x14ac:dyDescent="0.25">
      <c r="A748" s="25" t="s">
        <v>145</v>
      </c>
      <c r="B748" s="20" t="s">
        <v>280</v>
      </c>
      <c r="C748" s="20" t="s">
        <v>235</v>
      </c>
      <c r="D748" s="20" t="s">
        <v>908</v>
      </c>
      <c r="E748" s="20" t="s">
        <v>146</v>
      </c>
      <c r="F748" s="6">
        <f>'пр.5.1.ведом.21-22'!G756</f>
        <v>126</v>
      </c>
      <c r="G748" s="6">
        <f>'пр.5.1.ведом.21-22'!H756</f>
        <v>126</v>
      </c>
    </row>
    <row r="749" spans="1:7" ht="15.75" x14ac:dyDescent="0.25">
      <c r="A749" s="23" t="s">
        <v>157</v>
      </c>
      <c r="B749" s="24" t="s">
        <v>280</v>
      </c>
      <c r="C749" s="24" t="s">
        <v>235</v>
      </c>
      <c r="D749" s="24" t="s">
        <v>912</v>
      </c>
      <c r="E749" s="24"/>
      <c r="F749" s="4">
        <f>F750+F754</f>
        <v>14245</v>
      </c>
      <c r="G749" s="4">
        <f>G750+G754</f>
        <v>14245</v>
      </c>
    </row>
    <row r="750" spans="1:7" ht="31.5" x14ac:dyDescent="0.25">
      <c r="A750" s="23" t="s">
        <v>916</v>
      </c>
      <c r="B750" s="24" t="s">
        <v>280</v>
      </c>
      <c r="C750" s="24" t="s">
        <v>235</v>
      </c>
      <c r="D750" s="24" t="s">
        <v>911</v>
      </c>
      <c r="E750" s="24"/>
      <c r="F750" s="4">
        <f t="shared" ref="F750:G752" si="49">F751</f>
        <v>300</v>
      </c>
      <c r="G750" s="4">
        <f t="shared" si="49"/>
        <v>300</v>
      </c>
    </row>
    <row r="751" spans="1:7" ht="31.5" x14ac:dyDescent="0.25">
      <c r="A751" s="25" t="s">
        <v>494</v>
      </c>
      <c r="B751" s="20" t="s">
        <v>280</v>
      </c>
      <c r="C751" s="20" t="s">
        <v>235</v>
      </c>
      <c r="D751" s="20" t="s">
        <v>1060</v>
      </c>
      <c r="E751" s="20"/>
      <c r="F751" s="6">
        <f t="shared" si="49"/>
        <v>300</v>
      </c>
      <c r="G751" s="6">
        <f t="shared" si="49"/>
        <v>300</v>
      </c>
    </row>
    <row r="752" spans="1:7" ht="31.5" x14ac:dyDescent="0.25">
      <c r="A752" s="25" t="s">
        <v>147</v>
      </c>
      <c r="B752" s="20" t="s">
        <v>280</v>
      </c>
      <c r="C752" s="20" t="s">
        <v>235</v>
      </c>
      <c r="D752" s="20" t="s">
        <v>1060</v>
      </c>
      <c r="E752" s="20" t="s">
        <v>148</v>
      </c>
      <c r="F752" s="6">
        <f t="shared" si="49"/>
        <v>300</v>
      </c>
      <c r="G752" s="6">
        <f t="shared" si="49"/>
        <v>300</v>
      </c>
    </row>
    <row r="753" spans="1:7" ht="47.25" x14ac:dyDescent="0.25">
      <c r="A753" s="25" t="s">
        <v>149</v>
      </c>
      <c r="B753" s="20" t="s">
        <v>280</v>
      </c>
      <c r="C753" s="20" t="s">
        <v>235</v>
      </c>
      <c r="D753" s="20" t="s">
        <v>1060</v>
      </c>
      <c r="E753" s="20" t="s">
        <v>150</v>
      </c>
      <c r="F753" s="6">
        <f>'пр.5.1.ведом.21-22'!G761</f>
        <v>300</v>
      </c>
      <c r="G753" s="6">
        <f>'пр.5.1.ведом.21-22'!H761</f>
        <v>300</v>
      </c>
    </row>
    <row r="754" spans="1:7" ht="47.25" x14ac:dyDescent="0.25">
      <c r="A754" s="23" t="s">
        <v>1002</v>
      </c>
      <c r="B754" s="24" t="s">
        <v>280</v>
      </c>
      <c r="C754" s="24" t="s">
        <v>235</v>
      </c>
      <c r="D754" s="24" t="s">
        <v>987</v>
      </c>
      <c r="E754" s="24"/>
      <c r="F754" s="4">
        <f>F755+F762</f>
        <v>13945</v>
      </c>
      <c r="G754" s="4">
        <f>G755+G762</f>
        <v>13945</v>
      </c>
    </row>
    <row r="755" spans="1:7" ht="31.5" x14ac:dyDescent="0.25">
      <c r="A755" s="25" t="s">
        <v>974</v>
      </c>
      <c r="B755" s="20" t="s">
        <v>280</v>
      </c>
      <c r="C755" s="20" t="s">
        <v>235</v>
      </c>
      <c r="D755" s="20" t="s">
        <v>988</v>
      </c>
      <c r="E755" s="20"/>
      <c r="F755" s="6">
        <f>F756+F758+F760</f>
        <v>13609</v>
      </c>
      <c r="G755" s="6">
        <f>G756+G758+G760</f>
        <v>13609</v>
      </c>
    </row>
    <row r="756" spans="1:7" ht="94.5" x14ac:dyDescent="0.25">
      <c r="A756" s="25" t="s">
        <v>143</v>
      </c>
      <c r="B756" s="20" t="s">
        <v>280</v>
      </c>
      <c r="C756" s="20" t="s">
        <v>235</v>
      </c>
      <c r="D756" s="20" t="s">
        <v>988</v>
      </c>
      <c r="E756" s="20" t="s">
        <v>144</v>
      </c>
      <c r="F756" s="6">
        <f>F757</f>
        <v>12517</v>
      </c>
      <c r="G756" s="6">
        <f>G757</f>
        <v>12517</v>
      </c>
    </row>
    <row r="757" spans="1:7" ht="31.5" x14ac:dyDescent="0.25">
      <c r="A757" s="25" t="s">
        <v>358</v>
      </c>
      <c r="B757" s="20" t="s">
        <v>280</v>
      </c>
      <c r="C757" s="20" t="s">
        <v>235</v>
      </c>
      <c r="D757" s="20" t="s">
        <v>988</v>
      </c>
      <c r="E757" s="20" t="s">
        <v>225</v>
      </c>
      <c r="F757" s="6">
        <f>'пр.5.1.ведом.21-22'!G765</f>
        <v>12517</v>
      </c>
      <c r="G757" s="6">
        <f>'пр.5.1.ведом.21-22'!H765</f>
        <v>12517</v>
      </c>
    </row>
    <row r="758" spans="1:7" ht="31.5" x14ac:dyDescent="0.25">
      <c r="A758" s="25" t="s">
        <v>147</v>
      </c>
      <c r="B758" s="20" t="s">
        <v>280</v>
      </c>
      <c r="C758" s="20" t="s">
        <v>235</v>
      </c>
      <c r="D758" s="20" t="s">
        <v>988</v>
      </c>
      <c r="E758" s="20" t="s">
        <v>148</v>
      </c>
      <c r="F758" s="6">
        <f>F759</f>
        <v>1077</v>
      </c>
      <c r="G758" s="6">
        <f>G759</f>
        <v>1077</v>
      </c>
    </row>
    <row r="759" spans="1:7" ht="47.25" x14ac:dyDescent="0.25">
      <c r="A759" s="25" t="s">
        <v>149</v>
      </c>
      <c r="B759" s="20" t="s">
        <v>280</v>
      </c>
      <c r="C759" s="20" t="s">
        <v>235</v>
      </c>
      <c r="D759" s="20" t="s">
        <v>988</v>
      </c>
      <c r="E759" s="20" t="s">
        <v>150</v>
      </c>
      <c r="F759" s="6">
        <f>'пр.5.1.ведом.21-22'!G767</f>
        <v>1077</v>
      </c>
      <c r="G759" s="6">
        <f>'пр.5.1.ведом.21-22'!H767</f>
        <v>1077</v>
      </c>
    </row>
    <row r="760" spans="1:7" ht="15.75" x14ac:dyDescent="0.25">
      <c r="A760" s="25" t="s">
        <v>151</v>
      </c>
      <c r="B760" s="20" t="s">
        <v>280</v>
      </c>
      <c r="C760" s="20" t="s">
        <v>235</v>
      </c>
      <c r="D760" s="20" t="s">
        <v>988</v>
      </c>
      <c r="E760" s="20" t="s">
        <v>161</v>
      </c>
      <c r="F760" s="6">
        <f>F761</f>
        <v>15</v>
      </c>
      <c r="G760" s="6">
        <f>G761</f>
        <v>15</v>
      </c>
    </row>
    <row r="761" spans="1:7" ht="31.5" x14ac:dyDescent="0.25">
      <c r="A761" s="25" t="s">
        <v>584</v>
      </c>
      <c r="B761" s="20" t="s">
        <v>280</v>
      </c>
      <c r="C761" s="20" t="s">
        <v>235</v>
      </c>
      <c r="D761" s="20" t="s">
        <v>988</v>
      </c>
      <c r="E761" s="20" t="s">
        <v>154</v>
      </c>
      <c r="F761" s="6">
        <f>'пр.5.1.ведом.21-22'!G769</f>
        <v>15</v>
      </c>
      <c r="G761" s="6">
        <f>'пр.5.1.ведом.21-22'!H769</f>
        <v>15</v>
      </c>
    </row>
    <row r="762" spans="1:7" ht="47.25" x14ac:dyDescent="0.25">
      <c r="A762" s="25" t="s">
        <v>885</v>
      </c>
      <c r="B762" s="20" t="s">
        <v>280</v>
      </c>
      <c r="C762" s="20" t="s">
        <v>235</v>
      </c>
      <c r="D762" s="20" t="s">
        <v>989</v>
      </c>
      <c r="E762" s="20"/>
      <c r="F762" s="6">
        <f>F763</f>
        <v>336</v>
      </c>
      <c r="G762" s="6">
        <f>G763</f>
        <v>336</v>
      </c>
    </row>
    <row r="763" spans="1:7" ht="94.5" x14ac:dyDescent="0.25">
      <c r="A763" s="25" t="s">
        <v>143</v>
      </c>
      <c r="B763" s="20" t="s">
        <v>280</v>
      </c>
      <c r="C763" s="20" t="s">
        <v>235</v>
      </c>
      <c r="D763" s="20" t="s">
        <v>989</v>
      </c>
      <c r="E763" s="20" t="s">
        <v>144</v>
      </c>
      <c r="F763" s="6">
        <f>F764</f>
        <v>336</v>
      </c>
      <c r="G763" s="6">
        <f>G764</f>
        <v>336</v>
      </c>
    </row>
    <row r="764" spans="1:7" ht="47.25" x14ac:dyDescent="0.25">
      <c r="A764" s="25" t="s">
        <v>145</v>
      </c>
      <c r="B764" s="20" t="s">
        <v>280</v>
      </c>
      <c r="C764" s="20" t="s">
        <v>235</v>
      </c>
      <c r="D764" s="20" t="s">
        <v>989</v>
      </c>
      <c r="E764" s="20" t="s">
        <v>146</v>
      </c>
      <c r="F764" s="6">
        <f>'пр.5.1.ведом.21-22'!G772</f>
        <v>336</v>
      </c>
      <c r="G764" s="6">
        <f>'пр.5.1.ведом.21-22'!H772</f>
        <v>336</v>
      </c>
    </row>
    <row r="765" spans="1:7" ht="15.75" x14ac:dyDescent="0.25">
      <c r="A765" s="41" t="s">
        <v>314</v>
      </c>
      <c r="B765" s="7" t="s">
        <v>315</v>
      </c>
      <c r="C765" s="7"/>
      <c r="D765" s="7"/>
      <c r="E765" s="7"/>
      <c r="F765" s="4">
        <f>F766+F839</f>
        <v>70268.512000000002</v>
      </c>
      <c r="G765" s="4">
        <f>G766+G839</f>
        <v>67994.2</v>
      </c>
    </row>
    <row r="766" spans="1:7" ht="15.75" x14ac:dyDescent="0.25">
      <c r="A766" s="41" t="s">
        <v>316</v>
      </c>
      <c r="B766" s="7" t="s">
        <v>315</v>
      </c>
      <c r="C766" s="7" t="s">
        <v>134</v>
      </c>
      <c r="D766" s="7"/>
      <c r="E766" s="7"/>
      <c r="F766" s="4">
        <f>F767+F829+F834</f>
        <v>52929.512000000002</v>
      </c>
      <c r="G766" s="4">
        <f>G767+G829+G834</f>
        <v>50655.199999999997</v>
      </c>
    </row>
    <row r="767" spans="1:7" ht="47.25" x14ac:dyDescent="0.25">
      <c r="A767" s="23" t="s">
        <v>1425</v>
      </c>
      <c r="B767" s="24" t="s">
        <v>315</v>
      </c>
      <c r="C767" s="24" t="s">
        <v>134</v>
      </c>
      <c r="D767" s="24" t="s">
        <v>283</v>
      </c>
      <c r="E767" s="24"/>
      <c r="F767" s="4">
        <f>F768+F795</f>
        <v>52136.312000000005</v>
      </c>
      <c r="G767" s="4">
        <f>G768+G795</f>
        <v>49862</v>
      </c>
    </row>
    <row r="768" spans="1:7" ht="63" x14ac:dyDescent="0.25">
      <c r="A768" s="23" t="s">
        <v>1445</v>
      </c>
      <c r="B768" s="24" t="s">
        <v>315</v>
      </c>
      <c r="C768" s="24" t="s">
        <v>134</v>
      </c>
      <c r="D768" s="24" t="s">
        <v>318</v>
      </c>
      <c r="E768" s="24"/>
      <c r="F768" s="4">
        <f>F769+F777+F783+F787+F791</f>
        <v>27742.858</v>
      </c>
      <c r="G768" s="4">
        <f>G769+G777+G783+G787+G791</f>
        <v>25446.3</v>
      </c>
    </row>
    <row r="769" spans="1:7" ht="47.25" x14ac:dyDescent="0.25">
      <c r="A769" s="23" t="s">
        <v>956</v>
      </c>
      <c r="B769" s="24" t="s">
        <v>315</v>
      </c>
      <c r="C769" s="24" t="s">
        <v>134</v>
      </c>
      <c r="D769" s="24" t="s">
        <v>957</v>
      </c>
      <c r="E769" s="24"/>
      <c r="F769" s="4">
        <f>F770</f>
        <v>23784</v>
      </c>
      <c r="G769" s="4">
        <f>G770</f>
        <v>23784</v>
      </c>
    </row>
    <row r="770" spans="1:7" ht="31.5" x14ac:dyDescent="0.25">
      <c r="A770" s="25" t="s">
        <v>832</v>
      </c>
      <c r="B770" s="20" t="s">
        <v>315</v>
      </c>
      <c r="C770" s="20" t="s">
        <v>134</v>
      </c>
      <c r="D770" s="20" t="s">
        <v>955</v>
      </c>
      <c r="E770" s="20"/>
      <c r="F770" s="6">
        <f>F771+F773+F775</f>
        <v>23784</v>
      </c>
      <c r="G770" s="6">
        <f>G771+G773+G775</f>
        <v>23784</v>
      </c>
    </row>
    <row r="771" spans="1:7" ht="94.5" x14ac:dyDescent="0.25">
      <c r="A771" s="25" t="s">
        <v>143</v>
      </c>
      <c r="B771" s="20" t="s">
        <v>315</v>
      </c>
      <c r="C771" s="20" t="s">
        <v>134</v>
      </c>
      <c r="D771" s="20" t="s">
        <v>955</v>
      </c>
      <c r="E771" s="20" t="s">
        <v>144</v>
      </c>
      <c r="F771" s="6">
        <f>F772</f>
        <v>20032</v>
      </c>
      <c r="G771" s="6">
        <f>G772</f>
        <v>20032</v>
      </c>
    </row>
    <row r="772" spans="1:7" ht="31.5" x14ac:dyDescent="0.25">
      <c r="A772" s="25" t="s">
        <v>224</v>
      </c>
      <c r="B772" s="20" t="s">
        <v>315</v>
      </c>
      <c r="C772" s="20" t="s">
        <v>134</v>
      </c>
      <c r="D772" s="20" t="s">
        <v>955</v>
      </c>
      <c r="E772" s="20" t="s">
        <v>225</v>
      </c>
      <c r="F772" s="6">
        <f>'пр.5.1.ведом.21-22'!G348</f>
        <v>20032</v>
      </c>
      <c r="G772" s="6">
        <f>'пр.5.1.ведом.21-22'!H348</f>
        <v>20032</v>
      </c>
    </row>
    <row r="773" spans="1:7" ht="31.5" x14ac:dyDescent="0.25">
      <c r="A773" s="25" t="s">
        <v>147</v>
      </c>
      <c r="B773" s="20" t="s">
        <v>315</v>
      </c>
      <c r="C773" s="20" t="s">
        <v>134</v>
      </c>
      <c r="D773" s="20" t="s">
        <v>955</v>
      </c>
      <c r="E773" s="20" t="s">
        <v>148</v>
      </c>
      <c r="F773" s="6">
        <f>F774</f>
        <v>3715</v>
      </c>
      <c r="G773" s="6">
        <f>G774</f>
        <v>3715</v>
      </c>
    </row>
    <row r="774" spans="1:7" ht="47.25" x14ac:dyDescent="0.25">
      <c r="A774" s="25" t="s">
        <v>149</v>
      </c>
      <c r="B774" s="20" t="s">
        <v>315</v>
      </c>
      <c r="C774" s="20" t="s">
        <v>134</v>
      </c>
      <c r="D774" s="20" t="s">
        <v>955</v>
      </c>
      <c r="E774" s="20" t="s">
        <v>150</v>
      </c>
      <c r="F774" s="6">
        <f>'пр.5.1.ведом.21-22'!G350</f>
        <v>3715</v>
      </c>
      <c r="G774" s="6">
        <f>'пр.5.1.ведом.21-22'!H350</f>
        <v>3715</v>
      </c>
    </row>
    <row r="775" spans="1:7" ht="15.75" x14ac:dyDescent="0.25">
      <c r="A775" s="25" t="s">
        <v>151</v>
      </c>
      <c r="B775" s="20" t="s">
        <v>315</v>
      </c>
      <c r="C775" s="20" t="s">
        <v>134</v>
      </c>
      <c r="D775" s="20" t="s">
        <v>955</v>
      </c>
      <c r="E775" s="20" t="s">
        <v>161</v>
      </c>
      <c r="F775" s="6">
        <f>F776</f>
        <v>37</v>
      </c>
      <c r="G775" s="6">
        <f>G776</f>
        <v>37</v>
      </c>
    </row>
    <row r="776" spans="1:7" ht="31.5" x14ac:dyDescent="0.25">
      <c r="A776" s="25" t="s">
        <v>584</v>
      </c>
      <c r="B776" s="20" t="s">
        <v>315</v>
      </c>
      <c r="C776" s="20" t="s">
        <v>134</v>
      </c>
      <c r="D776" s="20" t="s">
        <v>955</v>
      </c>
      <c r="E776" s="20" t="s">
        <v>154</v>
      </c>
      <c r="F776" s="6">
        <f>'пр.5.1.ведом.21-22'!G352</f>
        <v>37</v>
      </c>
      <c r="G776" s="6">
        <f>'пр.5.1.ведом.21-22'!H352</f>
        <v>37</v>
      </c>
    </row>
    <row r="777" spans="1:7" ht="47.25" x14ac:dyDescent="0.25">
      <c r="A777" s="225" t="s">
        <v>970</v>
      </c>
      <c r="B777" s="24" t="s">
        <v>315</v>
      </c>
      <c r="C777" s="24" t="s">
        <v>134</v>
      </c>
      <c r="D777" s="24" t="s">
        <v>958</v>
      </c>
      <c r="E777" s="24"/>
      <c r="F777" s="4">
        <f>F778</f>
        <v>250</v>
      </c>
      <c r="G777" s="4">
        <f>G778</f>
        <v>250</v>
      </c>
    </row>
    <row r="778" spans="1:7" ht="47.25" x14ac:dyDescent="0.25">
      <c r="A778" s="31" t="s">
        <v>860</v>
      </c>
      <c r="B778" s="20" t="s">
        <v>315</v>
      </c>
      <c r="C778" s="20" t="s">
        <v>134</v>
      </c>
      <c r="D778" s="20" t="s">
        <v>959</v>
      </c>
      <c r="E778" s="20"/>
      <c r="F778" s="6">
        <f>F781</f>
        <v>250</v>
      </c>
      <c r="G778" s="6">
        <f>G781</f>
        <v>250</v>
      </c>
    </row>
    <row r="779" spans="1:7" ht="94.5" hidden="1" x14ac:dyDescent="0.25">
      <c r="A779" s="25" t="s">
        <v>143</v>
      </c>
      <c r="B779" s="20" t="s">
        <v>315</v>
      </c>
      <c r="C779" s="20" t="s">
        <v>134</v>
      </c>
      <c r="D779" s="20" t="s">
        <v>959</v>
      </c>
      <c r="E779" s="20" t="s">
        <v>144</v>
      </c>
      <c r="F779" s="6">
        <f>'Пр.3 Рд,пр, ЦС,ВР 20'!F840</f>
        <v>396.09999999999997</v>
      </c>
      <c r="G779" s="6">
        <f>'Пр.3 Рд,пр, ЦС,ВР 20'!G840</f>
        <v>135.37</v>
      </c>
    </row>
    <row r="780" spans="1:7" ht="31.5" hidden="1" x14ac:dyDescent="0.25">
      <c r="A780" s="25" t="s">
        <v>224</v>
      </c>
      <c r="B780" s="20" t="s">
        <v>315</v>
      </c>
      <c r="C780" s="20" t="s">
        <v>134</v>
      </c>
      <c r="D780" s="20" t="s">
        <v>959</v>
      </c>
      <c r="E780" s="20" t="s">
        <v>225</v>
      </c>
      <c r="F780" s="6">
        <f>'Пр.3 Рд,пр, ЦС,ВР 20'!F841</f>
        <v>396.09999999999997</v>
      </c>
      <c r="G780" s="6">
        <f>'Пр.3 Рд,пр, ЦС,ВР 20'!G841</f>
        <v>135.37</v>
      </c>
    </row>
    <row r="781" spans="1:7" ht="31.5" x14ac:dyDescent="0.25">
      <c r="A781" s="25" t="s">
        <v>147</v>
      </c>
      <c r="B781" s="20" t="s">
        <v>315</v>
      </c>
      <c r="C781" s="20" t="s">
        <v>134</v>
      </c>
      <c r="D781" s="20" t="s">
        <v>959</v>
      </c>
      <c r="E781" s="20" t="s">
        <v>148</v>
      </c>
      <c r="F781" s="6">
        <f>F782</f>
        <v>250</v>
      </c>
      <c r="G781" s="6">
        <f>G782</f>
        <v>250</v>
      </c>
    </row>
    <row r="782" spans="1:7" ht="47.25" x14ac:dyDescent="0.25">
      <c r="A782" s="25" t="s">
        <v>149</v>
      </c>
      <c r="B782" s="20" t="s">
        <v>315</v>
      </c>
      <c r="C782" s="20" t="s">
        <v>134</v>
      </c>
      <c r="D782" s="20" t="s">
        <v>959</v>
      </c>
      <c r="E782" s="20" t="s">
        <v>150</v>
      </c>
      <c r="F782" s="6">
        <f>'пр.5.1.ведом.21-22'!G358</f>
        <v>250</v>
      </c>
      <c r="G782" s="6">
        <f>'пр.5.1.ведом.21-22'!H358</f>
        <v>250</v>
      </c>
    </row>
    <row r="783" spans="1:7" ht="47.25" x14ac:dyDescent="0.25">
      <c r="A783" s="23" t="s">
        <v>1076</v>
      </c>
      <c r="B783" s="24" t="s">
        <v>315</v>
      </c>
      <c r="C783" s="24" t="s">
        <v>134</v>
      </c>
      <c r="D783" s="24" t="s">
        <v>1164</v>
      </c>
      <c r="E783" s="24"/>
      <c r="F783" s="4">
        <f t="shared" ref="F783:G785" si="50">F784</f>
        <v>588</v>
      </c>
      <c r="G783" s="4">
        <f t="shared" si="50"/>
        <v>588</v>
      </c>
    </row>
    <row r="784" spans="1:7" ht="47.25" x14ac:dyDescent="0.25">
      <c r="A784" s="25" t="s">
        <v>885</v>
      </c>
      <c r="B784" s="20" t="s">
        <v>315</v>
      </c>
      <c r="C784" s="20" t="s">
        <v>134</v>
      </c>
      <c r="D784" s="20" t="s">
        <v>1165</v>
      </c>
      <c r="E784" s="20"/>
      <c r="F784" s="6">
        <f t="shared" si="50"/>
        <v>588</v>
      </c>
      <c r="G784" s="6">
        <f t="shared" si="50"/>
        <v>588</v>
      </c>
    </row>
    <row r="785" spans="1:7" ht="94.5" x14ac:dyDescent="0.25">
      <c r="A785" s="25" t="s">
        <v>143</v>
      </c>
      <c r="B785" s="20" t="s">
        <v>315</v>
      </c>
      <c r="C785" s="20" t="s">
        <v>134</v>
      </c>
      <c r="D785" s="20" t="s">
        <v>1165</v>
      </c>
      <c r="E785" s="20" t="s">
        <v>144</v>
      </c>
      <c r="F785" s="6">
        <f t="shared" si="50"/>
        <v>588</v>
      </c>
      <c r="G785" s="6">
        <f t="shared" si="50"/>
        <v>588</v>
      </c>
    </row>
    <row r="786" spans="1:7" ht="47.25" x14ac:dyDescent="0.25">
      <c r="A786" s="25" t="s">
        <v>145</v>
      </c>
      <c r="B786" s="20" t="s">
        <v>315</v>
      </c>
      <c r="C786" s="20" t="s">
        <v>134</v>
      </c>
      <c r="D786" s="20" t="s">
        <v>1165</v>
      </c>
      <c r="E786" s="20" t="s">
        <v>225</v>
      </c>
      <c r="F786" s="6">
        <f>'пр.5.1.ведом.21-22'!G362</f>
        <v>588</v>
      </c>
      <c r="G786" s="6">
        <f>'пр.5.1.ведом.21-22'!H362</f>
        <v>588</v>
      </c>
    </row>
    <row r="787" spans="1:7" ht="50.25" customHeight="1" x14ac:dyDescent="0.25">
      <c r="A787" s="226" t="s">
        <v>971</v>
      </c>
      <c r="B787" s="24" t="s">
        <v>315</v>
      </c>
      <c r="C787" s="24" t="s">
        <v>134</v>
      </c>
      <c r="D787" s="24" t="s">
        <v>1166</v>
      </c>
      <c r="E787" s="24"/>
      <c r="F787" s="4">
        <f t="shared" ref="F787:G789" si="51">F788</f>
        <v>824.3</v>
      </c>
      <c r="G787" s="4">
        <f t="shared" si="51"/>
        <v>824.3</v>
      </c>
    </row>
    <row r="788" spans="1:7" ht="126" x14ac:dyDescent="0.25">
      <c r="A788" s="31" t="s">
        <v>309</v>
      </c>
      <c r="B788" s="20" t="s">
        <v>315</v>
      </c>
      <c r="C788" s="20" t="s">
        <v>134</v>
      </c>
      <c r="D788" s="20" t="s">
        <v>1521</v>
      </c>
      <c r="E788" s="20"/>
      <c r="F788" s="6">
        <f t="shared" si="51"/>
        <v>824.3</v>
      </c>
      <c r="G788" s="6">
        <f t="shared" si="51"/>
        <v>824.3</v>
      </c>
    </row>
    <row r="789" spans="1:7" ht="94.5" x14ac:dyDescent="0.25">
      <c r="A789" s="25" t="s">
        <v>143</v>
      </c>
      <c r="B789" s="20" t="s">
        <v>315</v>
      </c>
      <c r="C789" s="20" t="s">
        <v>134</v>
      </c>
      <c r="D789" s="331" t="s">
        <v>1521</v>
      </c>
      <c r="E789" s="20" t="s">
        <v>144</v>
      </c>
      <c r="F789" s="6">
        <f t="shared" si="51"/>
        <v>824.3</v>
      </c>
      <c r="G789" s="6">
        <f t="shared" si="51"/>
        <v>824.3</v>
      </c>
    </row>
    <row r="790" spans="1:7" ht="31.5" x14ac:dyDescent="0.25">
      <c r="A790" s="25" t="s">
        <v>224</v>
      </c>
      <c r="B790" s="20" t="s">
        <v>315</v>
      </c>
      <c r="C790" s="20" t="s">
        <v>134</v>
      </c>
      <c r="D790" s="331" t="s">
        <v>1521</v>
      </c>
      <c r="E790" s="20" t="s">
        <v>225</v>
      </c>
      <c r="F790" s="6">
        <f>'пр.5.1.ведом.21-22'!G366</f>
        <v>824.3</v>
      </c>
      <c r="G790" s="6">
        <f>'пр.5.1.ведом.21-22'!H366</f>
        <v>824.3</v>
      </c>
    </row>
    <row r="791" spans="1:7" s="213" customFormat="1" ht="47.25" x14ac:dyDescent="0.25">
      <c r="A791" s="276" t="s">
        <v>1443</v>
      </c>
      <c r="B791" s="24" t="s">
        <v>315</v>
      </c>
      <c r="C791" s="24" t="s">
        <v>134</v>
      </c>
      <c r="D791" s="24" t="s">
        <v>1442</v>
      </c>
      <c r="E791" s="24"/>
      <c r="F791" s="21">
        <f t="shared" ref="F791:G791" si="52">F792</f>
        <v>2296.558</v>
      </c>
      <c r="G791" s="21">
        <f t="shared" si="52"/>
        <v>0</v>
      </c>
    </row>
    <row r="792" spans="1:7" s="213" customFormat="1" ht="63" x14ac:dyDescent="0.25">
      <c r="A792" s="277" t="s">
        <v>1405</v>
      </c>
      <c r="B792" s="20" t="s">
        <v>315</v>
      </c>
      <c r="C792" s="20" t="s">
        <v>134</v>
      </c>
      <c r="D792" s="20" t="s">
        <v>1441</v>
      </c>
      <c r="E792" s="20"/>
      <c r="F792" s="26">
        <f>F793</f>
        <v>2296.558</v>
      </c>
      <c r="G792" s="26">
        <f>G793</f>
        <v>0</v>
      </c>
    </row>
    <row r="793" spans="1:7" s="213" customFormat="1" ht="31.5" x14ac:dyDescent="0.25">
      <c r="A793" s="25" t="s">
        <v>147</v>
      </c>
      <c r="B793" s="20" t="s">
        <v>315</v>
      </c>
      <c r="C793" s="20" t="s">
        <v>134</v>
      </c>
      <c r="D793" s="20" t="s">
        <v>1441</v>
      </c>
      <c r="E793" s="20" t="s">
        <v>148</v>
      </c>
      <c r="F793" s="26">
        <f>F794</f>
        <v>2296.558</v>
      </c>
      <c r="G793" s="26">
        <f>G794</f>
        <v>0</v>
      </c>
    </row>
    <row r="794" spans="1:7" s="213" customFormat="1" ht="47.25" x14ac:dyDescent="0.25">
      <c r="A794" s="25" t="s">
        <v>149</v>
      </c>
      <c r="B794" s="20" t="s">
        <v>315</v>
      </c>
      <c r="C794" s="20" t="s">
        <v>134</v>
      </c>
      <c r="D794" s="20" t="s">
        <v>1441</v>
      </c>
      <c r="E794" s="20" t="s">
        <v>150</v>
      </c>
      <c r="F794" s="26">
        <f>'пр.5.1.ведом.21-22'!G370</f>
        <v>2296.558</v>
      </c>
      <c r="G794" s="26">
        <f>'пр.5.1.ведом.21-22'!H370</f>
        <v>0</v>
      </c>
    </row>
    <row r="795" spans="1:7" ht="47.25" x14ac:dyDescent="0.25">
      <c r="A795" s="23" t="s">
        <v>1451</v>
      </c>
      <c r="B795" s="24" t="s">
        <v>315</v>
      </c>
      <c r="C795" s="24" t="s">
        <v>134</v>
      </c>
      <c r="D795" s="24" t="s">
        <v>329</v>
      </c>
      <c r="E795" s="24"/>
      <c r="F795" s="4">
        <f>F796+F804+F808+F812+F819</f>
        <v>24393.454000000002</v>
      </c>
      <c r="G795" s="4">
        <f>G796+G804+G808+G812+G819</f>
        <v>24415.7</v>
      </c>
    </row>
    <row r="796" spans="1:7" ht="47.25" x14ac:dyDescent="0.25">
      <c r="A796" s="23" t="s">
        <v>956</v>
      </c>
      <c r="B796" s="24" t="s">
        <v>315</v>
      </c>
      <c r="C796" s="24" t="s">
        <v>134</v>
      </c>
      <c r="D796" s="24" t="s">
        <v>960</v>
      </c>
      <c r="E796" s="24"/>
      <c r="F796" s="4">
        <f>F797</f>
        <v>22194</v>
      </c>
      <c r="G796" s="4">
        <f>G797</f>
        <v>22194</v>
      </c>
    </row>
    <row r="797" spans="1:7" ht="31.5" x14ac:dyDescent="0.25">
      <c r="A797" s="25" t="s">
        <v>832</v>
      </c>
      <c r="B797" s="20" t="s">
        <v>315</v>
      </c>
      <c r="C797" s="20" t="s">
        <v>134</v>
      </c>
      <c r="D797" s="20" t="s">
        <v>961</v>
      </c>
      <c r="E797" s="20"/>
      <c r="F797" s="6">
        <f>F798+F800+F802</f>
        <v>22194</v>
      </c>
      <c r="G797" s="6">
        <f>G798+G800+G802</f>
        <v>22194</v>
      </c>
    </row>
    <row r="798" spans="1:7" ht="94.5" x14ac:dyDescent="0.25">
      <c r="A798" s="25" t="s">
        <v>143</v>
      </c>
      <c r="B798" s="20" t="s">
        <v>315</v>
      </c>
      <c r="C798" s="20" t="s">
        <v>134</v>
      </c>
      <c r="D798" s="20" t="s">
        <v>961</v>
      </c>
      <c r="E798" s="20" t="s">
        <v>144</v>
      </c>
      <c r="F798" s="6">
        <f>F799</f>
        <v>19218</v>
      </c>
      <c r="G798" s="6">
        <f>G799</f>
        <v>19218</v>
      </c>
    </row>
    <row r="799" spans="1:7" ht="31.5" x14ac:dyDescent="0.25">
      <c r="A799" s="25" t="s">
        <v>224</v>
      </c>
      <c r="B799" s="20" t="s">
        <v>315</v>
      </c>
      <c r="C799" s="20" t="s">
        <v>134</v>
      </c>
      <c r="D799" s="20" t="s">
        <v>961</v>
      </c>
      <c r="E799" s="20" t="s">
        <v>225</v>
      </c>
      <c r="F799" s="6">
        <f>'пр.5.1.ведом.21-22'!G375</f>
        <v>19218</v>
      </c>
      <c r="G799" s="6">
        <f>'пр.5.1.ведом.21-22'!H375</f>
        <v>19218</v>
      </c>
    </row>
    <row r="800" spans="1:7" ht="31.5" x14ac:dyDescent="0.25">
      <c r="A800" s="25" t="s">
        <v>147</v>
      </c>
      <c r="B800" s="20" t="s">
        <v>315</v>
      </c>
      <c r="C800" s="20" t="s">
        <v>134</v>
      </c>
      <c r="D800" s="20" t="s">
        <v>961</v>
      </c>
      <c r="E800" s="20" t="s">
        <v>148</v>
      </c>
      <c r="F800" s="6">
        <f>F801</f>
        <v>2950</v>
      </c>
      <c r="G800" s="6">
        <f>G801</f>
        <v>2950</v>
      </c>
    </row>
    <row r="801" spans="1:7" ht="47.25" x14ac:dyDescent="0.25">
      <c r="A801" s="25" t="s">
        <v>149</v>
      </c>
      <c r="B801" s="20" t="s">
        <v>315</v>
      </c>
      <c r="C801" s="20" t="s">
        <v>134</v>
      </c>
      <c r="D801" s="20" t="s">
        <v>961</v>
      </c>
      <c r="E801" s="20" t="s">
        <v>150</v>
      </c>
      <c r="F801" s="6">
        <f>'пр.5.1.ведом.21-22'!G377</f>
        <v>2950</v>
      </c>
      <c r="G801" s="6">
        <f>'пр.5.1.ведом.21-22'!H377</f>
        <v>2950</v>
      </c>
    </row>
    <row r="802" spans="1:7" ht="15.75" x14ac:dyDescent="0.25">
      <c r="A802" s="25" t="s">
        <v>151</v>
      </c>
      <c r="B802" s="20" t="s">
        <v>315</v>
      </c>
      <c r="C802" s="20" t="s">
        <v>134</v>
      </c>
      <c r="D802" s="20" t="s">
        <v>961</v>
      </c>
      <c r="E802" s="20" t="s">
        <v>161</v>
      </c>
      <c r="F802" s="6">
        <f>F803</f>
        <v>26</v>
      </c>
      <c r="G802" s="6">
        <f>G803</f>
        <v>26</v>
      </c>
    </row>
    <row r="803" spans="1:7" ht="31.5" x14ac:dyDescent="0.25">
      <c r="A803" s="25" t="s">
        <v>584</v>
      </c>
      <c r="B803" s="20" t="s">
        <v>315</v>
      </c>
      <c r="C803" s="20" t="s">
        <v>134</v>
      </c>
      <c r="D803" s="20" t="s">
        <v>961</v>
      </c>
      <c r="E803" s="20" t="s">
        <v>154</v>
      </c>
      <c r="F803" s="6">
        <f>'пр.5.1.ведом.21-22'!G379</f>
        <v>26</v>
      </c>
      <c r="G803" s="6">
        <f>'пр.5.1.ведом.21-22'!H379</f>
        <v>26</v>
      </c>
    </row>
    <row r="804" spans="1:7" ht="47.25" x14ac:dyDescent="0.25">
      <c r="A804" s="23" t="s">
        <v>973</v>
      </c>
      <c r="B804" s="24" t="s">
        <v>315</v>
      </c>
      <c r="C804" s="24" t="s">
        <v>134</v>
      </c>
      <c r="D804" s="24" t="s">
        <v>962</v>
      </c>
      <c r="E804" s="24"/>
      <c r="F804" s="4">
        <f t="shared" ref="F804:G806" si="53">F805</f>
        <v>27.754000000000001</v>
      </c>
      <c r="G804" s="4">
        <f t="shared" si="53"/>
        <v>50</v>
      </c>
    </row>
    <row r="805" spans="1:7" ht="31.5" x14ac:dyDescent="0.25">
      <c r="A805" s="25" t="s">
        <v>866</v>
      </c>
      <c r="B805" s="20" t="s">
        <v>315</v>
      </c>
      <c r="C805" s="20" t="s">
        <v>134</v>
      </c>
      <c r="D805" s="20" t="s">
        <v>963</v>
      </c>
      <c r="E805" s="20"/>
      <c r="F805" s="6">
        <f t="shared" si="53"/>
        <v>27.754000000000001</v>
      </c>
      <c r="G805" s="6">
        <f t="shared" si="53"/>
        <v>50</v>
      </c>
    </row>
    <row r="806" spans="1:7" ht="31.5" x14ac:dyDescent="0.25">
      <c r="A806" s="25" t="s">
        <v>147</v>
      </c>
      <c r="B806" s="20" t="s">
        <v>315</v>
      </c>
      <c r="C806" s="20" t="s">
        <v>134</v>
      </c>
      <c r="D806" s="20" t="s">
        <v>963</v>
      </c>
      <c r="E806" s="20" t="s">
        <v>148</v>
      </c>
      <c r="F806" s="6">
        <f t="shared" si="53"/>
        <v>27.754000000000001</v>
      </c>
      <c r="G806" s="6">
        <f t="shared" si="53"/>
        <v>50</v>
      </c>
    </row>
    <row r="807" spans="1:7" ht="47.25" x14ac:dyDescent="0.25">
      <c r="A807" s="25" t="s">
        <v>149</v>
      </c>
      <c r="B807" s="20" t="s">
        <v>315</v>
      </c>
      <c r="C807" s="20" t="s">
        <v>134</v>
      </c>
      <c r="D807" s="20" t="s">
        <v>963</v>
      </c>
      <c r="E807" s="20" t="s">
        <v>150</v>
      </c>
      <c r="F807" s="6">
        <f>'пр.5.1.ведом.21-22'!G383</f>
        <v>27.754000000000001</v>
      </c>
      <c r="G807" s="6">
        <f>'пр.5.1.ведом.21-22'!H383</f>
        <v>50</v>
      </c>
    </row>
    <row r="808" spans="1:7" ht="47.25" x14ac:dyDescent="0.25">
      <c r="A808" s="23" t="s">
        <v>1076</v>
      </c>
      <c r="B808" s="24" t="s">
        <v>315</v>
      </c>
      <c r="C808" s="24" t="s">
        <v>134</v>
      </c>
      <c r="D808" s="24" t="s">
        <v>964</v>
      </c>
      <c r="E808" s="24"/>
      <c r="F808" s="4">
        <f t="shared" ref="F808:G810" si="54">F809</f>
        <v>507</v>
      </c>
      <c r="G808" s="4">
        <f t="shared" si="54"/>
        <v>507</v>
      </c>
    </row>
    <row r="809" spans="1:7" ht="47.25" x14ac:dyDescent="0.25">
      <c r="A809" s="25" t="s">
        <v>885</v>
      </c>
      <c r="B809" s="20" t="s">
        <v>315</v>
      </c>
      <c r="C809" s="20" t="s">
        <v>134</v>
      </c>
      <c r="D809" s="20" t="s">
        <v>1252</v>
      </c>
      <c r="E809" s="20"/>
      <c r="F809" s="6">
        <f t="shared" si="54"/>
        <v>507</v>
      </c>
      <c r="G809" s="6">
        <f t="shared" si="54"/>
        <v>507</v>
      </c>
    </row>
    <row r="810" spans="1:7" ht="94.5" x14ac:dyDescent="0.25">
      <c r="A810" s="25" t="s">
        <v>143</v>
      </c>
      <c r="B810" s="20" t="s">
        <v>315</v>
      </c>
      <c r="C810" s="20" t="s">
        <v>134</v>
      </c>
      <c r="D810" s="20" t="s">
        <v>1252</v>
      </c>
      <c r="E810" s="20" t="s">
        <v>144</v>
      </c>
      <c r="F810" s="6">
        <f t="shared" si="54"/>
        <v>507</v>
      </c>
      <c r="G810" s="6">
        <f t="shared" si="54"/>
        <v>507</v>
      </c>
    </row>
    <row r="811" spans="1:7" ht="47.25" x14ac:dyDescent="0.25">
      <c r="A811" s="25" t="s">
        <v>145</v>
      </c>
      <c r="B811" s="20" t="s">
        <v>315</v>
      </c>
      <c r="C811" s="20" t="s">
        <v>134</v>
      </c>
      <c r="D811" s="20" t="s">
        <v>1252</v>
      </c>
      <c r="E811" s="20" t="s">
        <v>225</v>
      </c>
      <c r="F811" s="6">
        <f>'пр.5.1.ведом.21-22'!G387</f>
        <v>507</v>
      </c>
      <c r="G811" s="6">
        <f>'пр.5.1.ведом.21-22'!H387</f>
        <v>507</v>
      </c>
    </row>
    <row r="812" spans="1:7" ht="31.5" x14ac:dyDescent="0.25">
      <c r="A812" s="23" t="s">
        <v>1163</v>
      </c>
      <c r="B812" s="24" t="s">
        <v>315</v>
      </c>
      <c r="C812" s="24" t="s">
        <v>134</v>
      </c>
      <c r="D812" s="24" t="s">
        <v>965</v>
      </c>
      <c r="E812" s="24"/>
      <c r="F812" s="4">
        <f>F813+F816</f>
        <v>68.7</v>
      </c>
      <c r="G812" s="4">
        <f>G813+G816</f>
        <v>68.7</v>
      </c>
    </row>
    <row r="813" spans="1:7" ht="31.5" x14ac:dyDescent="0.25">
      <c r="A813" s="25" t="s">
        <v>345</v>
      </c>
      <c r="B813" s="20" t="s">
        <v>315</v>
      </c>
      <c r="C813" s="20" t="s">
        <v>134</v>
      </c>
      <c r="D813" s="20" t="s">
        <v>1253</v>
      </c>
      <c r="E813" s="20"/>
      <c r="F813" s="6">
        <f>F814</f>
        <v>3.5</v>
      </c>
      <c r="G813" s="6">
        <f>G814</f>
        <v>3.5</v>
      </c>
    </row>
    <row r="814" spans="1:7" ht="31.5" x14ac:dyDescent="0.25">
      <c r="A814" s="25" t="s">
        <v>147</v>
      </c>
      <c r="B814" s="20" t="s">
        <v>315</v>
      </c>
      <c r="C814" s="20" t="s">
        <v>134</v>
      </c>
      <c r="D814" s="20" t="s">
        <v>1253</v>
      </c>
      <c r="E814" s="20" t="s">
        <v>148</v>
      </c>
      <c r="F814" s="6">
        <f>F815</f>
        <v>3.5</v>
      </c>
      <c r="G814" s="6">
        <f>G815</f>
        <v>3.5</v>
      </c>
    </row>
    <row r="815" spans="1:7" ht="47.25" x14ac:dyDescent="0.25">
      <c r="A815" s="25" t="s">
        <v>149</v>
      </c>
      <c r="B815" s="20" t="s">
        <v>315</v>
      </c>
      <c r="C815" s="20" t="s">
        <v>134</v>
      </c>
      <c r="D815" s="20" t="s">
        <v>1253</v>
      </c>
      <c r="E815" s="20" t="s">
        <v>150</v>
      </c>
      <c r="F815" s="6">
        <f>'пр.5.1.ведом.21-22'!G391</f>
        <v>3.5</v>
      </c>
      <c r="G815" s="6">
        <f>'пр.5.1.ведом.21-22'!H391</f>
        <v>3.5</v>
      </c>
    </row>
    <row r="816" spans="1:7" ht="31.5" x14ac:dyDescent="0.25">
      <c r="A816" s="25" t="s">
        <v>345</v>
      </c>
      <c r="B816" s="20" t="s">
        <v>315</v>
      </c>
      <c r="C816" s="20" t="s">
        <v>134</v>
      </c>
      <c r="D816" s="20" t="s">
        <v>1254</v>
      </c>
      <c r="E816" s="20"/>
      <c r="F816" s="6">
        <f>F817</f>
        <v>65.2</v>
      </c>
      <c r="G816" s="6">
        <f>G817</f>
        <v>65.2</v>
      </c>
    </row>
    <row r="817" spans="1:7" ht="31.5" x14ac:dyDescent="0.25">
      <c r="A817" s="25" t="s">
        <v>147</v>
      </c>
      <c r="B817" s="20" t="s">
        <v>315</v>
      </c>
      <c r="C817" s="20" t="s">
        <v>134</v>
      </c>
      <c r="D817" s="20" t="s">
        <v>1254</v>
      </c>
      <c r="E817" s="20" t="s">
        <v>148</v>
      </c>
      <c r="F817" s="6">
        <f>F818</f>
        <v>65.2</v>
      </c>
      <c r="G817" s="6">
        <f>G818</f>
        <v>65.2</v>
      </c>
    </row>
    <row r="818" spans="1:7" ht="47.25" x14ac:dyDescent="0.25">
      <c r="A818" s="25" t="s">
        <v>149</v>
      </c>
      <c r="B818" s="20" t="s">
        <v>315</v>
      </c>
      <c r="C818" s="20" t="s">
        <v>134</v>
      </c>
      <c r="D818" s="20" t="s">
        <v>1254</v>
      </c>
      <c r="E818" s="38">
        <v>240</v>
      </c>
      <c r="F818" s="6">
        <f>'пр.5.1.ведом.21-22'!G394</f>
        <v>65.2</v>
      </c>
      <c r="G818" s="6">
        <f>'пр.5.1.ведом.21-22'!H394</f>
        <v>65.2</v>
      </c>
    </row>
    <row r="819" spans="1:7" ht="63" x14ac:dyDescent="0.25">
      <c r="A819" s="226" t="s">
        <v>971</v>
      </c>
      <c r="B819" s="24" t="s">
        <v>315</v>
      </c>
      <c r="C819" s="24" t="s">
        <v>134</v>
      </c>
      <c r="D819" s="24" t="s">
        <v>1255</v>
      </c>
      <c r="E819" s="24"/>
      <c r="F819" s="305">
        <f>F823+F826+F820</f>
        <v>1596</v>
      </c>
      <c r="G819" s="305">
        <f>G823+G826+G820</f>
        <v>1596</v>
      </c>
    </row>
    <row r="820" spans="1:7" s="324" customFormat="1" ht="126" x14ac:dyDescent="0.25">
      <c r="A820" s="31" t="s">
        <v>309</v>
      </c>
      <c r="B820" s="331" t="s">
        <v>315</v>
      </c>
      <c r="C820" s="331" t="s">
        <v>134</v>
      </c>
      <c r="D820" s="331" t="s">
        <v>1522</v>
      </c>
      <c r="E820" s="331"/>
      <c r="F820" s="303">
        <f>F821</f>
        <v>1276.3</v>
      </c>
      <c r="G820" s="303">
        <f>G821</f>
        <v>1276.3</v>
      </c>
    </row>
    <row r="821" spans="1:7" s="324" customFormat="1" ht="94.5" x14ac:dyDescent="0.25">
      <c r="A821" s="335" t="s">
        <v>143</v>
      </c>
      <c r="B821" s="331" t="s">
        <v>315</v>
      </c>
      <c r="C821" s="331" t="s">
        <v>134</v>
      </c>
      <c r="D821" s="331" t="s">
        <v>1522</v>
      </c>
      <c r="E821" s="331" t="s">
        <v>144</v>
      </c>
      <c r="F821" s="303">
        <f>F822</f>
        <v>1276.3</v>
      </c>
      <c r="G821" s="303">
        <f>G822</f>
        <v>1276.3</v>
      </c>
    </row>
    <row r="822" spans="1:7" s="324" customFormat="1" ht="31.5" x14ac:dyDescent="0.25">
      <c r="A822" s="335" t="s">
        <v>224</v>
      </c>
      <c r="B822" s="331" t="s">
        <v>315</v>
      </c>
      <c r="C822" s="331" t="s">
        <v>134</v>
      </c>
      <c r="D822" s="331" t="s">
        <v>1522</v>
      </c>
      <c r="E822" s="331" t="s">
        <v>225</v>
      </c>
      <c r="F822" s="303">
        <f>'пр.5.1.ведом.21-22'!G398</f>
        <v>1276.3</v>
      </c>
      <c r="G822" s="303">
        <f>'пр.5.1.ведом.21-22'!H398</f>
        <v>1276.3</v>
      </c>
    </row>
    <row r="823" spans="1:7" ht="94.5" x14ac:dyDescent="0.25">
      <c r="A823" s="25" t="s">
        <v>347</v>
      </c>
      <c r="B823" s="20" t="s">
        <v>315</v>
      </c>
      <c r="C823" s="20" t="s">
        <v>134</v>
      </c>
      <c r="D823" s="20" t="s">
        <v>1256</v>
      </c>
      <c r="E823" s="20"/>
      <c r="F823" s="6">
        <f>F824</f>
        <v>319.7</v>
      </c>
      <c r="G823" s="6">
        <f>G824</f>
        <v>319.7</v>
      </c>
    </row>
    <row r="824" spans="1:7" ht="94.5" x14ac:dyDescent="0.25">
      <c r="A824" s="25" t="s">
        <v>143</v>
      </c>
      <c r="B824" s="20" t="s">
        <v>315</v>
      </c>
      <c r="C824" s="20" t="s">
        <v>134</v>
      </c>
      <c r="D824" s="20" t="s">
        <v>1256</v>
      </c>
      <c r="E824" s="20" t="s">
        <v>144</v>
      </c>
      <c r="F824" s="6">
        <f>F825</f>
        <v>319.7</v>
      </c>
      <c r="G824" s="6">
        <f>G825</f>
        <v>319.7</v>
      </c>
    </row>
    <row r="825" spans="1:7" ht="31.5" x14ac:dyDescent="0.25">
      <c r="A825" s="25" t="s">
        <v>224</v>
      </c>
      <c r="B825" s="20" t="s">
        <v>315</v>
      </c>
      <c r="C825" s="20" t="s">
        <v>134</v>
      </c>
      <c r="D825" s="20" t="s">
        <v>1256</v>
      </c>
      <c r="E825" s="20" t="s">
        <v>225</v>
      </c>
      <c r="F825" s="6">
        <f>'пр.5.1.ведом.21-22'!G401</f>
        <v>319.7</v>
      </c>
      <c r="G825" s="6">
        <f>'пр.5.1.ведом.21-22'!H401</f>
        <v>319.7</v>
      </c>
    </row>
    <row r="826" spans="1:7" ht="126" hidden="1" x14ac:dyDescent="0.25">
      <c r="A826" s="31" t="s">
        <v>309</v>
      </c>
      <c r="B826" s="20" t="s">
        <v>315</v>
      </c>
      <c r="C826" s="20" t="s">
        <v>134</v>
      </c>
      <c r="D826" s="20" t="s">
        <v>1257</v>
      </c>
      <c r="E826" s="20"/>
      <c r="F826" s="6">
        <f>F827</f>
        <v>0</v>
      </c>
      <c r="G826" s="6">
        <f>G827</f>
        <v>0</v>
      </c>
    </row>
    <row r="827" spans="1:7" ht="94.5" hidden="1" x14ac:dyDescent="0.25">
      <c r="A827" s="25" t="s">
        <v>143</v>
      </c>
      <c r="B827" s="20" t="s">
        <v>315</v>
      </c>
      <c r="C827" s="20" t="s">
        <v>134</v>
      </c>
      <c r="D827" s="20" t="s">
        <v>1257</v>
      </c>
      <c r="E827" s="20" t="s">
        <v>144</v>
      </c>
      <c r="F827" s="6">
        <f>F828</f>
        <v>0</v>
      </c>
      <c r="G827" s="6">
        <f>G828</f>
        <v>0</v>
      </c>
    </row>
    <row r="828" spans="1:7" ht="31.5" hidden="1" x14ac:dyDescent="0.25">
      <c r="A828" s="25" t="s">
        <v>224</v>
      </c>
      <c r="B828" s="20" t="s">
        <v>315</v>
      </c>
      <c r="C828" s="20" t="s">
        <v>134</v>
      </c>
      <c r="D828" s="20" t="s">
        <v>1257</v>
      </c>
      <c r="E828" s="20" t="s">
        <v>225</v>
      </c>
      <c r="F828" s="6">
        <f>'пр.5.1.ведом.21-22'!G404</f>
        <v>0</v>
      </c>
      <c r="G828" s="6">
        <f>'пр.5.1.ведом.21-22'!H404</f>
        <v>0</v>
      </c>
    </row>
    <row r="829" spans="1:7" ht="78.75" hidden="1" x14ac:dyDescent="0.25">
      <c r="A829" s="34" t="s">
        <v>805</v>
      </c>
      <c r="B829" s="24" t="s">
        <v>315</v>
      </c>
      <c r="C829" s="24" t="s">
        <v>134</v>
      </c>
      <c r="D829" s="24" t="s">
        <v>340</v>
      </c>
      <c r="E829" s="24"/>
      <c r="F829" s="305">
        <f t="shared" ref="F829:G832" si="55">F830</f>
        <v>0</v>
      </c>
      <c r="G829" s="305">
        <f t="shared" si="55"/>
        <v>0</v>
      </c>
    </row>
    <row r="830" spans="1:7" ht="63" hidden="1" x14ac:dyDescent="0.25">
      <c r="A830" s="34" t="s">
        <v>1191</v>
      </c>
      <c r="B830" s="24" t="s">
        <v>315</v>
      </c>
      <c r="C830" s="24" t="s">
        <v>134</v>
      </c>
      <c r="D830" s="24" t="s">
        <v>1025</v>
      </c>
      <c r="E830" s="24"/>
      <c r="F830" s="4">
        <f t="shared" si="55"/>
        <v>0</v>
      </c>
      <c r="G830" s="4">
        <f t="shared" si="55"/>
        <v>0</v>
      </c>
    </row>
    <row r="831" spans="1:7" ht="63" hidden="1" x14ac:dyDescent="0.25">
      <c r="A831" s="31" t="s">
        <v>1272</v>
      </c>
      <c r="B831" s="20" t="s">
        <v>315</v>
      </c>
      <c r="C831" s="20" t="s">
        <v>134</v>
      </c>
      <c r="D831" s="20" t="s">
        <v>1192</v>
      </c>
      <c r="E831" s="20"/>
      <c r="F831" s="6">
        <f t="shared" si="55"/>
        <v>0</v>
      </c>
      <c r="G831" s="6">
        <f t="shared" si="55"/>
        <v>0</v>
      </c>
    </row>
    <row r="832" spans="1:7" ht="31.5" hidden="1" x14ac:dyDescent="0.25">
      <c r="A832" s="25" t="s">
        <v>147</v>
      </c>
      <c r="B832" s="20" t="s">
        <v>315</v>
      </c>
      <c r="C832" s="20" t="s">
        <v>134</v>
      </c>
      <c r="D832" s="20" t="s">
        <v>1192</v>
      </c>
      <c r="E832" s="20" t="s">
        <v>148</v>
      </c>
      <c r="F832" s="6">
        <f t="shared" si="55"/>
        <v>0</v>
      </c>
      <c r="G832" s="6">
        <f t="shared" si="55"/>
        <v>0</v>
      </c>
    </row>
    <row r="833" spans="1:7" ht="47.25" hidden="1" x14ac:dyDescent="0.25">
      <c r="A833" s="25" t="s">
        <v>149</v>
      </c>
      <c r="B833" s="20" t="s">
        <v>315</v>
      </c>
      <c r="C833" s="20" t="s">
        <v>134</v>
      </c>
      <c r="D833" s="20" t="s">
        <v>1192</v>
      </c>
      <c r="E833" s="20" t="s">
        <v>150</v>
      </c>
      <c r="F833" s="6">
        <f>'пр.5.1.ведом.21-22'!G409</f>
        <v>0</v>
      </c>
      <c r="G833" s="6">
        <f>'пр.5.1.ведом.21-22'!H409</f>
        <v>0</v>
      </c>
    </row>
    <row r="834" spans="1:7" ht="78.75" x14ac:dyDescent="0.25">
      <c r="A834" s="41" t="s">
        <v>1424</v>
      </c>
      <c r="B834" s="24" t="s">
        <v>315</v>
      </c>
      <c r="C834" s="24" t="s">
        <v>134</v>
      </c>
      <c r="D834" s="24" t="s">
        <v>728</v>
      </c>
      <c r="E834" s="231"/>
      <c r="F834" s="4">
        <f t="shared" ref="F834:G834" si="56">F835</f>
        <v>793.2</v>
      </c>
      <c r="G834" s="4">
        <f t="shared" si="56"/>
        <v>793.2</v>
      </c>
    </row>
    <row r="835" spans="1:7" ht="63" x14ac:dyDescent="0.25">
      <c r="A835" s="41" t="s">
        <v>949</v>
      </c>
      <c r="B835" s="24" t="s">
        <v>315</v>
      </c>
      <c r="C835" s="24" t="s">
        <v>134</v>
      </c>
      <c r="D835" s="24" t="s">
        <v>947</v>
      </c>
      <c r="E835" s="231"/>
      <c r="F835" s="4">
        <f t="shared" ref="F835:G837" si="57">F836</f>
        <v>793.2</v>
      </c>
      <c r="G835" s="4">
        <f t="shared" si="57"/>
        <v>793.2</v>
      </c>
    </row>
    <row r="836" spans="1:7" ht="47.25" x14ac:dyDescent="0.25">
      <c r="A836" s="99" t="s">
        <v>1187</v>
      </c>
      <c r="B836" s="20" t="s">
        <v>315</v>
      </c>
      <c r="C836" s="20" t="s">
        <v>134</v>
      </c>
      <c r="D836" s="20" t="s">
        <v>948</v>
      </c>
      <c r="E836" s="32"/>
      <c r="F836" s="6">
        <f t="shared" si="57"/>
        <v>793.2</v>
      </c>
      <c r="G836" s="6">
        <f t="shared" si="57"/>
        <v>793.2</v>
      </c>
    </row>
    <row r="837" spans="1:7" ht="31.5" x14ac:dyDescent="0.25">
      <c r="A837" s="25" t="s">
        <v>147</v>
      </c>
      <c r="B837" s="20" t="s">
        <v>315</v>
      </c>
      <c r="C837" s="20" t="s">
        <v>134</v>
      </c>
      <c r="D837" s="20" t="s">
        <v>948</v>
      </c>
      <c r="E837" s="32" t="s">
        <v>148</v>
      </c>
      <c r="F837" s="6">
        <f t="shared" si="57"/>
        <v>793.2</v>
      </c>
      <c r="G837" s="6">
        <f t="shared" si="57"/>
        <v>793.2</v>
      </c>
    </row>
    <row r="838" spans="1:7" ht="47.25" x14ac:dyDescent="0.25">
      <c r="A838" s="25" t="s">
        <v>149</v>
      </c>
      <c r="B838" s="20" t="s">
        <v>315</v>
      </c>
      <c r="C838" s="20" t="s">
        <v>134</v>
      </c>
      <c r="D838" s="20" t="s">
        <v>948</v>
      </c>
      <c r="E838" s="32" t="s">
        <v>150</v>
      </c>
      <c r="F838" s="6">
        <f>'пр.5.1.ведом.21-22'!G414</f>
        <v>793.2</v>
      </c>
      <c r="G838" s="6">
        <f>'пр.5.1.ведом.21-22'!H414</f>
        <v>793.2</v>
      </c>
    </row>
    <row r="839" spans="1:7" ht="31.5" x14ac:dyDescent="0.25">
      <c r="A839" s="23" t="s">
        <v>349</v>
      </c>
      <c r="B839" s="24" t="s">
        <v>315</v>
      </c>
      <c r="C839" s="24" t="s">
        <v>166</v>
      </c>
      <c r="D839" s="24"/>
      <c r="E839" s="32"/>
      <c r="F839" s="4">
        <f>F840+F850+F862</f>
        <v>17339</v>
      </c>
      <c r="G839" s="4">
        <f>G840+G850+G862</f>
        <v>17339</v>
      </c>
    </row>
    <row r="840" spans="1:7" ht="31.5" x14ac:dyDescent="0.25">
      <c r="A840" s="23" t="s">
        <v>990</v>
      </c>
      <c r="B840" s="24" t="s">
        <v>315</v>
      </c>
      <c r="C840" s="24" t="s">
        <v>166</v>
      </c>
      <c r="D840" s="24" t="s">
        <v>904</v>
      </c>
      <c r="E840" s="32"/>
      <c r="F840" s="4">
        <f>F841</f>
        <v>6870</v>
      </c>
      <c r="G840" s="4">
        <f>G841</f>
        <v>6870</v>
      </c>
    </row>
    <row r="841" spans="1:7" ht="15.75" x14ac:dyDescent="0.25">
      <c r="A841" s="23" t="s">
        <v>991</v>
      </c>
      <c r="B841" s="24" t="s">
        <v>315</v>
      </c>
      <c r="C841" s="24" t="s">
        <v>166</v>
      </c>
      <c r="D841" s="24" t="s">
        <v>905</v>
      </c>
      <c r="E841" s="32"/>
      <c r="F841" s="4">
        <f>F842+F847</f>
        <v>6870</v>
      </c>
      <c r="G841" s="4">
        <f>G842+G847</f>
        <v>6870</v>
      </c>
    </row>
    <row r="842" spans="1:7" ht="31.5" x14ac:dyDescent="0.25">
      <c r="A842" s="25" t="s">
        <v>967</v>
      </c>
      <c r="B842" s="20" t="s">
        <v>315</v>
      </c>
      <c r="C842" s="20" t="s">
        <v>166</v>
      </c>
      <c r="D842" s="20" t="s">
        <v>906</v>
      </c>
      <c r="E842" s="32"/>
      <c r="F842" s="6">
        <f>F843</f>
        <v>6744</v>
      </c>
      <c r="G842" s="6">
        <f>G843</f>
        <v>6744</v>
      </c>
    </row>
    <row r="843" spans="1:7" ht="94.5" x14ac:dyDescent="0.25">
      <c r="A843" s="25" t="s">
        <v>143</v>
      </c>
      <c r="B843" s="20" t="s">
        <v>315</v>
      </c>
      <c r="C843" s="20" t="s">
        <v>166</v>
      </c>
      <c r="D843" s="20" t="s">
        <v>906</v>
      </c>
      <c r="E843" s="32" t="s">
        <v>144</v>
      </c>
      <c r="F843" s="6">
        <f>F844</f>
        <v>6744</v>
      </c>
      <c r="G843" s="6">
        <f>G844</f>
        <v>6744</v>
      </c>
    </row>
    <row r="844" spans="1:7" ht="47.25" x14ac:dyDescent="0.25">
      <c r="A844" s="25" t="s">
        <v>145</v>
      </c>
      <c r="B844" s="20" t="s">
        <v>315</v>
      </c>
      <c r="C844" s="20" t="s">
        <v>166</v>
      </c>
      <c r="D844" s="20" t="s">
        <v>906</v>
      </c>
      <c r="E844" s="40" t="s">
        <v>146</v>
      </c>
      <c r="F844" s="6">
        <f>'пр.5.1.ведом.21-22'!G420</f>
        <v>6744</v>
      </c>
      <c r="G844" s="6">
        <f>'пр.5.1.ведом.21-22'!H420</f>
        <v>6744</v>
      </c>
    </row>
    <row r="845" spans="1:7" ht="31.5" hidden="1" x14ac:dyDescent="0.25">
      <c r="A845" s="25" t="s">
        <v>147</v>
      </c>
      <c r="B845" s="20" t="s">
        <v>315</v>
      </c>
      <c r="C845" s="20" t="s">
        <v>166</v>
      </c>
      <c r="D845" s="20" t="s">
        <v>906</v>
      </c>
      <c r="E845" s="40" t="s">
        <v>148</v>
      </c>
      <c r="F845" s="6">
        <f>'Пр.3 Рд,пр, ЦС,ВР 20'!F909</f>
        <v>0</v>
      </c>
      <c r="G845" s="6">
        <f>'Пр.3 Рд,пр, ЦС,ВР 20'!G909</f>
        <v>0</v>
      </c>
    </row>
    <row r="846" spans="1:7" ht="47.25" hidden="1" x14ac:dyDescent="0.25">
      <c r="A846" s="25" t="s">
        <v>149</v>
      </c>
      <c r="B846" s="20" t="s">
        <v>315</v>
      </c>
      <c r="C846" s="20" t="s">
        <v>166</v>
      </c>
      <c r="D846" s="20" t="s">
        <v>906</v>
      </c>
      <c r="E846" s="40" t="s">
        <v>150</v>
      </c>
      <c r="F846" s="6">
        <f>'Пр.3 Рд,пр, ЦС,ВР 20'!F910</f>
        <v>0</v>
      </c>
      <c r="G846" s="6">
        <f>'Пр.3 Рд,пр, ЦС,ВР 20'!G910</f>
        <v>0</v>
      </c>
    </row>
    <row r="847" spans="1:7" ht="47.25" x14ac:dyDescent="0.25">
      <c r="A847" s="25" t="s">
        <v>885</v>
      </c>
      <c r="B847" s="20" t="s">
        <v>315</v>
      </c>
      <c r="C847" s="20" t="s">
        <v>166</v>
      </c>
      <c r="D847" s="20" t="s">
        <v>908</v>
      </c>
      <c r="E847" s="40"/>
      <c r="F847" s="6">
        <f>F848</f>
        <v>126</v>
      </c>
      <c r="G847" s="6">
        <f>G848</f>
        <v>126</v>
      </c>
    </row>
    <row r="848" spans="1:7" ht="94.5" x14ac:dyDescent="0.25">
      <c r="A848" s="25" t="s">
        <v>143</v>
      </c>
      <c r="B848" s="20" t="s">
        <v>315</v>
      </c>
      <c r="C848" s="20" t="s">
        <v>166</v>
      </c>
      <c r="D848" s="20" t="s">
        <v>908</v>
      </c>
      <c r="E848" s="40" t="s">
        <v>144</v>
      </c>
      <c r="F848" s="6">
        <f>F849</f>
        <v>126</v>
      </c>
      <c r="G848" s="6">
        <f>G849</f>
        <v>126</v>
      </c>
    </row>
    <row r="849" spans="1:7" ht="47.25" x14ac:dyDescent="0.25">
      <c r="A849" s="25" t="s">
        <v>145</v>
      </c>
      <c r="B849" s="20" t="s">
        <v>315</v>
      </c>
      <c r="C849" s="20" t="s">
        <v>166</v>
      </c>
      <c r="D849" s="20" t="s">
        <v>908</v>
      </c>
      <c r="E849" s="40" t="s">
        <v>146</v>
      </c>
      <c r="F849" s="6">
        <f>'пр.5.1.ведом.21-22'!G425</f>
        <v>126</v>
      </c>
      <c r="G849" s="6">
        <f>'пр.5.1.ведом.21-22'!H425</f>
        <v>126</v>
      </c>
    </row>
    <row r="850" spans="1:7" ht="15.75" x14ac:dyDescent="0.25">
      <c r="A850" s="23" t="s">
        <v>999</v>
      </c>
      <c r="B850" s="24" t="s">
        <v>315</v>
      </c>
      <c r="C850" s="24" t="s">
        <v>166</v>
      </c>
      <c r="D850" s="24" t="s">
        <v>912</v>
      </c>
      <c r="E850" s="40"/>
      <c r="F850" s="4">
        <f t="shared" ref="F850:G850" si="58">F851</f>
        <v>10209</v>
      </c>
      <c r="G850" s="4">
        <f t="shared" si="58"/>
        <v>10209</v>
      </c>
    </row>
    <row r="851" spans="1:7" ht="47.25" x14ac:dyDescent="0.25">
      <c r="A851" s="23" t="s">
        <v>1002</v>
      </c>
      <c r="B851" s="24" t="s">
        <v>315</v>
      </c>
      <c r="C851" s="24" t="s">
        <v>166</v>
      </c>
      <c r="D851" s="24" t="s">
        <v>987</v>
      </c>
      <c r="E851" s="40"/>
      <c r="F851" s="4">
        <f>F852+F859</f>
        <v>10209</v>
      </c>
      <c r="G851" s="4">
        <f>G852+G859</f>
        <v>10209</v>
      </c>
    </row>
    <row r="852" spans="1:7" ht="31.5" x14ac:dyDescent="0.25">
      <c r="A852" s="25" t="s">
        <v>974</v>
      </c>
      <c r="B852" s="20" t="s">
        <v>315</v>
      </c>
      <c r="C852" s="20" t="s">
        <v>166</v>
      </c>
      <c r="D852" s="20" t="s">
        <v>988</v>
      </c>
      <c r="E852" s="40"/>
      <c r="F852" s="6">
        <f>F853+F855+F857</f>
        <v>9999</v>
      </c>
      <c r="G852" s="6">
        <f>G853+G855+G857</f>
        <v>9999</v>
      </c>
    </row>
    <row r="853" spans="1:7" ht="94.5" x14ac:dyDescent="0.25">
      <c r="A853" s="25" t="s">
        <v>143</v>
      </c>
      <c r="B853" s="20" t="s">
        <v>315</v>
      </c>
      <c r="C853" s="20" t="s">
        <v>166</v>
      </c>
      <c r="D853" s="20" t="s">
        <v>988</v>
      </c>
      <c r="E853" s="40" t="s">
        <v>144</v>
      </c>
      <c r="F853" s="6">
        <f>F854</f>
        <v>8048</v>
      </c>
      <c r="G853" s="6">
        <f>G854</f>
        <v>8048</v>
      </c>
    </row>
    <row r="854" spans="1:7" ht="31.5" x14ac:dyDescent="0.25">
      <c r="A854" s="25" t="s">
        <v>358</v>
      </c>
      <c r="B854" s="20" t="s">
        <v>315</v>
      </c>
      <c r="C854" s="20" t="s">
        <v>166</v>
      </c>
      <c r="D854" s="20" t="s">
        <v>988</v>
      </c>
      <c r="E854" s="40" t="s">
        <v>225</v>
      </c>
      <c r="F854" s="6">
        <f>'пр.5.1.ведом.21-22'!G430</f>
        <v>8048</v>
      </c>
      <c r="G854" s="6">
        <f>'пр.5.1.ведом.21-22'!H430</f>
        <v>8048</v>
      </c>
    </row>
    <row r="855" spans="1:7" ht="31.5" x14ac:dyDescent="0.25">
      <c r="A855" s="25" t="s">
        <v>147</v>
      </c>
      <c r="B855" s="20" t="s">
        <v>315</v>
      </c>
      <c r="C855" s="20" t="s">
        <v>166</v>
      </c>
      <c r="D855" s="20" t="s">
        <v>988</v>
      </c>
      <c r="E855" s="40" t="s">
        <v>148</v>
      </c>
      <c r="F855" s="6">
        <f>F856</f>
        <v>1937</v>
      </c>
      <c r="G855" s="6">
        <f>G856</f>
        <v>1937</v>
      </c>
    </row>
    <row r="856" spans="1:7" ht="47.25" x14ac:dyDescent="0.25">
      <c r="A856" s="25" t="s">
        <v>149</v>
      </c>
      <c r="B856" s="20" t="s">
        <v>315</v>
      </c>
      <c r="C856" s="20" t="s">
        <v>166</v>
      </c>
      <c r="D856" s="20" t="s">
        <v>988</v>
      </c>
      <c r="E856" s="40" t="s">
        <v>150</v>
      </c>
      <c r="F856" s="6">
        <f>'пр.5.1.ведом.21-22'!G432</f>
        <v>1937</v>
      </c>
      <c r="G856" s="6">
        <f>'пр.5.1.ведом.21-22'!H432</f>
        <v>1937</v>
      </c>
    </row>
    <row r="857" spans="1:7" ht="15.75" x14ac:dyDescent="0.25">
      <c r="A857" s="25" t="s">
        <v>151</v>
      </c>
      <c r="B857" s="20" t="s">
        <v>315</v>
      </c>
      <c r="C857" s="20" t="s">
        <v>166</v>
      </c>
      <c r="D857" s="20" t="s">
        <v>988</v>
      </c>
      <c r="E857" s="40" t="s">
        <v>161</v>
      </c>
      <c r="F857" s="6">
        <f>F858</f>
        <v>14</v>
      </c>
      <c r="G857" s="6">
        <f>G858</f>
        <v>14</v>
      </c>
    </row>
    <row r="858" spans="1:7" ht="31.5" x14ac:dyDescent="0.25">
      <c r="A858" s="25" t="s">
        <v>584</v>
      </c>
      <c r="B858" s="20" t="s">
        <v>315</v>
      </c>
      <c r="C858" s="20" t="s">
        <v>166</v>
      </c>
      <c r="D858" s="20" t="s">
        <v>988</v>
      </c>
      <c r="E858" s="40" t="s">
        <v>154</v>
      </c>
      <c r="F858" s="6">
        <f>'пр.5.1.ведом.21-22'!G434</f>
        <v>14</v>
      </c>
      <c r="G858" s="6">
        <f>'пр.5.1.ведом.21-22'!H434</f>
        <v>14</v>
      </c>
    </row>
    <row r="859" spans="1:7" ht="47.25" x14ac:dyDescent="0.25">
      <c r="A859" s="25" t="s">
        <v>885</v>
      </c>
      <c r="B859" s="20" t="s">
        <v>315</v>
      </c>
      <c r="C859" s="20" t="s">
        <v>166</v>
      </c>
      <c r="D859" s="20" t="s">
        <v>989</v>
      </c>
      <c r="E859" s="40"/>
      <c r="F859" s="6">
        <f>F860</f>
        <v>210</v>
      </c>
      <c r="G859" s="6">
        <f>G860</f>
        <v>210</v>
      </c>
    </row>
    <row r="860" spans="1:7" ht="94.5" x14ac:dyDescent="0.25">
      <c r="A860" s="25" t="s">
        <v>143</v>
      </c>
      <c r="B860" s="20" t="s">
        <v>315</v>
      </c>
      <c r="C860" s="20" t="s">
        <v>166</v>
      </c>
      <c r="D860" s="20" t="s">
        <v>989</v>
      </c>
      <c r="E860" s="40" t="s">
        <v>144</v>
      </c>
      <c r="F860" s="6">
        <f>F861</f>
        <v>210</v>
      </c>
      <c r="G860" s="6">
        <f>G861</f>
        <v>210</v>
      </c>
    </row>
    <row r="861" spans="1:7" ht="47.25" x14ac:dyDescent="0.25">
      <c r="A861" s="25" t="s">
        <v>145</v>
      </c>
      <c r="B861" s="20" t="s">
        <v>315</v>
      </c>
      <c r="C861" s="20" t="s">
        <v>166</v>
      </c>
      <c r="D861" s="20" t="s">
        <v>989</v>
      </c>
      <c r="E861" s="40" t="s">
        <v>225</v>
      </c>
      <c r="F861" s="6">
        <f>'пр.5.1.ведом.21-22'!G437</f>
        <v>210</v>
      </c>
      <c r="G861" s="6">
        <f>'пр.5.1.ведом.21-22'!H437</f>
        <v>210</v>
      </c>
    </row>
    <row r="862" spans="1:7" ht="50.25" customHeight="1" x14ac:dyDescent="0.25">
      <c r="A862" s="23" t="s">
        <v>1422</v>
      </c>
      <c r="B862" s="24" t="s">
        <v>315</v>
      </c>
      <c r="C862" s="24" t="s">
        <v>166</v>
      </c>
      <c r="D862" s="24" t="s">
        <v>360</v>
      </c>
      <c r="E862" s="40"/>
      <c r="F862" s="4">
        <f t="shared" ref="F862:G864" si="59">F863</f>
        <v>260</v>
      </c>
      <c r="G862" s="4">
        <f t="shared" si="59"/>
        <v>260</v>
      </c>
    </row>
    <row r="863" spans="1:7" ht="78.75" x14ac:dyDescent="0.25">
      <c r="A863" s="23" t="s">
        <v>380</v>
      </c>
      <c r="B863" s="24" t="s">
        <v>315</v>
      </c>
      <c r="C863" s="24" t="s">
        <v>166</v>
      </c>
      <c r="D863" s="24" t="s">
        <v>381</v>
      </c>
      <c r="E863" s="40"/>
      <c r="F863" s="4">
        <f t="shared" si="59"/>
        <v>260</v>
      </c>
      <c r="G863" s="4">
        <f t="shared" si="59"/>
        <v>260</v>
      </c>
    </row>
    <row r="864" spans="1:7" ht="31.5" x14ac:dyDescent="0.25">
      <c r="A864" s="23" t="s">
        <v>1147</v>
      </c>
      <c r="B864" s="24" t="s">
        <v>315</v>
      </c>
      <c r="C864" s="24" t="s">
        <v>166</v>
      </c>
      <c r="D864" s="24" t="s">
        <v>966</v>
      </c>
      <c r="E864" s="40"/>
      <c r="F864" s="4">
        <f t="shared" si="59"/>
        <v>260</v>
      </c>
      <c r="G864" s="4">
        <f t="shared" si="59"/>
        <v>260</v>
      </c>
    </row>
    <row r="865" spans="1:10" ht="31.5" x14ac:dyDescent="0.25">
      <c r="A865" s="25" t="s">
        <v>1146</v>
      </c>
      <c r="B865" s="20" t="s">
        <v>315</v>
      </c>
      <c r="C865" s="20" t="s">
        <v>166</v>
      </c>
      <c r="D865" s="20" t="s">
        <v>1223</v>
      </c>
      <c r="E865" s="40"/>
      <c r="F865" s="6">
        <f>F866</f>
        <v>260</v>
      </c>
      <c r="G865" s="6">
        <f>G866</f>
        <v>260</v>
      </c>
    </row>
    <row r="866" spans="1:10" ht="31.5" x14ac:dyDescent="0.25">
      <c r="A866" s="25" t="s">
        <v>147</v>
      </c>
      <c r="B866" s="20" t="s">
        <v>315</v>
      </c>
      <c r="C866" s="20" t="s">
        <v>166</v>
      </c>
      <c r="D866" s="20" t="s">
        <v>1223</v>
      </c>
      <c r="E866" s="40" t="s">
        <v>148</v>
      </c>
      <c r="F866" s="6">
        <f>F867</f>
        <v>260</v>
      </c>
      <c r="G866" s="6">
        <f>G867</f>
        <v>260</v>
      </c>
    </row>
    <row r="867" spans="1:10" ht="47.25" x14ac:dyDescent="0.25">
      <c r="A867" s="25" t="s">
        <v>149</v>
      </c>
      <c r="B867" s="20" t="s">
        <v>315</v>
      </c>
      <c r="C867" s="20" t="s">
        <v>166</v>
      </c>
      <c r="D867" s="20" t="s">
        <v>1223</v>
      </c>
      <c r="E867" s="40" t="s">
        <v>150</v>
      </c>
      <c r="F867" s="6">
        <f>'пр.5.1.ведом.21-22'!G443</f>
        <v>260</v>
      </c>
      <c r="G867" s="6">
        <f>'пр.5.1.ведом.21-22'!H443</f>
        <v>260</v>
      </c>
    </row>
    <row r="868" spans="1:10" ht="15.75" x14ac:dyDescent="0.25">
      <c r="A868" s="23" t="s">
        <v>259</v>
      </c>
      <c r="B868" s="24" t="s">
        <v>260</v>
      </c>
      <c r="C868" s="24"/>
      <c r="D868" s="24"/>
      <c r="E868" s="24"/>
      <c r="F868" s="4">
        <f>F869+F875+F911</f>
        <v>19998.400000000001</v>
      </c>
      <c r="G868" s="4">
        <f>G869+G875+G911</f>
        <v>15008.4</v>
      </c>
      <c r="H868">
        <v>14606.9</v>
      </c>
      <c r="I868">
        <v>14606.9</v>
      </c>
      <c r="J868" s="22">
        <f>H868-F868</f>
        <v>-5391.5000000000018</v>
      </c>
    </row>
    <row r="869" spans="1:10" ht="15.75" x14ac:dyDescent="0.25">
      <c r="A869" s="23" t="s">
        <v>261</v>
      </c>
      <c r="B869" s="24" t="s">
        <v>260</v>
      </c>
      <c r="C869" s="24" t="s">
        <v>134</v>
      </c>
      <c r="D869" s="24"/>
      <c r="E869" s="24"/>
      <c r="F869" s="4">
        <f t="shared" ref="F869:G871" si="60">F870</f>
        <v>9456</v>
      </c>
      <c r="G869" s="4">
        <f t="shared" si="60"/>
        <v>9456</v>
      </c>
    </row>
    <row r="870" spans="1:10" ht="15.75" x14ac:dyDescent="0.25">
      <c r="A870" s="23" t="s">
        <v>157</v>
      </c>
      <c r="B870" s="24" t="s">
        <v>260</v>
      </c>
      <c r="C870" s="24" t="s">
        <v>134</v>
      </c>
      <c r="D870" s="24" t="s">
        <v>912</v>
      </c>
      <c r="E870" s="24"/>
      <c r="F870" s="4">
        <f t="shared" si="60"/>
        <v>9456</v>
      </c>
      <c r="G870" s="4">
        <f t="shared" si="60"/>
        <v>9456</v>
      </c>
    </row>
    <row r="871" spans="1:10" ht="31.5" x14ac:dyDescent="0.25">
      <c r="A871" s="23" t="s">
        <v>916</v>
      </c>
      <c r="B871" s="24" t="s">
        <v>260</v>
      </c>
      <c r="C871" s="24" t="s">
        <v>134</v>
      </c>
      <c r="D871" s="24" t="s">
        <v>911</v>
      </c>
      <c r="E871" s="24"/>
      <c r="F871" s="4">
        <f t="shared" si="60"/>
        <v>9456</v>
      </c>
      <c r="G871" s="4">
        <f t="shared" si="60"/>
        <v>9456</v>
      </c>
    </row>
    <row r="872" spans="1:10" ht="31.5" x14ac:dyDescent="0.25">
      <c r="A872" s="25" t="s">
        <v>262</v>
      </c>
      <c r="B872" s="20" t="s">
        <v>260</v>
      </c>
      <c r="C872" s="20" t="s">
        <v>134</v>
      </c>
      <c r="D872" s="20" t="s">
        <v>928</v>
      </c>
      <c r="E872" s="20"/>
      <c r="F872" s="6">
        <f>F873</f>
        <v>9456</v>
      </c>
      <c r="G872" s="6">
        <f>G873</f>
        <v>9456</v>
      </c>
    </row>
    <row r="873" spans="1:10" ht="31.5" x14ac:dyDescent="0.25">
      <c r="A873" s="25" t="s">
        <v>264</v>
      </c>
      <c r="B873" s="20" t="s">
        <v>260</v>
      </c>
      <c r="C873" s="20" t="s">
        <v>134</v>
      </c>
      <c r="D873" s="20" t="s">
        <v>928</v>
      </c>
      <c r="E873" s="20" t="s">
        <v>265</v>
      </c>
      <c r="F873" s="6">
        <f>F874</f>
        <v>9456</v>
      </c>
      <c r="G873" s="6">
        <f>G874</f>
        <v>9456</v>
      </c>
    </row>
    <row r="874" spans="1:10" ht="47.25" x14ac:dyDescent="0.25">
      <c r="A874" s="25" t="s">
        <v>266</v>
      </c>
      <c r="B874" s="20" t="s">
        <v>260</v>
      </c>
      <c r="C874" s="20" t="s">
        <v>134</v>
      </c>
      <c r="D874" s="20" t="s">
        <v>928</v>
      </c>
      <c r="E874" s="20" t="s">
        <v>267</v>
      </c>
      <c r="F874" s="6">
        <f>'пр.5.1.ведом.21-22'!G196</f>
        <v>9456</v>
      </c>
      <c r="G874" s="6">
        <f>'пр.5.1.ведом.21-22'!H196</f>
        <v>9456</v>
      </c>
    </row>
    <row r="875" spans="1:10" ht="15.75" x14ac:dyDescent="0.25">
      <c r="A875" s="23" t="s">
        <v>268</v>
      </c>
      <c r="B875" s="24" t="s">
        <v>260</v>
      </c>
      <c r="C875" s="24" t="s">
        <v>231</v>
      </c>
      <c r="D875" s="24"/>
      <c r="E875" s="24"/>
      <c r="F875" s="4">
        <f>F876+F903</f>
        <v>6834</v>
      </c>
      <c r="G875" s="4">
        <f>G876+G903</f>
        <v>1844</v>
      </c>
    </row>
    <row r="876" spans="1:10" ht="63" x14ac:dyDescent="0.25">
      <c r="A876" s="23" t="s">
        <v>1422</v>
      </c>
      <c r="B876" s="24" t="s">
        <v>260</v>
      </c>
      <c r="C876" s="24" t="s">
        <v>231</v>
      </c>
      <c r="D876" s="24" t="s">
        <v>360</v>
      </c>
      <c r="E876" s="24"/>
      <c r="F876" s="4">
        <f>F877+F882+F887+F898</f>
        <v>1824</v>
      </c>
      <c r="G876" s="4">
        <f>G877+G882+G887+G898</f>
        <v>1834</v>
      </c>
    </row>
    <row r="877" spans="1:10" ht="31.5" x14ac:dyDescent="0.25">
      <c r="A877" s="23" t="s">
        <v>368</v>
      </c>
      <c r="B877" s="24" t="s">
        <v>260</v>
      </c>
      <c r="C877" s="24" t="s">
        <v>231</v>
      </c>
      <c r="D877" s="24" t="s">
        <v>369</v>
      </c>
      <c r="E877" s="24"/>
      <c r="F877" s="4">
        <f t="shared" ref="F877:G877" si="61">F878</f>
        <v>44</v>
      </c>
      <c r="G877" s="4">
        <f t="shared" si="61"/>
        <v>54</v>
      </c>
    </row>
    <row r="878" spans="1:10" ht="31.5" x14ac:dyDescent="0.25">
      <c r="A878" s="23" t="s">
        <v>976</v>
      </c>
      <c r="B878" s="24" t="s">
        <v>260</v>
      </c>
      <c r="C878" s="24" t="s">
        <v>231</v>
      </c>
      <c r="D878" s="24" t="s">
        <v>975</v>
      </c>
      <c r="E878" s="24"/>
      <c r="F878" s="4">
        <f t="shared" ref="F878:G880" si="62">F879</f>
        <v>44</v>
      </c>
      <c r="G878" s="4">
        <f t="shared" si="62"/>
        <v>54</v>
      </c>
    </row>
    <row r="879" spans="1:10" ht="31.5" x14ac:dyDescent="0.25">
      <c r="A879" s="25" t="s">
        <v>869</v>
      </c>
      <c r="B879" s="20" t="s">
        <v>260</v>
      </c>
      <c r="C879" s="20" t="s">
        <v>231</v>
      </c>
      <c r="D879" s="20" t="s">
        <v>977</v>
      </c>
      <c r="E879" s="20"/>
      <c r="F879" s="6">
        <f t="shared" si="62"/>
        <v>44</v>
      </c>
      <c r="G879" s="6">
        <f t="shared" si="62"/>
        <v>54</v>
      </c>
    </row>
    <row r="880" spans="1:10" ht="31.5" x14ac:dyDescent="0.25">
      <c r="A880" s="25" t="s">
        <v>264</v>
      </c>
      <c r="B880" s="20" t="s">
        <v>260</v>
      </c>
      <c r="C880" s="20" t="s">
        <v>231</v>
      </c>
      <c r="D880" s="20" t="s">
        <v>977</v>
      </c>
      <c r="E880" s="20" t="s">
        <v>265</v>
      </c>
      <c r="F880" s="6">
        <f t="shared" si="62"/>
        <v>44</v>
      </c>
      <c r="G880" s="6">
        <f t="shared" si="62"/>
        <v>54</v>
      </c>
    </row>
    <row r="881" spans="1:7" ht="47.25" x14ac:dyDescent="0.25">
      <c r="A881" s="25" t="s">
        <v>266</v>
      </c>
      <c r="B881" s="20" t="s">
        <v>260</v>
      </c>
      <c r="C881" s="20" t="s">
        <v>231</v>
      </c>
      <c r="D881" s="20" t="s">
        <v>977</v>
      </c>
      <c r="E881" s="20" t="s">
        <v>267</v>
      </c>
      <c r="F881" s="6">
        <f>'пр.5.1.ведом.21-22'!G451</f>
        <v>44</v>
      </c>
      <c r="G881" s="6">
        <f>'пр.5.1.ведом.21-22'!H451</f>
        <v>54</v>
      </c>
    </row>
    <row r="882" spans="1:7" ht="47.25" x14ac:dyDescent="0.25">
      <c r="A882" s="23" t="s">
        <v>371</v>
      </c>
      <c r="B882" s="19">
        <v>10</v>
      </c>
      <c r="C882" s="24" t="s">
        <v>231</v>
      </c>
      <c r="D882" s="24" t="s">
        <v>372</v>
      </c>
      <c r="E882" s="24"/>
      <c r="F882" s="4">
        <f t="shared" ref="F882:G882" si="63">F883</f>
        <v>420</v>
      </c>
      <c r="G882" s="4">
        <f t="shared" si="63"/>
        <v>420</v>
      </c>
    </row>
    <row r="883" spans="1:7" ht="47.25" x14ac:dyDescent="0.25">
      <c r="A883" s="23" t="s">
        <v>1148</v>
      </c>
      <c r="B883" s="19">
        <v>10</v>
      </c>
      <c r="C883" s="24" t="s">
        <v>231</v>
      </c>
      <c r="D883" s="24" t="s">
        <v>978</v>
      </c>
      <c r="E883" s="24"/>
      <c r="F883" s="4">
        <f t="shared" ref="F883:G885" si="64">F884</f>
        <v>420</v>
      </c>
      <c r="G883" s="4">
        <f t="shared" si="64"/>
        <v>420</v>
      </c>
    </row>
    <row r="884" spans="1:7" ht="31.5" x14ac:dyDescent="0.25">
      <c r="A884" s="25" t="s">
        <v>1203</v>
      </c>
      <c r="B884" s="20" t="s">
        <v>260</v>
      </c>
      <c r="C884" s="20" t="s">
        <v>231</v>
      </c>
      <c r="D884" s="20" t="s">
        <v>979</v>
      </c>
      <c r="E884" s="20"/>
      <c r="F884" s="6">
        <f t="shared" si="64"/>
        <v>420</v>
      </c>
      <c r="G884" s="6">
        <f t="shared" si="64"/>
        <v>420</v>
      </c>
    </row>
    <row r="885" spans="1:7" ht="31.5" x14ac:dyDescent="0.25">
      <c r="A885" s="25" t="s">
        <v>264</v>
      </c>
      <c r="B885" s="20" t="s">
        <v>260</v>
      </c>
      <c r="C885" s="20" t="s">
        <v>231</v>
      </c>
      <c r="D885" s="20" t="s">
        <v>979</v>
      </c>
      <c r="E885" s="20" t="s">
        <v>265</v>
      </c>
      <c r="F885" s="6">
        <f t="shared" si="64"/>
        <v>420</v>
      </c>
      <c r="G885" s="6">
        <f t="shared" si="64"/>
        <v>420</v>
      </c>
    </row>
    <row r="886" spans="1:7" ht="31.5" x14ac:dyDescent="0.25">
      <c r="A886" s="25" t="s">
        <v>364</v>
      </c>
      <c r="B886" s="20" t="s">
        <v>260</v>
      </c>
      <c r="C886" s="20" t="s">
        <v>231</v>
      </c>
      <c r="D886" s="20" t="s">
        <v>979</v>
      </c>
      <c r="E886" s="20" t="s">
        <v>365</v>
      </c>
      <c r="F886" s="6">
        <f>'пр.5.1.ведом.21-22'!G456</f>
        <v>420</v>
      </c>
      <c r="G886" s="6">
        <f>'пр.5.1.ведом.21-22'!H456</f>
        <v>420</v>
      </c>
    </row>
    <row r="887" spans="1:7" ht="31.5" x14ac:dyDescent="0.25">
      <c r="A887" s="23" t="s">
        <v>374</v>
      </c>
      <c r="B887" s="19">
        <v>10</v>
      </c>
      <c r="C887" s="24" t="s">
        <v>231</v>
      </c>
      <c r="D887" s="24" t="s">
        <v>375</v>
      </c>
      <c r="E887" s="24"/>
      <c r="F887" s="4">
        <f>F888+F892</f>
        <v>1110</v>
      </c>
      <c r="G887" s="4">
        <f>G888+G892</f>
        <v>1110</v>
      </c>
    </row>
    <row r="888" spans="1:7" ht="36" customHeight="1" x14ac:dyDescent="0.25">
      <c r="A888" s="23" t="s">
        <v>1205</v>
      </c>
      <c r="B888" s="24" t="s">
        <v>260</v>
      </c>
      <c r="C888" s="24" t="s">
        <v>231</v>
      </c>
      <c r="D888" s="24" t="s">
        <v>981</v>
      </c>
      <c r="E888" s="24"/>
      <c r="F888" s="4">
        <f t="shared" ref="F888:G890" si="65">F889</f>
        <v>630</v>
      </c>
      <c r="G888" s="4">
        <f t="shared" si="65"/>
        <v>630</v>
      </c>
    </row>
    <row r="889" spans="1:7" ht="63" x14ac:dyDescent="0.25">
      <c r="A889" s="99" t="s">
        <v>1206</v>
      </c>
      <c r="B889" s="20" t="s">
        <v>260</v>
      </c>
      <c r="C889" s="20" t="s">
        <v>231</v>
      </c>
      <c r="D889" s="20" t="s">
        <v>982</v>
      </c>
      <c r="E889" s="20"/>
      <c r="F889" s="6">
        <f t="shared" si="65"/>
        <v>630</v>
      </c>
      <c r="G889" s="6">
        <f t="shared" si="65"/>
        <v>630</v>
      </c>
    </row>
    <row r="890" spans="1:7" ht="31.5" x14ac:dyDescent="0.25">
      <c r="A890" s="25" t="s">
        <v>264</v>
      </c>
      <c r="B890" s="20" t="s">
        <v>260</v>
      </c>
      <c r="C890" s="20" t="s">
        <v>231</v>
      </c>
      <c r="D890" s="20" t="s">
        <v>982</v>
      </c>
      <c r="E890" s="20" t="s">
        <v>265</v>
      </c>
      <c r="F890" s="6">
        <f t="shared" si="65"/>
        <v>630</v>
      </c>
      <c r="G890" s="6">
        <f t="shared" si="65"/>
        <v>630</v>
      </c>
    </row>
    <row r="891" spans="1:7" ht="31.5" x14ac:dyDescent="0.25">
      <c r="A891" s="25" t="s">
        <v>364</v>
      </c>
      <c r="B891" s="20" t="s">
        <v>260</v>
      </c>
      <c r="C891" s="20" t="s">
        <v>231</v>
      </c>
      <c r="D891" s="20" t="s">
        <v>982</v>
      </c>
      <c r="E891" s="20" t="s">
        <v>365</v>
      </c>
      <c r="F891" s="6">
        <f>'пр.5.1.ведом.21-22'!G461</f>
        <v>630</v>
      </c>
      <c r="G891" s="6">
        <f>'пр.5.1.ведом.21-22'!H461</f>
        <v>630</v>
      </c>
    </row>
    <row r="892" spans="1:7" ht="31.5" x14ac:dyDescent="0.25">
      <c r="A892" s="23" t="s">
        <v>980</v>
      </c>
      <c r="B892" s="19">
        <v>10</v>
      </c>
      <c r="C892" s="24" t="s">
        <v>231</v>
      </c>
      <c r="D892" s="24" t="s">
        <v>983</v>
      </c>
      <c r="E892" s="24"/>
      <c r="F892" s="4">
        <f>F893</f>
        <v>480</v>
      </c>
      <c r="G892" s="4">
        <f>G893</f>
        <v>480</v>
      </c>
    </row>
    <row r="893" spans="1:7" ht="31.5" x14ac:dyDescent="0.25">
      <c r="A893" s="25" t="s">
        <v>1149</v>
      </c>
      <c r="B893" s="20" t="s">
        <v>260</v>
      </c>
      <c r="C893" s="20" t="s">
        <v>231</v>
      </c>
      <c r="D893" s="20" t="s">
        <v>984</v>
      </c>
      <c r="E893" s="20"/>
      <c r="F893" s="6">
        <f>F894+F896</f>
        <v>480</v>
      </c>
      <c r="G893" s="6">
        <f>G894+G896</f>
        <v>480</v>
      </c>
    </row>
    <row r="894" spans="1:7" ht="31.5" x14ac:dyDescent="0.25">
      <c r="A894" s="25" t="s">
        <v>147</v>
      </c>
      <c r="B894" s="20" t="s">
        <v>260</v>
      </c>
      <c r="C894" s="20" t="s">
        <v>231</v>
      </c>
      <c r="D894" s="20" t="s">
        <v>984</v>
      </c>
      <c r="E894" s="20" t="s">
        <v>148</v>
      </c>
      <c r="F894" s="6">
        <f>F895</f>
        <v>270</v>
      </c>
      <c r="G894" s="6">
        <f>G895</f>
        <v>270</v>
      </c>
    </row>
    <row r="895" spans="1:7" ht="47.25" x14ac:dyDescent="0.25">
      <c r="A895" s="25" t="s">
        <v>149</v>
      </c>
      <c r="B895" s="20" t="s">
        <v>260</v>
      </c>
      <c r="C895" s="20" t="s">
        <v>231</v>
      </c>
      <c r="D895" s="20" t="s">
        <v>984</v>
      </c>
      <c r="E895" s="20" t="s">
        <v>150</v>
      </c>
      <c r="F895" s="6">
        <f>'пр.5.1.ведом.21-22'!G465</f>
        <v>270</v>
      </c>
      <c r="G895" s="6">
        <f>'пр.5.1.ведом.21-22'!H465</f>
        <v>270</v>
      </c>
    </row>
    <row r="896" spans="1:7" s="213" customFormat="1" ht="31.5" x14ac:dyDescent="0.25">
      <c r="A896" s="25" t="s">
        <v>264</v>
      </c>
      <c r="B896" s="20" t="s">
        <v>260</v>
      </c>
      <c r="C896" s="20" t="s">
        <v>231</v>
      </c>
      <c r="D896" s="20" t="s">
        <v>984</v>
      </c>
      <c r="E896" s="20" t="s">
        <v>265</v>
      </c>
      <c r="F896" s="6">
        <f>F897</f>
        <v>210</v>
      </c>
      <c r="G896" s="6">
        <f>G897</f>
        <v>210</v>
      </c>
    </row>
    <row r="897" spans="1:7" s="213" customFormat="1" ht="31.5" x14ac:dyDescent="0.25">
      <c r="A897" s="25" t="s">
        <v>364</v>
      </c>
      <c r="B897" s="20" t="s">
        <v>260</v>
      </c>
      <c r="C897" s="20" t="s">
        <v>231</v>
      </c>
      <c r="D897" s="20" t="s">
        <v>984</v>
      </c>
      <c r="E897" s="20" t="s">
        <v>365</v>
      </c>
      <c r="F897" s="6">
        <f>'пр.5.1.ведом.21-22'!G467</f>
        <v>210</v>
      </c>
      <c r="G897" s="6">
        <f>'пр.5.1.ведом.21-22'!H467</f>
        <v>210</v>
      </c>
    </row>
    <row r="898" spans="1:7" ht="47.25" x14ac:dyDescent="0.25">
      <c r="A898" s="23" t="s">
        <v>377</v>
      </c>
      <c r="B898" s="24" t="s">
        <v>260</v>
      </c>
      <c r="C898" s="24" t="s">
        <v>231</v>
      </c>
      <c r="D898" s="24" t="s">
        <v>378</v>
      </c>
      <c r="E898" s="24"/>
      <c r="F898" s="4">
        <f t="shared" ref="F898:G899" si="66">F899</f>
        <v>250</v>
      </c>
      <c r="G898" s="4">
        <f t="shared" si="66"/>
        <v>250</v>
      </c>
    </row>
    <row r="899" spans="1:7" ht="47.25" x14ac:dyDescent="0.25">
      <c r="A899" s="23" t="s">
        <v>1208</v>
      </c>
      <c r="B899" s="24" t="s">
        <v>260</v>
      </c>
      <c r="C899" s="24" t="s">
        <v>231</v>
      </c>
      <c r="D899" s="24" t="s">
        <v>986</v>
      </c>
      <c r="E899" s="24"/>
      <c r="F899" s="4">
        <f t="shared" si="66"/>
        <v>250</v>
      </c>
      <c r="G899" s="4">
        <f t="shared" si="66"/>
        <v>250</v>
      </c>
    </row>
    <row r="900" spans="1:7" ht="63" x14ac:dyDescent="0.25">
      <c r="A900" s="25" t="s">
        <v>1207</v>
      </c>
      <c r="B900" s="20" t="s">
        <v>260</v>
      </c>
      <c r="C900" s="20" t="s">
        <v>231</v>
      </c>
      <c r="D900" s="20" t="s">
        <v>985</v>
      </c>
      <c r="E900" s="20"/>
      <c r="F900" s="6">
        <f>F901</f>
        <v>250</v>
      </c>
      <c r="G900" s="6">
        <f>G901</f>
        <v>250</v>
      </c>
    </row>
    <row r="901" spans="1:7" ht="31.5" x14ac:dyDescent="0.25">
      <c r="A901" s="25" t="s">
        <v>264</v>
      </c>
      <c r="B901" s="20" t="s">
        <v>260</v>
      </c>
      <c r="C901" s="20" t="s">
        <v>231</v>
      </c>
      <c r="D901" s="20" t="s">
        <v>985</v>
      </c>
      <c r="E901" s="20" t="s">
        <v>265</v>
      </c>
      <c r="F901" s="6">
        <f>F902</f>
        <v>250</v>
      </c>
      <c r="G901" s="6">
        <f>G902</f>
        <v>250</v>
      </c>
    </row>
    <row r="902" spans="1:7" ht="31.5" x14ac:dyDescent="0.25">
      <c r="A902" s="25" t="s">
        <v>364</v>
      </c>
      <c r="B902" s="20" t="s">
        <v>260</v>
      </c>
      <c r="C902" s="20" t="s">
        <v>231</v>
      </c>
      <c r="D902" s="20" t="s">
        <v>985</v>
      </c>
      <c r="E902" s="20" t="s">
        <v>365</v>
      </c>
      <c r="F902" s="6">
        <f>'пр.5.1.ведом.21-22'!G472</f>
        <v>250</v>
      </c>
      <c r="G902" s="6">
        <f>'пр.5.1.ведом.21-22'!H472</f>
        <v>250</v>
      </c>
    </row>
    <row r="903" spans="1:7" ht="78.75" x14ac:dyDescent="0.25">
      <c r="A903" s="23" t="s">
        <v>1446</v>
      </c>
      <c r="B903" s="24" t="s">
        <v>260</v>
      </c>
      <c r="C903" s="24" t="s">
        <v>231</v>
      </c>
      <c r="D903" s="24" t="s">
        <v>270</v>
      </c>
      <c r="E903" s="24"/>
      <c r="F903" s="4">
        <f t="shared" ref="F903:G903" si="67">F904</f>
        <v>5010</v>
      </c>
      <c r="G903" s="4">
        <f t="shared" si="67"/>
        <v>10</v>
      </c>
    </row>
    <row r="904" spans="1:7" ht="63" x14ac:dyDescent="0.25">
      <c r="A904" s="23" t="s">
        <v>931</v>
      </c>
      <c r="B904" s="24" t="s">
        <v>260</v>
      </c>
      <c r="C904" s="24" t="s">
        <v>231</v>
      </c>
      <c r="D904" s="24" t="s">
        <v>929</v>
      </c>
      <c r="E904" s="24"/>
      <c r="F904" s="4">
        <f>F905+F908</f>
        <v>5010</v>
      </c>
      <c r="G904" s="4">
        <f>G905+G908</f>
        <v>10</v>
      </c>
    </row>
    <row r="905" spans="1:7" ht="31.5" x14ac:dyDescent="0.25">
      <c r="A905" s="25" t="s">
        <v>930</v>
      </c>
      <c r="B905" s="20" t="s">
        <v>260</v>
      </c>
      <c r="C905" s="20" t="s">
        <v>231</v>
      </c>
      <c r="D905" s="20" t="s">
        <v>1469</v>
      </c>
      <c r="E905" s="20"/>
      <c r="F905" s="6">
        <f>F906</f>
        <v>10</v>
      </c>
      <c r="G905" s="6">
        <f>G906</f>
        <v>10</v>
      </c>
    </row>
    <row r="906" spans="1:7" ht="31.5" x14ac:dyDescent="0.25">
      <c r="A906" s="25" t="s">
        <v>264</v>
      </c>
      <c r="B906" s="20" t="s">
        <v>260</v>
      </c>
      <c r="C906" s="20" t="s">
        <v>231</v>
      </c>
      <c r="D906" s="20" t="s">
        <v>1469</v>
      </c>
      <c r="E906" s="20" t="s">
        <v>265</v>
      </c>
      <c r="F906" s="6">
        <f>F907</f>
        <v>10</v>
      </c>
      <c r="G906" s="6">
        <f>G907</f>
        <v>10</v>
      </c>
    </row>
    <row r="907" spans="1:7" ht="47.25" x14ac:dyDescent="0.25">
      <c r="A907" s="25" t="s">
        <v>266</v>
      </c>
      <c r="B907" s="20" t="s">
        <v>260</v>
      </c>
      <c r="C907" s="20" t="s">
        <v>231</v>
      </c>
      <c r="D907" s="20" t="s">
        <v>1469</v>
      </c>
      <c r="E907" s="20" t="s">
        <v>267</v>
      </c>
      <c r="F907" s="6">
        <f>'пр.5.1.ведом.21-22'!G202</f>
        <v>10</v>
      </c>
      <c r="G907" s="6">
        <f>'пр.5.1.ведом.21-22'!H202</f>
        <v>10</v>
      </c>
    </row>
    <row r="908" spans="1:7" s="213" customFormat="1" ht="78.75" x14ac:dyDescent="0.25">
      <c r="A908" s="25" t="s">
        <v>1417</v>
      </c>
      <c r="B908" s="20" t="s">
        <v>260</v>
      </c>
      <c r="C908" s="20" t="s">
        <v>231</v>
      </c>
      <c r="D908" s="20" t="s">
        <v>1416</v>
      </c>
      <c r="E908" s="20"/>
      <c r="F908" s="26">
        <f>F909</f>
        <v>5000</v>
      </c>
      <c r="G908" s="26">
        <f>G909</f>
        <v>0</v>
      </c>
    </row>
    <row r="909" spans="1:7" s="213" customFormat="1" ht="31.5" x14ac:dyDescent="0.25">
      <c r="A909" s="25" t="s">
        <v>264</v>
      </c>
      <c r="B909" s="20" t="s">
        <v>260</v>
      </c>
      <c r="C909" s="20" t="s">
        <v>231</v>
      </c>
      <c r="D909" s="20" t="s">
        <v>1416</v>
      </c>
      <c r="E909" s="20" t="s">
        <v>265</v>
      </c>
      <c r="F909" s="26">
        <f>F910</f>
        <v>5000</v>
      </c>
      <c r="G909" s="26">
        <f>G910</f>
        <v>0</v>
      </c>
    </row>
    <row r="910" spans="1:7" s="213" customFormat="1" ht="47.25" x14ac:dyDescent="0.25">
      <c r="A910" s="25" t="s">
        <v>266</v>
      </c>
      <c r="B910" s="20" t="s">
        <v>260</v>
      </c>
      <c r="C910" s="20" t="s">
        <v>231</v>
      </c>
      <c r="D910" s="20" t="s">
        <v>1416</v>
      </c>
      <c r="E910" s="20" t="s">
        <v>267</v>
      </c>
      <c r="F910" s="26">
        <f>'пр.5.1.ведом.21-22'!G205</f>
        <v>5000</v>
      </c>
      <c r="G910" s="26">
        <f>'пр.5.1.ведом.21-22'!H205</f>
        <v>0</v>
      </c>
    </row>
    <row r="911" spans="1:7" ht="31.5" x14ac:dyDescent="0.25">
      <c r="A911" s="23" t="s">
        <v>274</v>
      </c>
      <c r="B911" s="24" t="s">
        <v>260</v>
      </c>
      <c r="C911" s="24" t="s">
        <v>136</v>
      </c>
      <c r="D911" s="24"/>
      <c r="E911" s="24"/>
      <c r="F911" s="4">
        <f>F912+F919</f>
        <v>3708.4</v>
      </c>
      <c r="G911" s="4">
        <f>G912+G919</f>
        <v>3708.4</v>
      </c>
    </row>
    <row r="912" spans="1:7" ht="31.5" x14ac:dyDescent="0.25">
      <c r="A912" s="23" t="s">
        <v>990</v>
      </c>
      <c r="B912" s="24" t="s">
        <v>260</v>
      </c>
      <c r="C912" s="24" t="s">
        <v>136</v>
      </c>
      <c r="D912" s="24" t="s">
        <v>904</v>
      </c>
      <c r="E912" s="24"/>
      <c r="F912" s="4">
        <f>F913</f>
        <v>3621.4</v>
      </c>
      <c r="G912" s="4">
        <f>G913</f>
        <v>3621.4</v>
      </c>
    </row>
    <row r="913" spans="1:7" ht="47.25" x14ac:dyDescent="0.25">
      <c r="A913" s="23" t="s">
        <v>932</v>
      </c>
      <c r="B913" s="24" t="s">
        <v>260</v>
      </c>
      <c r="C913" s="24" t="s">
        <v>136</v>
      </c>
      <c r="D913" s="24" t="s">
        <v>909</v>
      </c>
      <c r="E913" s="24"/>
      <c r="F913" s="4">
        <f>F914</f>
        <v>3621.4</v>
      </c>
      <c r="G913" s="4">
        <f>G914</f>
        <v>3621.4</v>
      </c>
    </row>
    <row r="914" spans="1:7" ht="63" x14ac:dyDescent="0.25">
      <c r="A914" s="31" t="s">
        <v>275</v>
      </c>
      <c r="B914" s="20" t="s">
        <v>260</v>
      </c>
      <c r="C914" s="20" t="s">
        <v>136</v>
      </c>
      <c r="D914" s="20" t="s">
        <v>998</v>
      </c>
      <c r="E914" s="20"/>
      <c r="F914" s="6">
        <f>F915+F917</f>
        <v>3621.4</v>
      </c>
      <c r="G914" s="6">
        <f>G915+G917</f>
        <v>3621.4</v>
      </c>
    </row>
    <row r="915" spans="1:7" ht="94.5" x14ac:dyDescent="0.25">
      <c r="A915" s="25" t="s">
        <v>143</v>
      </c>
      <c r="B915" s="20" t="s">
        <v>260</v>
      </c>
      <c r="C915" s="20" t="s">
        <v>136</v>
      </c>
      <c r="D915" s="20" t="s">
        <v>998</v>
      </c>
      <c r="E915" s="20" t="s">
        <v>144</v>
      </c>
      <c r="F915" s="6">
        <f>F916</f>
        <v>3353.3</v>
      </c>
      <c r="G915" s="6">
        <f>G916</f>
        <v>3353.3</v>
      </c>
    </row>
    <row r="916" spans="1:7" ht="47.25" x14ac:dyDescent="0.25">
      <c r="A916" s="25" t="s">
        <v>145</v>
      </c>
      <c r="B916" s="20" t="s">
        <v>260</v>
      </c>
      <c r="C916" s="20" t="s">
        <v>136</v>
      </c>
      <c r="D916" s="20" t="s">
        <v>998</v>
      </c>
      <c r="E916" s="20" t="s">
        <v>146</v>
      </c>
      <c r="F916" s="6">
        <f>'пр.5.1.ведом.21-22'!G211</f>
        <v>3353.3</v>
      </c>
      <c r="G916" s="6">
        <f>'пр.5.1.ведом.21-22'!H211</f>
        <v>3353.3</v>
      </c>
    </row>
    <row r="917" spans="1:7" ht="31.5" x14ac:dyDescent="0.25">
      <c r="A917" s="25" t="s">
        <v>147</v>
      </c>
      <c r="B917" s="20" t="s">
        <v>260</v>
      </c>
      <c r="C917" s="20" t="s">
        <v>136</v>
      </c>
      <c r="D917" s="20" t="s">
        <v>998</v>
      </c>
      <c r="E917" s="20" t="s">
        <v>148</v>
      </c>
      <c r="F917" s="6">
        <f>F918</f>
        <v>268.10000000000002</v>
      </c>
      <c r="G917" s="6">
        <f>G918</f>
        <v>268.10000000000002</v>
      </c>
    </row>
    <row r="918" spans="1:7" ht="47.25" x14ac:dyDescent="0.25">
      <c r="A918" s="25" t="s">
        <v>149</v>
      </c>
      <c r="B918" s="20" t="s">
        <v>260</v>
      </c>
      <c r="C918" s="20" t="s">
        <v>136</v>
      </c>
      <c r="D918" s="20" t="s">
        <v>998</v>
      </c>
      <c r="E918" s="20" t="s">
        <v>150</v>
      </c>
      <c r="F918" s="6">
        <f>'пр.5.1.ведом.21-22'!G213</f>
        <v>268.10000000000002</v>
      </c>
      <c r="G918" s="6">
        <f>'пр.5.1.ведом.21-22'!H213</f>
        <v>268.10000000000002</v>
      </c>
    </row>
    <row r="919" spans="1:7" ht="15.75" x14ac:dyDescent="0.25">
      <c r="A919" s="23" t="s">
        <v>157</v>
      </c>
      <c r="B919" s="24" t="s">
        <v>260</v>
      </c>
      <c r="C919" s="24" t="s">
        <v>136</v>
      </c>
      <c r="D919" s="24" t="s">
        <v>912</v>
      </c>
      <c r="E919" s="24"/>
      <c r="F919" s="4">
        <f t="shared" ref="F919:G922" si="68">F920</f>
        <v>87</v>
      </c>
      <c r="G919" s="4">
        <f t="shared" si="68"/>
        <v>87</v>
      </c>
    </row>
    <row r="920" spans="1:7" ht="31.5" x14ac:dyDescent="0.25">
      <c r="A920" s="23" t="s">
        <v>916</v>
      </c>
      <c r="B920" s="24" t="s">
        <v>260</v>
      </c>
      <c r="C920" s="24" t="s">
        <v>136</v>
      </c>
      <c r="D920" s="24" t="s">
        <v>911</v>
      </c>
      <c r="E920" s="24"/>
      <c r="F920" s="4">
        <f t="shared" si="68"/>
        <v>87</v>
      </c>
      <c r="G920" s="4">
        <f t="shared" si="68"/>
        <v>87</v>
      </c>
    </row>
    <row r="921" spans="1:7" ht="15.75" x14ac:dyDescent="0.25">
      <c r="A921" s="25" t="s">
        <v>588</v>
      </c>
      <c r="B921" s="20" t="s">
        <v>260</v>
      </c>
      <c r="C921" s="20" t="s">
        <v>136</v>
      </c>
      <c r="D921" s="20" t="s">
        <v>1133</v>
      </c>
      <c r="E921" s="20"/>
      <c r="F921" s="6">
        <f t="shared" si="68"/>
        <v>87</v>
      </c>
      <c r="G921" s="6">
        <f t="shared" si="68"/>
        <v>87</v>
      </c>
    </row>
    <row r="922" spans="1:7" ht="31.5" x14ac:dyDescent="0.25">
      <c r="A922" s="25" t="s">
        <v>147</v>
      </c>
      <c r="B922" s="20" t="s">
        <v>260</v>
      </c>
      <c r="C922" s="20" t="s">
        <v>136</v>
      </c>
      <c r="D922" s="20" t="s">
        <v>1133</v>
      </c>
      <c r="E922" s="20" t="s">
        <v>148</v>
      </c>
      <c r="F922" s="6">
        <f t="shared" si="68"/>
        <v>87</v>
      </c>
      <c r="G922" s="6">
        <f t="shared" si="68"/>
        <v>87</v>
      </c>
    </row>
    <row r="923" spans="1:7" ht="47.25" x14ac:dyDescent="0.25">
      <c r="A923" s="25" t="s">
        <v>149</v>
      </c>
      <c r="B923" s="20" t="s">
        <v>260</v>
      </c>
      <c r="C923" s="20" t="s">
        <v>136</v>
      </c>
      <c r="D923" s="20" t="s">
        <v>1133</v>
      </c>
      <c r="E923" s="20" t="s">
        <v>150</v>
      </c>
      <c r="F923" s="6">
        <f>'пр.5.1.ведом.21-22'!G1061</f>
        <v>87</v>
      </c>
      <c r="G923" s="6">
        <f>'пр.5.1.ведом.21-22'!H1061</f>
        <v>87</v>
      </c>
    </row>
    <row r="924" spans="1:7" ht="15.75" x14ac:dyDescent="0.25">
      <c r="A924" s="41" t="s">
        <v>506</v>
      </c>
      <c r="B924" s="7" t="s">
        <v>507</v>
      </c>
      <c r="C924" s="40"/>
      <c r="D924" s="40"/>
      <c r="E924" s="40"/>
      <c r="F924" s="4">
        <f>F925+F964</f>
        <v>58735.6</v>
      </c>
      <c r="G924" s="4">
        <f>G925+G964</f>
        <v>58735.6</v>
      </c>
    </row>
    <row r="925" spans="1:7" ht="15.75" x14ac:dyDescent="0.25">
      <c r="A925" s="23" t="s">
        <v>508</v>
      </c>
      <c r="B925" s="24" t="s">
        <v>507</v>
      </c>
      <c r="C925" s="24" t="s">
        <v>134</v>
      </c>
      <c r="D925" s="20"/>
      <c r="E925" s="20"/>
      <c r="F925" s="4">
        <f>F926+F959</f>
        <v>46979.6</v>
      </c>
      <c r="G925" s="4">
        <f>G926+G959</f>
        <v>46979.6</v>
      </c>
    </row>
    <row r="926" spans="1:7" ht="63" x14ac:dyDescent="0.25">
      <c r="A926" s="23" t="s">
        <v>1432</v>
      </c>
      <c r="B926" s="24" t="s">
        <v>507</v>
      </c>
      <c r="C926" s="24" t="s">
        <v>134</v>
      </c>
      <c r="D926" s="24" t="s">
        <v>498</v>
      </c>
      <c r="E926" s="24"/>
      <c r="F926" s="4">
        <f t="shared" ref="F926:G926" si="69">F927</f>
        <v>46439.5</v>
      </c>
      <c r="G926" s="4">
        <f t="shared" si="69"/>
        <v>46439.5</v>
      </c>
    </row>
    <row r="927" spans="1:7" ht="47.25" x14ac:dyDescent="0.25">
      <c r="A927" s="23" t="s">
        <v>1447</v>
      </c>
      <c r="B927" s="24" t="s">
        <v>507</v>
      </c>
      <c r="C927" s="24" t="s">
        <v>134</v>
      </c>
      <c r="D927" s="24" t="s">
        <v>510</v>
      </c>
      <c r="E927" s="24"/>
      <c r="F927" s="4">
        <f>F928+F938+F948+F955</f>
        <v>46439.5</v>
      </c>
      <c r="G927" s="4">
        <f>G928+G938+G948+G955</f>
        <v>46439.5</v>
      </c>
    </row>
    <row r="928" spans="1:7" ht="47.25" x14ac:dyDescent="0.25">
      <c r="A928" s="23" t="s">
        <v>1028</v>
      </c>
      <c r="B928" s="24" t="s">
        <v>507</v>
      </c>
      <c r="C928" s="24" t="s">
        <v>134</v>
      </c>
      <c r="D928" s="24" t="s">
        <v>1061</v>
      </c>
      <c r="E928" s="24"/>
      <c r="F928" s="4">
        <f>F929+F932+F935</f>
        <v>44582</v>
      </c>
      <c r="G928" s="4">
        <f>G929+G932+G935</f>
        <v>44582</v>
      </c>
    </row>
    <row r="929" spans="1:7" ht="63" x14ac:dyDescent="0.25">
      <c r="A929" s="25" t="s">
        <v>837</v>
      </c>
      <c r="B929" s="20" t="s">
        <v>507</v>
      </c>
      <c r="C929" s="20" t="s">
        <v>134</v>
      </c>
      <c r="D929" s="20" t="s">
        <v>1071</v>
      </c>
      <c r="E929" s="20"/>
      <c r="F929" s="6">
        <f>F930</f>
        <v>13108</v>
      </c>
      <c r="G929" s="6">
        <f>G930</f>
        <v>13108</v>
      </c>
    </row>
    <row r="930" spans="1:7" ht="47.25" x14ac:dyDescent="0.25">
      <c r="A930" s="25" t="s">
        <v>288</v>
      </c>
      <c r="B930" s="20" t="s">
        <v>507</v>
      </c>
      <c r="C930" s="20" t="s">
        <v>134</v>
      </c>
      <c r="D930" s="20" t="s">
        <v>1071</v>
      </c>
      <c r="E930" s="20" t="s">
        <v>289</v>
      </c>
      <c r="F930" s="6">
        <f>F931</f>
        <v>13108</v>
      </c>
      <c r="G930" s="6">
        <f>G931</f>
        <v>13108</v>
      </c>
    </row>
    <row r="931" spans="1:7" ht="15.75" x14ac:dyDescent="0.25">
      <c r="A931" s="25" t="s">
        <v>290</v>
      </c>
      <c r="B931" s="20" t="s">
        <v>507</v>
      </c>
      <c r="C931" s="20" t="s">
        <v>134</v>
      </c>
      <c r="D931" s="20" t="s">
        <v>1071</v>
      </c>
      <c r="E931" s="20" t="s">
        <v>291</v>
      </c>
      <c r="F931" s="6">
        <f>'пр.5.1.ведом.21-22'!G788</f>
        <v>13108</v>
      </c>
      <c r="G931" s="6">
        <f>'пр.5.1.ведом.21-22'!H788</f>
        <v>13108</v>
      </c>
    </row>
    <row r="932" spans="1:7" ht="47.25" x14ac:dyDescent="0.25">
      <c r="A932" s="25" t="s">
        <v>858</v>
      </c>
      <c r="B932" s="20" t="s">
        <v>507</v>
      </c>
      <c r="C932" s="20" t="s">
        <v>134</v>
      </c>
      <c r="D932" s="20" t="s">
        <v>1072</v>
      </c>
      <c r="E932" s="20"/>
      <c r="F932" s="6">
        <f>F933</f>
        <v>12897</v>
      </c>
      <c r="G932" s="6">
        <f>G933</f>
        <v>12897</v>
      </c>
    </row>
    <row r="933" spans="1:7" ht="47.25" x14ac:dyDescent="0.25">
      <c r="A933" s="25" t="s">
        <v>288</v>
      </c>
      <c r="B933" s="20" t="s">
        <v>507</v>
      </c>
      <c r="C933" s="20" t="s">
        <v>134</v>
      </c>
      <c r="D933" s="20" t="s">
        <v>1072</v>
      </c>
      <c r="E933" s="20" t="s">
        <v>289</v>
      </c>
      <c r="F933" s="6">
        <f>F934</f>
        <v>12897</v>
      </c>
      <c r="G933" s="6">
        <f>G934</f>
        <v>12897</v>
      </c>
    </row>
    <row r="934" spans="1:7" ht="15.75" x14ac:dyDescent="0.25">
      <c r="A934" s="25" t="s">
        <v>290</v>
      </c>
      <c r="B934" s="20" t="s">
        <v>507</v>
      </c>
      <c r="C934" s="20" t="s">
        <v>134</v>
      </c>
      <c r="D934" s="20" t="s">
        <v>1072</v>
      </c>
      <c r="E934" s="20" t="s">
        <v>291</v>
      </c>
      <c r="F934" s="6">
        <f>'пр.5.1.ведом.21-22'!G791</f>
        <v>12897</v>
      </c>
      <c r="G934" s="6">
        <f>'пр.5.1.ведом.21-22'!H791</f>
        <v>12897</v>
      </c>
    </row>
    <row r="935" spans="1:7" ht="63" x14ac:dyDescent="0.25">
      <c r="A935" s="25" t="s">
        <v>859</v>
      </c>
      <c r="B935" s="20" t="s">
        <v>507</v>
      </c>
      <c r="C935" s="20" t="s">
        <v>134</v>
      </c>
      <c r="D935" s="20" t="s">
        <v>1073</v>
      </c>
      <c r="E935" s="20"/>
      <c r="F935" s="6">
        <f>F936</f>
        <v>18577</v>
      </c>
      <c r="G935" s="6">
        <f>G936</f>
        <v>18577</v>
      </c>
    </row>
    <row r="936" spans="1:7" ht="47.25" x14ac:dyDescent="0.25">
      <c r="A936" s="25" t="s">
        <v>288</v>
      </c>
      <c r="B936" s="20" t="s">
        <v>507</v>
      </c>
      <c r="C936" s="20" t="s">
        <v>134</v>
      </c>
      <c r="D936" s="20" t="s">
        <v>1073</v>
      </c>
      <c r="E936" s="20" t="s">
        <v>289</v>
      </c>
      <c r="F936" s="6">
        <f>F937</f>
        <v>18577</v>
      </c>
      <c r="G936" s="6">
        <f>G937</f>
        <v>18577</v>
      </c>
    </row>
    <row r="937" spans="1:7" ht="15.75" x14ac:dyDescent="0.25">
      <c r="A937" s="25" t="s">
        <v>290</v>
      </c>
      <c r="B937" s="20" t="s">
        <v>507</v>
      </c>
      <c r="C937" s="20" t="s">
        <v>134</v>
      </c>
      <c r="D937" s="20" t="s">
        <v>1073</v>
      </c>
      <c r="E937" s="20" t="s">
        <v>291</v>
      </c>
      <c r="F937" s="6">
        <f>'пр.5.1.ведом.21-22'!G794</f>
        <v>18577</v>
      </c>
      <c r="G937" s="6">
        <f>'пр.5.1.ведом.21-22'!H794</f>
        <v>18577</v>
      </c>
    </row>
    <row r="938" spans="1:7" ht="31.5" x14ac:dyDescent="0.25">
      <c r="A938" s="23" t="s">
        <v>1074</v>
      </c>
      <c r="B938" s="24" t="s">
        <v>507</v>
      </c>
      <c r="C938" s="24" t="s">
        <v>134</v>
      </c>
      <c r="D938" s="24" t="s">
        <v>1075</v>
      </c>
      <c r="E938" s="24"/>
      <c r="F938" s="4">
        <f>F939+F942+F945</f>
        <v>288</v>
      </c>
      <c r="G938" s="4">
        <f>G939+G942+G945</f>
        <v>288</v>
      </c>
    </row>
    <row r="939" spans="1:7" ht="47.25" hidden="1" x14ac:dyDescent="0.25">
      <c r="A939" s="25" t="s">
        <v>294</v>
      </c>
      <c r="B939" s="20" t="s">
        <v>507</v>
      </c>
      <c r="C939" s="20" t="s">
        <v>134</v>
      </c>
      <c r="D939" s="20" t="s">
        <v>1079</v>
      </c>
      <c r="E939" s="20"/>
      <c r="F939" s="6">
        <f>'Пр.3 Рд,пр, ЦС,ВР 20'!F1009</f>
        <v>252</v>
      </c>
      <c r="G939" s="6">
        <f>'Пр.3 Рд,пр, ЦС,ВР 20'!G1009</f>
        <v>252</v>
      </c>
    </row>
    <row r="940" spans="1:7" ht="47.25" hidden="1" x14ac:dyDescent="0.25">
      <c r="A940" s="25" t="s">
        <v>288</v>
      </c>
      <c r="B940" s="20" t="s">
        <v>507</v>
      </c>
      <c r="C940" s="20" t="s">
        <v>134</v>
      </c>
      <c r="D940" s="20" t="s">
        <v>1079</v>
      </c>
      <c r="E940" s="20" t="s">
        <v>289</v>
      </c>
      <c r="F940" s="6">
        <f>'Пр.3 Рд,пр, ЦС,ВР 20'!F1010</f>
        <v>252</v>
      </c>
      <c r="G940" s="6">
        <f>'Пр.3 Рд,пр, ЦС,ВР 20'!G1010</f>
        <v>252</v>
      </c>
    </row>
    <row r="941" spans="1:7" ht="15.75" hidden="1" x14ac:dyDescent="0.25">
      <c r="A941" s="25" t="s">
        <v>290</v>
      </c>
      <c r="B941" s="20" t="s">
        <v>507</v>
      </c>
      <c r="C941" s="20" t="s">
        <v>134</v>
      </c>
      <c r="D941" s="20" t="s">
        <v>1079</v>
      </c>
      <c r="E941" s="20" t="s">
        <v>291</v>
      </c>
      <c r="F941" s="6">
        <f>'Пр.3 Рд,пр, ЦС,ВР 20'!F1011</f>
        <v>252</v>
      </c>
      <c r="G941" s="6">
        <f>'Пр.3 Рд,пр, ЦС,ВР 20'!G1011</f>
        <v>252</v>
      </c>
    </row>
    <row r="942" spans="1:7" ht="31.5" hidden="1" x14ac:dyDescent="0.25">
      <c r="A942" s="25" t="s">
        <v>296</v>
      </c>
      <c r="B942" s="20" t="s">
        <v>507</v>
      </c>
      <c r="C942" s="20" t="s">
        <v>134</v>
      </c>
      <c r="D942" s="20" t="s">
        <v>1080</v>
      </c>
      <c r="E942" s="20"/>
      <c r="F942" s="6">
        <f>'Пр.3 Рд,пр, ЦС,ВР 20'!F1012</f>
        <v>0</v>
      </c>
      <c r="G942" s="6">
        <f>'Пр.3 Рд,пр, ЦС,ВР 20'!G1012</f>
        <v>0</v>
      </c>
    </row>
    <row r="943" spans="1:7" ht="47.25" hidden="1" x14ac:dyDescent="0.25">
      <c r="A943" s="25" t="s">
        <v>288</v>
      </c>
      <c r="B943" s="20" t="s">
        <v>507</v>
      </c>
      <c r="C943" s="20" t="s">
        <v>134</v>
      </c>
      <c r="D943" s="20" t="s">
        <v>1080</v>
      </c>
      <c r="E943" s="20" t="s">
        <v>289</v>
      </c>
      <c r="F943" s="6">
        <f>'Пр.3 Рд,пр, ЦС,ВР 20'!F1013</f>
        <v>0</v>
      </c>
      <c r="G943" s="6">
        <f>'Пр.3 Рд,пр, ЦС,ВР 20'!G1013</f>
        <v>0</v>
      </c>
    </row>
    <row r="944" spans="1:7" ht="15.75" hidden="1" x14ac:dyDescent="0.25">
      <c r="A944" s="25" t="s">
        <v>290</v>
      </c>
      <c r="B944" s="20" t="s">
        <v>507</v>
      </c>
      <c r="C944" s="20" t="s">
        <v>134</v>
      </c>
      <c r="D944" s="20" t="s">
        <v>1080</v>
      </c>
      <c r="E944" s="20" t="s">
        <v>291</v>
      </c>
      <c r="F944" s="6">
        <f>'Пр.3 Рд,пр, ЦС,ВР 20'!F1014</f>
        <v>0</v>
      </c>
      <c r="G944" s="6">
        <f>'Пр.3 Рд,пр, ЦС,ВР 20'!G1014</f>
        <v>0</v>
      </c>
    </row>
    <row r="945" spans="1:7" ht="15.75" x14ac:dyDescent="0.25">
      <c r="A945" s="25" t="s">
        <v>876</v>
      </c>
      <c r="B945" s="20" t="s">
        <v>507</v>
      </c>
      <c r="C945" s="20" t="s">
        <v>134</v>
      </c>
      <c r="D945" s="20" t="s">
        <v>1081</v>
      </c>
      <c r="E945" s="20"/>
      <c r="F945" s="6">
        <f>F946</f>
        <v>36</v>
      </c>
      <c r="G945" s="6">
        <f>G946</f>
        <v>36</v>
      </c>
    </row>
    <row r="946" spans="1:7" ht="47.25" x14ac:dyDescent="0.25">
      <c r="A946" s="25" t="s">
        <v>288</v>
      </c>
      <c r="B946" s="20" t="s">
        <v>507</v>
      </c>
      <c r="C946" s="20" t="s">
        <v>134</v>
      </c>
      <c r="D946" s="20" t="s">
        <v>1081</v>
      </c>
      <c r="E946" s="20" t="s">
        <v>289</v>
      </c>
      <c r="F946" s="6">
        <f>F947</f>
        <v>36</v>
      </c>
      <c r="G946" s="6">
        <f>G947</f>
        <v>36</v>
      </c>
    </row>
    <row r="947" spans="1:7" ht="15.75" x14ac:dyDescent="0.25">
      <c r="A947" s="25" t="s">
        <v>290</v>
      </c>
      <c r="B947" s="20" t="s">
        <v>507</v>
      </c>
      <c r="C947" s="20" t="s">
        <v>134</v>
      </c>
      <c r="D947" s="20" t="s">
        <v>1081</v>
      </c>
      <c r="E947" s="20" t="s">
        <v>291</v>
      </c>
      <c r="F947" s="6">
        <f>'пр.5.1.ведом.21-22'!G804</f>
        <v>36</v>
      </c>
      <c r="G947" s="6">
        <f>'пр.5.1.ведом.21-22'!H804</f>
        <v>36</v>
      </c>
    </row>
    <row r="948" spans="1:7" ht="47.25" x14ac:dyDescent="0.25">
      <c r="A948" s="23" t="s">
        <v>1076</v>
      </c>
      <c r="B948" s="24" t="s">
        <v>507</v>
      </c>
      <c r="C948" s="24" t="s">
        <v>134</v>
      </c>
      <c r="D948" s="24" t="s">
        <v>1078</v>
      </c>
      <c r="E948" s="24"/>
      <c r="F948" s="4">
        <f>F949+F952</f>
        <v>756</v>
      </c>
      <c r="G948" s="4">
        <f>G949+G952</f>
        <v>756</v>
      </c>
    </row>
    <row r="949" spans="1:7" ht="31.5" hidden="1" x14ac:dyDescent="0.25">
      <c r="A949" s="25" t="s">
        <v>817</v>
      </c>
      <c r="B949" s="20" t="s">
        <v>507</v>
      </c>
      <c r="C949" s="20" t="s">
        <v>134</v>
      </c>
      <c r="D949" s="20" t="s">
        <v>1082</v>
      </c>
      <c r="E949" s="20"/>
      <c r="F949" s="6">
        <f>'Пр.3 Рд,пр, ЦС,ВР 20'!F1019</f>
        <v>0</v>
      </c>
      <c r="G949" s="6">
        <f>'Пр.3 Рд,пр, ЦС,ВР 20'!G1019</f>
        <v>0</v>
      </c>
    </row>
    <row r="950" spans="1:7" ht="47.25" hidden="1" x14ac:dyDescent="0.25">
      <c r="A950" s="25" t="s">
        <v>288</v>
      </c>
      <c r="B950" s="20" t="s">
        <v>507</v>
      </c>
      <c r="C950" s="20" t="s">
        <v>134</v>
      </c>
      <c r="D950" s="20" t="s">
        <v>1082</v>
      </c>
      <c r="E950" s="20" t="s">
        <v>289</v>
      </c>
      <c r="F950" s="6">
        <f>'Пр.3 Рд,пр, ЦС,ВР 20'!F1020</f>
        <v>0</v>
      </c>
      <c r="G950" s="6">
        <f>'Пр.3 Рд,пр, ЦС,ВР 20'!G1020</f>
        <v>0</v>
      </c>
    </row>
    <row r="951" spans="1:7" ht="15.75" hidden="1" x14ac:dyDescent="0.25">
      <c r="A951" s="25" t="s">
        <v>290</v>
      </c>
      <c r="B951" s="20" t="s">
        <v>507</v>
      </c>
      <c r="C951" s="20" t="s">
        <v>134</v>
      </c>
      <c r="D951" s="20" t="s">
        <v>1082</v>
      </c>
      <c r="E951" s="20" t="s">
        <v>291</v>
      </c>
      <c r="F951" s="6">
        <f>'Пр.3 Рд,пр, ЦС,ВР 20'!F1021</f>
        <v>0</v>
      </c>
      <c r="G951" s="6">
        <f>'Пр.3 Рд,пр, ЦС,ВР 20'!G1021</f>
        <v>0</v>
      </c>
    </row>
    <row r="952" spans="1:7" ht="47.25" x14ac:dyDescent="0.25">
      <c r="A952" s="45" t="s">
        <v>787</v>
      </c>
      <c r="B952" s="20" t="s">
        <v>507</v>
      </c>
      <c r="C952" s="20" t="s">
        <v>134</v>
      </c>
      <c r="D952" s="20" t="s">
        <v>1083</v>
      </c>
      <c r="E952" s="20"/>
      <c r="F952" s="6">
        <f>F953</f>
        <v>756</v>
      </c>
      <c r="G952" s="6">
        <f>G953</f>
        <v>756</v>
      </c>
    </row>
    <row r="953" spans="1:7" ht="47.25" x14ac:dyDescent="0.25">
      <c r="A953" s="31" t="s">
        <v>288</v>
      </c>
      <c r="B953" s="20" t="s">
        <v>507</v>
      </c>
      <c r="C953" s="20" t="s">
        <v>134</v>
      </c>
      <c r="D953" s="20" t="s">
        <v>1083</v>
      </c>
      <c r="E953" s="20" t="s">
        <v>289</v>
      </c>
      <c r="F953" s="6">
        <f>F954</f>
        <v>756</v>
      </c>
      <c r="G953" s="6">
        <f>G954</f>
        <v>756</v>
      </c>
    </row>
    <row r="954" spans="1:7" ht="15.75" x14ac:dyDescent="0.25">
      <c r="A954" s="31" t="s">
        <v>290</v>
      </c>
      <c r="B954" s="20" t="s">
        <v>507</v>
      </c>
      <c r="C954" s="20" t="s">
        <v>134</v>
      </c>
      <c r="D954" s="20" t="s">
        <v>1083</v>
      </c>
      <c r="E954" s="20" t="s">
        <v>291</v>
      </c>
      <c r="F954" s="6">
        <f>'пр.5.1.ведом.21-22'!G811</f>
        <v>756</v>
      </c>
      <c r="G954" s="6">
        <f>'пр.5.1.ведом.21-22'!H811</f>
        <v>756</v>
      </c>
    </row>
    <row r="955" spans="1:7" ht="63" x14ac:dyDescent="0.25">
      <c r="A955" s="23" t="s">
        <v>971</v>
      </c>
      <c r="B955" s="24" t="s">
        <v>507</v>
      </c>
      <c r="C955" s="24" t="s">
        <v>134</v>
      </c>
      <c r="D955" s="24" t="s">
        <v>1084</v>
      </c>
      <c r="E955" s="24"/>
      <c r="F955" s="4">
        <f t="shared" ref="F955:G957" si="70">F956</f>
        <v>813.5</v>
      </c>
      <c r="G955" s="4">
        <f t="shared" si="70"/>
        <v>813.5</v>
      </c>
    </row>
    <row r="956" spans="1:7" ht="121.7" customHeight="1" x14ac:dyDescent="0.25">
      <c r="A956" s="31" t="s">
        <v>309</v>
      </c>
      <c r="B956" s="20" t="s">
        <v>507</v>
      </c>
      <c r="C956" s="20" t="s">
        <v>134</v>
      </c>
      <c r="D956" s="20" t="s">
        <v>1519</v>
      </c>
      <c r="E956" s="20"/>
      <c r="F956" s="6">
        <f t="shared" si="70"/>
        <v>813.5</v>
      </c>
      <c r="G956" s="6">
        <f t="shared" si="70"/>
        <v>813.5</v>
      </c>
    </row>
    <row r="957" spans="1:7" ht="47.25" x14ac:dyDescent="0.25">
      <c r="A957" s="25" t="s">
        <v>288</v>
      </c>
      <c r="B957" s="20" t="s">
        <v>507</v>
      </c>
      <c r="C957" s="20" t="s">
        <v>134</v>
      </c>
      <c r="D957" s="331" t="s">
        <v>1519</v>
      </c>
      <c r="E957" s="20" t="s">
        <v>289</v>
      </c>
      <c r="F957" s="6">
        <f t="shared" si="70"/>
        <v>813.5</v>
      </c>
      <c r="G957" s="6">
        <f t="shared" si="70"/>
        <v>813.5</v>
      </c>
    </row>
    <row r="958" spans="1:7" ht="15.75" x14ac:dyDescent="0.25">
      <c r="A958" s="25" t="s">
        <v>290</v>
      </c>
      <c r="B958" s="20" t="s">
        <v>507</v>
      </c>
      <c r="C958" s="20" t="s">
        <v>134</v>
      </c>
      <c r="D958" s="331" t="s">
        <v>1519</v>
      </c>
      <c r="E958" s="20" t="s">
        <v>291</v>
      </c>
      <c r="F958" s="6">
        <f>'пр.5.1.ведом.21-22'!G815</f>
        <v>813.5</v>
      </c>
      <c r="G958" s="6">
        <f>'пр.5.1.ведом.21-22'!H815</f>
        <v>813.5</v>
      </c>
    </row>
    <row r="959" spans="1:7" ht="78.75" x14ac:dyDescent="0.25">
      <c r="A959" s="41" t="s">
        <v>1424</v>
      </c>
      <c r="B959" s="24" t="s">
        <v>507</v>
      </c>
      <c r="C959" s="24" t="s">
        <v>134</v>
      </c>
      <c r="D959" s="24" t="s">
        <v>728</v>
      </c>
      <c r="E959" s="231"/>
      <c r="F959" s="4">
        <f t="shared" ref="F959:G959" si="71">F960</f>
        <v>540.1</v>
      </c>
      <c r="G959" s="4">
        <f t="shared" si="71"/>
        <v>540.1</v>
      </c>
    </row>
    <row r="960" spans="1:7" ht="63" x14ac:dyDescent="0.25">
      <c r="A960" s="41" t="s">
        <v>949</v>
      </c>
      <c r="B960" s="24" t="s">
        <v>507</v>
      </c>
      <c r="C960" s="24" t="s">
        <v>134</v>
      </c>
      <c r="D960" s="24" t="s">
        <v>947</v>
      </c>
      <c r="E960" s="231"/>
      <c r="F960" s="4">
        <f t="shared" ref="F960:G962" si="72">F961</f>
        <v>540.1</v>
      </c>
      <c r="G960" s="4">
        <f t="shared" si="72"/>
        <v>540.1</v>
      </c>
    </row>
    <row r="961" spans="1:7" ht="47.25" x14ac:dyDescent="0.25">
      <c r="A961" s="99" t="s">
        <v>803</v>
      </c>
      <c r="B961" s="20" t="s">
        <v>507</v>
      </c>
      <c r="C961" s="20" t="s">
        <v>134</v>
      </c>
      <c r="D961" s="20" t="s">
        <v>1027</v>
      </c>
      <c r="E961" s="32"/>
      <c r="F961" s="6">
        <f t="shared" si="72"/>
        <v>540.1</v>
      </c>
      <c r="G961" s="6">
        <f t="shared" si="72"/>
        <v>540.1</v>
      </c>
    </row>
    <row r="962" spans="1:7" ht="47.25" x14ac:dyDescent="0.25">
      <c r="A962" s="29" t="s">
        <v>288</v>
      </c>
      <c r="B962" s="20" t="s">
        <v>507</v>
      </c>
      <c r="C962" s="20" t="s">
        <v>134</v>
      </c>
      <c r="D962" s="20" t="s">
        <v>1027</v>
      </c>
      <c r="E962" s="32" t="s">
        <v>289</v>
      </c>
      <c r="F962" s="6">
        <f t="shared" si="72"/>
        <v>540.1</v>
      </c>
      <c r="G962" s="6">
        <f t="shared" si="72"/>
        <v>540.1</v>
      </c>
    </row>
    <row r="963" spans="1:7" ht="15.75" x14ac:dyDescent="0.25">
      <c r="A963" s="192" t="s">
        <v>290</v>
      </c>
      <c r="B963" s="20" t="s">
        <v>507</v>
      </c>
      <c r="C963" s="20" t="s">
        <v>134</v>
      </c>
      <c r="D963" s="20" t="s">
        <v>1027</v>
      </c>
      <c r="E963" s="32" t="s">
        <v>291</v>
      </c>
      <c r="F963" s="6">
        <f>'пр.5.1.ведом.21-22'!G820</f>
        <v>540.1</v>
      </c>
      <c r="G963" s="6">
        <f>'пр.5.1.ведом.21-22'!H820</f>
        <v>540.1</v>
      </c>
    </row>
    <row r="964" spans="1:7" ht="31.5" x14ac:dyDescent="0.25">
      <c r="A964" s="23" t="s">
        <v>516</v>
      </c>
      <c r="B964" s="24" t="s">
        <v>507</v>
      </c>
      <c r="C964" s="24" t="s">
        <v>250</v>
      </c>
      <c r="D964" s="24"/>
      <c r="E964" s="24"/>
      <c r="F964" s="4">
        <f>F965+F973+F985</f>
        <v>11756</v>
      </c>
      <c r="G964" s="4">
        <f>G965+G973+G985</f>
        <v>11756</v>
      </c>
    </row>
    <row r="965" spans="1:7" ht="31.5" x14ac:dyDescent="0.25">
      <c r="A965" s="23" t="s">
        <v>990</v>
      </c>
      <c r="B965" s="24" t="s">
        <v>507</v>
      </c>
      <c r="C965" s="24" t="s">
        <v>250</v>
      </c>
      <c r="D965" s="24" t="s">
        <v>904</v>
      </c>
      <c r="E965" s="24"/>
      <c r="F965" s="4">
        <f>F966</f>
        <v>4531</v>
      </c>
      <c r="G965" s="4">
        <f>G966</f>
        <v>4531</v>
      </c>
    </row>
    <row r="966" spans="1:7" ht="15.75" x14ac:dyDescent="0.25">
      <c r="A966" s="23" t="s">
        <v>991</v>
      </c>
      <c r="B966" s="24" t="s">
        <v>507</v>
      </c>
      <c r="C966" s="24" t="s">
        <v>250</v>
      </c>
      <c r="D966" s="24" t="s">
        <v>905</v>
      </c>
      <c r="E966" s="24"/>
      <c r="F966" s="4">
        <f>F967+F970</f>
        <v>4531</v>
      </c>
      <c r="G966" s="4">
        <f>G967+G970</f>
        <v>4531</v>
      </c>
    </row>
    <row r="967" spans="1:7" ht="31.5" x14ac:dyDescent="0.25">
      <c r="A967" s="25" t="s">
        <v>967</v>
      </c>
      <c r="B967" s="20" t="s">
        <v>507</v>
      </c>
      <c r="C967" s="20" t="s">
        <v>250</v>
      </c>
      <c r="D967" s="20" t="s">
        <v>906</v>
      </c>
      <c r="E967" s="20"/>
      <c r="F967" s="6">
        <f>F968</f>
        <v>4447</v>
      </c>
      <c r="G967" s="6">
        <f>G968</f>
        <v>4447</v>
      </c>
    </row>
    <row r="968" spans="1:7" ht="94.5" x14ac:dyDescent="0.25">
      <c r="A968" s="25" t="s">
        <v>143</v>
      </c>
      <c r="B968" s="20" t="s">
        <v>507</v>
      </c>
      <c r="C968" s="20" t="s">
        <v>250</v>
      </c>
      <c r="D968" s="20" t="s">
        <v>906</v>
      </c>
      <c r="E968" s="20" t="s">
        <v>144</v>
      </c>
      <c r="F968" s="6">
        <f>F969</f>
        <v>4447</v>
      </c>
      <c r="G968" s="6">
        <f>G969</f>
        <v>4447</v>
      </c>
    </row>
    <row r="969" spans="1:7" ht="47.25" x14ac:dyDescent="0.25">
      <c r="A969" s="25" t="s">
        <v>145</v>
      </c>
      <c r="B969" s="20" t="s">
        <v>507</v>
      </c>
      <c r="C969" s="20" t="s">
        <v>250</v>
      </c>
      <c r="D969" s="20" t="s">
        <v>906</v>
      </c>
      <c r="E969" s="20" t="s">
        <v>146</v>
      </c>
      <c r="F969" s="6">
        <f>'пр.5.1.ведом.21-22'!G826</f>
        <v>4447</v>
      </c>
      <c r="G969" s="6">
        <f>'пр.5.1.ведом.21-22'!H826</f>
        <v>4447</v>
      </c>
    </row>
    <row r="970" spans="1:7" ht="47.25" x14ac:dyDescent="0.25">
      <c r="A970" s="25" t="s">
        <v>885</v>
      </c>
      <c r="B970" s="20" t="s">
        <v>507</v>
      </c>
      <c r="C970" s="20" t="s">
        <v>250</v>
      </c>
      <c r="D970" s="20" t="s">
        <v>908</v>
      </c>
      <c r="E970" s="20"/>
      <c r="F970" s="6">
        <f>F971</f>
        <v>84</v>
      </c>
      <c r="G970" s="6">
        <f>G971</f>
        <v>84</v>
      </c>
    </row>
    <row r="971" spans="1:7" ht="94.5" x14ac:dyDescent="0.25">
      <c r="A971" s="25" t="s">
        <v>143</v>
      </c>
      <c r="B971" s="20" t="s">
        <v>507</v>
      </c>
      <c r="C971" s="20" t="s">
        <v>250</v>
      </c>
      <c r="D971" s="20" t="s">
        <v>908</v>
      </c>
      <c r="E971" s="20" t="s">
        <v>144</v>
      </c>
      <c r="F971" s="6">
        <f>F972</f>
        <v>84</v>
      </c>
      <c r="G971" s="6">
        <f>G972</f>
        <v>84</v>
      </c>
    </row>
    <row r="972" spans="1:7" ht="47.25" x14ac:dyDescent="0.25">
      <c r="A972" s="25" t="s">
        <v>145</v>
      </c>
      <c r="B972" s="20" t="s">
        <v>507</v>
      </c>
      <c r="C972" s="20" t="s">
        <v>250</v>
      </c>
      <c r="D972" s="20" t="s">
        <v>908</v>
      </c>
      <c r="E972" s="20" t="s">
        <v>146</v>
      </c>
      <c r="F972" s="6">
        <f>'пр.5.1.ведом.21-22'!G829</f>
        <v>84</v>
      </c>
      <c r="G972" s="6">
        <f>'пр.5.1.ведом.21-22'!H829</f>
        <v>84</v>
      </c>
    </row>
    <row r="973" spans="1:7" ht="15.75" x14ac:dyDescent="0.25">
      <c r="A973" s="23" t="s">
        <v>157</v>
      </c>
      <c r="B973" s="24" t="s">
        <v>507</v>
      </c>
      <c r="C973" s="24" t="s">
        <v>250</v>
      </c>
      <c r="D973" s="24" t="s">
        <v>912</v>
      </c>
      <c r="E973" s="24"/>
      <c r="F973" s="4">
        <f>F974</f>
        <v>5225</v>
      </c>
      <c r="G973" s="4">
        <f>G974</f>
        <v>5225</v>
      </c>
    </row>
    <row r="974" spans="1:7" ht="47.25" x14ac:dyDescent="0.25">
      <c r="A974" s="23" t="s">
        <v>1002</v>
      </c>
      <c r="B974" s="24" t="s">
        <v>507</v>
      </c>
      <c r="C974" s="24" t="s">
        <v>250</v>
      </c>
      <c r="D974" s="24" t="s">
        <v>987</v>
      </c>
      <c r="E974" s="24"/>
      <c r="F974" s="4">
        <f>F975+F982</f>
        <v>5225</v>
      </c>
      <c r="G974" s="4">
        <f>G975+G982</f>
        <v>5225</v>
      </c>
    </row>
    <row r="975" spans="1:7" ht="31.5" x14ac:dyDescent="0.25">
      <c r="A975" s="25" t="s">
        <v>974</v>
      </c>
      <c r="B975" s="20" t="s">
        <v>507</v>
      </c>
      <c r="C975" s="20" t="s">
        <v>250</v>
      </c>
      <c r="D975" s="20" t="s">
        <v>988</v>
      </c>
      <c r="E975" s="20"/>
      <c r="F975" s="6">
        <f>F978+F980+F976</f>
        <v>5015</v>
      </c>
      <c r="G975" s="6">
        <f>G978+G980+G976</f>
        <v>5015</v>
      </c>
    </row>
    <row r="976" spans="1:7" ht="94.5" x14ac:dyDescent="0.25">
      <c r="A976" s="25" t="s">
        <v>143</v>
      </c>
      <c r="B976" s="20" t="s">
        <v>507</v>
      </c>
      <c r="C976" s="20" t="s">
        <v>250</v>
      </c>
      <c r="D976" s="20" t="s">
        <v>988</v>
      </c>
      <c r="E976" s="20" t="s">
        <v>144</v>
      </c>
      <c r="F976" s="6">
        <f>F977</f>
        <v>4454</v>
      </c>
      <c r="G976" s="6">
        <f>G977</f>
        <v>4454</v>
      </c>
    </row>
    <row r="977" spans="1:7" ht="31.5" x14ac:dyDescent="0.25">
      <c r="A977" s="25" t="s">
        <v>358</v>
      </c>
      <c r="B977" s="20" t="s">
        <v>507</v>
      </c>
      <c r="C977" s="20" t="s">
        <v>250</v>
      </c>
      <c r="D977" s="20" t="s">
        <v>988</v>
      </c>
      <c r="E977" s="20" t="s">
        <v>225</v>
      </c>
      <c r="F977" s="6">
        <f>'пр.5.1.ведом.21-22'!G834</f>
        <v>4454</v>
      </c>
      <c r="G977" s="6">
        <f>'пр.5.1.ведом.21-22'!H834</f>
        <v>4454</v>
      </c>
    </row>
    <row r="978" spans="1:7" ht="31.5" x14ac:dyDescent="0.25">
      <c r="A978" s="25" t="s">
        <v>147</v>
      </c>
      <c r="B978" s="20" t="s">
        <v>507</v>
      </c>
      <c r="C978" s="20" t="s">
        <v>250</v>
      </c>
      <c r="D978" s="20" t="s">
        <v>988</v>
      </c>
      <c r="E978" s="20" t="s">
        <v>148</v>
      </c>
      <c r="F978" s="6">
        <f>F979</f>
        <v>510</v>
      </c>
      <c r="G978" s="6">
        <f>G979</f>
        <v>510</v>
      </c>
    </row>
    <row r="979" spans="1:7" ht="47.25" x14ac:dyDescent="0.25">
      <c r="A979" s="25" t="s">
        <v>149</v>
      </c>
      <c r="B979" s="20" t="s">
        <v>507</v>
      </c>
      <c r="C979" s="20" t="s">
        <v>250</v>
      </c>
      <c r="D979" s="20" t="s">
        <v>988</v>
      </c>
      <c r="E979" s="20" t="s">
        <v>150</v>
      </c>
      <c r="F979" s="6">
        <f>'пр.5.1.ведом.21-22'!G836</f>
        <v>510</v>
      </c>
      <c r="G979" s="6">
        <f>'пр.5.1.ведом.21-22'!H836</f>
        <v>510</v>
      </c>
    </row>
    <row r="980" spans="1:7" ht="15.75" x14ac:dyDescent="0.25">
      <c r="A980" s="25" t="s">
        <v>151</v>
      </c>
      <c r="B980" s="20" t="s">
        <v>507</v>
      </c>
      <c r="C980" s="20" t="s">
        <v>250</v>
      </c>
      <c r="D980" s="20" t="s">
        <v>988</v>
      </c>
      <c r="E980" s="20" t="s">
        <v>161</v>
      </c>
      <c r="F980" s="6">
        <f>F981</f>
        <v>51</v>
      </c>
      <c r="G980" s="6">
        <f>G981</f>
        <v>51</v>
      </c>
    </row>
    <row r="981" spans="1:7" ht="31.5" x14ac:dyDescent="0.25">
      <c r="A981" s="25" t="s">
        <v>584</v>
      </c>
      <c r="B981" s="20" t="s">
        <v>507</v>
      </c>
      <c r="C981" s="20" t="s">
        <v>250</v>
      </c>
      <c r="D981" s="20" t="s">
        <v>988</v>
      </c>
      <c r="E981" s="20" t="s">
        <v>154</v>
      </c>
      <c r="F981" s="6">
        <f>'пр.5.1.ведом.21-22'!G838</f>
        <v>51</v>
      </c>
      <c r="G981" s="6">
        <f>'пр.5.1.ведом.21-22'!H838</f>
        <v>51</v>
      </c>
    </row>
    <row r="982" spans="1:7" ht="47.25" x14ac:dyDescent="0.25">
      <c r="A982" s="25" t="s">
        <v>885</v>
      </c>
      <c r="B982" s="20" t="s">
        <v>507</v>
      </c>
      <c r="C982" s="20" t="s">
        <v>250</v>
      </c>
      <c r="D982" s="20" t="s">
        <v>989</v>
      </c>
      <c r="E982" s="20"/>
      <c r="F982" s="6">
        <f>F983</f>
        <v>210</v>
      </c>
      <c r="G982" s="6">
        <f>G983</f>
        <v>210</v>
      </c>
    </row>
    <row r="983" spans="1:7" ht="94.5" x14ac:dyDescent="0.25">
      <c r="A983" s="25" t="s">
        <v>143</v>
      </c>
      <c r="B983" s="20" t="s">
        <v>507</v>
      </c>
      <c r="C983" s="20" t="s">
        <v>250</v>
      </c>
      <c r="D983" s="20" t="s">
        <v>989</v>
      </c>
      <c r="E983" s="20" t="s">
        <v>144</v>
      </c>
      <c r="F983" s="6">
        <f>F984</f>
        <v>210</v>
      </c>
      <c r="G983" s="6">
        <f>G984</f>
        <v>210</v>
      </c>
    </row>
    <row r="984" spans="1:7" ht="47.25" x14ac:dyDescent="0.25">
      <c r="A984" s="25" t="s">
        <v>145</v>
      </c>
      <c r="B984" s="20" t="s">
        <v>507</v>
      </c>
      <c r="C984" s="20" t="s">
        <v>250</v>
      </c>
      <c r="D984" s="20" t="s">
        <v>989</v>
      </c>
      <c r="E984" s="20" t="s">
        <v>146</v>
      </c>
      <c r="F984" s="6">
        <f>'пр.5.1.ведом.21-22'!G841</f>
        <v>210</v>
      </c>
      <c r="G984" s="6">
        <f>'пр.5.1.ведом.21-22'!H841</f>
        <v>210</v>
      </c>
    </row>
    <row r="985" spans="1:7" ht="63" x14ac:dyDescent="0.25">
      <c r="A985" s="41" t="s">
        <v>1432</v>
      </c>
      <c r="B985" s="24" t="s">
        <v>507</v>
      </c>
      <c r="C985" s="24" t="s">
        <v>250</v>
      </c>
      <c r="D985" s="7" t="s">
        <v>498</v>
      </c>
      <c r="E985" s="24"/>
      <c r="F985" s="4">
        <f t="shared" ref="F985:G987" si="73">F986</f>
        <v>2000</v>
      </c>
      <c r="G985" s="4">
        <f t="shared" si="73"/>
        <v>2000</v>
      </c>
    </row>
    <row r="986" spans="1:7" ht="47.25" x14ac:dyDescent="0.25">
      <c r="A986" s="58" t="s">
        <v>1448</v>
      </c>
      <c r="B986" s="24" t="s">
        <v>507</v>
      </c>
      <c r="C986" s="24" t="s">
        <v>250</v>
      </c>
      <c r="D986" s="7" t="s">
        <v>518</v>
      </c>
      <c r="E986" s="24"/>
      <c r="F986" s="4">
        <f t="shared" si="73"/>
        <v>2000</v>
      </c>
      <c r="G986" s="4">
        <f t="shared" si="73"/>
        <v>2000</v>
      </c>
    </row>
    <row r="987" spans="1:7" ht="47.25" x14ac:dyDescent="0.25">
      <c r="A987" s="58" t="s">
        <v>1086</v>
      </c>
      <c r="B987" s="24" t="s">
        <v>507</v>
      </c>
      <c r="C987" s="24" t="s">
        <v>250</v>
      </c>
      <c r="D987" s="7" t="s">
        <v>1087</v>
      </c>
      <c r="E987" s="24"/>
      <c r="F987" s="4">
        <f t="shared" si="73"/>
        <v>2000</v>
      </c>
      <c r="G987" s="4">
        <f t="shared" si="73"/>
        <v>2000</v>
      </c>
    </row>
    <row r="988" spans="1:7" ht="31.5" x14ac:dyDescent="0.25">
      <c r="A988" s="29" t="s">
        <v>1088</v>
      </c>
      <c r="B988" s="20" t="s">
        <v>507</v>
      </c>
      <c r="C988" s="20" t="s">
        <v>250</v>
      </c>
      <c r="D988" s="40" t="s">
        <v>1236</v>
      </c>
      <c r="E988" s="20"/>
      <c r="F988" s="6">
        <f>F989+F991</f>
        <v>2000</v>
      </c>
      <c r="G988" s="6">
        <f>G989+G991</f>
        <v>2000</v>
      </c>
    </row>
    <row r="989" spans="1:7" ht="94.5" x14ac:dyDescent="0.25">
      <c r="A989" s="25" t="s">
        <v>143</v>
      </c>
      <c r="B989" s="20" t="s">
        <v>507</v>
      </c>
      <c r="C989" s="20" t="s">
        <v>250</v>
      </c>
      <c r="D989" s="40" t="s">
        <v>1236</v>
      </c>
      <c r="E989" s="20" t="s">
        <v>144</v>
      </c>
      <c r="F989" s="6">
        <f>F990</f>
        <v>1500</v>
      </c>
      <c r="G989" s="6">
        <f>G990</f>
        <v>1500</v>
      </c>
    </row>
    <row r="990" spans="1:7" ht="31.5" x14ac:dyDescent="0.25">
      <c r="A990" s="25" t="s">
        <v>358</v>
      </c>
      <c r="B990" s="20" t="s">
        <v>507</v>
      </c>
      <c r="C990" s="20" t="s">
        <v>250</v>
      </c>
      <c r="D990" s="40" t="s">
        <v>1236</v>
      </c>
      <c r="E990" s="20" t="s">
        <v>225</v>
      </c>
      <c r="F990" s="6">
        <f>'пр.5.1.ведом.21-22'!G847</f>
        <v>1500</v>
      </c>
      <c r="G990" s="6">
        <f>'пр.5.1.ведом.21-22'!H847</f>
        <v>1500</v>
      </c>
    </row>
    <row r="991" spans="1:7" ht="31.5" x14ac:dyDescent="0.25">
      <c r="A991" s="29" t="s">
        <v>147</v>
      </c>
      <c r="B991" s="20" t="s">
        <v>507</v>
      </c>
      <c r="C991" s="20" t="s">
        <v>250</v>
      </c>
      <c r="D991" s="40" t="s">
        <v>1236</v>
      </c>
      <c r="E991" s="20" t="s">
        <v>148</v>
      </c>
      <c r="F991" s="6">
        <f>F992</f>
        <v>500</v>
      </c>
      <c r="G991" s="6">
        <f>G992</f>
        <v>500</v>
      </c>
    </row>
    <row r="992" spans="1:7" ht="47.25" x14ac:dyDescent="0.25">
      <c r="A992" s="29" t="s">
        <v>149</v>
      </c>
      <c r="B992" s="20" t="s">
        <v>507</v>
      </c>
      <c r="C992" s="20" t="s">
        <v>250</v>
      </c>
      <c r="D992" s="40" t="s">
        <v>1236</v>
      </c>
      <c r="E992" s="20" t="s">
        <v>150</v>
      </c>
      <c r="F992" s="6">
        <f>'пр.5.1.ведом.21-22'!G849</f>
        <v>500</v>
      </c>
      <c r="G992" s="6">
        <f>'пр.5.1.ведом.21-22'!H849</f>
        <v>500</v>
      </c>
    </row>
    <row r="993" spans="1:7" ht="15.75" x14ac:dyDescent="0.25">
      <c r="A993" s="41" t="s">
        <v>598</v>
      </c>
      <c r="B993" s="7" t="s">
        <v>254</v>
      </c>
      <c r="C993" s="40"/>
      <c r="D993" s="40"/>
      <c r="E993" s="40"/>
      <c r="F993" s="4">
        <f t="shared" ref="F993:G993" si="74">F994</f>
        <v>5479</v>
      </c>
      <c r="G993" s="4">
        <f t="shared" si="74"/>
        <v>5479</v>
      </c>
    </row>
    <row r="994" spans="1:7" ht="15.75" x14ac:dyDescent="0.25">
      <c r="A994" s="41" t="s">
        <v>599</v>
      </c>
      <c r="B994" s="7" t="s">
        <v>254</v>
      </c>
      <c r="C994" s="7" t="s">
        <v>229</v>
      </c>
      <c r="D994" s="7"/>
      <c r="E994" s="7"/>
      <c r="F994" s="4">
        <f>F995+F1007</f>
        <v>5479</v>
      </c>
      <c r="G994" s="4">
        <f>G995+G1007</f>
        <v>5479</v>
      </c>
    </row>
    <row r="995" spans="1:7" ht="15.75" x14ac:dyDescent="0.25">
      <c r="A995" s="23" t="s">
        <v>157</v>
      </c>
      <c r="B995" s="24" t="s">
        <v>254</v>
      </c>
      <c r="C995" s="24" t="s">
        <v>229</v>
      </c>
      <c r="D995" s="24" t="s">
        <v>912</v>
      </c>
      <c r="E995" s="24"/>
      <c r="F995" s="4">
        <f>F996</f>
        <v>5419</v>
      </c>
      <c r="G995" s="4">
        <f>G996</f>
        <v>5419</v>
      </c>
    </row>
    <row r="996" spans="1:7" ht="15.75" x14ac:dyDescent="0.25">
      <c r="A996" s="23" t="s">
        <v>1090</v>
      </c>
      <c r="B996" s="24" t="s">
        <v>254</v>
      </c>
      <c r="C996" s="24" t="s">
        <v>229</v>
      </c>
      <c r="D996" s="24" t="s">
        <v>1089</v>
      </c>
      <c r="E996" s="24"/>
      <c r="F996" s="4">
        <f>F997+F1004</f>
        <v>5419</v>
      </c>
      <c r="G996" s="4">
        <f>G997+G1004</f>
        <v>5419</v>
      </c>
    </row>
    <row r="997" spans="1:7" ht="31.5" x14ac:dyDescent="0.25">
      <c r="A997" s="25" t="s">
        <v>834</v>
      </c>
      <c r="B997" s="20" t="s">
        <v>254</v>
      </c>
      <c r="C997" s="20" t="s">
        <v>229</v>
      </c>
      <c r="D997" s="20" t="s">
        <v>1091</v>
      </c>
      <c r="E997" s="20"/>
      <c r="F997" s="6">
        <f>F998+F1000+F1002</f>
        <v>5209</v>
      </c>
      <c r="G997" s="6">
        <f>G998+G1000+G1002</f>
        <v>5209</v>
      </c>
    </row>
    <row r="998" spans="1:7" ht="94.5" x14ac:dyDescent="0.25">
      <c r="A998" s="25" t="s">
        <v>143</v>
      </c>
      <c r="B998" s="20" t="s">
        <v>254</v>
      </c>
      <c r="C998" s="20" t="s">
        <v>229</v>
      </c>
      <c r="D998" s="20" t="s">
        <v>1091</v>
      </c>
      <c r="E998" s="20" t="s">
        <v>144</v>
      </c>
      <c r="F998" s="6">
        <f>F999</f>
        <v>4500</v>
      </c>
      <c r="G998" s="6">
        <f>G999</f>
        <v>4500</v>
      </c>
    </row>
    <row r="999" spans="1:7" ht="31.5" x14ac:dyDescent="0.25">
      <c r="A999" s="25" t="s">
        <v>224</v>
      </c>
      <c r="B999" s="20" t="s">
        <v>254</v>
      </c>
      <c r="C999" s="20" t="s">
        <v>229</v>
      </c>
      <c r="D999" s="20" t="s">
        <v>1091</v>
      </c>
      <c r="E999" s="20" t="s">
        <v>225</v>
      </c>
      <c r="F999" s="6">
        <f>'пр.5.1.ведом.21-22'!G479</f>
        <v>4500</v>
      </c>
      <c r="G999" s="6">
        <f>'пр.5.1.ведом.21-22'!H479</f>
        <v>4500</v>
      </c>
    </row>
    <row r="1000" spans="1:7" ht="31.5" x14ac:dyDescent="0.25">
      <c r="A1000" s="25" t="s">
        <v>147</v>
      </c>
      <c r="B1000" s="20" t="s">
        <v>254</v>
      </c>
      <c r="C1000" s="20" t="s">
        <v>229</v>
      </c>
      <c r="D1000" s="20" t="s">
        <v>1091</v>
      </c>
      <c r="E1000" s="20" t="s">
        <v>148</v>
      </c>
      <c r="F1000" s="6">
        <f>F1001</f>
        <v>659</v>
      </c>
      <c r="G1000" s="6">
        <f>G1001</f>
        <v>659</v>
      </c>
    </row>
    <row r="1001" spans="1:7" ht="47.25" x14ac:dyDescent="0.25">
      <c r="A1001" s="25" t="s">
        <v>149</v>
      </c>
      <c r="B1001" s="20" t="s">
        <v>254</v>
      </c>
      <c r="C1001" s="20" t="s">
        <v>229</v>
      </c>
      <c r="D1001" s="20" t="s">
        <v>1091</v>
      </c>
      <c r="E1001" s="20" t="s">
        <v>150</v>
      </c>
      <c r="F1001" s="6">
        <f>'пр.5.1.ведом.21-22'!G481</f>
        <v>659</v>
      </c>
      <c r="G1001" s="6">
        <f>'пр.5.1.ведом.21-22'!H481</f>
        <v>659</v>
      </c>
    </row>
    <row r="1002" spans="1:7" ht="15.75" x14ac:dyDescent="0.25">
      <c r="A1002" s="25" t="s">
        <v>151</v>
      </c>
      <c r="B1002" s="20" t="s">
        <v>254</v>
      </c>
      <c r="C1002" s="20" t="s">
        <v>229</v>
      </c>
      <c r="D1002" s="20" t="s">
        <v>1091</v>
      </c>
      <c r="E1002" s="20" t="s">
        <v>161</v>
      </c>
      <c r="F1002" s="6">
        <f>F1003</f>
        <v>50</v>
      </c>
      <c r="G1002" s="6">
        <f>G1003</f>
        <v>50</v>
      </c>
    </row>
    <row r="1003" spans="1:7" ht="24.75" customHeight="1" x14ac:dyDescent="0.25">
      <c r="A1003" s="25" t="s">
        <v>584</v>
      </c>
      <c r="B1003" s="20" t="s">
        <v>254</v>
      </c>
      <c r="C1003" s="20" t="s">
        <v>229</v>
      </c>
      <c r="D1003" s="20" t="s">
        <v>1091</v>
      </c>
      <c r="E1003" s="20" t="s">
        <v>154</v>
      </c>
      <c r="F1003" s="6">
        <f>'пр.5.1.ведом.21-22'!G483</f>
        <v>50</v>
      </c>
      <c r="G1003" s="6">
        <f>'пр.5.1.ведом.21-22'!H483</f>
        <v>50</v>
      </c>
    </row>
    <row r="1004" spans="1:7" ht="47.25" x14ac:dyDescent="0.25">
      <c r="A1004" s="25" t="s">
        <v>885</v>
      </c>
      <c r="B1004" s="20" t="s">
        <v>254</v>
      </c>
      <c r="C1004" s="20" t="s">
        <v>229</v>
      </c>
      <c r="D1004" s="20" t="s">
        <v>1092</v>
      </c>
      <c r="E1004" s="20"/>
      <c r="F1004" s="6">
        <f>F1005</f>
        <v>210</v>
      </c>
      <c r="G1004" s="6">
        <f>G1005</f>
        <v>210</v>
      </c>
    </row>
    <row r="1005" spans="1:7" ht="94.5" x14ac:dyDescent="0.25">
      <c r="A1005" s="25" t="s">
        <v>143</v>
      </c>
      <c r="B1005" s="20" t="s">
        <v>254</v>
      </c>
      <c r="C1005" s="20" t="s">
        <v>229</v>
      </c>
      <c r="D1005" s="20" t="s">
        <v>1092</v>
      </c>
      <c r="E1005" s="20" t="s">
        <v>144</v>
      </c>
      <c r="F1005" s="6">
        <f>F1006</f>
        <v>210</v>
      </c>
      <c r="G1005" s="6">
        <f>G1006</f>
        <v>210</v>
      </c>
    </row>
    <row r="1006" spans="1:7" ht="47.25" x14ac:dyDescent="0.25">
      <c r="A1006" s="25" t="s">
        <v>145</v>
      </c>
      <c r="B1006" s="20" t="s">
        <v>254</v>
      </c>
      <c r="C1006" s="20" t="s">
        <v>229</v>
      </c>
      <c r="D1006" s="20" t="s">
        <v>1092</v>
      </c>
      <c r="E1006" s="20" t="s">
        <v>225</v>
      </c>
      <c r="F1006" s="6">
        <f>'пр.5.1.ведом.21-22'!G486</f>
        <v>210</v>
      </c>
      <c r="G1006" s="6">
        <f>'пр.5.1.ведом.21-22'!H486</f>
        <v>210</v>
      </c>
    </row>
    <row r="1007" spans="1:7" ht="78.75" x14ac:dyDescent="0.25">
      <c r="A1007" s="41" t="s">
        <v>1424</v>
      </c>
      <c r="B1007" s="24" t="s">
        <v>254</v>
      </c>
      <c r="C1007" s="24" t="s">
        <v>229</v>
      </c>
      <c r="D1007" s="24" t="s">
        <v>728</v>
      </c>
      <c r="E1007" s="231"/>
      <c r="F1007" s="4">
        <f t="shared" ref="F1007:G1010" si="75">F1008</f>
        <v>60</v>
      </c>
      <c r="G1007" s="4">
        <f t="shared" si="75"/>
        <v>60</v>
      </c>
    </row>
    <row r="1008" spans="1:7" ht="63" x14ac:dyDescent="0.25">
      <c r="A1008" s="41" t="s">
        <v>949</v>
      </c>
      <c r="B1008" s="24" t="s">
        <v>254</v>
      </c>
      <c r="C1008" s="24" t="s">
        <v>229</v>
      </c>
      <c r="D1008" s="24" t="s">
        <v>947</v>
      </c>
      <c r="E1008" s="231"/>
      <c r="F1008" s="4">
        <f t="shared" si="75"/>
        <v>60</v>
      </c>
      <c r="G1008" s="4">
        <f t="shared" si="75"/>
        <v>60</v>
      </c>
    </row>
    <row r="1009" spans="1:7" ht="47.25" x14ac:dyDescent="0.25">
      <c r="A1009" s="99" t="s">
        <v>1157</v>
      </c>
      <c r="B1009" s="20" t="s">
        <v>254</v>
      </c>
      <c r="C1009" s="20" t="s">
        <v>229</v>
      </c>
      <c r="D1009" s="20" t="s">
        <v>948</v>
      </c>
      <c r="E1009" s="32"/>
      <c r="F1009" s="6">
        <f t="shared" si="75"/>
        <v>60</v>
      </c>
      <c r="G1009" s="6">
        <f t="shared" si="75"/>
        <v>60</v>
      </c>
    </row>
    <row r="1010" spans="1:7" ht="31.5" x14ac:dyDescent="0.25">
      <c r="A1010" s="25" t="s">
        <v>147</v>
      </c>
      <c r="B1010" s="20" t="s">
        <v>254</v>
      </c>
      <c r="C1010" s="20" t="s">
        <v>229</v>
      </c>
      <c r="D1010" s="20" t="s">
        <v>948</v>
      </c>
      <c r="E1010" s="32" t="s">
        <v>148</v>
      </c>
      <c r="F1010" s="6">
        <f t="shared" si="75"/>
        <v>60</v>
      </c>
      <c r="G1010" s="6">
        <f t="shared" si="75"/>
        <v>60</v>
      </c>
    </row>
    <row r="1011" spans="1:7" ht="47.25" x14ac:dyDescent="0.25">
      <c r="A1011" s="25" t="s">
        <v>149</v>
      </c>
      <c r="B1011" s="20" t="s">
        <v>254</v>
      </c>
      <c r="C1011" s="20" t="s">
        <v>229</v>
      </c>
      <c r="D1011" s="20" t="s">
        <v>948</v>
      </c>
      <c r="E1011" s="32" t="s">
        <v>150</v>
      </c>
      <c r="F1011" s="6">
        <f>'пр.5.1.ведом.21-22'!G491</f>
        <v>60</v>
      </c>
      <c r="G1011" s="6">
        <f>'пр.5.1.ведом.21-22'!H491</f>
        <v>60</v>
      </c>
    </row>
    <row r="1012" spans="1:7" ht="15.75" x14ac:dyDescent="0.25">
      <c r="A1012" s="61" t="s">
        <v>603</v>
      </c>
      <c r="B1012" s="7"/>
      <c r="C1012" s="7"/>
      <c r="D1012" s="7"/>
      <c r="E1012" s="7"/>
      <c r="F1012" s="307">
        <f>F8+F222+F241+F316+F479+F765+F924+F993+F868</f>
        <v>734551.03200000001</v>
      </c>
      <c r="G1012" s="307">
        <f>G8+G222+G241+G316+G479+G765+G924+G993+G868</f>
        <v>738098.22</v>
      </c>
    </row>
    <row r="1013" spans="1:7" ht="15.75" hidden="1" x14ac:dyDescent="0.25">
      <c r="A1013" s="213"/>
      <c r="B1013" s="213"/>
      <c r="C1013" s="213"/>
      <c r="D1013" s="213"/>
      <c r="E1013" s="213"/>
      <c r="F1013" s="4">
        <f>'пр.5.1.ведом.21-22'!G1105</f>
        <v>742963.79859999998</v>
      </c>
      <c r="G1013" s="4">
        <f>'пр.5.1.ведом.21-22'!H1105</f>
        <v>746710.98659999995</v>
      </c>
    </row>
    <row r="1014" spans="1:7" ht="15.75" hidden="1" x14ac:dyDescent="0.25">
      <c r="A1014" s="213"/>
      <c r="B1014" s="213"/>
      <c r="C1014" s="213"/>
      <c r="D1014" s="213"/>
      <c r="E1014" s="213"/>
      <c r="F1014" s="4">
        <f>'Пр.3 Рд,пр, ЦС,ВР 20'!F1105</f>
        <v>0</v>
      </c>
      <c r="G1014" s="4">
        <f t="shared" ref="G1014" si="76">F1014</f>
        <v>0</v>
      </c>
    </row>
    <row r="1016" spans="1:7" hidden="1" x14ac:dyDescent="0.25">
      <c r="F1016" s="22">
        <f>'пр.5.1.ведом.21-22'!G1105</f>
        <v>742963.79859999998</v>
      </c>
      <c r="G1016" s="22">
        <f>'пр.5.1.ведом.21-22'!H1105</f>
        <v>746710.98659999995</v>
      </c>
    </row>
    <row r="1017" spans="1:7" hidden="1" x14ac:dyDescent="0.25"/>
    <row r="1018" spans="1:7" hidden="1" x14ac:dyDescent="0.25">
      <c r="F1018" s="22">
        <f>F1016-F1012</f>
        <v>8412.7665999999736</v>
      </c>
      <c r="G1018" s="22">
        <f>G1016-G1012</f>
        <v>8612.7665999999736</v>
      </c>
    </row>
    <row r="1019" spans="1:7" hidden="1" x14ac:dyDescent="0.25"/>
  </sheetData>
  <mergeCells count="1">
    <mergeCell ref="A5:G5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ColWidth="9.140625"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09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63"/>
      <c r="B1" s="63"/>
      <c r="C1" s="63"/>
      <c r="D1" s="63"/>
      <c r="E1" s="62"/>
      <c r="F1" s="155" t="s">
        <v>124</v>
      </c>
      <c r="G1" s="63"/>
      <c r="H1" s="177"/>
    </row>
    <row r="2" spans="1:9" ht="18.75" x14ac:dyDescent="0.3">
      <c r="A2" s="63"/>
      <c r="B2" s="63"/>
      <c r="C2" s="63"/>
      <c r="D2" s="63"/>
      <c r="E2" s="62"/>
      <c r="F2" s="155" t="s">
        <v>1</v>
      </c>
      <c r="G2" s="63"/>
      <c r="H2" s="177"/>
    </row>
    <row r="3" spans="1:9" ht="18.75" x14ac:dyDescent="0.3">
      <c r="A3" s="63"/>
      <c r="B3" s="63"/>
      <c r="C3" s="63"/>
      <c r="D3" s="63"/>
      <c r="E3" s="62"/>
      <c r="F3" s="155" t="s">
        <v>760</v>
      </c>
      <c r="G3" s="63"/>
      <c r="H3" s="177"/>
    </row>
    <row r="4" spans="1:9" ht="15.75" x14ac:dyDescent="0.25">
      <c r="A4" s="406"/>
      <c r="B4" s="406"/>
      <c r="C4" s="406"/>
      <c r="D4" s="406"/>
      <c r="E4" s="406"/>
      <c r="F4" s="406"/>
      <c r="G4" s="406"/>
      <c r="H4" s="177"/>
    </row>
    <row r="5" spans="1:9" ht="15.75" x14ac:dyDescent="0.25">
      <c r="A5" s="405" t="s">
        <v>125</v>
      </c>
      <c r="B5" s="405"/>
      <c r="C5" s="405"/>
      <c r="D5" s="405"/>
      <c r="E5" s="405"/>
      <c r="F5" s="405"/>
      <c r="G5" s="405"/>
      <c r="H5" s="177"/>
    </row>
    <row r="6" spans="1:9" ht="15.75" x14ac:dyDescent="0.25">
      <c r="A6" s="174"/>
      <c r="B6" s="174"/>
      <c r="C6" s="174"/>
      <c r="D6" s="174"/>
      <c r="E6" s="174"/>
      <c r="F6" s="174"/>
      <c r="G6" s="174"/>
      <c r="H6" s="177"/>
    </row>
    <row r="7" spans="1:9" ht="15.75" x14ac:dyDescent="0.25">
      <c r="A7" s="13"/>
      <c r="B7" s="13"/>
      <c r="C7" s="13"/>
      <c r="D7" s="13"/>
      <c r="E7" s="13"/>
      <c r="F7" s="13"/>
      <c r="G7" s="101" t="s">
        <v>2</v>
      </c>
      <c r="H7" s="177"/>
    </row>
    <row r="8" spans="1:9" ht="47.25" x14ac:dyDescent="0.25">
      <c r="A8" s="14" t="s">
        <v>126</v>
      </c>
      <c r="B8" s="14" t="s">
        <v>127</v>
      </c>
      <c r="C8" s="15" t="s">
        <v>128</v>
      </c>
      <c r="D8" s="15" t="s">
        <v>129</v>
      </c>
      <c r="E8" s="15" t="s">
        <v>130</v>
      </c>
      <c r="F8" s="15" t="s">
        <v>131</v>
      </c>
      <c r="G8" s="14" t="s">
        <v>5</v>
      </c>
      <c r="H8" s="177"/>
    </row>
    <row r="9" spans="1:9" ht="15.75" x14ac:dyDescent="0.2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77"/>
    </row>
    <row r="10" spans="1:9" ht="31.5" x14ac:dyDescent="0.25">
      <c r="A10" s="19" t="s">
        <v>132</v>
      </c>
      <c r="B10" s="19">
        <v>901</v>
      </c>
      <c r="C10" s="20"/>
      <c r="D10" s="20"/>
      <c r="E10" s="20"/>
      <c r="F10" s="20"/>
      <c r="G10" s="21">
        <f>G11</f>
        <v>14164.460000000001</v>
      </c>
      <c r="H10" s="177"/>
      <c r="I10" s="114"/>
    </row>
    <row r="11" spans="1:9" ht="15.75" x14ac:dyDescent="0.25">
      <c r="A11" s="23" t="s">
        <v>133</v>
      </c>
      <c r="B11" s="19">
        <v>901</v>
      </c>
      <c r="C11" s="24" t="s">
        <v>134</v>
      </c>
      <c r="D11" s="20"/>
      <c r="E11" s="20"/>
      <c r="F11" s="20"/>
      <c r="G11" s="21">
        <f>G12+G22</f>
        <v>14164.460000000001</v>
      </c>
      <c r="H11" s="177"/>
    </row>
    <row r="12" spans="1:9" ht="63" x14ac:dyDescent="0.25">
      <c r="A12" s="23" t="s">
        <v>135</v>
      </c>
      <c r="B12" s="19">
        <v>901</v>
      </c>
      <c r="C12" s="24" t="s">
        <v>134</v>
      </c>
      <c r="D12" s="24" t="s">
        <v>136</v>
      </c>
      <c r="E12" s="24"/>
      <c r="F12" s="24"/>
      <c r="G12" s="21">
        <f>G13</f>
        <v>14114.460000000001</v>
      </c>
      <c r="H12" s="177"/>
    </row>
    <row r="13" spans="1:9" ht="15.75" x14ac:dyDescent="0.25">
      <c r="A13" s="25" t="s">
        <v>137</v>
      </c>
      <c r="B13" s="16">
        <v>901</v>
      </c>
      <c r="C13" s="20" t="s">
        <v>134</v>
      </c>
      <c r="D13" s="20" t="s">
        <v>136</v>
      </c>
      <c r="E13" s="20" t="s">
        <v>138</v>
      </c>
      <c r="F13" s="20"/>
      <c r="G13" s="26">
        <f>G14</f>
        <v>14114.460000000001</v>
      </c>
      <c r="H13" s="177"/>
    </row>
    <row r="14" spans="1:9" ht="31.5" x14ac:dyDescent="0.25">
      <c r="A14" s="25" t="s">
        <v>139</v>
      </c>
      <c r="B14" s="16">
        <v>901</v>
      </c>
      <c r="C14" s="20" t="s">
        <v>134</v>
      </c>
      <c r="D14" s="20" t="s">
        <v>136</v>
      </c>
      <c r="E14" s="20" t="s">
        <v>140</v>
      </c>
      <c r="F14" s="20"/>
      <c r="G14" s="26">
        <f>G15</f>
        <v>14114.460000000001</v>
      </c>
      <c r="H14" s="177"/>
    </row>
    <row r="15" spans="1:9" ht="47.25" x14ac:dyDescent="0.25">
      <c r="A15" s="25" t="s">
        <v>141</v>
      </c>
      <c r="B15" s="16">
        <v>901</v>
      </c>
      <c r="C15" s="20" t="s">
        <v>134</v>
      </c>
      <c r="D15" s="20" t="s">
        <v>136</v>
      </c>
      <c r="E15" s="20" t="s">
        <v>142</v>
      </c>
      <c r="F15" s="20"/>
      <c r="G15" s="26">
        <f>G16+G18+G20</f>
        <v>14114.460000000001</v>
      </c>
      <c r="H15" s="177"/>
    </row>
    <row r="16" spans="1:9" ht="94.5" x14ac:dyDescent="0.25">
      <c r="A16" s="25" t="s">
        <v>143</v>
      </c>
      <c r="B16" s="16">
        <v>901</v>
      </c>
      <c r="C16" s="20" t="s">
        <v>134</v>
      </c>
      <c r="D16" s="20" t="s">
        <v>136</v>
      </c>
      <c r="E16" s="20" t="s">
        <v>142</v>
      </c>
      <c r="F16" s="20" t="s">
        <v>144</v>
      </c>
      <c r="G16" s="26">
        <f>G17</f>
        <v>12784.1</v>
      </c>
      <c r="H16" s="177"/>
    </row>
    <row r="17" spans="1:8" ht="31.5" x14ac:dyDescent="0.25">
      <c r="A17" s="25" t="s">
        <v>145</v>
      </c>
      <c r="B17" s="16">
        <v>901</v>
      </c>
      <c r="C17" s="20" t="s">
        <v>134</v>
      </c>
      <c r="D17" s="20" t="s">
        <v>136</v>
      </c>
      <c r="E17" s="20" t="s">
        <v>142</v>
      </c>
      <c r="F17" s="20" t="s">
        <v>146</v>
      </c>
      <c r="G17" s="27">
        <v>12784.1</v>
      </c>
      <c r="H17" s="177"/>
    </row>
    <row r="18" spans="1:8" ht="31.5" x14ac:dyDescent="0.25">
      <c r="A18" s="25" t="s">
        <v>147</v>
      </c>
      <c r="B18" s="16">
        <v>901</v>
      </c>
      <c r="C18" s="20" t="s">
        <v>134</v>
      </c>
      <c r="D18" s="20" t="s">
        <v>136</v>
      </c>
      <c r="E18" s="20" t="s">
        <v>142</v>
      </c>
      <c r="F18" s="20" t="s">
        <v>148</v>
      </c>
      <c r="G18" s="26">
        <f>G19</f>
        <v>1302.3599999999999</v>
      </c>
      <c r="H18" s="177"/>
    </row>
    <row r="19" spans="1:8" ht="47.25" x14ac:dyDescent="0.25">
      <c r="A19" s="25" t="s">
        <v>149</v>
      </c>
      <c r="B19" s="16">
        <v>901</v>
      </c>
      <c r="C19" s="20" t="s">
        <v>134</v>
      </c>
      <c r="D19" s="20" t="s">
        <v>136</v>
      </c>
      <c r="E19" s="20" t="s">
        <v>142</v>
      </c>
      <c r="F19" s="20" t="s">
        <v>150</v>
      </c>
      <c r="G19" s="27">
        <v>1302.3599999999999</v>
      </c>
      <c r="H19" s="177"/>
    </row>
    <row r="20" spans="1:8" ht="15.75" x14ac:dyDescent="0.25">
      <c r="A20" s="25" t="s">
        <v>151</v>
      </c>
      <c r="B20" s="16">
        <v>901</v>
      </c>
      <c r="C20" s="20" t="s">
        <v>134</v>
      </c>
      <c r="D20" s="20" t="s">
        <v>136</v>
      </c>
      <c r="E20" s="20" t="s">
        <v>142</v>
      </c>
      <c r="F20" s="20" t="s">
        <v>152</v>
      </c>
      <c r="G20" s="26">
        <f>G21</f>
        <v>28</v>
      </c>
      <c r="H20" s="177"/>
    </row>
    <row r="21" spans="1:8" ht="15.75" x14ac:dyDescent="0.25">
      <c r="A21" s="25" t="s">
        <v>584</v>
      </c>
      <c r="B21" s="16">
        <v>901</v>
      </c>
      <c r="C21" s="20" t="s">
        <v>134</v>
      </c>
      <c r="D21" s="20" t="s">
        <v>136</v>
      </c>
      <c r="E21" s="20" t="s">
        <v>142</v>
      </c>
      <c r="F21" s="20" t="s">
        <v>154</v>
      </c>
      <c r="G21" s="26">
        <v>28</v>
      </c>
      <c r="H21" s="177"/>
    </row>
    <row r="22" spans="1:8" ht="31.7" customHeight="1" x14ac:dyDescent="0.25">
      <c r="A22" s="23" t="s">
        <v>155</v>
      </c>
      <c r="B22" s="19">
        <v>901</v>
      </c>
      <c r="C22" s="24" t="s">
        <v>134</v>
      </c>
      <c r="D22" s="24" t="s">
        <v>156</v>
      </c>
      <c r="E22" s="24"/>
      <c r="F22" s="24"/>
      <c r="G22" s="21">
        <f>G23</f>
        <v>50</v>
      </c>
      <c r="H22" s="177"/>
    </row>
    <row r="23" spans="1:8" ht="15.75" x14ac:dyDescent="0.25">
      <c r="A23" s="25" t="s">
        <v>157</v>
      </c>
      <c r="B23" s="16">
        <v>901</v>
      </c>
      <c r="C23" s="20" t="s">
        <v>134</v>
      </c>
      <c r="D23" s="20" t="s">
        <v>156</v>
      </c>
      <c r="E23" s="20" t="s">
        <v>158</v>
      </c>
      <c r="F23" s="20"/>
      <c r="G23" s="26">
        <f>G24</f>
        <v>50</v>
      </c>
      <c r="H23" s="177"/>
    </row>
    <row r="24" spans="1:8" ht="15.75" x14ac:dyDescent="0.25">
      <c r="A24" s="25" t="s">
        <v>159</v>
      </c>
      <c r="B24" s="16">
        <v>901</v>
      </c>
      <c r="C24" s="20" t="s">
        <v>134</v>
      </c>
      <c r="D24" s="20" t="s">
        <v>156</v>
      </c>
      <c r="E24" s="20" t="s">
        <v>160</v>
      </c>
      <c r="F24" s="20"/>
      <c r="G24" s="26">
        <f>G25</f>
        <v>50</v>
      </c>
      <c r="H24" s="177"/>
    </row>
    <row r="25" spans="1:8" ht="15.75" x14ac:dyDescent="0.25">
      <c r="A25" s="25" t="s">
        <v>151</v>
      </c>
      <c r="B25" s="16">
        <v>901</v>
      </c>
      <c r="C25" s="20" t="s">
        <v>134</v>
      </c>
      <c r="D25" s="20" t="s">
        <v>156</v>
      </c>
      <c r="E25" s="20" t="s">
        <v>160</v>
      </c>
      <c r="F25" s="20" t="s">
        <v>161</v>
      </c>
      <c r="G25" s="26">
        <f>G26</f>
        <v>50</v>
      </c>
      <c r="H25" s="177"/>
    </row>
    <row r="26" spans="1:8" ht="15.75" x14ac:dyDescent="0.25">
      <c r="A26" s="25" t="s">
        <v>162</v>
      </c>
      <c r="B26" s="16">
        <v>901</v>
      </c>
      <c r="C26" s="20" t="s">
        <v>134</v>
      </c>
      <c r="D26" s="20" t="s">
        <v>156</v>
      </c>
      <c r="E26" s="20" t="s">
        <v>160</v>
      </c>
      <c r="F26" s="20" t="s">
        <v>163</v>
      </c>
      <c r="G26" s="26">
        <v>50</v>
      </c>
      <c r="H26" s="177"/>
    </row>
    <row r="27" spans="1:8" ht="31.5" x14ac:dyDescent="0.25">
      <c r="A27" s="19" t="s">
        <v>164</v>
      </c>
      <c r="B27" s="19">
        <v>902</v>
      </c>
      <c r="C27" s="20"/>
      <c r="D27" s="20"/>
      <c r="E27" s="20"/>
      <c r="F27" s="20"/>
      <c r="G27" s="21">
        <f>G28+G159+G177+G195</f>
        <v>87268.39999999998</v>
      </c>
      <c r="H27" s="177"/>
    </row>
    <row r="28" spans="1:8" ht="15.75" x14ac:dyDescent="0.25">
      <c r="A28" s="23" t="s">
        <v>133</v>
      </c>
      <c r="B28" s="19">
        <v>902</v>
      </c>
      <c r="C28" s="24" t="s">
        <v>134</v>
      </c>
      <c r="D28" s="20"/>
      <c r="E28" s="20"/>
      <c r="F28" s="20"/>
      <c r="G28" s="21">
        <f>G29+G48+G56</f>
        <v>66062.7</v>
      </c>
      <c r="H28" s="177"/>
    </row>
    <row r="29" spans="1:8" ht="78.75" x14ac:dyDescent="0.25">
      <c r="A29" s="23" t="s">
        <v>165</v>
      </c>
      <c r="B29" s="19">
        <v>902</v>
      </c>
      <c r="C29" s="24" t="s">
        <v>134</v>
      </c>
      <c r="D29" s="24" t="s">
        <v>166</v>
      </c>
      <c r="E29" s="24"/>
      <c r="F29" s="24"/>
      <c r="G29" s="21">
        <f>G30</f>
        <v>51508.2</v>
      </c>
      <c r="H29" s="177"/>
    </row>
    <row r="30" spans="1:8" ht="15.75" x14ac:dyDescent="0.25">
      <c r="A30" s="25" t="s">
        <v>137</v>
      </c>
      <c r="B30" s="16">
        <v>902</v>
      </c>
      <c r="C30" s="20" t="s">
        <v>134</v>
      </c>
      <c r="D30" s="20" t="s">
        <v>166</v>
      </c>
      <c r="E30" s="20" t="s">
        <v>138</v>
      </c>
      <c r="F30" s="20"/>
      <c r="G30" s="27">
        <f>G31+G42</f>
        <v>51508.2</v>
      </c>
      <c r="H30" s="177"/>
    </row>
    <row r="31" spans="1:8" ht="31.5" x14ac:dyDescent="0.25">
      <c r="A31" s="25" t="s">
        <v>139</v>
      </c>
      <c r="B31" s="16">
        <v>902</v>
      </c>
      <c r="C31" s="20" t="s">
        <v>134</v>
      </c>
      <c r="D31" s="20" t="s">
        <v>166</v>
      </c>
      <c r="E31" s="20" t="s">
        <v>140</v>
      </c>
      <c r="F31" s="20"/>
      <c r="G31" s="27">
        <f>G32+G39</f>
        <v>43489.2</v>
      </c>
      <c r="H31" s="177"/>
    </row>
    <row r="32" spans="1:8" ht="47.25" x14ac:dyDescent="0.25">
      <c r="A32" s="25" t="s">
        <v>141</v>
      </c>
      <c r="B32" s="16">
        <v>902</v>
      </c>
      <c r="C32" s="20" t="s">
        <v>134</v>
      </c>
      <c r="D32" s="20" t="s">
        <v>166</v>
      </c>
      <c r="E32" s="20" t="s">
        <v>142</v>
      </c>
      <c r="F32" s="20"/>
      <c r="G32" s="26">
        <f>G33+G35+G37</f>
        <v>39943.599999999999</v>
      </c>
      <c r="H32" s="177"/>
    </row>
    <row r="33" spans="1:10" ht="94.5" x14ac:dyDescent="0.25">
      <c r="A33" s="25" t="s">
        <v>143</v>
      </c>
      <c r="B33" s="16">
        <v>902</v>
      </c>
      <c r="C33" s="20" t="s">
        <v>134</v>
      </c>
      <c r="D33" s="20" t="s">
        <v>166</v>
      </c>
      <c r="E33" s="20" t="s">
        <v>142</v>
      </c>
      <c r="F33" s="20" t="s">
        <v>144</v>
      </c>
      <c r="G33" s="26">
        <f>G34</f>
        <v>34230.5</v>
      </c>
      <c r="H33" s="177"/>
    </row>
    <row r="34" spans="1:10" ht="31.5" x14ac:dyDescent="0.25">
      <c r="A34" s="25" t="s">
        <v>145</v>
      </c>
      <c r="B34" s="16">
        <v>902</v>
      </c>
      <c r="C34" s="20" t="s">
        <v>134</v>
      </c>
      <c r="D34" s="20" t="s">
        <v>166</v>
      </c>
      <c r="E34" s="20" t="s">
        <v>142</v>
      </c>
      <c r="F34" s="20" t="s">
        <v>146</v>
      </c>
      <c r="G34" s="156">
        <f>36517.7-553.5-1733.7</f>
        <v>34230.5</v>
      </c>
      <c r="H34" s="157" t="s">
        <v>738</v>
      </c>
      <c r="J34" s="172" t="s">
        <v>780</v>
      </c>
    </row>
    <row r="35" spans="1:10" ht="31.5" x14ac:dyDescent="0.25">
      <c r="A35" s="25" t="s">
        <v>147</v>
      </c>
      <c r="B35" s="16">
        <v>902</v>
      </c>
      <c r="C35" s="20" t="s">
        <v>134</v>
      </c>
      <c r="D35" s="20" t="s">
        <v>166</v>
      </c>
      <c r="E35" s="20" t="s">
        <v>142</v>
      </c>
      <c r="F35" s="20" t="s">
        <v>148</v>
      </c>
      <c r="G35" s="26">
        <f>G36</f>
        <v>5592.4</v>
      </c>
      <c r="H35" s="177"/>
    </row>
    <row r="36" spans="1:10" ht="47.25" x14ac:dyDescent="0.25">
      <c r="A36" s="25" t="s">
        <v>149</v>
      </c>
      <c r="B36" s="16">
        <v>902</v>
      </c>
      <c r="C36" s="20" t="s">
        <v>134</v>
      </c>
      <c r="D36" s="20" t="s">
        <v>166</v>
      </c>
      <c r="E36" s="20" t="s">
        <v>142</v>
      </c>
      <c r="F36" s="20" t="s">
        <v>150</v>
      </c>
      <c r="G36" s="27">
        <f>3962.7+1800-140.3-30</f>
        <v>5592.4</v>
      </c>
      <c r="H36" s="106"/>
      <c r="I36" s="125"/>
    </row>
    <row r="37" spans="1:10" ht="15.75" x14ac:dyDescent="0.25">
      <c r="A37" s="25" t="s">
        <v>151</v>
      </c>
      <c r="B37" s="16">
        <v>902</v>
      </c>
      <c r="C37" s="20" t="s">
        <v>134</v>
      </c>
      <c r="D37" s="20" t="s">
        <v>166</v>
      </c>
      <c r="E37" s="20" t="s">
        <v>142</v>
      </c>
      <c r="F37" s="20" t="s">
        <v>161</v>
      </c>
      <c r="G37" s="26">
        <f>G38</f>
        <v>120.7</v>
      </c>
      <c r="H37" s="177"/>
    </row>
    <row r="38" spans="1:10" ht="15.75" x14ac:dyDescent="0.25">
      <c r="A38" s="25" t="s">
        <v>584</v>
      </c>
      <c r="B38" s="16">
        <v>902</v>
      </c>
      <c r="C38" s="20" t="s">
        <v>134</v>
      </c>
      <c r="D38" s="20" t="s">
        <v>166</v>
      </c>
      <c r="E38" s="20" t="s">
        <v>142</v>
      </c>
      <c r="F38" s="20" t="s">
        <v>154</v>
      </c>
      <c r="G38" s="27">
        <f>90.7+30</f>
        <v>120.7</v>
      </c>
      <c r="H38" s="106"/>
      <c r="I38" s="124"/>
    </row>
    <row r="39" spans="1:10" ht="31.5" x14ac:dyDescent="0.25">
      <c r="A39" s="25" t="s">
        <v>167</v>
      </c>
      <c r="B39" s="16">
        <v>902</v>
      </c>
      <c r="C39" s="20" t="s">
        <v>134</v>
      </c>
      <c r="D39" s="20" t="s">
        <v>166</v>
      </c>
      <c r="E39" s="20" t="s">
        <v>168</v>
      </c>
      <c r="F39" s="20"/>
      <c r="G39" s="26">
        <f>G40</f>
        <v>3545.6</v>
      </c>
      <c r="H39" s="177"/>
    </row>
    <row r="40" spans="1:10" ht="94.5" x14ac:dyDescent="0.25">
      <c r="A40" s="25" t="s">
        <v>143</v>
      </c>
      <c r="B40" s="16">
        <v>902</v>
      </c>
      <c r="C40" s="20" t="s">
        <v>134</v>
      </c>
      <c r="D40" s="20" t="s">
        <v>166</v>
      </c>
      <c r="E40" s="20" t="s">
        <v>168</v>
      </c>
      <c r="F40" s="20" t="s">
        <v>144</v>
      </c>
      <c r="G40" s="26">
        <f>G41</f>
        <v>3545.6</v>
      </c>
      <c r="H40" s="177"/>
    </row>
    <row r="41" spans="1:10" ht="31.5" x14ac:dyDescent="0.25">
      <c r="A41" s="25" t="s">
        <v>145</v>
      </c>
      <c r="B41" s="16">
        <v>902</v>
      </c>
      <c r="C41" s="20" t="s">
        <v>134</v>
      </c>
      <c r="D41" s="20" t="s">
        <v>166</v>
      </c>
      <c r="E41" s="20" t="s">
        <v>168</v>
      </c>
      <c r="F41" s="20" t="s">
        <v>146</v>
      </c>
      <c r="G41" s="27">
        <v>3545.6</v>
      </c>
      <c r="H41" s="177"/>
    </row>
    <row r="42" spans="1:10" ht="15.75" x14ac:dyDescent="0.25">
      <c r="A42" s="25" t="s">
        <v>157</v>
      </c>
      <c r="B42" s="16">
        <v>902</v>
      </c>
      <c r="C42" s="20" t="s">
        <v>134</v>
      </c>
      <c r="D42" s="20" t="s">
        <v>166</v>
      </c>
      <c r="E42" s="20" t="s">
        <v>158</v>
      </c>
      <c r="F42" s="20"/>
      <c r="G42" s="28">
        <f>G43</f>
        <v>8019</v>
      </c>
      <c r="H42" s="177"/>
    </row>
    <row r="43" spans="1:10" ht="31.5" x14ac:dyDescent="0.25">
      <c r="A43" s="25" t="s">
        <v>169</v>
      </c>
      <c r="B43" s="16">
        <v>902</v>
      </c>
      <c r="C43" s="20" t="s">
        <v>134</v>
      </c>
      <c r="D43" s="20" t="s">
        <v>166</v>
      </c>
      <c r="E43" s="20" t="s">
        <v>170</v>
      </c>
      <c r="F43" s="20"/>
      <c r="G43" s="26">
        <f>G44+G46</f>
        <v>8019</v>
      </c>
      <c r="H43" s="177"/>
    </row>
    <row r="44" spans="1:10" ht="94.5" x14ac:dyDescent="0.25">
      <c r="A44" s="25" t="s">
        <v>143</v>
      </c>
      <c r="B44" s="16">
        <v>902</v>
      </c>
      <c r="C44" s="20" t="s">
        <v>134</v>
      </c>
      <c r="D44" s="20" t="s">
        <v>166</v>
      </c>
      <c r="E44" s="20" t="s">
        <v>170</v>
      </c>
      <c r="F44" s="20" t="s">
        <v>144</v>
      </c>
      <c r="G44" s="26">
        <f>G45</f>
        <v>5761.2</v>
      </c>
      <c r="H44" s="177"/>
    </row>
    <row r="45" spans="1:10" ht="31.5" x14ac:dyDescent="0.25">
      <c r="A45" s="25" t="s">
        <v>145</v>
      </c>
      <c r="B45" s="16">
        <v>902</v>
      </c>
      <c r="C45" s="20" t="s">
        <v>134</v>
      </c>
      <c r="D45" s="20" t="s">
        <v>166</v>
      </c>
      <c r="E45" s="20" t="s">
        <v>170</v>
      </c>
      <c r="F45" s="20" t="s">
        <v>146</v>
      </c>
      <c r="G45" s="156">
        <f>6958.6+88.4-2398.3+1112.5</f>
        <v>5761.2</v>
      </c>
      <c r="H45" s="106" t="s">
        <v>739</v>
      </c>
      <c r="I45" s="124"/>
      <c r="J45" s="171" t="s">
        <v>781</v>
      </c>
    </row>
    <row r="46" spans="1:10" ht="31.5" x14ac:dyDescent="0.25">
      <c r="A46" s="25" t="s">
        <v>147</v>
      </c>
      <c r="B46" s="16">
        <v>902</v>
      </c>
      <c r="C46" s="20" t="s">
        <v>134</v>
      </c>
      <c r="D46" s="20" t="s">
        <v>166</v>
      </c>
      <c r="E46" s="20" t="s">
        <v>170</v>
      </c>
      <c r="F46" s="20" t="s">
        <v>148</v>
      </c>
      <c r="G46" s="26">
        <f>G47</f>
        <v>2257.8000000000002</v>
      </c>
      <c r="H46" s="177"/>
    </row>
    <row r="47" spans="1:10" ht="47.25" x14ac:dyDescent="0.25">
      <c r="A47" s="25" t="s">
        <v>149</v>
      </c>
      <c r="B47" s="16">
        <v>902</v>
      </c>
      <c r="C47" s="20" t="s">
        <v>134</v>
      </c>
      <c r="D47" s="20" t="s">
        <v>166</v>
      </c>
      <c r="E47" s="20" t="s">
        <v>170</v>
      </c>
      <c r="F47" s="20" t="s">
        <v>150</v>
      </c>
      <c r="G47" s="156">
        <f>2109.3+129.9+835.5-1438.1+621.2</f>
        <v>2257.8000000000002</v>
      </c>
      <c r="H47" s="106" t="s">
        <v>740</v>
      </c>
      <c r="I47" s="125"/>
    </row>
    <row r="48" spans="1:10" ht="63" x14ac:dyDescent="0.25">
      <c r="A48" s="23" t="s">
        <v>135</v>
      </c>
      <c r="B48" s="19">
        <v>902</v>
      </c>
      <c r="C48" s="24" t="s">
        <v>134</v>
      </c>
      <c r="D48" s="24" t="s">
        <v>136</v>
      </c>
      <c r="E48" s="24"/>
      <c r="F48" s="20"/>
      <c r="G48" s="21">
        <f>G49</f>
        <v>1081.7</v>
      </c>
      <c r="H48" s="177"/>
    </row>
    <row r="49" spans="1:11" ht="21.2" customHeight="1" x14ac:dyDescent="0.25">
      <c r="A49" s="25" t="s">
        <v>137</v>
      </c>
      <c r="B49" s="16">
        <v>902</v>
      </c>
      <c r="C49" s="20" t="s">
        <v>134</v>
      </c>
      <c r="D49" s="20" t="s">
        <v>136</v>
      </c>
      <c r="E49" s="20" t="s">
        <v>138</v>
      </c>
      <c r="F49" s="20"/>
      <c r="G49" s="26">
        <f>G50</f>
        <v>1081.7</v>
      </c>
      <c r="H49" s="177"/>
    </row>
    <row r="50" spans="1:11" ht="31.5" x14ac:dyDescent="0.25">
      <c r="A50" s="25" t="s">
        <v>139</v>
      </c>
      <c r="B50" s="16">
        <v>902</v>
      </c>
      <c r="C50" s="20" t="s">
        <v>134</v>
      </c>
      <c r="D50" s="20" t="s">
        <v>136</v>
      </c>
      <c r="E50" s="20" t="s">
        <v>140</v>
      </c>
      <c r="F50" s="20"/>
      <c r="G50" s="26">
        <f>G51</f>
        <v>1081.7</v>
      </c>
      <c r="H50" s="177"/>
      <c r="K50" s="26"/>
    </row>
    <row r="51" spans="1:11" ht="47.25" x14ac:dyDescent="0.25">
      <c r="A51" s="25" t="s">
        <v>141</v>
      </c>
      <c r="B51" s="16">
        <v>902</v>
      </c>
      <c r="C51" s="20" t="s">
        <v>134</v>
      </c>
      <c r="D51" s="20" t="s">
        <v>136</v>
      </c>
      <c r="E51" s="20" t="s">
        <v>142</v>
      </c>
      <c r="F51" s="20"/>
      <c r="G51" s="26">
        <f>G52+G54</f>
        <v>1081.7</v>
      </c>
      <c r="H51" s="177"/>
      <c r="K51" s="26"/>
    </row>
    <row r="52" spans="1:11" ht="94.5" x14ac:dyDescent="0.25">
      <c r="A52" s="25" t="s">
        <v>143</v>
      </c>
      <c r="B52" s="16">
        <v>902</v>
      </c>
      <c r="C52" s="20" t="s">
        <v>134</v>
      </c>
      <c r="D52" s="20" t="s">
        <v>136</v>
      </c>
      <c r="E52" s="20" t="s">
        <v>142</v>
      </c>
      <c r="F52" s="20" t="s">
        <v>144</v>
      </c>
      <c r="G52" s="26">
        <f>G53</f>
        <v>1081.7</v>
      </c>
      <c r="H52" s="177"/>
      <c r="K52" s="27"/>
    </row>
    <row r="53" spans="1:11" ht="31.5" x14ac:dyDescent="0.25">
      <c r="A53" s="25" t="s">
        <v>145</v>
      </c>
      <c r="B53" s="16">
        <v>902</v>
      </c>
      <c r="C53" s="20" t="s">
        <v>134</v>
      </c>
      <c r="D53" s="20" t="s">
        <v>136</v>
      </c>
      <c r="E53" s="20" t="s">
        <v>142</v>
      </c>
      <c r="F53" s="20" t="s">
        <v>146</v>
      </c>
      <c r="G53" s="27">
        <f>1081.7</f>
        <v>1081.7</v>
      </c>
      <c r="H53" s="177"/>
      <c r="I53" s="115"/>
      <c r="K53" s="26"/>
    </row>
    <row r="54" spans="1:11" ht="31.5" hidden="1" x14ac:dyDescent="0.25">
      <c r="A54" s="25" t="s">
        <v>147</v>
      </c>
      <c r="B54" s="16">
        <v>902</v>
      </c>
      <c r="C54" s="20" t="s">
        <v>134</v>
      </c>
      <c r="D54" s="20" t="s">
        <v>136</v>
      </c>
      <c r="E54" s="20" t="s">
        <v>142</v>
      </c>
      <c r="F54" s="20" t="s">
        <v>148</v>
      </c>
      <c r="G54" s="27">
        <f>G55</f>
        <v>0</v>
      </c>
      <c r="H54" s="177"/>
      <c r="K54" s="26"/>
    </row>
    <row r="55" spans="1:11" ht="47.25" hidden="1" x14ac:dyDescent="0.25">
      <c r="A55" s="25" t="s">
        <v>149</v>
      </c>
      <c r="B55" s="16">
        <v>902</v>
      </c>
      <c r="C55" s="20" t="s">
        <v>134</v>
      </c>
      <c r="D55" s="20" t="s">
        <v>136</v>
      </c>
      <c r="E55" s="20" t="s">
        <v>142</v>
      </c>
      <c r="F55" s="20" t="s">
        <v>150</v>
      </c>
      <c r="G55" s="27"/>
      <c r="H55" s="177"/>
      <c r="I55" s="115"/>
      <c r="K55" s="26"/>
    </row>
    <row r="56" spans="1:11" ht="15.75" x14ac:dyDescent="0.25">
      <c r="A56" s="23" t="s">
        <v>155</v>
      </c>
      <c r="B56" s="19">
        <v>902</v>
      </c>
      <c r="C56" s="24" t="s">
        <v>134</v>
      </c>
      <c r="D56" s="24" t="s">
        <v>156</v>
      </c>
      <c r="E56" s="24"/>
      <c r="F56" s="24"/>
      <c r="G56" s="21">
        <f>G57+G61+G73+G86+G97+G90</f>
        <v>13472.8</v>
      </c>
      <c r="H56" s="177"/>
      <c r="I56" s="114"/>
      <c r="K56" s="26"/>
    </row>
    <row r="57" spans="1:11" ht="63" x14ac:dyDescent="0.25">
      <c r="A57" s="25" t="s">
        <v>171</v>
      </c>
      <c r="B57" s="16">
        <v>902</v>
      </c>
      <c r="C57" s="20" t="s">
        <v>134</v>
      </c>
      <c r="D57" s="20" t="s">
        <v>156</v>
      </c>
      <c r="E57" s="20" t="s">
        <v>172</v>
      </c>
      <c r="F57" s="20"/>
      <c r="G57" s="26">
        <f>G58</f>
        <v>250</v>
      </c>
      <c r="H57" s="177"/>
    </row>
    <row r="58" spans="1:11" ht="31.5" x14ac:dyDescent="0.25">
      <c r="A58" s="25" t="s">
        <v>173</v>
      </c>
      <c r="B58" s="16">
        <v>902</v>
      </c>
      <c r="C58" s="20" t="s">
        <v>134</v>
      </c>
      <c r="D58" s="20" t="s">
        <v>156</v>
      </c>
      <c r="E58" s="20" t="s">
        <v>174</v>
      </c>
      <c r="F58" s="20"/>
      <c r="G58" s="26">
        <f>G59</f>
        <v>250</v>
      </c>
      <c r="H58" s="177"/>
    </row>
    <row r="59" spans="1:11" ht="15.75" x14ac:dyDescent="0.25">
      <c r="A59" s="25" t="s">
        <v>151</v>
      </c>
      <c r="B59" s="16">
        <v>902</v>
      </c>
      <c r="C59" s="20" t="s">
        <v>134</v>
      </c>
      <c r="D59" s="20" t="s">
        <v>156</v>
      </c>
      <c r="E59" s="20" t="s">
        <v>174</v>
      </c>
      <c r="F59" s="20" t="s">
        <v>161</v>
      </c>
      <c r="G59" s="26">
        <f>G60</f>
        <v>250</v>
      </c>
      <c r="H59" s="177"/>
    </row>
    <row r="60" spans="1:11" ht="78.75" x14ac:dyDescent="0.25">
      <c r="A60" s="25" t="s">
        <v>175</v>
      </c>
      <c r="B60" s="16">
        <v>902</v>
      </c>
      <c r="C60" s="20" t="s">
        <v>134</v>
      </c>
      <c r="D60" s="20" t="s">
        <v>156</v>
      </c>
      <c r="E60" s="20" t="s">
        <v>174</v>
      </c>
      <c r="F60" s="20" t="s">
        <v>176</v>
      </c>
      <c r="G60" s="26">
        <f>100+150</f>
        <v>250</v>
      </c>
      <c r="H60" s="177"/>
      <c r="I60" s="115"/>
    </row>
    <row r="61" spans="1:11" ht="47.25" x14ac:dyDescent="0.25">
      <c r="A61" s="25" t="s">
        <v>177</v>
      </c>
      <c r="B61" s="16">
        <v>902</v>
      </c>
      <c r="C61" s="20" t="s">
        <v>134</v>
      </c>
      <c r="D61" s="20" t="s">
        <v>156</v>
      </c>
      <c r="E61" s="20" t="s">
        <v>178</v>
      </c>
      <c r="F61" s="20"/>
      <c r="G61" s="26">
        <f>G62+G65+G70</f>
        <v>653.5</v>
      </c>
      <c r="H61" s="177"/>
    </row>
    <row r="62" spans="1:11" ht="31.5" x14ac:dyDescent="0.25">
      <c r="A62" s="29" t="s">
        <v>179</v>
      </c>
      <c r="B62" s="16">
        <v>902</v>
      </c>
      <c r="C62" s="20" t="s">
        <v>134</v>
      </c>
      <c r="D62" s="20" t="s">
        <v>156</v>
      </c>
      <c r="E62" s="40" t="s">
        <v>180</v>
      </c>
      <c r="F62" s="20"/>
      <c r="G62" s="26">
        <f>G63</f>
        <v>428.1</v>
      </c>
      <c r="H62" s="177"/>
    </row>
    <row r="63" spans="1:11" ht="31.5" x14ac:dyDescent="0.25">
      <c r="A63" s="25" t="s">
        <v>147</v>
      </c>
      <c r="B63" s="16">
        <v>902</v>
      </c>
      <c r="C63" s="20" t="s">
        <v>134</v>
      </c>
      <c r="D63" s="20" t="s">
        <v>156</v>
      </c>
      <c r="E63" s="40" t="s">
        <v>180</v>
      </c>
      <c r="F63" s="20" t="s">
        <v>148</v>
      </c>
      <c r="G63" s="26">
        <f>G64</f>
        <v>428.1</v>
      </c>
      <c r="H63" s="177"/>
    </row>
    <row r="64" spans="1:11" ht="47.25" x14ac:dyDescent="0.25">
      <c r="A64" s="25" t="s">
        <v>149</v>
      </c>
      <c r="B64" s="16">
        <v>902</v>
      </c>
      <c r="C64" s="20" t="s">
        <v>134</v>
      </c>
      <c r="D64" s="20" t="s">
        <v>156</v>
      </c>
      <c r="E64" s="40" t="s">
        <v>180</v>
      </c>
      <c r="F64" s="20" t="s">
        <v>150</v>
      </c>
      <c r="G64" s="26">
        <f>494.3-66.2</f>
        <v>428.1</v>
      </c>
      <c r="H64" s="177"/>
    </row>
    <row r="65" spans="1:8" ht="63" x14ac:dyDescent="0.25">
      <c r="A65" s="178" t="s">
        <v>181</v>
      </c>
      <c r="B65" s="16">
        <v>902</v>
      </c>
      <c r="C65" s="20" t="s">
        <v>134</v>
      </c>
      <c r="D65" s="20" t="s">
        <v>156</v>
      </c>
      <c r="E65" s="40" t="s">
        <v>182</v>
      </c>
      <c r="F65" s="20"/>
      <c r="G65" s="26">
        <f>G66+G68</f>
        <v>224.89999999999998</v>
      </c>
      <c r="H65" s="177"/>
    </row>
    <row r="66" spans="1:8" ht="94.5" x14ac:dyDescent="0.25">
      <c r="A66" s="25" t="s">
        <v>143</v>
      </c>
      <c r="B66" s="16">
        <v>902</v>
      </c>
      <c r="C66" s="20" t="s">
        <v>134</v>
      </c>
      <c r="D66" s="20" t="s">
        <v>156</v>
      </c>
      <c r="E66" s="40" t="s">
        <v>182</v>
      </c>
      <c r="F66" s="20" t="s">
        <v>144</v>
      </c>
      <c r="G66" s="26">
        <f>G67</f>
        <v>159.69999999999999</v>
      </c>
      <c r="H66" s="177"/>
    </row>
    <row r="67" spans="1:8" ht="31.5" x14ac:dyDescent="0.25">
      <c r="A67" s="25" t="s">
        <v>145</v>
      </c>
      <c r="B67" s="16">
        <v>902</v>
      </c>
      <c r="C67" s="20" t="s">
        <v>134</v>
      </c>
      <c r="D67" s="20" t="s">
        <v>156</v>
      </c>
      <c r="E67" s="40" t="s">
        <v>182</v>
      </c>
      <c r="F67" s="20" t="s">
        <v>146</v>
      </c>
      <c r="G67" s="26">
        <v>159.69999999999999</v>
      </c>
      <c r="H67" s="177"/>
    </row>
    <row r="68" spans="1:8" ht="31.5" x14ac:dyDescent="0.25">
      <c r="A68" s="25" t="s">
        <v>147</v>
      </c>
      <c r="B68" s="16">
        <v>902</v>
      </c>
      <c r="C68" s="20" t="s">
        <v>134</v>
      </c>
      <c r="D68" s="20" t="s">
        <v>156</v>
      </c>
      <c r="E68" s="40" t="s">
        <v>182</v>
      </c>
      <c r="F68" s="20" t="s">
        <v>148</v>
      </c>
      <c r="G68" s="26">
        <f>G69</f>
        <v>65.2</v>
      </c>
      <c r="H68" s="177"/>
    </row>
    <row r="69" spans="1:8" ht="47.25" x14ac:dyDescent="0.25">
      <c r="A69" s="25" t="s">
        <v>149</v>
      </c>
      <c r="B69" s="16">
        <v>902</v>
      </c>
      <c r="C69" s="20" t="s">
        <v>134</v>
      </c>
      <c r="D69" s="20" t="s">
        <v>156</v>
      </c>
      <c r="E69" s="40" t="s">
        <v>182</v>
      </c>
      <c r="F69" s="20" t="s">
        <v>150</v>
      </c>
      <c r="G69" s="26">
        <f>66.2-0.5-0.5</f>
        <v>65.2</v>
      </c>
      <c r="H69" s="106"/>
    </row>
    <row r="70" spans="1:8" ht="47.25" x14ac:dyDescent="0.25">
      <c r="A70" s="33" t="s">
        <v>207</v>
      </c>
      <c r="B70" s="16">
        <v>902</v>
      </c>
      <c r="C70" s="20" t="s">
        <v>134</v>
      </c>
      <c r="D70" s="20" t="s">
        <v>156</v>
      </c>
      <c r="E70" s="40" t="s">
        <v>699</v>
      </c>
      <c r="F70" s="20"/>
      <c r="G70" s="26">
        <f>G71</f>
        <v>0.5</v>
      </c>
      <c r="H70" s="108"/>
    </row>
    <row r="71" spans="1:8" ht="31.5" x14ac:dyDescent="0.25">
      <c r="A71" s="25" t="s">
        <v>147</v>
      </c>
      <c r="B71" s="16">
        <v>902</v>
      </c>
      <c r="C71" s="20" t="s">
        <v>134</v>
      </c>
      <c r="D71" s="20" t="s">
        <v>156</v>
      </c>
      <c r="E71" s="40" t="s">
        <v>699</v>
      </c>
      <c r="F71" s="20" t="s">
        <v>148</v>
      </c>
      <c r="G71" s="26">
        <f>G72</f>
        <v>0.5</v>
      </c>
      <c r="H71" s="177"/>
    </row>
    <row r="72" spans="1:8" ht="47.25" x14ac:dyDescent="0.25">
      <c r="A72" s="25" t="s">
        <v>149</v>
      </c>
      <c r="B72" s="16">
        <v>902</v>
      </c>
      <c r="C72" s="20" t="s">
        <v>134</v>
      </c>
      <c r="D72" s="20" t="s">
        <v>156</v>
      </c>
      <c r="E72" s="40" t="s">
        <v>699</v>
      </c>
      <c r="F72" s="20" t="s">
        <v>150</v>
      </c>
      <c r="G72" s="26">
        <v>0.5</v>
      </c>
      <c r="H72" s="106"/>
    </row>
    <row r="73" spans="1:8" ht="94.5" x14ac:dyDescent="0.25">
      <c r="A73" s="29" t="s">
        <v>183</v>
      </c>
      <c r="B73" s="16">
        <v>902</v>
      </c>
      <c r="C73" s="9" t="s">
        <v>134</v>
      </c>
      <c r="D73" s="9" t="s">
        <v>156</v>
      </c>
      <c r="E73" s="5" t="s">
        <v>184</v>
      </c>
      <c r="F73" s="9"/>
      <c r="G73" s="26">
        <f>G74+G78+G82</f>
        <v>80</v>
      </c>
      <c r="H73" s="177"/>
    </row>
    <row r="74" spans="1:8" ht="78.75" x14ac:dyDescent="0.25">
      <c r="A74" s="29" t="s">
        <v>185</v>
      </c>
      <c r="B74" s="16">
        <v>902</v>
      </c>
      <c r="C74" s="9" t="s">
        <v>134</v>
      </c>
      <c r="D74" s="9" t="s">
        <v>156</v>
      </c>
      <c r="E74" s="30" t="s">
        <v>186</v>
      </c>
      <c r="F74" s="9"/>
      <c r="G74" s="26">
        <f>G75</f>
        <v>15</v>
      </c>
      <c r="H74" s="177"/>
    </row>
    <row r="75" spans="1:8" ht="31.5" x14ac:dyDescent="0.25">
      <c r="A75" s="178" t="s">
        <v>187</v>
      </c>
      <c r="B75" s="16">
        <v>902</v>
      </c>
      <c r="C75" s="9" t="s">
        <v>134</v>
      </c>
      <c r="D75" s="9" t="s">
        <v>156</v>
      </c>
      <c r="E75" s="5" t="s">
        <v>188</v>
      </c>
      <c r="F75" s="9"/>
      <c r="G75" s="26">
        <f>G76</f>
        <v>15</v>
      </c>
      <c r="H75" s="177"/>
    </row>
    <row r="76" spans="1:8" ht="31.5" x14ac:dyDescent="0.25">
      <c r="A76" s="25" t="s">
        <v>147</v>
      </c>
      <c r="B76" s="16">
        <v>902</v>
      </c>
      <c r="C76" s="9" t="s">
        <v>134</v>
      </c>
      <c r="D76" s="9" t="s">
        <v>156</v>
      </c>
      <c r="E76" s="5" t="s">
        <v>188</v>
      </c>
      <c r="F76" s="9" t="s">
        <v>148</v>
      </c>
      <c r="G76" s="26">
        <f>G77</f>
        <v>15</v>
      </c>
      <c r="H76" s="177"/>
    </row>
    <row r="77" spans="1:8" ht="47.25" x14ac:dyDescent="0.25">
      <c r="A77" s="25" t="s">
        <v>149</v>
      </c>
      <c r="B77" s="16">
        <v>902</v>
      </c>
      <c r="C77" s="9" t="s">
        <v>134</v>
      </c>
      <c r="D77" s="9" t="s">
        <v>156</v>
      </c>
      <c r="E77" s="5" t="s">
        <v>188</v>
      </c>
      <c r="F77" s="9" t="s">
        <v>150</v>
      </c>
      <c r="G77" s="26">
        <v>15</v>
      </c>
      <c r="H77" s="177"/>
    </row>
    <row r="78" spans="1:8" ht="63" x14ac:dyDescent="0.25">
      <c r="A78" s="29" t="s">
        <v>189</v>
      </c>
      <c r="B78" s="16">
        <v>902</v>
      </c>
      <c r="C78" s="9" t="s">
        <v>134</v>
      </c>
      <c r="D78" s="9" t="s">
        <v>156</v>
      </c>
      <c r="E78" s="30" t="s">
        <v>190</v>
      </c>
      <c r="F78" s="9"/>
      <c r="G78" s="26">
        <f>G79</f>
        <v>50</v>
      </c>
      <c r="H78" s="177"/>
    </row>
    <row r="79" spans="1:8" ht="31.5" x14ac:dyDescent="0.25">
      <c r="A79" s="45" t="s">
        <v>191</v>
      </c>
      <c r="B79" s="16">
        <v>902</v>
      </c>
      <c r="C79" s="9" t="s">
        <v>134</v>
      </c>
      <c r="D79" s="9" t="s">
        <v>156</v>
      </c>
      <c r="E79" s="5" t="s">
        <v>192</v>
      </c>
      <c r="F79" s="9"/>
      <c r="G79" s="26">
        <f>G80</f>
        <v>50</v>
      </c>
      <c r="H79" s="177"/>
    </row>
    <row r="80" spans="1:8" ht="31.5" x14ac:dyDescent="0.25">
      <c r="A80" s="25" t="s">
        <v>147</v>
      </c>
      <c r="B80" s="16">
        <v>902</v>
      </c>
      <c r="C80" s="9" t="s">
        <v>134</v>
      </c>
      <c r="D80" s="9" t="s">
        <v>156</v>
      </c>
      <c r="E80" s="5" t="s">
        <v>192</v>
      </c>
      <c r="F80" s="9" t="s">
        <v>148</v>
      </c>
      <c r="G80" s="26">
        <f>G81</f>
        <v>50</v>
      </c>
      <c r="H80" s="177"/>
    </row>
    <row r="81" spans="1:9" ht="47.25" x14ac:dyDescent="0.25">
      <c r="A81" s="25" t="s">
        <v>149</v>
      </c>
      <c r="B81" s="16">
        <v>902</v>
      </c>
      <c r="C81" s="9" t="s">
        <v>134</v>
      </c>
      <c r="D81" s="9" t="s">
        <v>156</v>
      </c>
      <c r="E81" s="5" t="s">
        <v>192</v>
      </c>
      <c r="F81" s="9" t="s">
        <v>150</v>
      </c>
      <c r="G81" s="26">
        <v>50</v>
      </c>
      <c r="H81" s="177"/>
    </row>
    <row r="82" spans="1:9" ht="47.25" x14ac:dyDescent="0.25">
      <c r="A82" s="25" t="s">
        <v>193</v>
      </c>
      <c r="B82" s="16">
        <v>902</v>
      </c>
      <c r="C82" s="9" t="s">
        <v>134</v>
      </c>
      <c r="D82" s="9" t="s">
        <v>156</v>
      </c>
      <c r="E82" s="5" t="s">
        <v>194</v>
      </c>
      <c r="F82" s="9"/>
      <c r="G82" s="26">
        <f>G83</f>
        <v>15</v>
      </c>
      <c r="H82" s="177"/>
    </row>
    <row r="83" spans="1:9" ht="15.75" x14ac:dyDescent="0.25">
      <c r="A83" s="45" t="s">
        <v>195</v>
      </c>
      <c r="B83" s="16">
        <v>902</v>
      </c>
      <c r="C83" s="9" t="s">
        <v>134</v>
      </c>
      <c r="D83" s="9" t="s">
        <v>156</v>
      </c>
      <c r="E83" s="5" t="s">
        <v>196</v>
      </c>
      <c r="F83" s="9"/>
      <c r="G83" s="26">
        <f>G84</f>
        <v>15</v>
      </c>
      <c r="H83" s="177"/>
    </row>
    <row r="84" spans="1:9" ht="31.5" x14ac:dyDescent="0.25">
      <c r="A84" s="25" t="s">
        <v>147</v>
      </c>
      <c r="B84" s="16">
        <v>902</v>
      </c>
      <c r="C84" s="9" t="s">
        <v>134</v>
      </c>
      <c r="D84" s="9" t="s">
        <v>156</v>
      </c>
      <c r="E84" s="5" t="s">
        <v>196</v>
      </c>
      <c r="F84" s="9" t="s">
        <v>148</v>
      </c>
      <c r="G84" s="26">
        <f>G85</f>
        <v>15</v>
      </c>
      <c r="H84" s="177"/>
    </row>
    <row r="85" spans="1:9" ht="47.25" x14ac:dyDescent="0.25">
      <c r="A85" s="25" t="s">
        <v>149</v>
      </c>
      <c r="B85" s="16">
        <v>902</v>
      </c>
      <c r="C85" s="9" t="s">
        <v>134</v>
      </c>
      <c r="D85" s="9" t="s">
        <v>156</v>
      </c>
      <c r="E85" s="5" t="s">
        <v>196</v>
      </c>
      <c r="F85" s="9" t="s">
        <v>150</v>
      </c>
      <c r="G85" s="26">
        <v>15</v>
      </c>
      <c r="H85" s="177"/>
    </row>
    <row r="86" spans="1:9" ht="47.25" x14ac:dyDescent="0.25">
      <c r="A86" s="31" t="s">
        <v>197</v>
      </c>
      <c r="B86" s="16">
        <v>902</v>
      </c>
      <c r="C86" s="20" t="s">
        <v>134</v>
      </c>
      <c r="D86" s="20" t="s">
        <v>156</v>
      </c>
      <c r="E86" s="30" t="s">
        <v>198</v>
      </c>
      <c r="F86" s="32"/>
      <c r="G86" s="26">
        <f>G87</f>
        <v>120</v>
      </c>
      <c r="H86" s="177"/>
    </row>
    <row r="87" spans="1:9" ht="31.5" x14ac:dyDescent="0.25">
      <c r="A87" s="25" t="s">
        <v>173</v>
      </c>
      <c r="B87" s="16">
        <v>902</v>
      </c>
      <c r="C87" s="20" t="s">
        <v>134</v>
      </c>
      <c r="D87" s="20" t="s">
        <v>156</v>
      </c>
      <c r="E87" s="20" t="s">
        <v>199</v>
      </c>
      <c r="F87" s="32"/>
      <c r="G87" s="26">
        <f>G88</f>
        <v>120</v>
      </c>
      <c r="H87" s="177"/>
    </row>
    <row r="88" spans="1:9" ht="15.75" x14ac:dyDescent="0.25">
      <c r="A88" s="29" t="s">
        <v>151</v>
      </c>
      <c r="B88" s="16">
        <v>902</v>
      </c>
      <c r="C88" s="20" t="s">
        <v>134</v>
      </c>
      <c r="D88" s="20" t="s">
        <v>156</v>
      </c>
      <c r="E88" s="20" t="s">
        <v>199</v>
      </c>
      <c r="F88" s="32" t="s">
        <v>161</v>
      </c>
      <c r="G88" s="26">
        <f>G89</f>
        <v>120</v>
      </c>
      <c r="H88" s="177"/>
    </row>
    <row r="89" spans="1:9" ht="63" x14ac:dyDescent="0.25">
      <c r="A89" s="29" t="s">
        <v>200</v>
      </c>
      <c r="B89" s="16">
        <v>902</v>
      </c>
      <c r="C89" s="20" t="s">
        <v>134</v>
      </c>
      <c r="D89" s="20" t="s">
        <v>156</v>
      </c>
      <c r="E89" s="20" t="s">
        <v>199</v>
      </c>
      <c r="F89" s="32" t="s">
        <v>176</v>
      </c>
      <c r="G89" s="26">
        <f>100+20</f>
        <v>120</v>
      </c>
      <c r="H89" s="106"/>
      <c r="I89" s="126"/>
    </row>
    <row r="90" spans="1:9" ht="63" x14ac:dyDescent="0.25">
      <c r="A90" s="29" t="s">
        <v>730</v>
      </c>
      <c r="B90" s="16">
        <v>902</v>
      </c>
      <c r="C90" s="20" t="s">
        <v>134</v>
      </c>
      <c r="D90" s="20" t="s">
        <v>156</v>
      </c>
      <c r="E90" s="20" t="s">
        <v>728</v>
      </c>
      <c r="F90" s="32"/>
      <c r="G90" s="26">
        <f>G91</f>
        <v>29</v>
      </c>
      <c r="H90" s="108"/>
    </row>
    <row r="91" spans="1:9" ht="31.5" x14ac:dyDescent="0.25">
      <c r="A91" s="31" t="s">
        <v>173</v>
      </c>
      <c r="B91" s="16">
        <v>902</v>
      </c>
      <c r="C91" s="20" t="s">
        <v>134</v>
      </c>
      <c r="D91" s="20" t="s">
        <v>156</v>
      </c>
      <c r="E91" s="20" t="s">
        <v>736</v>
      </c>
      <c r="F91" s="32"/>
      <c r="G91" s="26">
        <f>G92</f>
        <v>29</v>
      </c>
      <c r="H91" s="108"/>
    </row>
    <row r="92" spans="1:9" ht="31.5" x14ac:dyDescent="0.25">
      <c r="A92" s="25" t="s">
        <v>147</v>
      </c>
      <c r="B92" s="16">
        <v>902</v>
      </c>
      <c r="C92" s="20" t="s">
        <v>134</v>
      </c>
      <c r="D92" s="20" t="s">
        <v>156</v>
      </c>
      <c r="E92" s="20" t="s">
        <v>736</v>
      </c>
      <c r="F92" s="32" t="s">
        <v>148</v>
      </c>
      <c r="G92" s="26">
        <f>G93</f>
        <v>29</v>
      </c>
      <c r="H92" s="108"/>
    </row>
    <row r="93" spans="1:9" ht="47.25" x14ac:dyDescent="0.25">
      <c r="A93" s="25" t="s">
        <v>149</v>
      </c>
      <c r="B93" s="16">
        <v>902</v>
      </c>
      <c r="C93" s="20" t="s">
        <v>134</v>
      </c>
      <c r="D93" s="20" t="s">
        <v>156</v>
      </c>
      <c r="E93" s="20" t="s">
        <v>736</v>
      </c>
      <c r="F93" s="32" t="s">
        <v>150</v>
      </c>
      <c r="G93" s="26">
        <v>29</v>
      </c>
      <c r="H93" s="108"/>
      <c r="I93" s="124"/>
    </row>
    <row r="94" spans="1:9" ht="15.75" hidden="1" x14ac:dyDescent="0.25">
      <c r="A94" s="29"/>
      <c r="B94" s="16"/>
      <c r="C94" s="20"/>
      <c r="D94" s="20"/>
      <c r="E94" s="20"/>
      <c r="F94" s="32"/>
      <c r="G94" s="26"/>
      <c r="H94" s="108"/>
    </row>
    <row r="95" spans="1:9" ht="15.75" hidden="1" x14ac:dyDescent="0.25">
      <c r="A95" s="25"/>
      <c r="B95" s="16"/>
      <c r="C95" s="20"/>
      <c r="D95" s="20"/>
      <c r="E95" s="20"/>
      <c r="F95" s="32"/>
      <c r="G95" s="26"/>
      <c r="H95" s="108"/>
    </row>
    <row r="96" spans="1:9" ht="15.75" hidden="1" x14ac:dyDescent="0.25">
      <c r="A96" s="25"/>
      <c r="B96" s="16"/>
      <c r="C96" s="20"/>
      <c r="D96" s="20"/>
      <c r="E96" s="20"/>
      <c r="F96" s="32"/>
      <c r="G96" s="26"/>
      <c r="H96" s="108"/>
      <c r="I96" s="124"/>
    </row>
    <row r="97" spans="1:9" ht="15.75" x14ac:dyDescent="0.25">
      <c r="A97" s="25" t="s">
        <v>137</v>
      </c>
      <c r="B97" s="16">
        <v>902</v>
      </c>
      <c r="C97" s="20" t="s">
        <v>134</v>
      </c>
      <c r="D97" s="20" t="s">
        <v>156</v>
      </c>
      <c r="E97" s="20" t="s">
        <v>138</v>
      </c>
      <c r="F97" s="20"/>
      <c r="G97" s="26">
        <f>G98+G121</f>
        <v>12340.3</v>
      </c>
      <c r="H97" s="177"/>
    </row>
    <row r="98" spans="1:9" ht="31.5" x14ac:dyDescent="0.25">
      <c r="A98" s="25" t="s">
        <v>201</v>
      </c>
      <c r="B98" s="16">
        <v>902</v>
      </c>
      <c r="C98" s="20" t="s">
        <v>134</v>
      </c>
      <c r="D98" s="20" t="s">
        <v>156</v>
      </c>
      <c r="E98" s="20" t="s">
        <v>202</v>
      </c>
      <c r="F98" s="20"/>
      <c r="G98" s="26">
        <f>G104+G107+G113+G116</f>
        <v>3600.8999999999996</v>
      </c>
      <c r="H98" s="177"/>
    </row>
    <row r="99" spans="1:9" ht="47.25" hidden="1" x14ac:dyDescent="0.25">
      <c r="A99" s="25" t="s">
        <v>203</v>
      </c>
      <c r="B99" s="16">
        <v>902</v>
      </c>
      <c r="C99" s="20" t="s">
        <v>134</v>
      </c>
      <c r="D99" s="20" t="s">
        <v>156</v>
      </c>
      <c r="E99" s="20" t="s">
        <v>204</v>
      </c>
      <c r="F99" s="24"/>
      <c r="G99" s="26">
        <f>G100+G102</f>
        <v>0</v>
      </c>
      <c r="H99" s="177"/>
    </row>
    <row r="100" spans="1:9" ht="94.5" hidden="1" x14ac:dyDescent="0.25">
      <c r="A100" s="25" t="s">
        <v>143</v>
      </c>
      <c r="B100" s="16">
        <v>902</v>
      </c>
      <c r="C100" s="20" t="s">
        <v>134</v>
      </c>
      <c r="D100" s="20" t="s">
        <v>156</v>
      </c>
      <c r="E100" s="20" t="s">
        <v>204</v>
      </c>
      <c r="F100" s="20" t="s">
        <v>144</v>
      </c>
      <c r="G100" s="26">
        <f>G101</f>
        <v>0</v>
      </c>
      <c r="H100" s="177"/>
    </row>
    <row r="101" spans="1:9" ht="31.5" hidden="1" x14ac:dyDescent="0.25">
      <c r="A101" s="25" t="s">
        <v>145</v>
      </c>
      <c r="B101" s="16">
        <v>902</v>
      </c>
      <c r="C101" s="20" t="s">
        <v>134</v>
      </c>
      <c r="D101" s="20" t="s">
        <v>156</v>
      </c>
      <c r="E101" s="20" t="s">
        <v>204</v>
      </c>
      <c r="F101" s="20" t="s">
        <v>146</v>
      </c>
      <c r="G101" s="26">
        <v>0</v>
      </c>
      <c r="H101" s="177"/>
    </row>
    <row r="102" spans="1:9" ht="31.5" hidden="1" x14ac:dyDescent="0.25">
      <c r="A102" s="25" t="s">
        <v>147</v>
      </c>
      <c r="B102" s="16">
        <v>902</v>
      </c>
      <c r="C102" s="20" t="s">
        <v>134</v>
      </c>
      <c r="D102" s="20" t="s">
        <v>156</v>
      </c>
      <c r="E102" s="20" t="s">
        <v>204</v>
      </c>
      <c r="F102" s="20" t="s">
        <v>148</v>
      </c>
      <c r="G102" s="26">
        <f>G103</f>
        <v>0</v>
      </c>
      <c r="H102" s="177"/>
    </row>
    <row r="103" spans="1:9" ht="47.25" hidden="1" x14ac:dyDescent="0.25">
      <c r="A103" s="25" t="s">
        <v>149</v>
      </c>
      <c r="B103" s="16">
        <v>902</v>
      </c>
      <c r="C103" s="20" t="s">
        <v>134</v>
      </c>
      <c r="D103" s="20" t="s">
        <v>156</v>
      </c>
      <c r="E103" s="20" t="s">
        <v>204</v>
      </c>
      <c r="F103" s="20" t="s">
        <v>150</v>
      </c>
      <c r="G103" s="26">
        <v>0</v>
      </c>
      <c r="H103" s="177"/>
    </row>
    <row r="104" spans="1:9" ht="47.25" x14ac:dyDescent="0.25">
      <c r="A104" s="31" t="s">
        <v>205</v>
      </c>
      <c r="B104" s="16">
        <v>902</v>
      </c>
      <c r="C104" s="20" t="s">
        <v>134</v>
      </c>
      <c r="D104" s="20" t="s">
        <v>156</v>
      </c>
      <c r="E104" s="20" t="s">
        <v>206</v>
      </c>
      <c r="F104" s="20"/>
      <c r="G104" s="26">
        <f>G105</f>
        <v>701.8</v>
      </c>
      <c r="H104" s="177"/>
    </row>
    <row r="105" spans="1:9" ht="94.5" x14ac:dyDescent="0.25">
      <c r="A105" s="25" t="s">
        <v>143</v>
      </c>
      <c r="B105" s="16">
        <v>902</v>
      </c>
      <c r="C105" s="20" t="s">
        <v>134</v>
      </c>
      <c r="D105" s="20" t="s">
        <v>156</v>
      </c>
      <c r="E105" s="20" t="s">
        <v>206</v>
      </c>
      <c r="F105" s="20" t="s">
        <v>144</v>
      </c>
      <c r="G105" s="26">
        <f>G106</f>
        <v>701.8</v>
      </c>
      <c r="H105" s="177"/>
    </row>
    <row r="106" spans="1:9" ht="31.5" x14ac:dyDescent="0.25">
      <c r="A106" s="25" t="s">
        <v>145</v>
      </c>
      <c r="B106" s="16">
        <v>902</v>
      </c>
      <c r="C106" s="20" t="s">
        <v>134</v>
      </c>
      <c r="D106" s="20" t="s">
        <v>156</v>
      </c>
      <c r="E106" s="20" t="s">
        <v>206</v>
      </c>
      <c r="F106" s="20" t="s">
        <v>146</v>
      </c>
      <c r="G106" s="26">
        <v>701.8</v>
      </c>
      <c r="H106" s="177"/>
      <c r="I106" s="115"/>
    </row>
    <row r="107" spans="1:9" ht="47.25" x14ac:dyDescent="0.25">
      <c r="A107" s="33" t="s">
        <v>207</v>
      </c>
      <c r="B107" s="16">
        <v>902</v>
      </c>
      <c r="C107" s="20" t="s">
        <v>134</v>
      </c>
      <c r="D107" s="20" t="s">
        <v>156</v>
      </c>
      <c r="E107" s="20" t="s">
        <v>208</v>
      </c>
      <c r="F107" s="20"/>
      <c r="G107" s="26">
        <f>G108</f>
        <v>40</v>
      </c>
      <c r="H107" s="177"/>
    </row>
    <row r="108" spans="1:9" ht="31.5" x14ac:dyDescent="0.25">
      <c r="A108" s="25" t="s">
        <v>147</v>
      </c>
      <c r="B108" s="16">
        <v>902</v>
      </c>
      <c r="C108" s="20" t="s">
        <v>134</v>
      </c>
      <c r="D108" s="20" t="s">
        <v>156</v>
      </c>
      <c r="E108" s="20" t="s">
        <v>208</v>
      </c>
      <c r="F108" s="20" t="s">
        <v>148</v>
      </c>
      <c r="G108" s="26">
        <f>G109</f>
        <v>40</v>
      </c>
      <c r="H108" s="177"/>
    </row>
    <row r="109" spans="1:9" ht="47.25" x14ac:dyDescent="0.25">
      <c r="A109" s="25" t="s">
        <v>149</v>
      </c>
      <c r="B109" s="16">
        <v>902</v>
      </c>
      <c r="C109" s="20" t="s">
        <v>134</v>
      </c>
      <c r="D109" s="20" t="s">
        <v>156</v>
      </c>
      <c r="E109" s="20" t="s">
        <v>208</v>
      </c>
      <c r="F109" s="20" t="s">
        <v>150</v>
      </c>
      <c r="G109" s="26">
        <f>36+4</f>
        <v>40</v>
      </c>
      <c r="H109" s="177"/>
      <c r="I109" s="115"/>
    </row>
    <row r="110" spans="1:9" ht="31.5" hidden="1" x14ac:dyDescent="0.25">
      <c r="A110" s="31" t="s">
        <v>209</v>
      </c>
      <c r="B110" s="16">
        <v>902</v>
      </c>
      <c r="C110" s="20" t="s">
        <v>134</v>
      </c>
      <c r="D110" s="20" t="s">
        <v>156</v>
      </c>
      <c r="E110" s="20" t="s">
        <v>208</v>
      </c>
      <c r="F110" s="20"/>
      <c r="G110" s="26">
        <f>G111</f>
        <v>0</v>
      </c>
      <c r="H110" s="177"/>
    </row>
    <row r="111" spans="1:9" ht="31.5" hidden="1" x14ac:dyDescent="0.25">
      <c r="A111" s="25" t="s">
        <v>147</v>
      </c>
      <c r="B111" s="16">
        <v>902</v>
      </c>
      <c r="C111" s="20" t="s">
        <v>134</v>
      </c>
      <c r="D111" s="20" t="s">
        <v>156</v>
      </c>
      <c r="E111" s="20" t="s">
        <v>208</v>
      </c>
      <c r="F111" s="20" t="s">
        <v>148</v>
      </c>
      <c r="G111" s="26">
        <f>G112</f>
        <v>0</v>
      </c>
      <c r="H111" s="177"/>
    </row>
    <row r="112" spans="1:9" ht="47.25" hidden="1" x14ac:dyDescent="0.25">
      <c r="A112" s="25" t="s">
        <v>149</v>
      </c>
      <c r="B112" s="16">
        <v>902</v>
      </c>
      <c r="C112" s="20" t="s">
        <v>134</v>
      </c>
      <c r="D112" s="20" t="s">
        <v>156</v>
      </c>
      <c r="E112" s="20" t="s">
        <v>208</v>
      </c>
      <c r="F112" s="20" t="s">
        <v>150</v>
      </c>
      <c r="G112" s="26"/>
      <c r="H112" s="177"/>
    </row>
    <row r="113" spans="1:9" ht="63" x14ac:dyDescent="0.25">
      <c r="A113" s="31" t="s">
        <v>210</v>
      </c>
      <c r="B113" s="16">
        <v>902</v>
      </c>
      <c r="C113" s="20" t="s">
        <v>134</v>
      </c>
      <c r="D113" s="20" t="s">
        <v>156</v>
      </c>
      <c r="E113" s="20" t="s">
        <v>211</v>
      </c>
      <c r="F113" s="20"/>
      <c r="G113" s="26">
        <f>G114</f>
        <v>1752.9</v>
      </c>
      <c r="H113" s="177"/>
    </row>
    <row r="114" spans="1:9" ht="94.5" x14ac:dyDescent="0.25">
      <c r="A114" s="25" t="s">
        <v>143</v>
      </c>
      <c r="B114" s="16">
        <v>902</v>
      </c>
      <c r="C114" s="20" t="s">
        <v>134</v>
      </c>
      <c r="D114" s="20" t="s">
        <v>156</v>
      </c>
      <c r="E114" s="20" t="s">
        <v>211</v>
      </c>
      <c r="F114" s="20" t="s">
        <v>144</v>
      </c>
      <c r="G114" s="26">
        <f>G115</f>
        <v>1752.9</v>
      </c>
      <c r="H114" s="177"/>
    </row>
    <row r="115" spans="1:9" ht="31.5" x14ac:dyDescent="0.25">
      <c r="A115" s="25" t="s">
        <v>145</v>
      </c>
      <c r="B115" s="16">
        <v>902</v>
      </c>
      <c r="C115" s="20" t="s">
        <v>134</v>
      </c>
      <c r="D115" s="20" t="s">
        <v>156</v>
      </c>
      <c r="E115" s="20" t="s">
        <v>211</v>
      </c>
      <c r="F115" s="20" t="s">
        <v>146</v>
      </c>
      <c r="G115" s="26">
        <v>1752.9</v>
      </c>
      <c r="H115" s="177"/>
    </row>
    <row r="116" spans="1:9" ht="47.25" x14ac:dyDescent="0.25">
      <c r="A116" s="31" t="s">
        <v>212</v>
      </c>
      <c r="B116" s="16">
        <v>902</v>
      </c>
      <c r="C116" s="20" t="s">
        <v>134</v>
      </c>
      <c r="D116" s="20" t="s">
        <v>156</v>
      </c>
      <c r="E116" s="20" t="s">
        <v>213</v>
      </c>
      <c r="F116" s="20"/>
      <c r="G116" s="26">
        <f>G117+G119</f>
        <v>1106.1999999999998</v>
      </c>
      <c r="H116" s="177"/>
    </row>
    <row r="117" spans="1:9" ht="94.5" x14ac:dyDescent="0.25">
      <c r="A117" s="25" t="s">
        <v>143</v>
      </c>
      <c r="B117" s="16">
        <v>902</v>
      </c>
      <c r="C117" s="20" t="s">
        <v>134</v>
      </c>
      <c r="D117" s="20" t="s">
        <v>156</v>
      </c>
      <c r="E117" s="20" t="s">
        <v>213</v>
      </c>
      <c r="F117" s="20" t="s">
        <v>144</v>
      </c>
      <c r="G117" s="26">
        <f>G118</f>
        <v>1073.0999999999999</v>
      </c>
      <c r="H117" s="177"/>
    </row>
    <row r="118" spans="1:9" ht="31.5" x14ac:dyDescent="0.25">
      <c r="A118" s="25" t="s">
        <v>145</v>
      </c>
      <c r="B118" s="16">
        <v>902</v>
      </c>
      <c r="C118" s="20" t="s">
        <v>134</v>
      </c>
      <c r="D118" s="20" t="s">
        <v>156</v>
      </c>
      <c r="E118" s="20" t="s">
        <v>213</v>
      </c>
      <c r="F118" s="20" t="s">
        <v>146</v>
      </c>
      <c r="G118" s="26">
        <f>1537-463.9</f>
        <v>1073.0999999999999</v>
      </c>
      <c r="H118" s="177"/>
      <c r="I118" s="115"/>
    </row>
    <row r="119" spans="1:9" ht="47.25" x14ac:dyDescent="0.25">
      <c r="A119" s="25" t="s">
        <v>214</v>
      </c>
      <c r="B119" s="16">
        <v>902</v>
      </c>
      <c r="C119" s="20" t="s">
        <v>134</v>
      </c>
      <c r="D119" s="20" t="s">
        <v>156</v>
      </c>
      <c r="E119" s="20" t="s">
        <v>213</v>
      </c>
      <c r="F119" s="20" t="s">
        <v>148</v>
      </c>
      <c r="G119" s="26">
        <f>G120</f>
        <v>33.1</v>
      </c>
      <c r="H119" s="177"/>
    </row>
    <row r="120" spans="1:9" ht="47.25" x14ac:dyDescent="0.25">
      <c r="A120" s="25" t="s">
        <v>149</v>
      </c>
      <c r="B120" s="16">
        <v>902</v>
      </c>
      <c r="C120" s="20" t="s">
        <v>134</v>
      </c>
      <c r="D120" s="20" t="s">
        <v>156</v>
      </c>
      <c r="E120" s="20" t="s">
        <v>213</v>
      </c>
      <c r="F120" s="20" t="s">
        <v>150</v>
      </c>
      <c r="G120" s="26">
        <v>33.1</v>
      </c>
      <c r="H120" s="177"/>
    </row>
    <row r="121" spans="1:9" ht="15.75" x14ac:dyDescent="0.25">
      <c r="A121" s="25" t="s">
        <v>157</v>
      </c>
      <c r="B121" s="16">
        <v>902</v>
      </c>
      <c r="C121" s="20" t="s">
        <v>134</v>
      </c>
      <c r="D121" s="20" t="s">
        <v>156</v>
      </c>
      <c r="E121" s="20" t="s">
        <v>158</v>
      </c>
      <c r="F121" s="20"/>
      <c r="G121" s="26">
        <f>G134+G139+G144</f>
        <v>8739.4</v>
      </c>
      <c r="H121" s="177"/>
    </row>
    <row r="122" spans="1:9" ht="15.75" hidden="1" x14ac:dyDescent="0.25">
      <c r="A122" s="25" t="s">
        <v>215</v>
      </c>
      <c r="B122" s="16">
        <v>902</v>
      </c>
      <c r="C122" s="20" t="s">
        <v>134</v>
      </c>
      <c r="D122" s="20" t="s">
        <v>156</v>
      </c>
      <c r="E122" s="20" t="s">
        <v>216</v>
      </c>
      <c r="F122" s="20"/>
      <c r="G122" s="26">
        <f>G123</f>
        <v>0</v>
      </c>
      <c r="H122" s="177"/>
    </row>
    <row r="123" spans="1:9" ht="33" hidden="1" customHeight="1" x14ac:dyDescent="0.25">
      <c r="A123" s="25" t="s">
        <v>214</v>
      </c>
      <c r="B123" s="16">
        <v>902</v>
      </c>
      <c r="C123" s="20" t="s">
        <v>134</v>
      </c>
      <c r="D123" s="20" t="s">
        <v>156</v>
      </c>
      <c r="E123" s="20" t="s">
        <v>216</v>
      </c>
      <c r="F123" s="20" t="s">
        <v>148</v>
      </c>
      <c r="G123" s="26">
        <f>G124</f>
        <v>0</v>
      </c>
      <c r="H123" s="177"/>
    </row>
    <row r="124" spans="1:9" ht="47.25" hidden="1" x14ac:dyDescent="0.25">
      <c r="A124" s="25" t="s">
        <v>149</v>
      </c>
      <c r="B124" s="16">
        <v>902</v>
      </c>
      <c r="C124" s="20" t="s">
        <v>134</v>
      </c>
      <c r="D124" s="20" t="s">
        <v>156</v>
      </c>
      <c r="E124" s="20" t="s">
        <v>216</v>
      </c>
      <c r="F124" s="20" t="s">
        <v>150</v>
      </c>
      <c r="G124" s="26">
        <v>0</v>
      </c>
      <c r="H124" s="177"/>
    </row>
    <row r="125" spans="1:9" ht="15.75" hidden="1" x14ac:dyDescent="0.25">
      <c r="A125" s="25" t="s">
        <v>217</v>
      </c>
      <c r="B125" s="16">
        <v>902</v>
      </c>
      <c r="C125" s="20" t="s">
        <v>134</v>
      </c>
      <c r="D125" s="20" t="s">
        <v>156</v>
      </c>
      <c r="E125" s="20" t="s">
        <v>218</v>
      </c>
      <c r="F125" s="24"/>
      <c r="G125" s="26">
        <f>G126</f>
        <v>0</v>
      </c>
      <c r="H125" s="177"/>
    </row>
    <row r="126" spans="1:9" ht="47.25" hidden="1" x14ac:dyDescent="0.25">
      <c r="A126" s="25" t="s">
        <v>214</v>
      </c>
      <c r="B126" s="16">
        <v>902</v>
      </c>
      <c r="C126" s="20" t="s">
        <v>134</v>
      </c>
      <c r="D126" s="20" t="s">
        <v>156</v>
      </c>
      <c r="E126" s="20" t="s">
        <v>218</v>
      </c>
      <c r="F126" s="20" t="s">
        <v>148</v>
      </c>
      <c r="G126" s="26">
        <f>G127</f>
        <v>0</v>
      </c>
      <c r="H126" s="177"/>
    </row>
    <row r="127" spans="1:9" ht="47.25" hidden="1" x14ac:dyDescent="0.25">
      <c r="A127" s="25" t="s">
        <v>149</v>
      </c>
      <c r="B127" s="16">
        <v>902</v>
      </c>
      <c r="C127" s="20" t="s">
        <v>134</v>
      </c>
      <c r="D127" s="20" t="s">
        <v>156</v>
      </c>
      <c r="E127" s="20" t="s">
        <v>218</v>
      </c>
      <c r="F127" s="20" t="s">
        <v>150</v>
      </c>
      <c r="G127" s="26">
        <v>0</v>
      </c>
      <c r="H127" s="177"/>
    </row>
    <row r="128" spans="1:9" ht="31.5" hidden="1" x14ac:dyDescent="0.25">
      <c r="A128" s="25" t="s">
        <v>219</v>
      </c>
      <c r="B128" s="16">
        <v>902</v>
      </c>
      <c r="C128" s="20" t="s">
        <v>134</v>
      </c>
      <c r="D128" s="20" t="s">
        <v>156</v>
      </c>
      <c r="E128" s="20" t="s">
        <v>220</v>
      </c>
      <c r="F128" s="20"/>
      <c r="G128" s="26">
        <f>G129</f>
        <v>0</v>
      </c>
      <c r="H128" s="177"/>
    </row>
    <row r="129" spans="1:9" ht="47.25" hidden="1" x14ac:dyDescent="0.25">
      <c r="A129" s="25" t="s">
        <v>214</v>
      </c>
      <c r="B129" s="16">
        <v>902</v>
      </c>
      <c r="C129" s="20" t="s">
        <v>134</v>
      </c>
      <c r="D129" s="20" t="s">
        <v>156</v>
      </c>
      <c r="E129" s="20" t="s">
        <v>220</v>
      </c>
      <c r="F129" s="20" t="s">
        <v>148</v>
      </c>
      <c r="G129" s="26">
        <f>G130</f>
        <v>0</v>
      </c>
      <c r="H129" s="177"/>
    </row>
    <row r="130" spans="1:9" ht="47.25" hidden="1" x14ac:dyDescent="0.25">
      <c r="A130" s="25" t="s">
        <v>149</v>
      </c>
      <c r="B130" s="16">
        <v>902</v>
      </c>
      <c r="C130" s="20" t="s">
        <v>134</v>
      </c>
      <c r="D130" s="20" t="s">
        <v>156</v>
      </c>
      <c r="E130" s="20" t="s">
        <v>220</v>
      </c>
      <c r="F130" s="20" t="s">
        <v>150</v>
      </c>
      <c r="G130" s="26">
        <v>0</v>
      </c>
      <c r="H130" s="177"/>
    </row>
    <row r="131" spans="1:9" ht="15.75" hidden="1" x14ac:dyDescent="0.25">
      <c r="A131" s="25" t="s">
        <v>195</v>
      </c>
      <c r="B131" s="16">
        <v>902</v>
      </c>
      <c r="C131" s="20" t="s">
        <v>134</v>
      </c>
      <c r="D131" s="20" t="s">
        <v>156</v>
      </c>
      <c r="E131" s="20" t="s">
        <v>221</v>
      </c>
      <c r="F131" s="20"/>
      <c r="G131" s="26">
        <f>G132</f>
        <v>0</v>
      </c>
      <c r="H131" s="177"/>
    </row>
    <row r="132" spans="1:9" ht="47.25" hidden="1" x14ac:dyDescent="0.25">
      <c r="A132" s="25" t="s">
        <v>214</v>
      </c>
      <c r="B132" s="16">
        <v>902</v>
      </c>
      <c r="C132" s="20" t="s">
        <v>134</v>
      </c>
      <c r="D132" s="20" t="s">
        <v>156</v>
      </c>
      <c r="E132" s="20" t="s">
        <v>221</v>
      </c>
      <c r="F132" s="20" t="s">
        <v>148</v>
      </c>
      <c r="G132" s="26">
        <f>G133</f>
        <v>0</v>
      </c>
      <c r="H132" s="177"/>
    </row>
    <row r="133" spans="1:9" ht="47.25" hidden="1" x14ac:dyDescent="0.25">
      <c r="A133" s="25" t="s">
        <v>149</v>
      </c>
      <c r="B133" s="16">
        <v>902</v>
      </c>
      <c r="C133" s="20" t="s">
        <v>134</v>
      </c>
      <c r="D133" s="20" t="s">
        <v>156</v>
      </c>
      <c r="E133" s="20" t="s">
        <v>221</v>
      </c>
      <c r="F133" s="20" t="s">
        <v>150</v>
      </c>
      <c r="G133" s="26">
        <v>0</v>
      </c>
      <c r="H133" s="177"/>
    </row>
    <row r="134" spans="1:9" ht="31.5" x14ac:dyDescent="0.25">
      <c r="A134" s="25" t="s">
        <v>222</v>
      </c>
      <c r="B134" s="16">
        <v>902</v>
      </c>
      <c r="C134" s="20" t="s">
        <v>134</v>
      </c>
      <c r="D134" s="20" t="s">
        <v>156</v>
      </c>
      <c r="E134" s="20" t="s">
        <v>223</v>
      </c>
      <c r="F134" s="20"/>
      <c r="G134" s="26">
        <f>G135+G137</f>
        <v>6126.7</v>
      </c>
      <c r="H134" s="177"/>
    </row>
    <row r="135" spans="1:9" ht="94.5" x14ac:dyDescent="0.25">
      <c r="A135" s="25" t="s">
        <v>143</v>
      </c>
      <c r="B135" s="16">
        <v>902</v>
      </c>
      <c r="C135" s="20" t="s">
        <v>134</v>
      </c>
      <c r="D135" s="20" t="s">
        <v>156</v>
      </c>
      <c r="E135" s="20" t="s">
        <v>223</v>
      </c>
      <c r="F135" s="20" t="s">
        <v>144</v>
      </c>
      <c r="G135" s="26">
        <f>G136</f>
        <v>4952</v>
      </c>
      <c r="H135" s="177"/>
    </row>
    <row r="136" spans="1:9" ht="31.5" x14ac:dyDescent="0.25">
      <c r="A136" s="25" t="s">
        <v>224</v>
      </c>
      <c r="B136" s="16">
        <v>902</v>
      </c>
      <c r="C136" s="20" t="s">
        <v>134</v>
      </c>
      <c r="D136" s="20" t="s">
        <v>156</v>
      </c>
      <c r="E136" s="20" t="s">
        <v>223</v>
      </c>
      <c r="F136" s="20" t="s">
        <v>225</v>
      </c>
      <c r="G136" s="27">
        <f>5174.7-222.7</f>
        <v>4952</v>
      </c>
      <c r="H136" s="177"/>
    </row>
    <row r="137" spans="1:9" ht="47.25" x14ac:dyDescent="0.25">
      <c r="A137" s="25" t="s">
        <v>214</v>
      </c>
      <c r="B137" s="16">
        <v>902</v>
      </c>
      <c r="C137" s="20" t="s">
        <v>134</v>
      </c>
      <c r="D137" s="20" t="s">
        <v>156</v>
      </c>
      <c r="E137" s="20" t="s">
        <v>223</v>
      </c>
      <c r="F137" s="20" t="s">
        <v>148</v>
      </c>
      <c r="G137" s="26">
        <f>G138</f>
        <v>1174.7</v>
      </c>
      <c r="H137" s="177"/>
    </row>
    <row r="138" spans="1:9" ht="47.25" x14ac:dyDescent="0.25">
      <c r="A138" s="25" t="s">
        <v>149</v>
      </c>
      <c r="B138" s="16">
        <v>902</v>
      </c>
      <c r="C138" s="20" t="s">
        <v>134</v>
      </c>
      <c r="D138" s="20" t="s">
        <v>156</v>
      </c>
      <c r="E138" s="20" t="s">
        <v>223</v>
      </c>
      <c r="F138" s="20" t="s">
        <v>150</v>
      </c>
      <c r="G138" s="27">
        <f>724.7+450</f>
        <v>1174.7</v>
      </c>
      <c r="H138" s="177"/>
      <c r="I138" s="115"/>
    </row>
    <row r="139" spans="1:9" ht="47.25" x14ac:dyDescent="0.25">
      <c r="A139" s="25" t="s">
        <v>226</v>
      </c>
      <c r="B139" s="16">
        <v>902</v>
      </c>
      <c r="C139" s="20" t="s">
        <v>134</v>
      </c>
      <c r="D139" s="20" t="s">
        <v>156</v>
      </c>
      <c r="E139" s="20" t="s">
        <v>227</v>
      </c>
      <c r="F139" s="20"/>
      <c r="G139" s="26">
        <f>G140+G142</f>
        <v>2520.4</v>
      </c>
      <c r="H139" s="177"/>
    </row>
    <row r="140" spans="1:9" ht="94.5" x14ac:dyDescent="0.25">
      <c r="A140" s="25" t="s">
        <v>143</v>
      </c>
      <c r="B140" s="16">
        <v>902</v>
      </c>
      <c r="C140" s="20" t="s">
        <v>134</v>
      </c>
      <c r="D140" s="20" t="s">
        <v>156</v>
      </c>
      <c r="E140" s="20" t="s">
        <v>227</v>
      </c>
      <c r="F140" s="20" t="s">
        <v>144</v>
      </c>
      <c r="G140" s="26">
        <f>G141</f>
        <v>1895</v>
      </c>
      <c r="H140" s="177"/>
    </row>
    <row r="141" spans="1:9" ht="31.5" x14ac:dyDescent="0.25">
      <c r="A141" s="25" t="s">
        <v>145</v>
      </c>
      <c r="B141" s="16">
        <v>902</v>
      </c>
      <c r="C141" s="20" t="s">
        <v>134</v>
      </c>
      <c r="D141" s="20" t="s">
        <v>156</v>
      </c>
      <c r="E141" s="20" t="s">
        <v>227</v>
      </c>
      <c r="F141" s="20" t="s">
        <v>146</v>
      </c>
      <c r="G141" s="27">
        <f>1952.2-57.2</f>
        <v>1895</v>
      </c>
      <c r="H141" s="177"/>
      <c r="I141" s="115"/>
    </row>
    <row r="142" spans="1:9" ht="47.25" x14ac:dyDescent="0.25">
      <c r="A142" s="25" t="s">
        <v>214</v>
      </c>
      <c r="B142" s="16">
        <v>902</v>
      </c>
      <c r="C142" s="20" t="s">
        <v>134</v>
      </c>
      <c r="D142" s="20" t="s">
        <v>156</v>
      </c>
      <c r="E142" s="20" t="s">
        <v>227</v>
      </c>
      <c r="F142" s="20" t="s">
        <v>148</v>
      </c>
      <c r="G142" s="26">
        <f>G143</f>
        <v>625.4</v>
      </c>
      <c r="H142" s="177"/>
    </row>
    <row r="143" spans="1:9" ht="47.25" x14ac:dyDescent="0.25">
      <c r="A143" s="25" t="s">
        <v>149</v>
      </c>
      <c r="B143" s="16">
        <v>902</v>
      </c>
      <c r="C143" s="20" t="s">
        <v>134</v>
      </c>
      <c r="D143" s="20" t="s">
        <v>156</v>
      </c>
      <c r="E143" s="20" t="s">
        <v>227</v>
      </c>
      <c r="F143" s="20" t="s">
        <v>150</v>
      </c>
      <c r="G143" s="26">
        <f>821.9-196.5</f>
        <v>625.4</v>
      </c>
      <c r="H143" s="177"/>
    </row>
    <row r="144" spans="1:9" ht="15.75" x14ac:dyDescent="0.25">
      <c r="A144" s="45" t="s">
        <v>159</v>
      </c>
      <c r="B144" s="16">
        <v>902</v>
      </c>
      <c r="C144" s="20" t="s">
        <v>134</v>
      </c>
      <c r="D144" s="20" t="s">
        <v>156</v>
      </c>
      <c r="E144" s="20" t="s">
        <v>160</v>
      </c>
      <c r="F144" s="20"/>
      <c r="G144" s="26">
        <f>G145</f>
        <v>92.3</v>
      </c>
      <c r="H144" s="177"/>
    </row>
    <row r="145" spans="1:8" ht="15.75" x14ac:dyDescent="0.25">
      <c r="A145" s="25" t="s">
        <v>151</v>
      </c>
      <c r="B145" s="16">
        <v>902</v>
      </c>
      <c r="C145" s="20" t="s">
        <v>134</v>
      </c>
      <c r="D145" s="20" t="s">
        <v>156</v>
      </c>
      <c r="E145" s="20" t="s">
        <v>160</v>
      </c>
      <c r="F145" s="20" t="s">
        <v>161</v>
      </c>
      <c r="G145" s="26">
        <f>G146</f>
        <v>92.3</v>
      </c>
      <c r="H145" s="177"/>
    </row>
    <row r="146" spans="1:8" ht="15.75" x14ac:dyDescent="0.25">
      <c r="A146" s="25" t="s">
        <v>162</v>
      </c>
      <c r="B146" s="16">
        <v>902</v>
      </c>
      <c r="C146" s="20" t="s">
        <v>134</v>
      </c>
      <c r="D146" s="20" t="s">
        <v>156</v>
      </c>
      <c r="E146" s="20" t="s">
        <v>160</v>
      </c>
      <c r="F146" s="20" t="s">
        <v>163</v>
      </c>
      <c r="G146" s="26">
        <v>92.3</v>
      </c>
      <c r="H146" s="106"/>
    </row>
    <row r="147" spans="1:8" ht="15.75" hidden="1" x14ac:dyDescent="0.25">
      <c r="A147" s="23" t="s">
        <v>228</v>
      </c>
      <c r="B147" s="19">
        <v>902</v>
      </c>
      <c r="C147" s="24" t="s">
        <v>229</v>
      </c>
      <c r="D147" s="24"/>
      <c r="E147" s="24"/>
      <c r="F147" s="24"/>
      <c r="G147" s="21">
        <f>G148+G154</f>
        <v>0</v>
      </c>
      <c r="H147" s="177"/>
    </row>
    <row r="148" spans="1:8" ht="31.5" hidden="1" x14ac:dyDescent="0.25">
      <c r="A148" s="23" t="s">
        <v>230</v>
      </c>
      <c r="B148" s="19">
        <v>902</v>
      </c>
      <c r="C148" s="24" t="s">
        <v>229</v>
      </c>
      <c r="D148" s="24" t="s">
        <v>231</v>
      </c>
      <c r="E148" s="24"/>
      <c r="F148" s="24"/>
      <c r="G148" s="21">
        <f>G149</f>
        <v>0</v>
      </c>
      <c r="H148" s="177"/>
    </row>
    <row r="149" spans="1:8" ht="15.75" hidden="1" x14ac:dyDescent="0.25">
      <c r="A149" s="25" t="s">
        <v>137</v>
      </c>
      <c r="B149" s="16">
        <v>902</v>
      </c>
      <c r="C149" s="20" t="s">
        <v>229</v>
      </c>
      <c r="D149" s="20" t="s">
        <v>231</v>
      </c>
      <c r="E149" s="20" t="s">
        <v>138</v>
      </c>
      <c r="F149" s="20"/>
      <c r="G149" s="26">
        <f>G150</f>
        <v>0</v>
      </c>
      <c r="H149" s="177"/>
    </row>
    <row r="150" spans="1:8" ht="31.5" hidden="1" x14ac:dyDescent="0.25">
      <c r="A150" s="25" t="s">
        <v>201</v>
      </c>
      <c r="B150" s="16">
        <v>902</v>
      </c>
      <c r="C150" s="20" t="s">
        <v>229</v>
      </c>
      <c r="D150" s="20" t="s">
        <v>231</v>
      </c>
      <c r="E150" s="20" t="s">
        <v>202</v>
      </c>
      <c r="F150" s="20"/>
      <c r="G150" s="26">
        <f>G151</f>
        <v>0</v>
      </c>
      <c r="H150" s="177"/>
    </row>
    <row r="151" spans="1:8" ht="47.25" hidden="1" x14ac:dyDescent="0.25">
      <c r="A151" s="25" t="s">
        <v>232</v>
      </c>
      <c r="B151" s="16">
        <v>902</v>
      </c>
      <c r="C151" s="20" t="s">
        <v>229</v>
      </c>
      <c r="D151" s="20" t="s">
        <v>231</v>
      </c>
      <c r="E151" s="20" t="s">
        <v>233</v>
      </c>
      <c r="F151" s="20"/>
      <c r="G151" s="26">
        <f>G152</f>
        <v>0</v>
      </c>
      <c r="H151" s="177"/>
    </row>
    <row r="152" spans="1:8" ht="94.5" hidden="1" x14ac:dyDescent="0.25">
      <c r="A152" s="25" t="s">
        <v>143</v>
      </c>
      <c r="B152" s="16">
        <v>902</v>
      </c>
      <c r="C152" s="20" t="s">
        <v>229</v>
      </c>
      <c r="D152" s="20" t="s">
        <v>231</v>
      </c>
      <c r="E152" s="20" t="s">
        <v>233</v>
      </c>
      <c r="F152" s="20" t="s">
        <v>144</v>
      </c>
      <c r="G152" s="26">
        <f>G153</f>
        <v>0</v>
      </c>
      <c r="H152" s="177"/>
    </row>
    <row r="153" spans="1:8" ht="31.5" hidden="1" x14ac:dyDescent="0.25">
      <c r="A153" s="25" t="s">
        <v>145</v>
      </c>
      <c r="B153" s="16">
        <v>902</v>
      </c>
      <c r="C153" s="20" t="s">
        <v>229</v>
      </c>
      <c r="D153" s="20" t="s">
        <v>231</v>
      </c>
      <c r="E153" s="20" t="s">
        <v>233</v>
      </c>
      <c r="F153" s="20" t="s">
        <v>146</v>
      </c>
      <c r="G153" s="27"/>
      <c r="H153" s="177"/>
    </row>
    <row r="154" spans="1:8" ht="31.5" hidden="1" x14ac:dyDescent="0.25">
      <c r="A154" s="23" t="s">
        <v>234</v>
      </c>
      <c r="B154" s="19">
        <v>902</v>
      </c>
      <c r="C154" s="24" t="s">
        <v>229</v>
      </c>
      <c r="D154" s="24" t="s">
        <v>235</v>
      </c>
      <c r="E154" s="24"/>
      <c r="F154" s="24"/>
      <c r="G154" s="26">
        <f>G155</f>
        <v>0</v>
      </c>
      <c r="H154" s="177"/>
    </row>
    <row r="155" spans="1:8" ht="15.75" hidden="1" x14ac:dyDescent="0.25">
      <c r="A155" s="25" t="s">
        <v>137</v>
      </c>
      <c r="B155" s="16">
        <v>902</v>
      </c>
      <c r="C155" s="20" t="s">
        <v>229</v>
      </c>
      <c r="D155" s="20" t="s">
        <v>235</v>
      </c>
      <c r="E155" s="20" t="s">
        <v>138</v>
      </c>
      <c r="F155" s="20"/>
      <c r="G155" s="26">
        <f>G156</f>
        <v>0</v>
      </c>
      <c r="H155" s="177"/>
    </row>
    <row r="156" spans="1:8" ht="31.5" hidden="1" x14ac:dyDescent="0.25">
      <c r="A156" s="25" t="s">
        <v>236</v>
      </c>
      <c r="B156" s="16">
        <v>902</v>
      </c>
      <c r="C156" s="20" t="s">
        <v>229</v>
      </c>
      <c r="D156" s="20" t="s">
        <v>235</v>
      </c>
      <c r="E156" s="20" t="s">
        <v>237</v>
      </c>
      <c r="F156" s="20"/>
      <c r="G156" s="26">
        <f>G157</f>
        <v>0</v>
      </c>
      <c r="H156" s="177"/>
    </row>
    <row r="157" spans="1:8" ht="47.25" hidden="1" x14ac:dyDescent="0.25">
      <c r="A157" s="25" t="s">
        <v>214</v>
      </c>
      <c r="B157" s="16">
        <v>902</v>
      </c>
      <c r="C157" s="20" t="s">
        <v>229</v>
      </c>
      <c r="D157" s="20" t="s">
        <v>235</v>
      </c>
      <c r="E157" s="20" t="s">
        <v>237</v>
      </c>
      <c r="F157" s="20" t="s">
        <v>148</v>
      </c>
      <c r="G157" s="26">
        <f>G158</f>
        <v>0</v>
      </c>
      <c r="H157" s="177"/>
    </row>
    <row r="158" spans="1:8" ht="47.25" hidden="1" x14ac:dyDescent="0.25">
      <c r="A158" s="25" t="s">
        <v>149</v>
      </c>
      <c r="B158" s="16">
        <v>902</v>
      </c>
      <c r="C158" s="20" t="s">
        <v>229</v>
      </c>
      <c r="D158" s="20" t="s">
        <v>235</v>
      </c>
      <c r="E158" s="20" t="s">
        <v>237</v>
      </c>
      <c r="F158" s="20" t="s">
        <v>150</v>
      </c>
      <c r="G158" s="26">
        <v>0</v>
      </c>
      <c r="H158" s="177"/>
    </row>
    <row r="159" spans="1:8" ht="31.5" x14ac:dyDescent="0.25">
      <c r="A159" s="23" t="s">
        <v>238</v>
      </c>
      <c r="B159" s="19">
        <v>902</v>
      </c>
      <c r="C159" s="24" t="s">
        <v>231</v>
      </c>
      <c r="D159" s="24"/>
      <c r="E159" s="24"/>
      <c r="F159" s="24"/>
      <c r="G159" s="21">
        <f>G160</f>
        <v>7159.4000000000005</v>
      </c>
      <c r="H159" s="177"/>
    </row>
    <row r="160" spans="1:8" ht="63" x14ac:dyDescent="0.25">
      <c r="A160" s="23" t="s">
        <v>239</v>
      </c>
      <c r="B160" s="19">
        <v>902</v>
      </c>
      <c r="C160" s="24" t="s">
        <v>231</v>
      </c>
      <c r="D160" s="24" t="s">
        <v>235</v>
      </c>
      <c r="E160" s="20"/>
      <c r="F160" s="20"/>
      <c r="G160" s="21">
        <f>G161</f>
        <v>7159.4000000000005</v>
      </c>
      <c r="H160" s="177"/>
    </row>
    <row r="161" spans="1:9" ht="15.75" x14ac:dyDescent="0.25">
      <c r="A161" s="25" t="s">
        <v>137</v>
      </c>
      <c r="B161" s="16">
        <v>902</v>
      </c>
      <c r="C161" s="20" t="s">
        <v>231</v>
      </c>
      <c r="D161" s="20" t="s">
        <v>235</v>
      </c>
      <c r="E161" s="20" t="s">
        <v>138</v>
      </c>
      <c r="F161" s="20"/>
      <c r="G161" s="26">
        <f>G162</f>
        <v>7159.4000000000005</v>
      </c>
      <c r="H161" s="177"/>
    </row>
    <row r="162" spans="1:9" ht="15.75" x14ac:dyDescent="0.25">
      <c r="A162" s="25" t="s">
        <v>157</v>
      </c>
      <c r="B162" s="16">
        <v>902</v>
      </c>
      <c r="C162" s="20" t="s">
        <v>231</v>
      </c>
      <c r="D162" s="20" t="s">
        <v>235</v>
      </c>
      <c r="E162" s="20" t="s">
        <v>158</v>
      </c>
      <c r="F162" s="20"/>
      <c r="G162" s="26">
        <f>G163+G169+G174</f>
        <v>7159.4000000000005</v>
      </c>
      <c r="H162" s="177"/>
    </row>
    <row r="163" spans="1:9" ht="47.25" x14ac:dyDescent="0.25">
      <c r="A163" s="25" t="s">
        <v>240</v>
      </c>
      <c r="B163" s="16">
        <v>902</v>
      </c>
      <c r="C163" s="20" t="s">
        <v>231</v>
      </c>
      <c r="D163" s="20" t="s">
        <v>235</v>
      </c>
      <c r="E163" s="20" t="s">
        <v>241</v>
      </c>
      <c r="F163" s="20"/>
      <c r="G163" s="26">
        <f>G164</f>
        <v>2064.1</v>
      </c>
      <c r="H163" s="177"/>
    </row>
    <row r="164" spans="1:9" ht="47.25" x14ac:dyDescent="0.25">
      <c r="A164" s="25" t="s">
        <v>214</v>
      </c>
      <c r="B164" s="16">
        <v>902</v>
      </c>
      <c r="C164" s="20" t="s">
        <v>231</v>
      </c>
      <c r="D164" s="20" t="s">
        <v>235</v>
      </c>
      <c r="E164" s="20" t="s">
        <v>241</v>
      </c>
      <c r="F164" s="20" t="s">
        <v>148</v>
      </c>
      <c r="G164" s="26">
        <f>G165</f>
        <v>2064.1</v>
      </c>
      <c r="H164" s="177"/>
    </row>
    <row r="165" spans="1:9" ht="47.25" x14ac:dyDescent="0.25">
      <c r="A165" s="25" t="s">
        <v>149</v>
      </c>
      <c r="B165" s="16">
        <v>902</v>
      </c>
      <c r="C165" s="20" t="s">
        <v>231</v>
      </c>
      <c r="D165" s="20" t="s">
        <v>235</v>
      </c>
      <c r="E165" s="20" t="s">
        <v>241</v>
      </c>
      <c r="F165" s="20" t="s">
        <v>150</v>
      </c>
      <c r="G165" s="159">
        <f>1908.4+354-98.3-100</f>
        <v>2064.1</v>
      </c>
      <c r="H165" s="106" t="s">
        <v>742</v>
      </c>
      <c r="I165" s="125"/>
    </row>
    <row r="166" spans="1:9" ht="15.75" hidden="1" x14ac:dyDescent="0.25">
      <c r="A166" s="25" t="s">
        <v>242</v>
      </c>
      <c r="B166" s="16">
        <v>902</v>
      </c>
      <c r="C166" s="20" t="s">
        <v>231</v>
      </c>
      <c r="D166" s="20" t="s">
        <v>235</v>
      </c>
      <c r="E166" s="20" t="s">
        <v>243</v>
      </c>
      <c r="F166" s="20"/>
      <c r="G166" s="26">
        <f>G167</f>
        <v>0</v>
      </c>
      <c r="H166" s="177"/>
    </row>
    <row r="167" spans="1:9" ht="47.25" hidden="1" x14ac:dyDescent="0.25">
      <c r="A167" s="25" t="s">
        <v>214</v>
      </c>
      <c r="B167" s="16">
        <v>902</v>
      </c>
      <c r="C167" s="20" t="s">
        <v>231</v>
      </c>
      <c r="D167" s="20" t="s">
        <v>235</v>
      </c>
      <c r="E167" s="20" t="s">
        <v>243</v>
      </c>
      <c r="F167" s="20" t="s">
        <v>148</v>
      </c>
      <c r="G167" s="26">
        <f>G168</f>
        <v>0</v>
      </c>
      <c r="H167" s="177"/>
    </row>
    <row r="168" spans="1:9" ht="47.25" hidden="1" x14ac:dyDescent="0.25">
      <c r="A168" s="25" t="s">
        <v>149</v>
      </c>
      <c r="B168" s="16">
        <v>902</v>
      </c>
      <c r="C168" s="20" t="s">
        <v>231</v>
      </c>
      <c r="D168" s="20" t="s">
        <v>235</v>
      </c>
      <c r="E168" s="20" t="s">
        <v>243</v>
      </c>
      <c r="F168" s="20" t="s">
        <v>150</v>
      </c>
      <c r="G168" s="26">
        <v>0</v>
      </c>
      <c r="H168" s="177"/>
    </row>
    <row r="169" spans="1:9" ht="31.5" x14ac:dyDescent="0.25">
      <c r="A169" s="25" t="s">
        <v>244</v>
      </c>
      <c r="B169" s="16">
        <v>902</v>
      </c>
      <c r="C169" s="20" t="s">
        <v>231</v>
      </c>
      <c r="D169" s="20" t="s">
        <v>235</v>
      </c>
      <c r="E169" s="20" t="s">
        <v>245</v>
      </c>
      <c r="F169" s="20"/>
      <c r="G169" s="26">
        <f>G170+G172</f>
        <v>4997</v>
      </c>
      <c r="H169" s="177"/>
    </row>
    <row r="170" spans="1:9" ht="94.5" x14ac:dyDescent="0.25">
      <c r="A170" s="25" t="s">
        <v>143</v>
      </c>
      <c r="B170" s="16">
        <v>902</v>
      </c>
      <c r="C170" s="20" t="s">
        <v>231</v>
      </c>
      <c r="D170" s="20" t="s">
        <v>235</v>
      </c>
      <c r="E170" s="20" t="s">
        <v>245</v>
      </c>
      <c r="F170" s="20" t="s">
        <v>144</v>
      </c>
      <c r="G170" s="26">
        <f>G171</f>
        <v>4692.3</v>
      </c>
      <c r="H170" s="177"/>
    </row>
    <row r="171" spans="1:9" ht="31.5" x14ac:dyDescent="0.25">
      <c r="A171" s="25" t="s">
        <v>224</v>
      </c>
      <c r="B171" s="16">
        <v>902</v>
      </c>
      <c r="C171" s="20" t="s">
        <v>231</v>
      </c>
      <c r="D171" s="20" t="s">
        <v>235</v>
      </c>
      <c r="E171" s="20" t="s">
        <v>245</v>
      </c>
      <c r="F171" s="20" t="s">
        <v>225</v>
      </c>
      <c r="G171" s="27">
        <f>4586.3+106</f>
        <v>4692.3</v>
      </c>
      <c r="H171" s="177"/>
    </row>
    <row r="172" spans="1:9" ht="47.25" x14ac:dyDescent="0.25">
      <c r="A172" s="25" t="s">
        <v>214</v>
      </c>
      <c r="B172" s="16">
        <v>902</v>
      </c>
      <c r="C172" s="20" t="s">
        <v>231</v>
      </c>
      <c r="D172" s="20" t="s">
        <v>235</v>
      </c>
      <c r="E172" s="20" t="s">
        <v>245</v>
      </c>
      <c r="F172" s="20" t="s">
        <v>148</v>
      </c>
      <c r="G172" s="26">
        <f>G173</f>
        <v>304.7</v>
      </c>
      <c r="H172" s="177"/>
    </row>
    <row r="173" spans="1:9" ht="47.25" x14ac:dyDescent="0.25">
      <c r="A173" s="25" t="s">
        <v>149</v>
      </c>
      <c r="B173" s="16">
        <v>902</v>
      </c>
      <c r="C173" s="20" t="s">
        <v>231</v>
      </c>
      <c r="D173" s="20" t="s">
        <v>235</v>
      </c>
      <c r="E173" s="20" t="s">
        <v>245</v>
      </c>
      <c r="F173" s="20" t="s">
        <v>150</v>
      </c>
      <c r="G173" s="156">
        <f>204.7+100</f>
        <v>304.7</v>
      </c>
      <c r="H173" s="157" t="s">
        <v>743</v>
      </c>
    </row>
    <row r="174" spans="1:9" ht="15.75" x14ac:dyDescent="0.25">
      <c r="A174" s="25" t="s">
        <v>246</v>
      </c>
      <c r="B174" s="16">
        <v>902</v>
      </c>
      <c r="C174" s="20" t="s">
        <v>231</v>
      </c>
      <c r="D174" s="20" t="s">
        <v>235</v>
      </c>
      <c r="E174" s="20" t="s">
        <v>247</v>
      </c>
      <c r="F174" s="20"/>
      <c r="G174" s="27">
        <f>G175</f>
        <v>98.3</v>
      </c>
      <c r="H174" s="177"/>
    </row>
    <row r="175" spans="1:9" ht="47.25" x14ac:dyDescent="0.25">
      <c r="A175" s="25" t="s">
        <v>214</v>
      </c>
      <c r="B175" s="16">
        <v>902</v>
      </c>
      <c r="C175" s="20" t="s">
        <v>231</v>
      </c>
      <c r="D175" s="20" t="s">
        <v>235</v>
      </c>
      <c r="E175" s="20" t="s">
        <v>247</v>
      </c>
      <c r="F175" s="20" t="s">
        <v>148</v>
      </c>
      <c r="G175" s="27">
        <f>G176</f>
        <v>98.3</v>
      </c>
      <c r="H175" s="177"/>
    </row>
    <row r="176" spans="1:9" ht="47.25" x14ac:dyDescent="0.25">
      <c r="A176" s="25" t="s">
        <v>149</v>
      </c>
      <c r="B176" s="16">
        <v>902</v>
      </c>
      <c r="C176" s="20" t="s">
        <v>231</v>
      </c>
      <c r="D176" s="20" t="s">
        <v>235</v>
      </c>
      <c r="E176" s="20" t="s">
        <v>247</v>
      </c>
      <c r="F176" s="20" t="s">
        <v>150</v>
      </c>
      <c r="G176" s="27">
        <v>98.3</v>
      </c>
      <c r="H176" s="106"/>
      <c r="I176" s="124"/>
    </row>
    <row r="177" spans="1:9" ht="15.75" x14ac:dyDescent="0.25">
      <c r="A177" s="23" t="s">
        <v>248</v>
      </c>
      <c r="B177" s="19">
        <v>902</v>
      </c>
      <c r="C177" s="24" t="s">
        <v>166</v>
      </c>
      <c r="D177" s="24"/>
      <c r="E177" s="24"/>
      <c r="F177" s="20"/>
      <c r="G177" s="21">
        <f>G184+G178</f>
        <v>1821.3999999999999</v>
      </c>
      <c r="H177" s="177"/>
    </row>
    <row r="178" spans="1:9" ht="15.75" x14ac:dyDescent="0.25">
      <c r="A178" s="23" t="s">
        <v>249</v>
      </c>
      <c r="B178" s="19">
        <v>902</v>
      </c>
      <c r="C178" s="24" t="s">
        <v>166</v>
      </c>
      <c r="D178" s="24" t="s">
        <v>250</v>
      </c>
      <c r="E178" s="24"/>
      <c r="F178" s="20"/>
      <c r="G178" s="21">
        <f>G179</f>
        <v>450</v>
      </c>
      <c r="H178" s="177"/>
    </row>
    <row r="179" spans="1:9" ht="15.75" x14ac:dyDescent="0.25">
      <c r="A179" s="25" t="s">
        <v>137</v>
      </c>
      <c r="B179" s="16">
        <v>902</v>
      </c>
      <c r="C179" s="20" t="s">
        <v>166</v>
      </c>
      <c r="D179" s="20" t="s">
        <v>250</v>
      </c>
      <c r="E179" s="20" t="s">
        <v>138</v>
      </c>
      <c r="F179" s="20"/>
      <c r="G179" s="26">
        <f>G180</f>
        <v>450</v>
      </c>
      <c r="H179" s="177"/>
    </row>
    <row r="180" spans="1:9" ht="31.5" x14ac:dyDescent="0.25">
      <c r="A180" s="25" t="s">
        <v>201</v>
      </c>
      <c r="B180" s="16">
        <v>902</v>
      </c>
      <c r="C180" s="20" t="s">
        <v>166</v>
      </c>
      <c r="D180" s="20" t="s">
        <v>250</v>
      </c>
      <c r="E180" s="20" t="s">
        <v>202</v>
      </c>
      <c r="F180" s="20"/>
      <c r="G180" s="26">
        <f>G181</f>
        <v>450</v>
      </c>
      <c r="H180" s="177"/>
    </row>
    <row r="181" spans="1:9" ht="31.5" x14ac:dyDescent="0.25">
      <c r="A181" s="25" t="s">
        <v>251</v>
      </c>
      <c r="B181" s="16">
        <v>902</v>
      </c>
      <c r="C181" s="20" t="s">
        <v>166</v>
      </c>
      <c r="D181" s="20" t="s">
        <v>250</v>
      </c>
      <c r="E181" s="20" t="s">
        <v>252</v>
      </c>
      <c r="F181" s="20"/>
      <c r="G181" s="26">
        <f>G182</f>
        <v>450</v>
      </c>
      <c r="H181" s="177"/>
    </row>
    <row r="182" spans="1:9" ht="15.75" x14ac:dyDescent="0.25">
      <c r="A182" s="25" t="s">
        <v>151</v>
      </c>
      <c r="B182" s="16">
        <v>902</v>
      </c>
      <c r="C182" s="20" t="s">
        <v>166</v>
      </c>
      <c r="D182" s="20" t="s">
        <v>250</v>
      </c>
      <c r="E182" s="20" t="s">
        <v>252</v>
      </c>
      <c r="F182" s="20" t="s">
        <v>161</v>
      </c>
      <c r="G182" s="26">
        <f>G183</f>
        <v>450</v>
      </c>
      <c r="H182" s="177"/>
    </row>
    <row r="183" spans="1:9" ht="63" x14ac:dyDescent="0.25">
      <c r="A183" s="25" t="s">
        <v>200</v>
      </c>
      <c r="B183" s="16">
        <v>902</v>
      </c>
      <c r="C183" s="20" t="s">
        <v>166</v>
      </c>
      <c r="D183" s="20" t="s">
        <v>250</v>
      </c>
      <c r="E183" s="20" t="s">
        <v>252</v>
      </c>
      <c r="F183" s="20" t="s">
        <v>176</v>
      </c>
      <c r="G183" s="158">
        <f>310+140</f>
        <v>450</v>
      </c>
      <c r="H183" s="157" t="s">
        <v>741</v>
      </c>
      <c r="I183" s="115"/>
    </row>
    <row r="184" spans="1:9" ht="31.5" x14ac:dyDescent="0.25">
      <c r="A184" s="23" t="s">
        <v>253</v>
      </c>
      <c r="B184" s="19">
        <v>902</v>
      </c>
      <c r="C184" s="24" t="s">
        <v>166</v>
      </c>
      <c r="D184" s="24" t="s">
        <v>254</v>
      </c>
      <c r="E184" s="24"/>
      <c r="F184" s="24"/>
      <c r="G184" s="21">
        <f>G185</f>
        <v>1371.3999999999999</v>
      </c>
      <c r="H184" s="177"/>
    </row>
    <row r="185" spans="1:9" ht="15.75" x14ac:dyDescent="0.25">
      <c r="A185" s="25" t="s">
        <v>137</v>
      </c>
      <c r="B185" s="16">
        <v>902</v>
      </c>
      <c r="C185" s="20" t="s">
        <v>166</v>
      </c>
      <c r="D185" s="20" t="s">
        <v>254</v>
      </c>
      <c r="E185" s="20" t="s">
        <v>138</v>
      </c>
      <c r="F185" s="24"/>
      <c r="G185" s="26">
        <f>G186</f>
        <v>1371.3999999999999</v>
      </c>
      <c r="H185" s="177"/>
    </row>
    <row r="186" spans="1:9" ht="31.5" x14ac:dyDescent="0.25">
      <c r="A186" s="25" t="s">
        <v>201</v>
      </c>
      <c r="B186" s="16">
        <v>902</v>
      </c>
      <c r="C186" s="20" t="s">
        <v>166</v>
      </c>
      <c r="D186" s="20" t="s">
        <v>254</v>
      </c>
      <c r="E186" s="20" t="s">
        <v>202</v>
      </c>
      <c r="F186" s="24"/>
      <c r="G186" s="26">
        <f>G190+G187</f>
        <v>1371.3999999999999</v>
      </c>
      <c r="H186" s="177"/>
    </row>
    <row r="187" spans="1:9" ht="31.5" x14ac:dyDescent="0.25">
      <c r="A187" s="25" t="s">
        <v>255</v>
      </c>
      <c r="B187" s="16">
        <v>902</v>
      </c>
      <c r="C187" s="20" t="s">
        <v>166</v>
      </c>
      <c r="D187" s="20" t="s">
        <v>254</v>
      </c>
      <c r="E187" s="20" t="s">
        <v>256</v>
      </c>
      <c r="F187" s="24"/>
      <c r="G187" s="26">
        <f>G188</f>
        <v>90</v>
      </c>
      <c r="H187" s="177"/>
    </row>
    <row r="188" spans="1:9" ht="15.75" x14ac:dyDescent="0.25">
      <c r="A188" s="25" t="s">
        <v>151</v>
      </c>
      <c r="B188" s="16">
        <v>902</v>
      </c>
      <c r="C188" s="20" t="s">
        <v>166</v>
      </c>
      <c r="D188" s="20" t="s">
        <v>254</v>
      </c>
      <c r="E188" s="20" t="s">
        <v>256</v>
      </c>
      <c r="F188" s="20" t="s">
        <v>161</v>
      </c>
      <c r="G188" s="26">
        <f>G189</f>
        <v>90</v>
      </c>
      <c r="H188" s="177"/>
    </row>
    <row r="189" spans="1:9" ht="63" x14ac:dyDescent="0.25">
      <c r="A189" s="25" t="s">
        <v>200</v>
      </c>
      <c r="B189" s="16">
        <v>902</v>
      </c>
      <c r="C189" s="20" t="s">
        <v>166</v>
      </c>
      <c r="D189" s="20" t="s">
        <v>254</v>
      </c>
      <c r="E189" s="20" t="s">
        <v>256</v>
      </c>
      <c r="F189" s="20" t="s">
        <v>176</v>
      </c>
      <c r="G189" s="162">
        <v>90</v>
      </c>
      <c r="H189" s="157" t="s">
        <v>750</v>
      </c>
    </row>
    <row r="190" spans="1:9" ht="63" x14ac:dyDescent="0.25">
      <c r="A190" s="31" t="s">
        <v>257</v>
      </c>
      <c r="B190" s="16">
        <v>902</v>
      </c>
      <c r="C190" s="20" t="s">
        <v>166</v>
      </c>
      <c r="D190" s="20" t="s">
        <v>254</v>
      </c>
      <c r="E190" s="20" t="s">
        <v>258</v>
      </c>
      <c r="F190" s="20"/>
      <c r="G190" s="26">
        <f>G191+G193</f>
        <v>1281.3999999999999</v>
      </c>
      <c r="H190" s="177"/>
    </row>
    <row r="191" spans="1:9" ht="94.5" x14ac:dyDescent="0.25">
      <c r="A191" s="25" t="s">
        <v>143</v>
      </c>
      <c r="B191" s="16">
        <v>902</v>
      </c>
      <c r="C191" s="20" t="s">
        <v>166</v>
      </c>
      <c r="D191" s="20" t="s">
        <v>254</v>
      </c>
      <c r="E191" s="20" t="s">
        <v>258</v>
      </c>
      <c r="F191" s="20" t="s">
        <v>144</v>
      </c>
      <c r="G191" s="26">
        <f>G192</f>
        <v>1116.3999999999999</v>
      </c>
      <c r="H191" s="177"/>
    </row>
    <row r="192" spans="1:9" ht="31.5" x14ac:dyDescent="0.25">
      <c r="A192" s="25" t="s">
        <v>145</v>
      </c>
      <c r="B192" s="16">
        <v>902</v>
      </c>
      <c r="C192" s="20" t="s">
        <v>166</v>
      </c>
      <c r="D192" s="20" t="s">
        <v>254</v>
      </c>
      <c r="E192" s="20" t="s">
        <v>258</v>
      </c>
      <c r="F192" s="20" t="s">
        <v>146</v>
      </c>
      <c r="G192" s="26">
        <f>1302-123.4-62.2</f>
        <v>1116.3999999999999</v>
      </c>
      <c r="H192" s="177"/>
      <c r="I192" s="115"/>
    </row>
    <row r="193" spans="1:8" ht="31.5" x14ac:dyDescent="0.25">
      <c r="A193" s="25" t="s">
        <v>147</v>
      </c>
      <c r="B193" s="16">
        <v>902</v>
      </c>
      <c r="C193" s="20" t="s">
        <v>166</v>
      </c>
      <c r="D193" s="20" t="s">
        <v>254</v>
      </c>
      <c r="E193" s="20" t="s">
        <v>258</v>
      </c>
      <c r="F193" s="20" t="s">
        <v>148</v>
      </c>
      <c r="G193" s="26">
        <f>G194</f>
        <v>165</v>
      </c>
      <c r="H193" s="177"/>
    </row>
    <row r="194" spans="1:8" ht="47.25" x14ac:dyDescent="0.25">
      <c r="A194" s="25" t="s">
        <v>149</v>
      </c>
      <c r="B194" s="16">
        <v>902</v>
      </c>
      <c r="C194" s="20" t="s">
        <v>166</v>
      </c>
      <c r="D194" s="20" t="s">
        <v>254</v>
      </c>
      <c r="E194" s="20" t="s">
        <v>258</v>
      </c>
      <c r="F194" s="20" t="s">
        <v>150</v>
      </c>
      <c r="G194" s="26">
        <f>102.8+62.2</f>
        <v>165</v>
      </c>
      <c r="H194" s="177"/>
    </row>
    <row r="195" spans="1:8" ht="16.5" customHeight="1" x14ac:dyDescent="0.25">
      <c r="A195" s="23" t="s">
        <v>259</v>
      </c>
      <c r="B195" s="19">
        <v>902</v>
      </c>
      <c r="C195" s="24" t="s">
        <v>260</v>
      </c>
      <c r="D195" s="24"/>
      <c r="E195" s="24"/>
      <c r="F195" s="24"/>
      <c r="G195" s="21">
        <f>G196+G202+G212</f>
        <v>12224.9</v>
      </c>
      <c r="H195" s="177"/>
    </row>
    <row r="196" spans="1:8" ht="15.75" x14ac:dyDescent="0.25">
      <c r="A196" s="23" t="s">
        <v>261</v>
      </c>
      <c r="B196" s="19">
        <v>902</v>
      </c>
      <c r="C196" s="24" t="s">
        <v>260</v>
      </c>
      <c r="D196" s="24" t="s">
        <v>134</v>
      </c>
      <c r="E196" s="24"/>
      <c r="F196" s="24"/>
      <c r="G196" s="21">
        <f>G197</f>
        <v>9066.4</v>
      </c>
      <c r="H196" s="177"/>
    </row>
    <row r="197" spans="1:8" ht="15.75" x14ac:dyDescent="0.25">
      <c r="A197" s="25" t="s">
        <v>137</v>
      </c>
      <c r="B197" s="16">
        <v>902</v>
      </c>
      <c r="C197" s="20" t="s">
        <v>260</v>
      </c>
      <c r="D197" s="20" t="s">
        <v>134</v>
      </c>
      <c r="E197" s="20" t="s">
        <v>138</v>
      </c>
      <c r="F197" s="20"/>
      <c r="G197" s="26">
        <f>G198</f>
        <v>9066.4</v>
      </c>
      <c r="H197" s="177"/>
    </row>
    <row r="198" spans="1:8" ht="15.75" x14ac:dyDescent="0.25">
      <c r="A198" s="25" t="s">
        <v>157</v>
      </c>
      <c r="B198" s="16">
        <v>902</v>
      </c>
      <c r="C198" s="20" t="s">
        <v>260</v>
      </c>
      <c r="D198" s="20" t="s">
        <v>134</v>
      </c>
      <c r="E198" s="20" t="s">
        <v>158</v>
      </c>
      <c r="F198" s="20"/>
      <c r="G198" s="26">
        <f>G199</f>
        <v>9066.4</v>
      </c>
      <c r="H198" s="177"/>
    </row>
    <row r="199" spans="1:8" ht="15.75" x14ac:dyDescent="0.25">
      <c r="A199" s="25" t="s">
        <v>262</v>
      </c>
      <c r="B199" s="16">
        <v>902</v>
      </c>
      <c r="C199" s="20" t="s">
        <v>260</v>
      </c>
      <c r="D199" s="20" t="s">
        <v>134</v>
      </c>
      <c r="E199" s="20" t="s">
        <v>263</v>
      </c>
      <c r="F199" s="20"/>
      <c r="G199" s="26">
        <f>G200</f>
        <v>9066.4</v>
      </c>
      <c r="H199" s="177"/>
    </row>
    <row r="200" spans="1:8" ht="31.5" x14ac:dyDescent="0.25">
      <c r="A200" s="25" t="s">
        <v>264</v>
      </c>
      <c r="B200" s="16">
        <v>902</v>
      </c>
      <c r="C200" s="20" t="s">
        <v>260</v>
      </c>
      <c r="D200" s="20" t="s">
        <v>134</v>
      </c>
      <c r="E200" s="20" t="s">
        <v>263</v>
      </c>
      <c r="F200" s="20" t="s">
        <v>265</v>
      </c>
      <c r="G200" s="26">
        <f>G201</f>
        <v>9066.4</v>
      </c>
      <c r="H200" s="177"/>
    </row>
    <row r="201" spans="1:8" ht="31.5" x14ac:dyDescent="0.25">
      <c r="A201" s="25" t="s">
        <v>266</v>
      </c>
      <c r="B201" s="16">
        <v>902</v>
      </c>
      <c r="C201" s="20" t="s">
        <v>260</v>
      </c>
      <c r="D201" s="20" t="s">
        <v>134</v>
      </c>
      <c r="E201" s="20" t="s">
        <v>263</v>
      </c>
      <c r="F201" s="20" t="s">
        <v>267</v>
      </c>
      <c r="G201" s="27">
        <v>9066.4</v>
      </c>
      <c r="H201" s="177"/>
    </row>
    <row r="202" spans="1:8" ht="15.75" x14ac:dyDescent="0.25">
      <c r="A202" s="23" t="s">
        <v>268</v>
      </c>
      <c r="B202" s="19">
        <v>902</v>
      </c>
      <c r="C202" s="24" t="s">
        <v>260</v>
      </c>
      <c r="D202" s="24" t="s">
        <v>231</v>
      </c>
      <c r="E202" s="20"/>
      <c r="F202" s="20"/>
      <c r="G202" s="21">
        <f>G203+G207</f>
        <v>10</v>
      </c>
      <c r="H202" s="177"/>
    </row>
    <row r="203" spans="1:8" ht="78.75" x14ac:dyDescent="0.25">
      <c r="A203" s="25" t="s">
        <v>269</v>
      </c>
      <c r="B203" s="16">
        <v>902</v>
      </c>
      <c r="C203" s="20" t="s">
        <v>260</v>
      </c>
      <c r="D203" s="20" t="s">
        <v>231</v>
      </c>
      <c r="E203" s="20" t="s">
        <v>270</v>
      </c>
      <c r="F203" s="20"/>
      <c r="G203" s="26">
        <f>G204</f>
        <v>10</v>
      </c>
      <c r="H203" s="177"/>
    </row>
    <row r="204" spans="1:8" ht="31.5" x14ac:dyDescent="0.25">
      <c r="A204" s="25" t="s">
        <v>173</v>
      </c>
      <c r="B204" s="16">
        <v>902</v>
      </c>
      <c r="C204" s="20" t="s">
        <v>260</v>
      </c>
      <c r="D204" s="20" t="s">
        <v>231</v>
      </c>
      <c r="E204" s="20" t="s">
        <v>271</v>
      </c>
      <c r="F204" s="20"/>
      <c r="G204" s="26">
        <f>G205</f>
        <v>10</v>
      </c>
      <c r="H204" s="177"/>
    </row>
    <row r="205" spans="1:8" ht="31.5" x14ac:dyDescent="0.25">
      <c r="A205" s="25" t="s">
        <v>264</v>
      </c>
      <c r="B205" s="16">
        <v>902</v>
      </c>
      <c r="C205" s="20" t="s">
        <v>260</v>
      </c>
      <c r="D205" s="20" t="s">
        <v>231</v>
      </c>
      <c r="E205" s="20" t="s">
        <v>271</v>
      </c>
      <c r="F205" s="20" t="s">
        <v>265</v>
      </c>
      <c r="G205" s="26">
        <f>G206</f>
        <v>10</v>
      </c>
      <c r="H205" s="177"/>
    </row>
    <row r="206" spans="1:8" ht="31.5" x14ac:dyDescent="0.25">
      <c r="A206" s="25" t="s">
        <v>266</v>
      </c>
      <c r="B206" s="16">
        <v>902</v>
      </c>
      <c r="C206" s="20" t="s">
        <v>260</v>
      </c>
      <c r="D206" s="20" t="s">
        <v>231</v>
      </c>
      <c r="E206" s="20" t="s">
        <v>271</v>
      </c>
      <c r="F206" s="20" t="s">
        <v>267</v>
      </c>
      <c r="G206" s="26">
        <v>10</v>
      </c>
      <c r="H206" s="177"/>
    </row>
    <row r="207" spans="1:8" ht="15.75" hidden="1" x14ac:dyDescent="0.25">
      <c r="A207" s="25" t="s">
        <v>137</v>
      </c>
      <c r="B207" s="16">
        <v>902</v>
      </c>
      <c r="C207" s="20" t="s">
        <v>260</v>
      </c>
      <c r="D207" s="20" t="s">
        <v>231</v>
      </c>
      <c r="E207" s="20" t="s">
        <v>138</v>
      </c>
      <c r="F207" s="20"/>
      <c r="G207" s="26">
        <f>G208</f>
        <v>0</v>
      </c>
      <c r="H207" s="177"/>
    </row>
    <row r="208" spans="1:8" ht="31.5" hidden="1" x14ac:dyDescent="0.25">
      <c r="A208" s="25" t="s">
        <v>201</v>
      </c>
      <c r="B208" s="16">
        <v>902</v>
      </c>
      <c r="C208" s="20" t="s">
        <v>260</v>
      </c>
      <c r="D208" s="20" t="s">
        <v>231</v>
      </c>
      <c r="E208" s="20" t="s">
        <v>202</v>
      </c>
      <c r="F208" s="20"/>
      <c r="G208" s="26">
        <f>G209</f>
        <v>0</v>
      </c>
      <c r="H208" s="177"/>
    </row>
    <row r="209" spans="1:12" ht="47.25" hidden="1" x14ac:dyDescent="0.25">
      <c r="A209" s="31" t="s">
        <v>272</v>
      </c>
      <c r="B209" s="16">
        <v>902</v>
      </c>
      <c r="C209" s="20" t="s">
        <v>260</v>
      </c>
      <c r="D209" s="20" t="s">
        <v>231</v>
      </c>
      <c r="E209" s="20" t="s">
        <v>273</v>
      </c>
      <c r="F209" s="20"/>
      <c r="G209" s="26">
        <f>G210</f>
        <v>0</v>
      </c>
      <c r="H209" s="177"/>
    </row>
    <row r="210" spans="1:12" ht="31.5" hidden="1" x14ac:dyDescent="0.25">
      <c r="A210" s="25" t="s">
        <v>264</v>
      </c>
      <c r="B210" s="16">
        <v>902</v>
      </c>
      <c r="C210" s="20" t="s">
        <v>260</v>
      </c>
      <c r="D210" s="20" t="s">
        <v>231</v>
      </c>
      <c r="E210" s="20" t="s">
        <v>273</v>
      </c>
      <c r="F210" s="20" t="s">
        <v>265</v>
      </c>
      <c r="G210" s="26">
        <f>G211</f>
        <v>0</v>
      </c>
      <c r="H210" s="177"/>
    </row>
    <row r="211" spans="1:12" ht="31.5" hidden="1" x14ac:dyDescent="0.25">
      <c r="A211" s="25" t="s">
        <v>266</v>
      </c>
      <c r="B211" s="16">
        <v>902</v>
      </c>
      <c r="C211" s="20" t="s">
        <v>260</v>
      </c>
      <c r="D211" s="20" t="s">
        <v>231</v>
      </c>
      <c r="E211" s="20" t="s">
        <v>273</v>
      </c>
      <c r="F211" s="20" t="s">
        <v>267</v>
      </c>
      <c r="G211" s="26">
        <f>6250-6250</f>
        <v>0</v>
      </c>
      <c r="H211" s="106"/>
      <c r="I211" s="115"/>
    </row>
    <row r="212" spans="1:12" ht="31.5" x14ac:dyDescent="0.25">
      <c r="A212" s="23" t="s">
        <v>274</v>
      </c>
      <c r="B212" s="19">
        <v>902</v>
      </c>
      <c r="C212" s="24" t="s">
        <v>260</v>
      </c>
      <c r="D212" s="24" t="s">
        <v>136</v>
      </c>
      <c r="E212" s="24"/>
      <c r="F212" s="24"/>
      <c r="G212" s="21">
        <f>G213</f>
        <v>3148.5000000000005</v>
      </c>
      <c r="H212" s="177"/>
    </row>
    <row r="213" spans="1:12" ht="15.75" x14ac:dyDescent="0.25">
      <c r="A213" s="25" t="s">
        <v>137</v>
      </c>
      <c r="B213" s="16">
        <v>902</v>
      </c>
      <c r="C213" s="20" t="s">
        <v>260</v>
      </c>
      <c r="D213" s="20" t="s">
        <v>136</v>
      </c>
      <c r="E213" s="20" t="s">
        <v>138</v>
      </c>
      <c r="F213" s="24"/>
      <c r="G213" s="26">
        <f>G214</f>
        <v>3148.5000000000005</v>
      </c>
      <c r="H213" s="177"/>
    </row>
    <row r="214" spans="1:12" ht="31.5" x14ac:dyDescent="0.25">
      <c r="A214" s="25" t="s">
        <v>201</v>
      </c>
      <c r="B214" s="16">
        <v>902</v>
      </c>
      <c r="C214" s="20" t="s">
        <v>260</v>
      </c>
      <c r="D214" s="20" t="s">
        <v>136</v>
      </c>
      <c r="E214" s="20" t="s">
        <v>202</v>
      </c>
      <c r="F214" s="20"/>
      <c r="G214" s="26">
        <f>G215</f>
        <v>3148.5000000000005</v>
      </c>
      <c r="H214" s="177"/>
    </row>
    <row r="215" spans="1:12" ht="47.25" x14ac:dyDescent="0.25">
      <c r="A215" s="31" t="s">
        <v>275</v>
      </c>
      <c r="B215" s="16">
        <v>902</v>
      </c>
      <c r="C215" s="20" t="s">
        <v>260</v>
      </c>
      <c r="D215" s="20" t="s">
        <v>136</v>
      </c>
      <c r="E215" s="20" t="s">
        <v>276</v>
      </c>
      <c r="F215" s="20"/>
      <c r="G215" s="26">
        <f>G216+G218</f>
        <v>3148.5000000000005</v>
      </c>
      <c r="H215" s="177"/>
    </row>
    <row r="216" spans="1:12" ht="94.5" x14ac:dyDescent="0.25">
      <c r="A216" s="25" t="s">
        <v>143</v>
      </c>
      <c r="B216" s="16">
        <v>902</v>
      </c>
      <c r="C216" s="20" t="s">
        <v>260</v>
      </c>
      <c r="D216" s="20" t="s">
        <v>136</v>
      </c>
      <c r="E216" s="20" t="s">
        <v>276</v>
      </c>
      <c r="F216" s="20" t="s">
        <v>144</v>
      </c>
      <c r="G216" s="26">
        <f>G217</f>
        <v>2884.1000000000004</v>
      </c>
      <c r="H216" s="177"/>
    </row>
    <row r="217" spans="1:12" ht="31.5" x14ac:dyDescent="0.25">
      <c r="A217" s="25" t="s">
        <v>145</v>
      </c>
      <c r="B217" s="16">
        <v>902</v>
      </c>
      <c r="C217" s="20" t="s">
        <v>260</v>
      </c>
      <c r="D217" s="20" t="s">
        <v>136</v>
      </c>
      <c r="E217" s="20" t="s">
        <v>276</v>
      </c>
      <c r="F217" s="20" t="s">
        <v>146</v>
      </c>
      <c r="G217" s="27">
        <f>2826.8+14.8+42.5</f>
        <v>2884.1000000000004</v>
      </c>
      <c r="H217" s="106"/>
    </row>
    <row r="218" spans="1:12" ht="31.5" x14ac:dyDescent="0.25">
      <c r="A218" s="25" t="s">
        <v>147</v>
      </c>
      <c r="B218" s="16">
        <v>902</v>
      </c>
      <c r="C218" s="20" t="s">
        <v>260</v>
      </c>
      <c r="D218" s="20" t="s">
        <v>136</v>
      </c>
      <c r="E218" s="20" t="s">
        <v>276</v>
      </c>
      <c r="F218" s="20" t="s">
        <v>148</v>
      </c>
      <c r="G218" s="26">
        <f>G219</f>
        <v>264.39999999999998</v>
      </c>
      <c r="H218" s="177"/>
    </row>
    <row r="219" spans="1:12" ht="47.25" x14ac:dyDescent="0.25">
      <c r="A219" s="25" t="s">
        <v>149</v>
      </c>
      <c r="B219" s="16">
        <v>902</v>
      </c>
      <c r="C219" s="20" t="s">
        <v>260</v>
      </c>
      <c r="D219" s="20" t="s">
        <v>136</v>
      </c>
      <c r="E219" s="20" t="s">
        <v>276</v>
      </c>
      <c r="F219" s="20" t="s">
        <v>150</v>
      </c>
      <c r="G219" s="27">
        <f>433.9-112.2-14.8-42.5</f>
        <v>264.39999999999998</v>
      </c>
      <c r="H219" s="106"/>
      <c r="I219" s="115"/>
    </row>
    <row r="220" spans="1:12" ht="47.25" x14ac:dyDescent="0.25">
      <c r="A220" s="19" t="s">
        <v>277</v>
      </c>
      <c r="B220" s="19">
        <v>903</v>
      </c>
      <c r="C220" s="20"/>
      <c r="D220" s="20"/>
      <c r="E220" s="20"/>
      <c r="F220" s="20"/>
      <c r="G220" s="21">
        <f>G235+G277+G388+G221+G228</f>
        <v>83896.2</v>
      </c>
      <c r="H220" s="177"/>
      <c r="L220" s="116"/>
    </row>
    <row r="221" spans="1:12" ht="15.75" hidden="1" x14ac:dyDescent="0.25">
      <c r="A221" s="23" t="s">
        <v>133</v>
      </c>
      <c r="B221" s="19">
        <v>903</v>
      </c>
      <c r="C221" s="24" t="s">
        <v>134</v>
      </c>
      <c r="D221" s="24"/>
      <c r="E221" s="24"/>
      <c r="F221" s="24"/>
      <c r="G221" s="21">
        <f t="shared" ref="G221:G226" si="0">G222</f>
        <v>0</v>
      </c>
      <c r="H221" s="177"/>
    </row>
    <row r="222" spans="1:12" ht="15.75" hidden="1" x14ac:dyDescent="0.25">
      <c r="A222" s="34" t="s">
        <v>155</v>
      </c>
      <c r="B222" s="19">
        <v>903</v>
      </c>
      <c r="C222" s="24" t="s">
        <v>134</v>
      </c>
      <c r="D222" s="24" t="s">
        <v>156</v>
      </c>
      <c r="E222" s="24"/>
      <c r="F222" s="24"/>
      <c r="G222" s="21">
        <f t="shared" si="0"/>
        <v>0</v>
      </c>
      <c r="H222" s="177"/>
    </row>
    <row r="223" spans="1:12" ht="15.75" hidden="1" x14ac:dyDescent="0.25">
      <c r="A223" s="31" t="s">
        <v>137</v>
      </c>
      <c r="B223" s="16">
        <v>903</v>
      </c>
      <c r="C223" s="20" t="s">
        <v>134</v>
      </c>
      <c r="D223" s="20" t="s">
        <v>156</v>
      </c>
      <c r="E223" s="20" t="s">
        <v>138</v>
      </c>
      <c r="F223" s="20"/>
      <c r="G223" s="26">
        <f t="shared" si="0"/>
        <v>0</v>
      </c>
      <c r="H223" s="177"/>
    </row>
    <row r="224" spans="1:12" ht="15.75" hidden="1" x14ac:dyDescent="0.25">
      <c r="A224" s="31" t="s">
        <v>157</v>
      </c>
      <c r="B224" s="16">
        <v>903</v>
      </c>
      <c r="C224" s="20" t="s">
        <v>134</v>
      </c>
      <c r="D224" s="20" t="s">
        <v>156</v>
      </c>
      <c r="E224" s="20" t="s">
        <v>158</v>
      </c>
      <c r="F224" s="20"/>
      <c r="G224" s="26">
        <f t="shared" si="0"/>
        <v>0</v>
      </c>
      <c r="H224" s="177"/>
    </row>
    <row r="225" spans="1:8" ht="15.75" hidden="1" x14ac:dyDescent="0.25">
      <c r="A225" s="25" t="s">
        <v>195</v>
      </c>
      <c r="B225" s="16">
        <v>903</v>
      </c>
      <c r="C225" s="20" t="s">
        <v>134</v>
      </c>
      <c r="D225" s="20" t="s">
        <v>156</v>
      </c>
      <c r="E225" s="20" t="s">
        <v>278</v>
      </c>
      <c r="F225" s="20"/>
      <c r="G225" s="26">
        <f t="shared" si="0"/>
        <v>0</v>
      </c>
      <c r="H225" s="177"/>
    </row>
    <row r="226" spans="1:8" ht="31.5" hidden="1" x14ac:dyDescent="0.25">
      <c r="A226" s="25" t="s">
        <v>147</v>
      </c>
      <c r="B226" s="16">
        <v>903</v>
      </c>
      <c r="C226" s="20" t="s">
        <v>134</v>
      </c>
      <c r="D226" s="20" t="s">
        <v>156</v>
      </c>
      <c r="E226" s="20" t="s">
        <v>278</v>
      </c>
      <c r="F226" s="20" t="s">
        <v>148</v>
      </c>
      <c r="G226" s="26">
        <f t="shared" si="0"/>
        <v>0</v>
      </c>
      <c r="H226" s="177"/>
    </row>
    <row r="227" spans="1:8" ht="47.25" hidden="1" x14ac:dyDescent="0.25">
      <c r="A227" s="25" t="s">
        <v>149</v>
      </c>
      <c r="B227" s="16">
        <v>903</v>
      </c>
      <c r="C227" s="20" t="s">
        <v>134</v>
      </c>
      <c r="D227" s="20" t="s">
        <v>156</v>
      </c>
      <c r="E227" s="20" t="s">
        <v>278</v>
      </c>
      <c r="F227" s="20" t="s">
        <v>150</v>
      </c>
      <c r="G227" s="26"/>
      <c r="H227" s="177"/>
    </row>
    <row r="228" spans="1:8" ht="15.75" x14ac:dyDescent="0.25">
      <c r="A228" s="23" t="s">
        <v>133</v>
      </c>
      <c r="B228" s="19">
        <v>903</v>
      </c>
      <c r="C228" s="24" t="s">
        <v>134</v>
      </c>
      <c r="D228" s="20"/>
      <c r="E228" s="20"/>
      <c r="F228" s="20"/>
      <c r="G228" s="26">
        <f t="shared" ref="G228:G233" si="1">G229</f>
        <v>88.7</v>
      </c>
      <c r="H228" s="177"/>
    </row>
    <row r="229" spans="1:8" ht="15.75" x14ac:dyDescent="0.25">
      <c r="A229" s="23" t="s">
        <v>155</v>
      </c>
      <c r="B229" s="19">
        <v>903</v>
      </c>
      <c r="C229" s="24" t="s">
        <v>134</v>
      </c>
      <c r="D229" s="24" t="s">
        <v>156</v>
      </c>
      <c r="E229" s="20"/>
      <c r="F229" s="20"/>
      <c r="G229" s="26">
        <f t="shared" si="1"/>
        <v>88.7</v>
      </c>
      <c r="H229" s="177"/>
    </row>
    <row r="230" spans="1:8" ht="15.75" x14ac:dyDescent="0.25">
      <c r="A230" s="25" t="s">
        <v>137</v>
      </c>
      <c r="B230" s="16">
        <v>903</v>
      </c>
      <c r="C230" s="20" t="s">
        <v>134</v>
      </c>
      <c r="D230" s="20" t="s">
        <v>156</v>
      </c>
      <c r="E230" s="20" t="s">
        <v>138</v>
      </c>
      <c r="F230" s="20"/>
      <c r="G230" s="26">
        <f t="shared" si="1"/>
        <v>88.7</v>
      </c>
      <c r="H230" s="177"/>
    </row>
    <row r="231" spans="1:8" ht="31.5" x14ac:dyDescent="0.25">
      <c r="A231" s="25" t="s">
        <v>201</v>
      </c>
      <c r="B231" s="16">
        <v>903</v>
      </c>
      <c r="C231" s="20" t="s">
        <v>134</v>
      </c>
      <c r="D231" s="20" t="s">
        <v>156</v>
      </c>
      <c r="E231" s="20" t="s">
        <v>202</v>
      </c>
      <c r="F231" s="20"/>
      <c r="G231" s="26">
        <f t="shared" si="1"/>
        <v>88.7</v>
      </c>
      <c r="H231" s="177"/>
    </row>
    <row r="232" spans="1:8" ht="47.25" x14ac:dyDescent="0.25">
      <c r="A232" s="35" t="s">
        <v>758</v>
      </c>
      <c r="B232" s="16">
        <v>903</v>
      </c>
      <c r="C232" s="20" t="s">
        <v>134</v>
      </c>
      <c r="D232" s="20" t="s">
        <v>156</v>
      </c>
      <c r="E232" s="20" t="s">
        <v>757</v>
      </c>
      <c r="F232" s="24"/>
      <c r="G232" s="26">
        <f t="shared" si="1"/>
        <v>88.7</v>
      </c>
      <c r="H232" s="177"/>
    </row>
    <row r="233" spans="1:8" ht="31.5" x14ac:dyDescent="0.25">
      <c r="A233" s="25" t="s">
        <v>147</v>
      </c>
      <c r="B233" s="16">
        <v>903</v>
      </c>
      <c r="C233" s="20" t="s">
        <v>134</v>
      </c>
      <c r="D233" s="20" t="s">
        <v>156</v>
      </c>
      <c r="E233" s="20" t="s">
        <v>757</v>
      </c>
      <c r="F233" s="20" t="s">
        <v>148</v>
      </c>
      <c r="G233" s="26">
        <f t="shared" si="1"/>
        <v>88.7</v>
      </c>
      <c r="H233" s="177"/>
    </row>
    <row r="234" spans="1:8" ht="53.45" customHeight="1" x14ac:dyDescent="0.25">
      <c r="A234" s="25" t="s">
        <v>149</v>
      </c>
      <c r="B234" s="16">
        <v>903</v>
      </c>
      <c r="C234" s="20" t="s">
        <v>134</v>
      </c>
      <c r="D234" s="20" t="s">
        <v>156</v>
      </c>
      <c r="E234" s="20" t="s">
        <v>757</v>
      </c>
      <c r="F234" s="20" t="s">
        <v>150</v>
      </c>
      <c r="G234" s="162">
        <v>88.7</v>
      </c>
      <c r="H234" s="157" t="s">
        <v>752</v>
      </c>
    </row>
    <row r="235" spans="1:8" ht="15.75" x14ac:dyDescent="0.25">
      <c r="A235" s="23" t="s">
        <v>279</v>
      </c>
      <c r="B235" s="19">
        <v>903</v>
      </c>
      <c r="C235" s="24" t="s">
        <v>280</v>
      </c>
      <c r="D235" s="20"/>
      <c r="E235" s="20"/>
      <c r="F235" s="20"/>
      <c r="G235" s="21">
        <f>G236+G271</f>
        <v>17482.699999999997</v>
      </c>
      <c r="H235" s="177"/>
    </row>
    <row r="236" spans="1:8" ht="15.75" x14ac:dyDescent="0.25">
      <c r="A236" s="23" t="s">
        <v>281</v>
      </c>
      <c r="B236" s="19">
        <v>903</v>
      </c>
      <c r="C236" s="24" t="s">
        <v>280</v>
      </c>
      <c r="D236" s="24" t="s">
        <v>231</v>
      </c>
      <c r="E236" s="24"/>
      <c r="F236" s="24"/>
      <c r="G236" s="21">
        <f>G237+G260</f>
        <v>17482.699999999997</v>
      </c>
      <c r="H236" s="177"/>
    </row>
    <row r="237" spans="1:8" ht="47.25" x14ac:dyDescent="0.25">
      <c r="A237" s="25" t="s">
        <v>282</v>
      </c>
      <c r="B237" s="16">
        <v>903</v>
      </c>
      <c r="C237" s="20" t="s">
        <v>280</v>
      </c>
      <c r="D237" s="20" t="s">
        <v>231</v>
      </c>
      <c r="E237" s="20" t="s">
        <v>283</v>
      </c>
      <c r="F237" s="20"/>
      <c r="G237" s="26">
        <f>G238</f>
        <v>16445.599999999999</v>
      </c>
      <c r="H237" s="177"/>
    </row>
    <row r="238" spans="1:8" ht="63" x14ac:dyDescent="0.25">
      <c r="A238" s="25" t="s">
        <v>284</v>
      </c>
      <c r="B238" s="16">
        <v>903</v>
      </c>
      <c r="C238" s="20" t="s">
        <v>280</v>
      </c>
      <c r="D238" s="20" t="s">
        <v>231</v>
      </c>
      <c r="E238" s="20" t="s">
        <v>285</v>
      </c>
      <c r="F238" s="20"/>
      <c r="G238" s="26">
        <f>G239+G251</f>
        <v>16445.599999999999</v>
      </c>
      <c r="H238" s="177"/>
    </row>
    <row r="239" spans="1:8" ht="47.25" x14ac:dyDescent="0.25">
      <c r="A239" s="25" t="s">
        <v>286</v>
      </c>
      <c r="B239" s="16">
        <v>903</v>
      </c>
      <c r="C239" s="20" t="s">
        <v>280</v>
      </c>
      <c r="D239" s="20" t="s">
        <v>231</v>
      </c>
      <c r="E239" s="20" t="s">
        <v>287</v>
      </c>
      <c r="F239" s="20"/>
      <c r="G239" s="26">
        <f>G240</f>
        <v>16395.599999999999</v>
      </c>
      <c r="H239" s="177"/>
    </row>
    <row r="240" spans="1:8" ht="47.25" x14ac:dyDescent="0.25">
      <c r="A240" s="25" t="s">
        <v>288</v>
      </c>
      <c r="B240" s="16">
        <v>903</v>
      </c>
      <c r="C240" s="20" t="s">
        <v>280</v>
      </c>
      <c r="D240" s="20" t="s">
        <v>231</v>
      </c>
      <c r="E240" s="20" t="s">
        <v>287</v>
      </c>
      <c r="F240" s="20" t="s">
        <v>289</v>
      </c>
      <c r="G240" s="26">
        <f>G241</f>
        <v>16395.599999999999</v>
      </c>
      <c r="H240" s="177"/>
    </row>
    <row r="241" spans="1:9" ht="15.75" x14ac:dyDescent="0.25">
      <c r="A241" s="25" t="s">
        <v>290</v>
      </c>
      <c r="B241" s="16">
        <v>903</v>
      </c>
      <c r="C241" s="20" t="s">
        <v>280</v>
      </c>
      <c r="D241" s="20" t="s">
        <v>231</v>
      </c>
      <c r="E241" s="20" t="s">
        <v>287</v>
      </c>
      <c r="F241" s="20" t="s">
        <v>291</v>
      </c>
      <c r="G241" s="27">
        <f>15572+756.3+67.3</f>
        <v>16395.599999999999</v>
      </c>
      <c r="H241" s="106"/>
      <c r="I241" s="125"/>
    </row>
    <row r="242" spans="1:9" ht="47.25" hidden="1" x14ac:dyDescent="0.25">
      <c r="A242" s="25" t="s">
        <v>292</v>
      </c>
      <c r="B242" s="16">
        <v>903</v>
      </c>
      <c r="C242" s="20" t="s">
        <v>280</v>
      </c>
      <c r="D242" s="20" t="s">
        <v>231</v>
      </c>
      <c r="E242" s="20" t="s">
        <v>293</v>
      </c>
      <c r="F242" s="20"/>
      <c r="G242" s="26">
        <f>G243</f>
        <v>0</v>
      </c>
      <c r="H242" s="177"/>
    </row>
    <row r="243" spans="1:9" ht="47.25" hidden="1" x14ac:dyDescent="0.25">
      <c r="A243" s="25" t="s">
        <v>288</v>
      </c>
      <c r="B243" s="16">
        <v>903</v>
      </c>
      <c r="C243" s="20" t="s">
        <v>280</v>
      </c>
      <c r="D243" s="20" t="s">
        <v>231</v>
      </c>
      <c r="E243" s="20" t="s">
        <v>293</v>
      </c>
      <c r="F243" s="20" t="s">
        <v>289</v>
      </c>
      <c r="G243" s="26">
        <f>G244</f>
        <v>0</v>
      </c>
      <c r="H243" s="177"/>
    </row>
    <row r="244" spans="1:9" ht="15.75" hidden="1" x14ac:dyDescent="0.25">
      <c r="A244" s="25" t="s">
        <v>290</v>
      </c>
      <c r="B244" s="16">
        <v>903</v>
      </c>
      <c r="C244" s="20" t="s">
        <v>280</v>
      </c>
      <c r="D244" s="20" t="s">
        <v>231</v>
      </c>
      <c r="E244" s="20" t="s">
        <v>293</v>
      </c>
      <c r="F244" s="20" t="s">
        <v>291</v>
      </c>
      <c r="G244" s="26">
        <v>0</v>
      </c>
      <c r="H244" s="177"/>
    </row>
    <row r="245" spans="1:9" ht="47.25" hidden="1" x14ac:dyDescent="0.25">
      <c r="A245" s="25" t="s">
        <v>294</v>
      </c>
      <c r="B245" s="16">
        <v>903</v>
      </c>
      <c r="C245" s="20" t="s">
        <v>280</v>
      </c>
      <c r="D245" s="20" t="s">
        <v>231</v>
      </c>
      <c r="E245" s="20" t="s">
        <v>295</v>
      </c>
      <c r="F245" s="20"/>
      <c r="G245" s="26">
        <f>G246</f>
        <v>0</v>
      </c>
      <c r="H245" s="177"/>
    </row>
    <row r="246" spans="1:9" ht="47.25" hidden="1" x14ac:dyDescent="0.25">
      <c r="A246" s="25" t="s">
        <v>288</v>
      </c>
      <c r="B246" s="16">
        <v>903</v>
      </c>
      <c r="C246" s="20" t="s">
        <v>280</v>
      </c>
      <c r="D246" s="20" t="s">
        <v>231</v>
      </c>
      <c r="E246" s="20" t="s">
        <v>295</v>
      </c>
      <c r="F246" s="20" t="s">
        <v>289</v>
      </c>
      <c r="G246" s="26">
        <f>G247</f>
        <v>0</v>
      </c>
      <c r="H246" s="177"/>
    </row>
    <row r="247" spans="1:9" ht="15.75" hidden="1" x14ac:dyDescent="0.25">
      <c r="A247" s="25" t="s">
        <v>290</v>
      </c>
      <c r="B247" s="16">
        <v>903</v>
      </c>
      <c r="C247" s="20" t="s">
        <v>280</v>
      </c>
      <c r="D247" s="20" t="s">
        <v>231</v>
      </c>
      <c r="E247" s="20" t="s">
        <v>295</v>
      </c>
      <c r="F247" s="20" t="s">
        <v>291</v>
      </c>
      <c r="G247" s="26">
        <v>0</v>
      </c>
      <c r="H247" s="177"/>
    </row>
    <row r="248" spans="1:9" ht="31.5" hidden="1" x14ac:dyDescent="0.25">
      <c r="A248" s="25" t="s">
        <v>296</v>
      </c>
      <c r="B248" s="16">
        <v>903</v>
      </c>
      <c r="C248" s="20" t="s">
        <v>280</v>
      </c>
      <c r="D248" s="20" t="s">
        <v>231</v>
      </c>
      <c r="E248" s="20" t="s">
        <v>297</v>
      </c>
      <c r="F248" s="20"/>
      <c r="G248" s="26">
        <f>G249</f>
        <v>0</v>
      </c>
      <c r="H248" s="177"/>
    </row>
    <row r="249" spans="1:9" ht="47.25" hidden="1" x14ac:dyDescent="0.25">
      <c r="A249" s="25" t="s">
        <v>288</v>
      </c>
      <c r="B249" s="16">
        <v>903</v>
      </c>
      <c r="C249" s="20" t="s">
        <v>280</v>
      </c>
      <c r="D249" s="20" t="s">
        <v>231</v>
      </c>
      <c r="E249" s="20" t="s">
        <v>297</v>
      </c>
      <c r="F249" s="20" t="s">
        <v>289</v>
      </c>
      <c r="G249" s="26">
        <f>G250</f>
        <v>0</v>
      </c>
      <c r="H249" s="177"/>
    </row>
    <row r="250" spans="1:9" ht="15.75" hidden="1" x14ac:dyDescent="0.25">
      <c r="A250" s="25" t="s">
        <v>290</v>
      </c>
      <c r="B250" s="16">
        <v>903</v>
      </c>
      <c r="C250" s="20" t="s">
        <v>280</v>
      </c>
      <c r="D250" s="20" t="s">
        <v>231</v>
      </c>
      <c r="E250" s="20" t="s">
        <v>297</v>
      </c>
      <c r="F250" s="20" t="s">
        <v>291</v>
      </c>
      <c r="G250" s="26">
        <v>0</v>
      </c>
      <c r="H250" s="177"/>
    </row>
    <row r="251" spans="1:9" ht="47.25" x14ac:dyDescent="0.25">
      <c r="A251" s="25" t="s">
        <v>298</v>
      </c>
      <c r="B251" s="16">
        <v>903</v>
      </c>
      <c r="C251" s="20" t="s">
        <v>280</v>
      </c>
      <c r="D251" s="20" t="s">
        <v>231</v>
      </c>
      <c r="E251" s="20" t="s">
        <v>299</v>
      </c>
      <c r="F251" s="20"/>
      <c r="G251" s="26">
        <f>G252</f>
        <v>50</v>
      </c>
      <c r="H251" s="177"/>
    </row>
    <row r="252" spans="1:9" ht="47.25" x14ac:dyDescent="0.25">
      <c r="A252" s="25" t="s">
        <v>288</v>
      </c>
      <c r="B252" s="16">
        <v>903</v>
      </c>
      <c r="C252" s="20" t="s">
        <v>280</v>
      </c>
      <c r="D252" s="20" t="s">
        <v>231</v>
      </c>
      <c r="E252" s="20" t="s">
        <v>299</v>
      </c>
      <c r="F252" s="20" t="s">
        <v>289</v>
      </c>
      <c r="G252" s="26">
        <f>G253</f>
        <v>50</v>
      </c>
      <c r="H252" s="177"/>
    </row>
    <row r="253" spans="1:9" ht="15.75" x14ac:dyDescent="0.25">
      <c r="A253" s="25" t="s">
        <v>290</v>
      </c>
      <c r="B253" s="16">
        <v>903</v>
      </c>
      <c r="C253" s="20" t="s">
        <v>280</v>
      </c>
      <c r="D253" s="20" t="s">
        <v>231</v>
      </c>
      <c r="E253" s="20" t="s">
        <v>299</v>
      </c>
      <c r="F253" s="20" t="s">
        <v>291</v>
      </c>
      <c r="G253" s="26">
        <v>50</v>
      </c>
      <c r="H253" s="177"/>
    </row>
    <row r="254" spans="1:9" ht="31.5" hidden="1" x14ac:dyDescent="0.25">
      <c r="A254" s="25" t="s">
        <v>300</v>
      </c>
      <c r="B254" s="16">
        <v>903</v>
      </c>
      <c r="C254" s="20" t="s">
        <v>280</v>
      </c>
      <c r="D254" s="20" t="s">
        <v>231</v>
      </c>
      <c r="E254" s="20" t="s">
        <v>301</v>
      </c>
      <c r="F254" s="20"/>
      <c r="G254" s="26">
        <f>G255</f>
        <v>0</v>
      </c>
      <c r="H254" s="177"/>
    </row>
    <row r="255" spans="1:9" ht="47.25" hidden="1" x14ac:dyDescent="0.25">
      <c r="A255" s="25" t="s">
        <v>288</v>
      </c>
      <c r="B255" s="16">
        <v>903</v>
      </c>
      <c r="C255" s="20" t="s">
        <v>280</v>
      </c>
      <c r="D255" s="20" t="s">
        <v>231</v>
      </c>
      <c r="E255" s="20" t="s">
        <v>302</v>
      </c>
      <c r="F255" s="20" t="s">
        <v>289</v>
      </c>
      <c r="G255" s="26">
        <f>G256</f>
        <v>0</v>
      </c>
      <c r="H255" s="177"/>
    </row>
    <row r="256" spans="1:9" ht="15.75" hidden="1" x14ac:dyDescent="0.25">
      <c r="A256" s="25" t="s">
        <v>290</v>
      </c>
      <c r="B256" s="16">
        <v>903</v>
      </c>
      <c r="C256" s="20" t="s">
        <v>280</v>
      </c>
      <c r="D256" s="20" t="s">
        <v>231</v>
      </c>
      <c r="E256" s="20" t="s">
        <v>302</v>
      </c>
      <c r="F256" s="20" t="s">
        <v>291</v>
      </c>
      <c r="G256" s="26">
        <v>0</v>
      </c>
      <c r="H256" s="177"/>
    </row>
    <row r="257" spans="1:9" ht="47.25" hidden="1" x14ac:dyDescent="0.25">
      <c r="A257" s="35" t="s">
        <v>303</v>
      </c>
      <c r="B257" s="16">
        <v>903</v>
      </c>
      <c r="C257" s="20" t="s">
        <v>280</v>
      </c>
      <c r="D257" s="20" t="s">
        <v>231</v>
      </c>
      <c r="E257" s="20" t="s">
        <v>304</v>
      </c>
      <c r="F257" s="20"/>
      <c r="G257" s="26">
        <f>G258</f>
        <v>0</v>
      </c>
      <c r="H257" s="177"/>
    </row>
    <row r="258" spans="1:9" ht="47.25" hidden="1" x14ac:dyDescent="0.25">
      <c r="A258" s="25" t="s">
        <v>288</v>
      </c>
      <c r="B258" s="16">
        <v>903</v>
      </c>
      <c r="C258" s="20" t="s">
        <v>280</v>
      </c>
      <c r="D258" s="20" t="s">
        <v>231</v>
      </c>
      <c r="E258" s="20" t="s">
        <v>304</v>
      </c>
      <c r="F258" s="20" t="s">
        <v>289</v>
      </c>
      <c r="G258" s="26">
        <f>G259</f>
        <v>0</v>
      </c>
      <c r="H258" s="177"/>
    </row>
    <row r="259" spans="1:9" ht="15.75" hidden="1" x14ac:dyDescent="0.25">
      <c r="A259" s="25" t="s">
        <v>290</v>
      </c>
      <c r="B259" s="16">
        <v>903</v>
      </c>
      <c r="C259" s="20" t="s">
        <v>280</v>
      </c>
      <c r="D259" s="20" t="s">
        <v>231</v>
      </c>
      <c r="E259" s="20" t="s">
        <v>304</v>
      </c>
      <c r="F259" s="20" t="s">
        <v>291</v>
      </c>
      <c r="G259" s="26">
        <v>0</v>
      </c>
      <c r="H259" s="177"/>
    </row>
    <row r="260" spans="1:9" ht="15.75" x14ac:dyDescent="0.25">
      <c r="A260" s="25" t="s">
        <v>137</v>
      </c>
      <c r="B260" s="16">
        <v>903</v>
      </c>
      <c r="C260" s="20" t="s">
        <v>280</v>
      </c>
      <c r="D260" s="20" t="s">
        <v>231</v>
      </c>
      <c r="E260" s="20" t="s">
        <v>138</v>
      </c>
      <c r="F260" s="20"/>
      <c r="G260" s="26">
        <f>G261</f>
        <v>1037.1000000000001</v>
      </c>
      <c r="H260" s="177"/>
    </row>
    <row r="261" spans="1:9" ht="31.5" x14ac:dyDescent="0.25">
      <c r="A261" s="25" t="s">
        <v>201</v>
      </c>
      <c r="B261" s="16">
        <v>903</v>
      </c>
      <c r="C261" s="20" t="s">
        <v>280</v>
      </c>
      <c r="D261" s="20" t="s">
        <v>231</v>
      </c>
      <c r="E261" s="20" t="s">
        <v>202</v>
      </c>
      <c r="F261" s="20"/>
      <c r="G261" s="26">
        <f>G262+G265+G268</f>
        <v>1037.1000000000001</v>
      </c>
      <c r="H261" s="177"/>
    </row>
    <row r="262" spans="1:9" ht="63" x14ac:dyDescent="0.25">
      <c r="A262" s="31" t="s">
        <v>305</v>
      </c>
      <c r="B262" s="16">
        <v>903</v>
      </c>
      <c r="C262" s="20" t="s">
        <v>280</v>
      </c>
      <c r="D262" s="20" t="s">
        <v>231</v>
      </c>
      <c r="E262" s="20" t="s">
        <v>306</v>
      </c>
      <c r="F262" s="20"/>
      <c r="G262" s="26">
        <f>G263</f>
        <v>126.69999999999999</v>
      </c>
      <c r="H262" s="177"/>
    </row>
    <row r="263" spans="1:9" ht="47.25" x14ac:dyDescent="0.25">
      <c r="A263" s="25" t="s">
        <v>288</v>
      </c>
      <c r="B263" s="16">
        <v>903</v>
      </c>
      <c r="C263" s="20" t="s">
        <v>280</v>
      </c>
      <c r="D263" s="20" t="s">
        <v>231</v>
      </c>
      <c r="E263" s="20" t="s">
        <v>306</v>
      </c>
      <c r="F263" s="20" t="s">
        <v>289</v>
      </c>
      <c r="G263" s="26">
        <f>G264</f>
        <v>126.69999999999999</v>
      </c>
      <c r="H263" s="177"/>
    </row>
    <row r="264" spans="1:9" ht="15.75" x14ac:dyDescent="0.25">
      <c r="A264" s="25" t="s">
        <v>290</v>
      </c>
      <c r="B264" s="16">
        <v>903</v>
      </c>
      <c r="C264" s="20" t="s">
        <v>280</v>
      </c>
      <c r="D264" s="20" t="s">
        <v>231</v>
      </c>
      <c r="E264" s="20" t="s">
        <v>306</v>
      </c>
      <c r="F264" s="20" t="s">
        <v>291</v>
      </c>
      <c r="G264" s="26">
        <f>162.6-35.9</f>
        <v>126.69999999999999</v>
      </c>
      <c r="H264" s="177"/>
      <c r="I264" s="115"/>
    </row>
    <row r="265" spans="1:9" ht="78.75" x14ac:dyDescent="0.25">
      <c r="A265" s="31" t="s">
        <v>307</v>
      </c>
      <c r="B265" s="16">
        <v>903</v>
      </c>
      <c r="C265" s="20" t="s">
        <v>280</v>
      </c>
      <c r="D265" s="20" t="s">
        <v>231</v>
      </c>
      <c r="E265" s="20" t="s">
        <v>308</v>
      </c>
      <c r="F265" s="20"/>
      <c r="G265" s="26">
        <f>G266</f>
        <v>310.70000000000005</v>
      </c>
      <c r="H265" s="177"/>
    </row>
    <row r="266" spans="1:9" ht="47.25" x14ac:dyDescent="0.25">
      <c r="A266" s="25" t="s">
        <v>288</v>
      </c>
      <c r="B266" s="16">
        <v>903</v>
      </c>
      <c r="C266" s="20" t="s">
        <v>280</v>
      </c>
      <c r="D266" s="20" t="s">
        <v>231</v>
      </c>
      <c r="E266" s="20" t="s">
        <v>308</v>
      </c>
      <c r="F266" s="20" t="s">
        <v>289</v>
      </c>
      <c r="G266" s="26">
        <f>G267</f>
        <v>310.70000000000005</v>
      </c>
      <c r="H266" s="177"/>
    </row>
    <row r="267" spans="1:9" ht="15.75" x14ac:dyDescent="0.25">
      <c r="A267" s="25" t="s">
        <v>290</v>
      </c>
      <c r="B267" s="16">
        <v>903</v>
      </c>
      <c r="C267" s="20" t="s">
        <v>280</v>
      </c>
      <c r="D267" s="20" t="s">
        <v>231</v>
      </c>
      <c r="E267" s="20" t="s">
        <v>308</v>
      </c>
      <c r="F267" s="20" t="s">
        <v>291</v>
      </c>
      <c r="G267" s="26">
        <f>393.3-82.6</f>
        <v>310.70000000000005</v>
      </c>
      <c r="H267" s="177"/>
      <c r="I267" s="115"/>
    </row>
    <row r="268" spans="1:9" ht="110.25" x14ac:dyDescent="0.25">
      <c r="A268" s="31" t="s">
        <v>309</v>
      </c>
      <c r="B268" s="16">
        <v>903</v>
      </c>
      <c r="C268" s="20" t="s">
        <v>280</v>
      </c>
      <c r="D268" s="20" t="s">
        <v>231</v>
      </c>
      <c r="E268" s="20" t="s">
        <v>310</v>
      </c>
      <c r="F268" s="20"/>
      <c r="G268" s="26">
        <f>G269</f>
        <v>599.70000000000005</v>
      </c>
      <c r="H268" s="177"/>
    </row>
    <row r="269" spans="1:9" ht="47.25" x14ac:dyDescent="0.25">
      <c r="A269" s="25" t="s">
        <v>288</v>
      </c>
      <c r="B269" s="16">
        <v>903</v>
      </c>
      <c r="C269" s="20" t="s">
        <v>280</v>
      </c>
      <c r="D269" s="20" t="s">
        <v>231</v>
      </c>
      <c r="E269" s="20" t="s">
        <v>310</v>
      </c>
      <c r="F269" s="20" t="s">
        <v>289</v>
      </c>
      <c r="G269" s="26">
        <f>G270</f>
        <v>599.70000000000005</v>
      </c>
      <c r="H269" s="177"/>
    </row>
    <row r="270" spans="1:9" ht="15.75" x14ac:dyDescent="0.25">
      <c r="A270" s="25" t="s">
        <v>290</v>
      </c>
      <c r="B270" s="16">
        <v>903</v>
      </c>
      <c r="C270" s="20" t="s">
        <v>280</v>
      </c>
      <c r="D270" s="20" t="s">
        <v>231</v>
      </c>
      <c r="E270" s="20" t="s">
        <v>310</v>
      </c>
      <c r="F270" s="20" t="s">
        <v>291</v>
      </c>
      <c r="G270" s="26">
        <f>600-0.3</f>
        <v>599.70000000000005</v>
      </c>
      <c r="H270" s="177"/>
      <c r="I270" s="115"/>
    </row>
    <row r="271" spans="1:9" ht="15.75" hidden="1" x14ac:dyDescent="0.25">
      <c r="A271" s="23" t="s">
        <v>311</v>
      </c>
      <c r="B271" s="19">
        <v>903</v>
      </c>
      <c r="C271" s="24" t="s">
        <v>280</v>
      </c>
      <c r="D271" s="24" t="s">
        <v>235</v>
      </c>
      <c r="E271" s="24"/>
      <c r="F271" s="24"/>
      <c r="G271" s="26">
        <f>G272</f>
        <v>0</v>
      </c>
      <c r="H271" s="177"/>
    </row>
    <row r="272" spans="1:9" ht="15.75" hidden="1" x14ac:dyDescent="0.25">
      <c r="A272" s="25" t="s">
        <v>137</v>
      </c>
      <c r="B272" s="16">
        <v>903</v>
      </c>
      <c r="C272" s="20" t="s">
        <v>280</v>
      </c>
      <c r="D272" s="20" t="s">
        <v>235</v>
      </c>
      <c r="E272" s="20" t="s">
        <v>138</v>
      </c>
      <c r="F272" s="20"/>
      <c r="G272" s="26">
        <f>G273</f>
        <v>0</v>
      </c>
      <c r="H272" s="177"/>
    </row>
    <row r="273" spans="1:12" ht="31.5" hidden="1" x14ac:dyDescent="0.25">
      <c r="A273" s="25" t="s">
        <v>201</v>
      </c>
      <c r="B273" s="16">
        <v>903</v>
      </c>
      <c r="C273" s="20" t="s">
        <v>280</v>
      </c>
      <c r="D273" s="20" t="s">
        <v>235</v>
      </c>
      <c r="E273" s="20" t="s">
        <v>202</v>
      </c>
      <c r="F273" s="20"/>
      <c r="G273" s="26">
        <f>G274</f>
        <v>0</v>
      </c>
      <c r="H273" s="177"/>
    </row>
    <row r="274" spans="1:12" ht="31.5" hidden="1" x14ac:dyDescent="0.25">
      <c r="A274" s="36" t="s">
        <v>312</v>
      </c>
      <c r="B274" s="37">
        <v>903</v>
      </c>
      <c r="C274" s="20" t="s">
        <v>280</v>
      </c>
      <c r="D274" s="20" t="s">
        <v>235</v>
      </c>
      <c r="E274" s="20" t="s">
        <v>313</v>
      </c>
      <c r="F274" s="20"/>
      <c r="G274" s="26">
        <f>G275</f>
        <v>0</v>
      </c>
      <c r="H274" s="177"/>
    </row>
    <row r="275" spans="1:12" ht="15.75" hidden="1" x14ac:dyDescent="0.25">
      <c r="A275" s="25" t="s">
        <v>151</v>
      </c>
      <c r="B275" s="16">
        <v>903</v>
      </c>
      <c r="C275" s="20" t="s">
        <v>280</v>
      </c>
      <c r="D275" s="20" t="s">
        <v>235</v>
      </c>
      <c r="E275" s="20" t="s">
        <v>313</v>
      </c>
      <c r="F275" s="20" t="s">
        <v>161</v>
      </c>
      <c r="G275" s="26">
        <f>G276</f>
        <v>0</v>
      </c>
      <c r="H275" s="177"/>
    </row>
    <row r="276" spans="1:12" ht="63" hidden="1" x14ac:dyDescent="0.25">
      <c r="A276" s="25" t="s">
        <v>200</v>
      </c>
      <c r="B276" s="16">
        <v>903</v>
      </c>
      <c r="C276" s="20" t="s">
        <v>280</v>
      </c>
      <c r="D276" s="20" t="s">
        <v>235</v>
      </c>
      <c r="E276" s="20" t="s">
        <v>313</v>
      </c>
      <c r="F276" s="20" t="s">
        <v>176</v>
      </c>
      <c r="G276" s="26"/>
      <c r="H276" s="177"/>
    </row>
    <row r="277" spans="1:12" ht="15.75" x14ac:dyDescent="0.25">
      <c r="A277" s="23" t="s">
        <v>314</v>
      </c>
      <c r="B277" s="19">
        <v>903</v>
      </c>
      <c r="C277" s="24" t="s">
        <v>315</v>
      </c>
      <c r="D277" s="24"/>
      <c r="E277" s="24"/>
      <c r="F277" s="24"/>
      <c r="G277" s="21">
        <f>G278+G358</f>
        <v>61699.8</v>
      </c>
      <c r="H277" s="177"/>
    </row>
    <row r="278" spans="1:12" ht="15.75" x14ac:dyDescent="0.25">
      <c r="A278" s="23" t="s">
        <v>316</v>
      </c>
      <c r="B278" s="19">
        <v>903</v>
      </c>
      <c r="C278" s="24" t="s">
        <v>315</v>
      </c>
      <c r="D278" s="24" t="s">
        <v>134</v>
      </c>
      <c r="E278" s="24"/>
      <c r="F278" s="24"/>
      <c r="G278" s="21">
        <f>G279+G337+G333</f>
        <v>44421.000000000007</v>
      </c>
      <c r="H278" s="177"/>
    </row>
    <row r="279" spans="1:12" ht="47.25" x14ac:dyDescent="0.25">
      <c r="A279" s="25" t="s">
        <v>282</v>
      </c>
      <c r="B279" s="16">
        <v>903</v>
      </c>
      <c r="C279" s="20" t="s">
        <v>315</v>
      </c>
      <c r="D279" s="20" t="s">
        <v>134</v>
      </c>
      <c r="E279" s="20" t="s">
        <v>283</v>
      </c>
      <c r="F279" s="20"/>
      <c r="G279" s="26">
        <f>G280+G306</f>
        <v>42083.100000000006</v>
      </c>
      <c r="H279" s="177"/>
    </row>
    <row r="280" spans="1:12" ht="63" x14ac:dyDescent="0.25">
      <c r="A280" s="25" t="s">
        <v>317</v>
      </c>
      <c r="B280" s="16">
        <v>903</v>
      </c>
      <c r="C280" s="20" t="s">
        <v>315</v>
      </c>
      <c r="D280" s="20" t="s">
        <v>134</v>
      </c>
      <c r="E280" s="20" t="s">
        <v>318</v>
      </c>
      <c r="F280" s="20"/>
      <c r="G280" s="26">
        <f>G281+G299+G284+G287+G290+G293+G296</f>
        <v>25422.5</v>
      </c>
      <c r="H280" s="177"/>
    </row>
    <row r="281" spans="1:12" ht="52.5" customHeight="1" x14ac:dyDescent="0.25">
      <c r="A281" s="25" t="s">
        <v>319</v>
      </c>
      <c r="B281" s="16">
        <v>903</v>
      </c>
      <c r="C281" s="20" t="s">
        <v>315</v>
      </c>
      <c r="D281" s="20" t="s">
        <v>134</v>
      </c>
      <c r="E281" s="20" t="s">
        <v>320</v>
      </c>
      <c r="F281" s="20"/>
      <c r="G281" s="26">
        <f>G282</f>
        <v>23654.800000000003</v>
      </c>
      <c r="H281" s="177"/>
    </row>
    <row r="282" spans="1:12" ht="47.25" x14ac:dyDescent="0.25">
      <c r="A282" s="25" t="s">
        <v>288</v>
      </c>
      <c r="B282" s="16">
        <v>903</v>
      </c>
      <c r="C282" s="20" t="s">
        <v>315</v>
      </c>
      <c r="D282" s="20" t="s">
        <v>134</v>
      </c>
      <c r="E282" s="20" t="s">
        <v>320</v>
      </c>
      <c r="F282" s="20" t="s">
        <v>289</v>
      </c>
      <c r="G282" s="26">
        <f>G283</f>
        <v>23654.800000000003</v>
      </c>
      <c r="H282" s="177"/>
    </row>
    <row r="283" spans="1:12" ht="15.75" x14ac:dyDescent="0.25">
      <c r="A283" s="25" t="s">
        <v>290</v>
      </c>
      <c r="B283" s="16">
        <v>903</v>
      </c>
      <c r="C283" s="20" t="s">
        <v>315</v>
      </c>
      <c r="D283" s="20" t="s">
        <v>134</v>
      </c>
      <c r="E283" s="20" t="s">
        <v>320</v>
      </c>
      <c r="F283" s="20" t="s">
        <v>291</v>
      </c>
      <c r="G283" s="27">
        <f>25081.9+2671.4-3136.8-961.7</f>
        <v>23654.800000000003</v>
      </c>
      <c r="H283" s="106"/>
      <c r="I283" s="125"/>
    </row>
    <row r="284" spans="1:12" ht="47.25" x14ac:dyDescent="0.25">
      <c r="A284" s="25" t="s">
        <v>724</v>
      </c>
      <c r="B284" s="16">
        <v>903</v>
      </c>
      <c r="C284" s="20" t="s">
        <v>315</v>
      </c>
      <c r="D284" s="20" t="s">
        <v>134</v>
      </c>
      <c r="E284" s="20" t="s">
        <v>321</v>
      </c>
      <c r="F284" s="20"/>
      <c r="G284" s="26">
        <f>G285</f>
        <v>96.1</v>
      </c>
      <c r="H284" s="177"/>
      <c r="L284" s="117"/>
    </row>
    <row r="285" spans="1:12" ht="47.25" x14ac:dyDescent="0.25">
      <c r="A285" s="25" t="s">
        <v>288</v>
      </c>
      <c r="B285" s="16">
        <v>903</v>
      </c>
      <c r="C285" s="20" t="s">
        <v>315</v>
      </c>
      <c r="D285" s="20" t="s">
        <v>134</v>
      </c>
      <c r="E285" s="20" t="s">
        <v>321</v>
      </c>
      <c r="F285" s="20" t="s">
        <v>289</v>
      </c>
      <c r="G285" s="26">
        <f>G286</f>
        <v>96.1</v>
      </c>
      <c r="H285" s="177"/>
    </row>
    <row r="286" spans="1:12" ht="15.75" x14ac:dyDescent="0.25">
      <c r="A286" s="25" t="s">
        <v>290</v>
      </c>
      <c r="B286" s="16">
        <v>903</v>
      </c>
      <c r="C286" s="20" t="s">
        <v>315</v>
      </c>
      <c r="D286" s="20" t="s">
        <v>134</v>
      </c>
      <c r="E286" s="20" t="s">
        <v>321</v>
      </c>
      <c r="F286" s="20" t="s">
        <v>291</v>
      </c>
      <c r="G286" s="26">
        <v>96.1</v>
      </c>
      <c r="H286" s="106"/>
    </row>
    <row r="287" spans="1:12" ht="47.25" x14ac:dyDescent="0.25">
      <c r="A287" s="25" t="s">
        <v>294</v>
      </c>
      <c r="B287" s="16">
        <v>903</v>
      </c>
      <c r="C287" s="20" t="s">
        <v>315</v>
      </c>
      <c r="D287" s="20" t="s">
        <v>134</v>
      </c>
      <c r="E287" s="20" t="s">
        <v>322</v>
      </c>
      <c r="F287" s="20"/>
      <c r="G287" s="26">
        <f>G288</f>
        <v>142.1</v>
      </c>
      <c r="H287" s="177"/>
    </row>
    <row r="288" spans="1:12" ht="47.25" x14ac:dyDescent="0.25">
      <c r="A288" s="25" t="s">
        <v>288</v>
      </c>
      <c r="B288" s="16">
        <v>903</v>
      </c>
      <c r="C288" s="20" t="s">
        <v>315</v>
      </c>
      <c r="D288" s="20" t="s">
        <v>134</v>
      </c>
      <c r="E288" s="20" t="s">
        <v>322</v>
      </c>
      <c r="F288" s="20" t="s">
        <v>289</v>
      </c>
      <c r="G288" s="26">
        <f>G289</f>
        <v>142.1</v>
      </c>
      <c r="H288" s="177"/>
    </row>
    <row r="289" spans="1:10" ht="15.75" x14ac:dyDescent="0.25">
      <c r="A289" s="25" t="s">
        <v>290</v>
      </c>
      <c r="B289" s="16">
        <v>903</v>
      </c>
      <c r="C289" s="20" t="s">
        <v>315</v>
      </c>
      <c r="D289" s="20" t="s">
        <v>134</v>
      </c>
      <c r="E289" s="20" t="s">
        <v>322</v>
      </c>
      <c r="F289" s="20" t="s">
        <v>291</v>
      </c>
      <c r="G289" s="26">
        <v>142.1</v>
      </c>
      <c r="H289" s="177"/>
      <c r="I289" s="115"/>
    </row>
    <row r="290" spans="1:10" ht="15.75" x14ac:dyDescent="0.25">
      <c r="A290" s="25" t="s">
        <v>323</v>
      </c>
      <c r="B290" s="16">
        <v>903</v>
      </c>
      <c r="C290" s="20" t="s">
        <v>315</v>
      </c>
      <c r="D290" s="20" t="s">
        <v>134</v>
      </c>
      <c r="E290" s="20" t="s">
        <v>324</v>
      </c>
      <c r="F290" s="20"/>
      <c r="G290" s="26">
        <f>G291</f>
        <v>1529.5</v>
      </c>
      <c r="H290" s="177"/>
    </row>
    <row r="291" spans="1:10" ht="47.25" x14ac:dyDescent="0.25">
      <c r="A291" s="25" t="s">
        <v>288</v>
      </c>
      <c r="B291" s="16">
        <v>903</v>
      </c>
      <c r="C291" s="20" t="s">
        <v>315</v>
      </c>
      <c r="D291" s="20" t="s">
        <v>134</v>
      </c>
      <c r="E291" s="20" t="s">
        <v>324</v>
      </c>
      <c r="F291" s="20" t="s">
        <v>289</v>
      </c>
      <c r="G291" s="26">
        <f>G292</f>
        <v>1529.5</v>
      </c>
      <c r="H291" s="177"/>
    </row>
    <row r="292" spans="1:10" ht="15.75" x14ac:dyDescent="0.25">
      <c r="A292" s="25" t="s">
        <v>290</v>
      </c>
      <c r="B292" s="16">
        <v>903</v>
      </c>
      <c r="C292" s="20" t="s">
        <v>315</v>
      </c>
      <c r="D292" s="20" t="s">
        <v>134</v>
      </c>
      <c r="E292" s="20" t="s">
        <v>324</v>
      </c>
      <c r="F292" s="20" t="s">
        <v>291</v>
      </c>
      <c r="G292" s="26">
        <f>411.9+1117.6</f>
        <v>1529.5</v>
      </c>
      <c r="H292" s="106"/>
      <c r="I292" s="125"/>
      <c r="J292" s="109"/>
    </row>
    <row r="293" spans="1:10" ht="31.5" hidden="1" x14ac:dyDescent="0.25">
      <c r="A293" s="25" t="s">
        <v>300</v>
      </c>
      <c r="B293" s="16">
        <v>903</v>
      </c>
      <c r="C293" s="20" t="s">
        <v>315</v>
      </c>
      <c r="D293" s="20" t="s">
        <v>134</v>
      </c>
      <c r="E293" s="20" t="s">
        <v>301</v>
      </c>
      <c r="F293" s="20"/>
      <c r="G293" s="26">
        <f>G294</f>
        <v>0</v>
      </c>
      <c r="H293" s="177"/>
    </row>
    <row r="294" spans="1:10" ht="47.25" hidden="1" x14ac:dyDescent="0.25">
      <c r="A294" s="25" t="s">
        <v>288</v>
      </c>
      <c r="B294" s="16">
        <v>903</v>
      </c>
      <c r="C294" s="20" t="s">
        <v>315</v>
      </c>
      <c r="D294" s="20" t="s">
        <v>134</v>
      </c>
      <c r="E294" s="20" t="s">
        <v>301</v>
      </c>
      <c r="F294" s="20" t="s">
        <v>289</v>
      </c>
      <c r="G294" s="26">
        <f>G295</f>
        <v>0</v>
      </c>
      <c r="H294" s="177"/>
    </row>
    <row r="295" spans="1:10" ht="15.75" hidden="1" x14ac:dyDescent="0.25">
      <c r="A295" s="25" t="s">
        <v>290</v>
      </c>
      <c r="B295" s="16">
        <v>903</v>
      </c>
      <c r="C295" s="20" t="s">
        <v>315</v>
      </c>
      <c r="D295" s="20" t="s">
        <v>134</v>
      </c>
      <c r="E295" s="20" t="s">
        <v>301</v>
      </c>
      <c r="F295" s="20" t="s">
        <v>291</v>
      </c>
      <c r="G295" s="26">
        <v>0</v>
      </c>
      <c r="H295" s="177"/>
    </row>
    <row r="296" spans="1:10" ht="47.25" hidden="1" x14ac:dyDescent="0.25">
      <c r="A296" s="35" t="s">
        <v>303</v>
      </c>
      <c r="B296" s="16">
        <v>903</v>
      </c>
      <c r="C296" s="20" t="s">
        <v>315</v>
      </c>
      <c r="D296" s="20" t="s">
        <v>134</v>
      </c>
      <c r="E296" s="20" t="s">
        <v>325</v>
      </c>
      <c r="F296" s="20"/>
      <c r="G296" s="26">
        <f>G297</f>
        <v>0</v>
      </c>
      <c r="H296" s="177"/>
    </row>
    <row r="297" spans="1:10" ht="47.25" hidden="1" x14ac:dyDescent="0.25">
      <c r="A297" s="25" t="s">
        <v>288</v>
      </c>
      <c r="B297" s="16">
        <v>903</v>
      </c>
      <c r="C297" s="20" t="s">
        <v>315</v>
      </c>
      <c r="D297" s="20" t="s">
        <v>134</v>
      </c>
      <c r="E297" s="20" t="s">
        <v>325</v>
      </c>
      <c r="F297" s="20" t="s">
        <v>289</v>
      </c>
      <c r="G297" s="26">
        <f>G298</f>
        <v>0</v>
      </c>
      <c r="H297" s="177"/>
    </row>
    <row r="298" spans="1:10" ht="15.75" hidden="1" x14ac:dyDescent="0.25">
      <c r="A298" s="25" t="s">
        <v>290</v>
      </c>
      <c r="B298" s="16">
        <v>903</v>
      </c>
      <c r="C298" s="20" t="s">
        <v>315</v>
      </c>
      <c r="D298" s="20" t="s">
        <v>134</v>
      </c>
      <c r="E298" s="20" t="s">
        <v>325</v>
      </c>
      <c r="F298" s="20" t="s">
        <v>291</v>
      </c>
      <c r="G298" s="26">
        <v>0</v>
      </c>
      <c r="H298" s="177"/>
    </row>
    <row r="299" spans="1:10" ht="47.25" hidden="1" customHeight="1" x14ac:dyDescent="0.25">
      <c r="A299" s="25" t="s">
        <v>326</v>
      </c>
      <c r="B299" s="16">
        <v>903</v>
      </c>
      <c r="C299" s="20" t="s">
        <v>315</v>
      </c>
      <c r="D299" s="20" t="s">
        <v>134</v>
      </c>
      <c r="E299" s="20" t="s">
        <v>327</v>
      </c>
      <c r="F299" s="20"/>
      <c r="G299" s="26">
        <f>G300+G302+G304</f>
        <v>0</v>
      </c>
      <c r="H299" s="177"/>
    </row>
    <row r="300" spans="1:10" ht="94.5" hidden="1" x14ac:dyDescent="0.25">
      <c r="A300" s="25" t="s">
        <v>143</v>
      </c>
      <c r="B300" s="16">
        <v>903</v>
      </c>
      <c r="C300" s="20" t="s">
        <v>315</v>
      </c>
      <c r="D300" s="20" t="s">
        <v>134</v>
      </c>
      <c r="E300" s="20" t="s">
        <v>327</v>
      </c>
      <c r="F300" s="20" t="s">
        <v>144</v>
      </c>
      <c r="G300" s="26">
        <f>G301</f>
        <v>0</v>
      </c>
      <c r="H300" s="177"/>
    </row>
    <row r="301" spans="1:10" ht="31.5" hidden="1" x14ac:dyDescent="0.25">
      <c r="A301" s="25" t="s">
        <v>224</v>
      </c>
      <c r="B301" s="16">
        <v>903</v>
      </c>
      <c r="C301" s="20" t="s">
        <v>315</v>
      </c>
      <c r="D301" s="20" t="s">
        <v>134</v>
      </c>
      <c r="E301" s="20" t="s">
        <v>327</v>
      </c>
      <c r="F301" s="20" t="s">
        <v>225</v>
      </c>
      <c r="G301" s="27">
        <v>0</v>
      </c>
      <c r="H301" s="177"/>
    </row>
    <row r="302" spans="1:10" ht="31.5" hidden="1" x14ac:dyDescent="0.25">
      <c r="A302" s="25" t="s">
        <v>147</v>
      </c>
      <c r="B302" s="16">
        <v>903</v>
      </c>
      <c r="C302" s="20" t="s">
        <v>315</v>
      </c>
      <c r="D302" s="20" t="s">
        <v>134</v>
      </c>
      <c r="E302" s="20" t="s">
        <v>327</v>
      </c>
      <c r="F302" s="20" t="s">
        <v>148</v>
      </c>
      <c r="G302" s="26">
        <f>G303</f>
        <v>0</v>
      </c>
      <c r="H302" s="177"/>
    </row>
    <row r="303" spans="1:10" ht="47.25" hidden="1" x14ac:dyDescent="0.25">
      <c r="A303" s="25" t="s">
        <v>149</v>
      </c>
      <c r="B303" s="16">
        <v>903</v>
      </c>
      <c r="C303" s="20" t="s">
        <v>315</v>
      </c>
      <c r="D303" s="20" t="s">
        <v>134</v>
      </c>
      <c r="E303" s="20" t="s">
        <v>327</v>
      </c>
      <c r="F303" s="20" t="s">
        <v>150</v>
      </c>
      <c r="G303" s="27">
        <v>0</v>
      </c>
      <c r="H303" s="177"/>
    </row>
    <row r="304" spans="1:10" ht="15.75" hidden="1" x14ac:dyDescent="0.25">
      <c r="A304" s="25" t="s">
        <v>151</v>
      </c>
      <c r="B304" s="16">
        <v>903</v>
      </c>
      <c r="C304" s="20" t="s">
        <v>315</v>
      </c>
      <c r="D304" s="20" t="s">
        <v>134</v>
      </c>
      <c r="E304" s="20" t="s">
        <v>327</v>
      </c>
      <c r="F304" s="20" t="s">
        <v>161</v>
      </c>
      <c r="G304" s="26">
        <f>G305</f>
        <v>0</v>
      </c>
      <c r="H304" s="177"/>
    </row>
    <row r="305" spans="1:9" ht="15.75" hidden="1" x14ac:dyDescent="0.25">
      <c r="A305" s="25" t="s">
        <v>153</v>
      </c>
      <c r="B305" s="16">
        <v>903</v>
      </c>
      <c r="C305" s="20" t="s">
        <v>315</v>
      </c>
      <c r="D305" s="20" t="s">
        <v>134</v>
      </c>
      <c r="E305" s="20" t="s">
        <v>327</v>
      </c>
      <c r="F305" s="20" t="s">
        <v>154</v>
      </c>
      <c r="G305" s="26">
        <v>0</v>
      </c>
      <c r="H305" s="177"/>
    </row>
    <row r="306" spans="1:9" ht="47.25" x14ac:dyDescent="0.25">
      <c r="A306" s="25" t="s">
        <v>328</v>
      </c>
      <c r="B306" s="16">
        <v>903</v>
      </c>
      <c r="C306" s="20" t="s">
        <v>315</v>
      </c>
      <c r="D306" s="20" t="s">
        <v>134</v>
      </c>
      <c r="E306" s="20" t="s">
        <v>329</v>
      </c>
      <c r="F306" s="20"/>
      <c r="G306" s="26">
        <f>G307+G330+G318+G321+G324+G327+G310+G315</f>
        <v>16660.600000000002</v>
      </c>
      <c r="H306" s="177"/>
    </row>
    <row r="307" spans="1:9" ht="51" customHeight="1" x14ac:dyDescent="0.25">
      <c r="A307" s="25" t="s">
        <v>319</v>
      </c>
      <c r="B307" s="16">
        <v>903</v>
      </c>
      <c r="C307" s="20" t="s">
        <v>315</v>
      </c>
      <c r="D307" s="20" t="s">
        <v>134</v>
      </c>
      <c r="E307" s="20" t="s">
        <v>330</v>
      </c>
      <c r="F307" s="20"/>
      <c r="G307" s="26">
        <f>G308</f>
        <v>16655.2</v>
      </c>
      <c r="H307" s="177"/>
    </row>
    <row r="308" spans="1:9" ht="47.25" x14ac:dyDescent="0.25">
      <c r="A308" s="25" t="s">
        <v>288</v>
      </c>
      <c r="B308" s="16">
        <v>903</v>
      </c>
      <c r="C308" s="20" t="s">
        <v>315</v>
      </c>
      <c r="D308" s="20" t="s">
        <v>134</v>
      </c>
      <c r="E308" s="20" t="s">
        <v>330</v>
      </c>
      <c r="F308" s="20" t="s">
        <v>289</v>
      </c>
      <c r="G308" s="26">
        <f>G309</f>
        <v>16655.2</v>
      </c>
      <c r="H308" s="177"/>
    </row>
    <row r="309" spans="1:9" ht="15.75" x14ac:dyDescent="0.25">
      <c r="A309" s="25" t="s">
        <v>290</v>
      </c>
      <c r="B309" s="16">
        <v>903</v>
      </c>
      <c r="C309" s="20" t="s">
        <v>315</v>
      </c>
      <c r="D309" s="20" t="s">
        <v>134</v>
      </c>
      <c r="E309" s="20" t="s">
        <v>330</v>
      </c>
      <c r="F309" s="20" t="s">
        <v>291</v>
      </c>
      <c r="G309" s="27">
        <f>18073+419.6-1705.8+78.4-210</f>
        <v>16655.2</v>
      </c>
      <c r="H309" s="106"/>
      <c r="I309" s="125"/>
    </row>
    <row r="310" spans="1:9" ht="38.25" customHeight="1" x14ac:dyDescent="0.25">
      <c r="A310" s="25" t="s">
        <v>331</v>
      </c>
      <c r="B310" s="16">
        <v>903</v>
      </c>
      <c r="C310" s="20" t="s">
        <v>315</v>
      </c>
      <c r="D310" s="20" t="s">
        <v>134</v>
      </c>
      <c r="E310" s="20" t="s">
        <v>332</v>
      </c>
      <c r="F310" s="20"/>
      <c r="G310" s="27">
        <f>G311+G313</f>
        <v>5</v>
      </c>
      <c r="H310" s="177"/>
    </row>
    <row r="311" spans="1:9" ht="31.5" hidden="1" x14ac:dyDescent="0.25">
      <c r="A311" s="25" t="s">
        <v>147</v>
      </c>
      <c r="B311" s="16">
        <v>903</v>
      </c>
      <c r="C311" s="20" t="s">
        <v>315</v>
      </c>
      <c r="D311" s="20" t="s">
        <v>134</v>
      </c>
      <c r="E311" s="20" t="s">
        <v>332</v>
      </c>
      <c r="F311" s="20" t="s">
        <v>148</v>
      </c>
      <c r="G311" s="27">
        <f>G312</f>
        <v>0</v>
      </c>
      <c r="H311" s="177"/>
    </row>
    <row r="312" spans="1:9" ht="47.25" hidden="1" x14ac:dyDescent="0.25">
      <c r="A312" s="25" t="s">
        <v>149</v>
      </c>
      <c r="B312" s="16">
        <v>903</v>
      </c>
      <c r="C312" s="20" t="s">
        <v>315</v>
      </c>
      <c r="D312" s="20" t="s">
        <v>134</v>
      </c>
      <c r="E312" s="20" t="s">
        <v>332</v>
      </c>
      <c r="F312" s="20" t="s">
        <v>150</v>
      </c>
      <c r="G312" s="27">
        <v>0</v>
      </c>
      <c r="H312" s="177"/>
    </row>
    <row r="313" spans="1:9" ht="47.25" x14ac:dyDescent="0.25">
      <c r="A313" s="25" t="s">
        <v>288</v>
      </c>
      <c r="B313" s="16">
        <v>903</v>
      </c>
      <c r="C313" s="20" t="s">
        <v>315</v>
      </c>
      <c r="D313" s="20" t="s">
        <v>134</v>
      </c>
      <c r="E313" s="20" t="s">
        <v>332</v>
      </c>
      <c r="F313" s="20" t="s">
        <v>289</v>
      </c>
      <c r="G313" s="27">
        <f>G314</f>
        <v>5</v>
      </c>
      <c r="H313" s="177"/>
    </row>
    <row r="314" spans="1:9" ht="15.75" x14ac:dyDescent="0.25">
      <c r="A314" s="25" t="s">
        <v>290</v>
      </c>
      <c r="B314" s="16">
        <v>903</v>
      </c>
      <c r="C314" s="20" t="s">
        <v>315</v>
      </c>
      <c r="D314" s="20" t="s">
        <v>134</v>
      </c>
      <c r="E314" s="20" t="s">
        <v>332</v>
      </c>
      <c r="F314" s="20" t="s">
        <v>291</v>
      </c>
      <c r="G314" s="27">
        <v>5</v>
      </c>
      <c r="H314" s="177"/>
    </row>
    <row r="315" spans="1:9" ht="15.75" x14ac:dyDescent="0.25">
      <c r="A315" s="25" t="s">
        <v>700</v>
      </c>
      <c r="B315" s="16">
        <v>903</v>
      </c>
      <c r="C315" s="20" t="s">
        <v>315</v>
      </c>
      <c r="D315" s="20" t="s">
        <v>134</v>
      </c>
      <c r="E315" s="20" t="s">
        <v>701</v>
      </c>
      <c r="F315" s="20"/>
      <c r="G315" s="27">
        <f>G316</f>
        <v>0.4</v>
      </c>
      <c r="H315" s="177"/>
    </row>
    <row r="316" spans="1:9" ht="47.25" x14ac:dyDescent="0.25">
      <c r="A316" s="25" t="s">
        <v>288</v>
      </c>
      <c r="B316" s="16">
        <v>903</v>
      </c>
      <c r="C316" s="20" t="s">
        <v>315</v>
      </c>
      <c r="D316" s="20" t="s">
        <v>134</v>
      </c>
      <c r="E316" s="20" t="s">
        <v>701</v>
      </c>
      <c r="F316" s="20" t="s">
        <v>289</v>
      </c>
      <c r="G316" s="27">
        <f>G317</f>
        <v>0.4</v>
      </c>
      <c r="H316" s="177"/>
    </row>
    <row r="317" spans="1:9" ht="15.75" x14ac:dyDescent="0.25">
      <c r="A317" s="25" t="s">
        <v>290</v>
      </c>
      <c r="B317" s="16">
        <v>903</v>
      </c>
      <c r="C317" s="20" t="s">
        <v>315</v>
      </c>
      <c r="D317" s="20" t="s">
        <v>134</v>
      </c>
      <c r="E317" s="20" t="s">
        <v>701</v>
      </c>
      <c r="F317" s="20" t="s">
        <v>291</v>
      </c>
      <c r="G317" s="27">
        <v>0.4</v>
      </c>
      <c r="H317" s="106"/>
    </row>
    <row r="318" spans="1:9" ht="47.25" hidden="1" x14ac:dyDescent="0.25">
      <c r="A318" s="25" t="s">
        <v>292</v>
      </c>
      <c r="B318" s="16">
        <v>903</v>
      </c>
      <c r="C318" s="20" t="s">
        <v>315</v>
      </c>
      <c r="D318" s="20" t="s">
        <v>134</v>
      </c>
      <c r="E318" s="20" t="s">
        <v>333</v>
      </c>
      <c r="F318" s="20"/>
      <c r="G318" s="26">
        <f>G319</f>
        <v>0</v>
      </c>
      <c r="H318" s="177"/>
    </row>
    <row r="319" spans="1:9" ht="47.25" hidden="1" x14ac:dyDescent="0.25">
      <c r="A319" s="25" t="s">
        <v>288</v>
      </c>
      <c r="B319" s="16">
        <v>903</v>
      </c>
      <c r="C319" s="20" t="s">
        <v>315</v>
      </c>
      <c r="D319" s="20" t="s">
        <v>134</v>
      </c>
      <c r="E319" s="20" t="s">
        <v>333</v>
      </c>
      <c r="F319" s="20" t="s">
        <v>289</v>
      </c>
      <c r="G319" s="26">
        <f>G320</f>
        <v>0</v>
      </c>
      <c r="H319" s="177"/>
    </row>
    <row r="320" spans="1:9" ht="15.75" hidden="1" x14ac:dyDescent="0.25">
      <c r="A320" s="25" t="s">
        <v>290</v>
      </c>
      <c r="B320" s="16">
        <v>903</v>
      </c>
      <c r="C320" s="20" t="s">
        <v>315</v>
      </c>
      <c r="D320" s="20" t="s">
        <v>134</v>
      </c>
      <c r="E320" s="20" t="s">
        <v>333</v>
      </c>
      <c r="F320" s="20" t="s">
        <v>291</v>
      </c>
      <c r="G320" s="26">
        <v>0</v>
      </c>
      <c r="H320" s="177"/>
    </row>
    <row r="321" spans="1:8" ht="47.25" hidden="1" x14ac:dyDescent="0.25">
      <c r="A321" s="25" t="s">
        <v>294</v>
      </c>
      <c r="B321" s="16">
        <v>903</v>
      </c>
      <c r="C321" s="20" t="s">
        <v>315</v>
      </c>
      <c r="D321" s="20" t="s">
        <v>134</v>
      </c>
      <c r="E321" s="20" t="s">
        <v>334</v>
      </c>
      <c r="F321" s="20"/>
      <c r="G321" s="26">
        <f>G322</f>
        <v>0</v>
      </c>
      <c r="H321" s="177"/>
    </row>
    <row r="322" spans="1:8" ht="47.25" hidden="1" x14ac:dyDescent="0.25">
      <c r="A322" s="25" t="s">
        <v>288</v>
      </c>
      <c r="B322" s="16">
        <v>903</v>
      </c>
      <c r="C322" s="20" t="s">
        <v>315</v>
      </c>
      <c r="D322" s="20" t="s">
        <v>134</v>
      </c>
      <c r="E322" s="20" t="s">
        <v>334</v>
      </c>
      <c r="F322" s="20" t="s">
        <v>289</v>
      </c>
      <c r="G322" s="26">
        <f>G323</f>
        <v>0</v>
      </c>
      <c r="H322" s="177"/>
    </row>
    <row r="323" spans="1:8" ht="15.75" hidden="1" x14ac:dyDescent="0.25">
      <c r="A323" s="25" t="s">
        <v>290</v>
      </c>
      <c r="B323" s="16">
        <v>903</v>
      </c>
      <c r="C323" s="20" t="s">
        <v>315</v>
      </c>
      <c r="D323" s="20" t="s">
        <v>134</v>
      </c>
      <c r="E323" s="20" t="s">
        <v>334</v>
      </c>
      <c r="F323" s="20" t="s">
        <v>291</v>
      </c>
      <c r="G323" s="26">
        <v>0</v>
      </c>
      <c r="H323" s="177"/>
    </row>
    <row r="324" spans="1:8" ht="31.5" hidden="1" x14ac:dyDescent="0.25">
      <c r="A324" s="25" t="s">
        <v>296</v>
      </c>
      <c r="B324" s="16">
        <v>903</v>
      </c>
      <c r="C324" s="20" t="s">
        <v>315</v>
      </c>
      <c r="D324" s="20" t="s">
        <v>134</v>
      </c>
      <c r="E324" s="20" t="s">
        <v>335</v>
      </c>
      <c r="F324" s="20"/>
      <c r="G324" s="26">
        <f>G325</f>
        <v>0</v>
      </c>
      <c r="H324" s="177"/>
    </row>
    <row r="325" spans="1:8" ht="47.25" hidden="1" x14ac:dyDescent="0.25">
      <c r="A325" s="25" t="s">
        <v>288</v>
      </c>
      <c r="B325" s="16">
        <v>903</v>
      </c>
      <c r="C325" s="20" t="s">
        <v>315</v>
      </c>
      <c r="D325" s="20" t="s">
        <v>134</v>
      </c>
      <c r="E325" s="20" t="s">
        <v>335</v>
      </c>
      <c r="F325" s="20" t="s">
        <v>289</v>
      </c>
      <c r="G325" s="26">
        <f>G326</f>
        <v>0</v>
      </c>
      <c r="H325" s="177"/>
    </row>
    <row r="326" spans="1:8" ht="15.75" hidden="1" x14ac:dyDescent="0.25">
      <c r="A326" s="25" t="s">
        <v>290</v>
      </c>
      <c r="B326" s="16">
        <v>903</v>
      </c>
      <c r="C326" s="20" t="s">
        <v>315</v>
      </c>
      <c r="D326" s="20" t="s">
        <v>134</v>
      </c>
      <c r="E326" s="20" t="s">
        <v>335</v>
      </c>
      <c r="F326" s="20" t="s">
        <v>291</v>
      </c>
      <c r="G326" s="26">
        <v>0</v>
      </c>
      <c r="H326" s="177"/>
    </row>
    <row r="327" spans="1:8" ht="31.5" hidden="1" x14ac:dyDescent="0.25">
      <c r="A327" s="25" t="s">
        <v>300</v>
      </c>
      <c r="B327" s="16">
        <v>903</v>
      </c>
      <c r="C327" s="20" t="s">
        <v>315</v>
      </c>
      <c r="D327" s="20" t="s">
        <v>134</v>
      </c>
      <c r="E327" s="20" t="s">
        <v>336</v>
      </c>
      <c r="F327" s="20"/>
      <c r="G327" s="26">
        <f>G328</f>
        <v>0</v>
      </c>
      <c r="H327" s="177"/>
    </row>
    <row r="328" spans="1:8" ht="47.25" hidden="1" x14ac:dyDescent="0.25">
      <c r="A328" s="25" t="s">
        <v>288</v>
      </c>
      <c r="B328" s="16">
        <v>903</v>
      </c>
      <c r="C328" s="20" t="s">
        <v>315</v>
      </c>
      <c r="D328" s="20" t="s">
        <v>134</v>
      </c>
      <c r="E328" s="20" t="s">
        <v>336</v>
      </c>
      <c r="F328" s="20" t="s">
        <v>289</v>
      </c>
      <c r="G328" s="26">
        <f>G329</f>
        <v>0</v>
      </c>
      <c r="H328" s="177"/>
    </row>
    <row r="329" spans="1:8" ht="15.75" hidden="1" x14ac:dyDescent="0.25">
      <c r="A329" s="25" t="s">
        <v>290</v>
      </c>
      <c r="B329" s="16">
        <v>903</v>
      </c>
      <c r="C329" s="20" t="s">
        <v>315</v>
      </c>
      <c r="D329" s="20" t="s">
        <v>134</v>
      </c>
      <c r="E329" s="20" t="s">
        <v>336</v>
      </c>
      <c r="F329" s="20" t="s">
        <v>291</v>
      </c>
      <c r="G329" s="26">
        <v>0</v>
      </c>
      <c r="H329" s="177"/>
    </row>
    <row r="330" spans="1:8" ht="47.25" hidden="1" x14ac:dyDescent="0.25">
      <c r="A330" s="35" t="s">
        <v>337</v>
      </c>
      <c r="B330" s="16">
        <v>903</v>
      </c>
      <c r="C330" s="20" t="s">
        <v>315</v>
      </c>
      <c r="D330" s="20" t="s">
        <v>134</v>
      </c>
      <c r="E330" s="20" t="s">
        <v>338</v>
      </c>
      <c r="F330" s="20"/>
      <c r="G330" s="26">
        <f>G331</f>
        <v>0</v>
      </c>
      <c r="H330" s="177"/>
    </row>
    <row r="331" spans="1:8" ht="47.25" hidden="1" x14ac:dyDescent="0.25">
      <c r="A331" s="25" t="s">
        <v>288</v>
      </c>
      <c r="B331" s="16">
        <v>903</v>
      </c>
      <c r="C331" s="20" t="s">
        <v>315</v>
      </c>
      <c r="D331" s="20" t="s">
        <v>134</v>
      </c>
      <c r="E331" s="20" t="s">
        <v>338</v>
      </c>
      <c r="F331" s="20" t="s">
        <v>289</v>
      </c>
      <c r="G331" s="26">
        <f>G332</f>
        <v>0</v>
      </c>
      <c r="H331" s="177"/>
    </row>
    <row r="332" spans="1:8" ht="15.75" hidden="1" x14ac:dyDescent="0.25">
      <c r="A332" s="25" t="s">
        <v>290</v>
      </c>
      <c r="B332" s="16">
        <v>903</v>
      </c>
      <c r="C332" s="20" t="s">
        <v>315</v>
      </c>
      <c r="D332" s="20" t="s">
        <v>134</v>
      </c>
      <c r="E332" s="20" t="s">
        <v>338</v>
      </c>
      <c r="F332" s="20" t="s">
        <v>291</v>
      </c>
      <c r="G332" s="26">
        <v>0</v>
      </c>
      <c r="H332" s="177"/>
    </row>
    <row r="333" spans="1:8" ht="78.75" x14ac:dyDescent="0.25">
      <c r="A333" s="29" t="s">
        <v>339</v>
      </c>
      <c r="B333" s="16">
        <v>903</v>
      </c>
      <c r="C333" s="20" t="s">
        <v>315</v>
      </c>
      <c r="D333" s="20" t="s">
        <v>134</v>
      </c>
      <c r="E333" s="40" t="s">
        <v>340</v>
      </c>
      <c r="F333" s="20"/>
      <c r="G333" s="26">
        <f>G334</f>
        <v>200</v>
      </c>
      <c r="H333" s="177"/>
    </row>
    <row r="334" spans="1:8" ht="47.25" x14ac:dyDescent="0.25">
      <c r="A334" s="25" t="s">
        <v>341</v>
      </c>
      <c r="B334" s="16">
        <v>903</v>
      </c>
      <c r="C334" s="20" t="s">
        <v>315</v>
      </c>
      <c r="D334" s="20" t="s">
        <v>134</v>
      </c>
      <c r="E334" s="40" t="s">
        <v>342</v>
      </c>
      <c r="F334" s="20"/>
      <c r="G334" s="26">
        <f>G335</f>
        <v>200</v>
      </c>
      <c r="H334" s="177"/>
    </row>
    <row r="335" spans="1:8" ht="47.25" x14ac:dyDescent="0.25">
      <c r="A335" s="25" t="s">
        <v>288</v>
      </c>
      <c r="B335" s="16">
        <v>903</v>
      </c>
      <c r="C335" s="20" t="s">
        <v>315</v>
      </c>
      <c r="D335" s="20" t="s">
        <v>134</v>
      </c>
      <c r="E335" s="40" t="s">
        <v>342</v>
      </c>
      <c r="F335" s="20" t="s">
        <v>289</v>
      </c>
      <c r="G335" s="26">
        <f>G336</f>
        <v>200</v>
      </c>
      <c r="H335" s="177"/>
    </row>
    <row r="336" spans="1:8" ht="15.75" x14ac:dyDescent="0.25">
      <c r="A336" s="25" t="s">
        <v>290</v>
      </c>
      <c r="B336" s="16">
        <v>903</v>
      </c>
      <c r="C336" s="20" t="s">
        <v>315</v>
      </c>
      <c r="D336" s="20" t="s">
        <v>134</v>
      </c>
      <c r="E336" s="40" t="s">
        <v>342</v>
      </c>
      <c r="F336" s="20" t="s">
        <v>291</v>
      </c>
      <c r="G336" s="26">
        <v>200</v>
      </c>
      <c r="H336" s="177"/>
    </row>
    <row r="337" spans="1:9" ht="15.75" x14ac:dyDescent="0.25">
      <c r="A337" s="25" t="s">
        <v>137</v>
      </c>
      <c r="B337" s="16">
        <v>903</v>
      </c>
      <c r="C337" s="20" t="s">
        <v>315</v>
      </c>
      <c r="D337" s="20" t="s">
        <v>134</v>
      </c>
      <c r="E337" s="20" t="s">
        <v>138</v>
      </c>
      <c r="F337" s="20"/>
      <c r="G337" s="26">
        <f>G338</f>
        <v>2137.9</v>
      </c>
      <c r="H337" s="177"/>
    </row>
    <row r="338" spans="1:9" ht="31.5" x14ac:dyDescent="0.25">
      <c r="A338" s="25" t="s">
        <v>201</v>
      </c>
      <c r="B338" s="16">
        <v>903</v>
      </c>
      <c r="C338" s="20" t="s">
        <v>315</v>
      </c>
      <c r="D338" s="20" t="s">
        <v>134</v>
      </c>
      <c r="E338" s="20" t="s">
        <v>202</v>
      </c>
      <c r="F338" s="20"/>
      <c r="G338" s="26">
        <f>G339+G344+G349+G352+G355</f>
        <v>2137.9</v>
      </c>
      <c r="H338" s="177"/>
    </row>
    <row r="339" spans="1:9" ht="31.5" hidden="1" x14ac:dyDescent="0.25">
      <c r="A339" s="36" t="s">
        <v>343</v>
      </c>
      <c r="B339" s="37">
        <v>903</v>
      </c>
      <c r="C339" s="20" t="s">
        <v>315</v>
      </c>
      <c r="D339" s="20" t="s">
        <v>134</v>
      </c>
      <c r="E339" s="20" t="s">
        <v>344</v>
      </c>
      <c r="F339" s="20"/>
      <c r="G339" s="26">
        <f>G340+G342</f>
        <v>0</v>
      </c>
      <c r="H339" s="177"/>
    </row>
    <row r="340" spans="1:9" ht="31.5" hidden="1" x14ac:dyDescent="0.25">
      <c r="A340" s="25" t="s">
        <v>147</v>
      </c>
      <c r="B340" s="37">
        <v>903</v>
      </c>
      <c r="C340" s="20" t="s">
        <v>315</v>
      </c>
      <c r="D340" s="20" t="s">
        <v>134</v>
      </c>
      <c r="E340" s="20" t="s">
        <v>344</v>
      </c>
      <c r="F340" s="20" t="s">
        <v>148</v>
      </c>
      <c r="G340" s="26">
        <f>G341</f>
        <v>0</v>
      </c>
      <c r="H340" s="177"/>
    </row>
    <row r="341" spans="1:9" ht="47.25" hidden="1" x14ac:dyDescent="0.25">
      <c r="A341" s="25" t="s">
        <v>149</v>
      </c>
      <c r="B341" s="16">
        <v>903</v>
      </c>
      <c r="C341" s="20" t="s">
        <v>315</v>
      </c>
      <c r="D341" s="20" t="s">
        <v>134</v>
      </c>
      <c r="E341" s="20" t="s">
        <v>344</v>
      </c>
      <c r="F341" s="20" t="s">
        <v>150</v>
      </c>
      <c r="G341" s="26">
        <f>1.4-1.4</f>
        <v>0</v>
      </c>
      <c r="H341" s="177"/>
      <c r="I341" s="115"/>
    </row>
    <row r="342" spans="1:9" ht="47.25" hidden="1" x14ac:dyDescent="0.25">
      <c r="A342" s="25" t="s">
        <v>288</v>
      </c>
      <c r="B342" s="16">
        <v>903</v>
      </c>
      <c r="C342" s="20" t="s">
        <v>315</v>
      </c>
      <c r="D342" s="20" t="s">
        <v>134</v>
      </c>
      <c r="E342" s="20" t="s">
        <v>344</v>
      </c>
      <c r="F342" s="20" t="s">
        <v>289</v>
      </c>
      <c r="G342" s="26">
        <f>G343</f>
        <v>0</v>
      </c>
      <c r="H342" s="177"/>
    </row>
    <row r="343" spans="1:9" ht="15.75" hidden="1" x14ac:dyDescent="0.25">
      <c r="A343" s="25" t="s">
        <v>290</v>
      </c>
      <c r="B343" s="16">
        <v>903</v>
      </c>
      <c r="C343" s="20" t="s">
        <v>315</v>
      </c>
      <c r="D343" s="20" t="s">
        <v>134</v>
      </c>
      <c r="E343" s="20" t="s">
        <v>344</v>
      </c>
      <c r="F343" s="20" t="s">
        <v>291</v>
      </c>
      <c r="G343" s="26">
        <f>2.9-2.9</f>
        <v>0</v>
      </c>
      <c r="H343" s="177"/>
      <c r="I343" s="115"/>
    </row>
    <row r="344" spans="1:9" ht="31.5" x14ac:dyDescent="0.25">
      <c r="A344" s="25" t="s">
        <v>345</v>
      </c>
      <c r="B344" s="16">
        <v>903</v>
      </c>
      <c r="C344" s="20" t="s">
        <v>315</v>
      </c>
      <c r="D344" s="20" t="s">
        <v>134</v>
      </c>
      <c r="E344" s="20" t="s">
        <v>346</v>
      </c>
      <c r="F344" s="20"/>
      <c r="G344" s="26">
        <f>G345+G347</f>
        <v>177.3</v>
      </c>
      <c r="H344" s="177"/>
    </row>
    <row r="345" spans="1:9" ht="31.5" hidden="1" x14ac:dyDescent="0.25">
      <c r="A345" s="25" t="s">
        <v>147</v>
      </c>
      <c r="B345" s="16">
        <v>903</v>
      </c>
      <c r="C345" s="20" t="s">
        <v>315</v>
      </c>
      <c r="D345" s="20" t="s">
        <v>134</v>
      </c>
      <c r="E345" s="20" t="s">
        <v>346</v>
      </c>
      <c r="F345" s="20" t="s">
        <v>148</v>
      </c>
      <c r="G345" s="26">
        <f>G346</f>
        <v>0</v>
      </c>
      <c r="H345" s="177"/>
    </row>
    <row r="346" spans="1:9" ht="47.25" hidden="1" x14ac:dyDescent="0.25">
      <c r="A346" s="25" t="s">
        <v>149</v>
      </c>
      <c r="B346" s="16">
        <v>903</v>
      </c>
      <c r="C346" s="20" t="s">
        <v>315</v>
      </c>
      <c r="D346" s="20" t="s">
        <v>134</v>
      </c>
      <c r="E346" s="20" t="s">
        <v>346</v>
      </c>
      <c r="F346" s="38">
        <v>240</v>
      </c>
      <c r="G346" s="26">
        <v>0</v>
      </c>
      <c r="H346" s="177"/>
    </row>
    <row r="347" spans="1:9" ht="47.25" x14ac:dyDescent="0.25">
      <c r="A347" s="25" t="s">
        <v>288</v>
      </c>
      <c r="B347" s="16">
        <v>903</v>
      </c>
      <c r="C347" s="20" t="s">
        <v>315</v>
      </c>
      <c r="D347" s="20" t="s">
        <v>134</v>
      </c>
      <c r="E347" s="20" t="s">
        <v>346</v>
      </c>
      <c r="F347" s="20" t="s">
        <v>289</v>
      </c>
      <c r="G347" s="26">
        <f>G348</f>
        <v>177.3</v>
      </c>
      <c r="H347" s="177"/>
    </row>
    <row r="348" spans="1:9" ht="15.75" x14ac:dyDescent="0.25">
      <c r="A348" s="25" t="s">
        <v>290</v>
      </c>
      <c r="B348" s="16">
        <v>903</v>
      </c>
      <c r="C348" s="20" t="s">
        <v>315</v>
      </c>
      <c r="D348" s="20" t="s">
        <v>134</v>
      </c>
      <c r="E348" s="20" t="s">
        <v>346</v>
      </c>
      <c r="F348" s="20" t="s">
        <v>291</v>
      </c>
      <c r="G348" s="26">
        <f>274.5-97.2</f>
        <v>177.3</v>
      </c>
      <c r="H348" s="177"/>
      <c r="I348" s="115"/>
    </row>
    <row r="349" spans="1:9" ht="78.75" x14ac:dyDescent="0.25">
      <c r="A349" s="25" t="s">
        <v>347</v>
      </c>
      <c r="B349" s="16">
        <v>903</v>
      </c>
      <c r="C349" s="20" t="s">
        <v>315</v>
      </c>
      <c r="D349" s="20" t="s">
        <v>134</v>
      </c>
      <c r="E349" s="20" t="s">
        <v>348</v>
      </c>
      <c r="F349" s="20"/>
      <c r="G349" s="26">
        <f>G350</f>
        <v>263.3</v>
      </c>
      <c r="H349" s="177"/>
    </row>
    <row r="350" spans="1:9" ht="47.25" x14ac:dyDescent="0.25">
      <c r="A350" s="25" t="s">
        <v>288</v>
      </c>
      <c r="B350" s="16">
        <v>903</v>
      </c>
      <c r="C350" s="20" t="s">
        <v>315</v>
      </c>
      <c r="D350" s="20" t="s">
        <v>134</v>
      </c>
      <c r="E350" s="20" t="s">
        <v>348</v>
      </c>
      <c r="F350" s="20" t="s">
        <v>289</v>
      </c>
      <c r="G350" s="26">
        <f>G351</f>
        <v>263.3</v>
      </c>
      <c r="H350" s="177"/>
    </row>
    <row r="351" spans="1:9" ht="15.75" x14ac:dyDescent="0.25">
      <c r="A351" s="25" t="s">
        <v>290</v>
      </c>
      <c r="B351" s="16">
        <v>903</v>
      </c>
      <c r="C351" s="20" t="s">
        <v>315</v>
      </c>
      <c r="D351" s="20" t="s">
        <v>134</v>
      </c>
      <c r="E351" s="20" t="s">
        <v>348</v>
      </c>
      <c r="F351" s="20" t="s">
        <v>291</v>
      </c>
      <c r="G351" s="26">
        <f>247.6+15.7</f>
        <v>263.3</v>
      </c>
      <c r="H351" s="177"/>
      <c r="I351" s="115"/>
    </row>
    <row r="352" spans="1:9" ht="110.25" x14ac:dyDescent="0.25">
      <c r="A352" s="31" t="s">
        <v>309</v>
      </c>
      <c r="B352" s="16">
        <v>903</v>
      </c>
      <c r="C352" s="20" t="s">
        <v>315</v>
      </c>
      <c r="D352" s="20" t="s">
        <v>134</v>
      </c>
      <c r="E352" s="20" t="s">
        <v>310</v>
      </c>
      <c r="F352" s="20"/>
      <c r="G352" s="26">
        <f>G353</f>
        <v>1693.3000000000002</v>
      </c>
      <c r="H352" s="177"/>
    </row>
    <row r="353" spans="1:9" ht="47.25" x14ac:dyDescent="0.25">
      <c r="A353" s="25" t="s">
        <v>288</v>
      </c>
      <c r="B353" s="16">
        <v>903</v>
      </c>
      <c r="C353" s="20" t="s">
        <v>315</v>
      </c>
      <c r="D353" s="20" t="s">
        <v>134</v>
      </c>
      <c r="E353" s="20" t="s">
        <v>310</v>
      </c>
      <c r="F353" s="20" t="s">
        <v>289</v>
      </c>
      <c r="G353" s="26">
        <f>G354</f>
        <v>1693.3000000000002</v>
      </c>
      <c r="H353" s="177"/>
    </row>
    <row r="354" spans="1:9" ht="15.75" x14ac:dyDescent="0.25">
      <c r="A354" s="25" t="s">
        <v>290</v>
      </c>
      <c r="B354" s="16">
        <v>903</v>
      </c>
      <c r="C354" s="20" t="s">
        <v>315</v>
      </c>
      <c r="D354" s="20" t="s">
        <v>134</v>
      </c>
      <c r="E354" s="20" t="s">
        <v>310</v>
      </c>
      <c r="F354" s="20" t="s">
        <v>291</v>
      </c>
      <c r="G354" s="26">
        <f>1929.4-236.1</f>
        <v>1693.3000000000002</v>
      </c>
      <c r="H354" s="177"/>
    </row>
    <row r="355" spans="1:9" ht="15.75" x14ac:dyDescent="0.25">
      <c r="A355" s="31" t="s">
        <v>702</v>
      </c>
      <c r="B355" s="16">
        <v>903</v>
      </c>
      <c r="C355" s="20" t="s">
        <v>315</v>
      </c>
      <c r="D355" s="20" t="s">
        <v>134</v>
      </c>
      <c r="E355" s="20" t="s">
        <v>703</v>
      </c>
      <c r="F355" s="20"/>
      <c r="G355" s="26">
        <f>G356</f>
        <v>4</v>
      </c>
      <c r="H355" s="177"/>
    </row>
    <row r="356" spans="1:9" ht="47.25" x14ac:dyDescent="0.25">
      <c r="A356" s="25" t="s">
        <v>288</v>
      </c>
      <c r="B356" s="16">
        <v>903</v>
      </c>
      <c r="C356" s="20" t="s">
        <v>315</v>
      </c>
      <c r="D356" s="20" t="s">
        <v>134</v>
      </c>
      <c r="E356" s="20" t="s">
        <v>703</v>
      </c>
      <c r="F356" s="20" t="s">
        <v>289</v>
      </c>
      <c r="G356" s="26">
        <f>G357</f>
        <v>4</v>
      </c>
      <c r="H356" s="177"/>
    </row>
    <row r="357" spans="1:9" ht="15.75" x14ac:dyDescent="0.25">
      <c r="A357" s="25" t="s">
        <v>290</v>
      </c>
      <c r="B357" s="16">
        <v>903</v>
      </c>
      <c r="C357" s="20" t="s">
        <v>315</v>
      </c>
      <c r="D357" s="20" t="s">
        <v>134</v>
      </c>
      <c r="E357" s="20" t="s">
        <v>703</v>
      </c>
      <c r="F357" s="20" t="s">
        <v>291</v>
      </c>
      <c r="G357" s="26">
        <v>4</v>
      </c>
      <c r="H357" s="106"/>
    </row>
    <row r="358" spans="1:9" ht="31.5" x14ac:dyDescent="0.25">
      <c r="A358" s="23" t="s">
        <v>349</v>
      </c>
      <c r="B358" s="19">
        <v>903</v>
      </c>
      <c r="C358" s="24" t="s">
        <v>315</v>
      </c>
      <c r="D358" s="24" t="s">
        <v>166</v>
      </c>
      <c r="E358" s="24"/>
      <c r="F358" s="24"/>
      <c r="G358" s="21">
        <f>G359+G373+G369</f>
        <v>17278.8</v>
      </c>
      <c r="H358" s="177"/>
    </row>
    <row r="359" spans="1:9" ht="47.25" x14ac:dyDescent="0.25">
      <c r="A359" s="25" t="s">
        <v>350</v>
      </c>
      <c r="B359" s="16">
        <v>903</v>
      </c>
      <c r="C359" s="20" t="s">
        <v>315</v>
      </c>
      <c r="D359" s="20" t="s">
        <v>166</v>
      </c>
      <c r="E359" s="20" t="s">
        <v>351</v>
      </c>
      <c r="F359" s="20"/>
      <c r="G359" s="26">
        <f>G360+G363+G366</f>
        <v>125</v>
      </c>
      <c r="H359" s="177"/>
      <c r="I359" s="115"/>
    </row>
    <row r="360" spans="1:9" ht="31.5" hidden="1" x14ac:dyDescent="0.25">
      <c r="A360" s="25" t="s">
        <v>352</v>
      </c>
      <c r="B360" s="16">
        <v>903</v>
      </c>
      <c r="C360" s="20" t="s">
        <v>315</v>
      </c>
      <c r="D360" s="20" t="s">
        <v>166</v>
      </c>
      <c r="E360" s="20" t="s">
        <v>353</v>
      </c>
      <c r="F360" s="20"/>
      <c r="G360" s="26">
        <f>G361</f>
        <v>0</v>
      </c>
      <c r="H360" s="177"/>
    </row>
    <row r="361" spans="1:9" ht="31.5" hidden="1" x14ac:dyDescent="0.25">
      <c r="A361" s="25" t="s">
        <v>147</v>
      </c>
      <c r="B361" s="16">
        <v>903</v>
      </c>
      <c r="C361" s="20" t="s">
        <v>315</v>
      </c>
      <c r="D361" s="20" t="s">
        <v>166</v>
      </c>
      <c r="E361" s="20" t="s">
        <v>353</v>
      </c>
      <c r="F361" s="20" t="s">
        <v>148</v>
      </c>
      <c r="G361" s="26">
        <f>G362</f>
        <v>0</v>
      </c>
      <c r="H361" s="177"/>
    </row>
    <row r="362" spans="1:9" ht="47.25" hidden="1" x14ac:dyDescent="0.25">
      <c r="A362" s="25" t="s">
        <v>149</v>
      </c>
      <c r="B362" s="16">
        <v>903</v>
      </c>
      <c r="C362" s="20" t="s">
        <v>315</v>
      </c>
      <c r="D362" s="20" t="s">
        <v>166</v>
      </c>
      <c r="E362" s="20" t="s">
        <v>353</v>
      </c>
      <c r="F362" s="20" t="s">
        <v>150</v>
      </c>
      <c r="G362" s="26">
        <v>0</v>
      </c>
      <c r="H362" s="177"/>
    </row>
    <row r="363" spans="1:9" ht="31.5" x14ac:dyDescent="0.25">
      <c r="A363" s="25" t="s">
        <v>354</v>
      </c>
      <c r="B363" s="16">
        <v>903</v>
      </c>
      <c r="C363" s="20" t="s">
        <v>315</v>
      </c>
      <c r="D363" s="20" t="s">
        <v>166</v>
      </c>
      <c r="E363" s="20" t="s">
        <v>355</v>
      </c>
      <c r="F363" s="20"/>
      <c r="G363" s="26">
        <f>G364</f>
        <v>20</v>
      </c>
      <c r="H363" s="177"/>
    </row>
    <row r="364" spans="1:9" ht="31.5" x14ac:dyDescent="0.25">
      <c r="A364" s="25" t="s">
        <v>147</v>
      </c>
      <c r="B364" s="16">
        <v>903</v>
      </c>
      <c r="C364" s="20" t="s">
        <v>315</v>
      </c>
      <c r="D364" s="20" t="s">
        <v>166</v>
      </c>
      <c r="E364" s="20" t="s">
        <v>355</v>
      </c>
      <c r="F364" s="20" t="s">
        <v>148</v>
      </c>
      <c r="G364" s="26">
        <f>G365</f>
        <v>20</v>
      </c>
      <c r="H364" s="177"/>
    </row>
    <row r="365" spans="1:9" ht="47.25" x14ac:dyDescent="0.25">
      <c r="A365" s="25" t="s">
        <v>149</v>
      </c>
      <c r="B365" s="16">
        <v>903</v>
      </c>
      <c r="C365" s="20" t="s">
        <v>315</v>
      </c>
      <c r="D365" s="20" t="s">
        <v>166</v>
      </c>
      <c r="E365" s="20" t="s">
        <v>355</v>
      </c>
      <c r="F365" s="20" t="s">
        <v>150</v>
      </c>
      <c r="G365" s="26">
        <v>20</v>
      </c>
      <c r="H365" s="177"/>
    </row>
    <row r="366" spans="1:9" ht="63" x14ac:dyDescent="0.25">
      <c r="A366" s="25" t="s">
        <v>731</v>
      </c>
      <c r="B366" s="16">
        <v>903</v>
      </c>
      <c r="C366" s="20" t="s">
        <v>315</v>
      </c>
      <c r="D366" s="20" t="s">
        <v>166</v>
      </c>
      <c r="E366" s="20" t="s">
        <v>697</v>
      </c>
      <c r="F366" s="20"/>
      <c r="G366" s="26">
        <f>G367</f>
        <v>105</v>
      </c>
      <c r="H366" s="177"/>
    </row>
    <row r="367" spans="1:9" ht="39.75" customHeight="1" x14ac:dyDescent="0.25">
      <c r="A367" s="25" t="s">
        <v>147</v>
      </c>
      <c r="B367" s="16">
        <v>903</v>
      </c>
      <c r="C367" s="20" t="s">
        <v>315</v>
      </c>
      <c r="D367" s="20" t="s">
        <v>166</v>
      </c>
      <c r="E367" s="20" t="s">
        <v>697</v>
      </c>
      <c r="F367" s="20" t="s">
        <v>148</v>
      </c>
      <c r="G367" s="26">
        <f>G368</f>
        <v>105</v>
      </c>
      <c r="H367" s="177"/>
    </row>
    <row r="368" spans="1:9" ht="47.25" x14ac:dyDescent="0.25">
      <c r="A368" s="25" t="s">
        <v>149</v>
      </c>
      <c r="B368" s="16">
        <v>903</v>
      </c>
      <c r="C368" s="20" t="s">
        <v>315</v>
      </c>
      <c r="D368" s="20" t="s">
        <v>166</v>
      </c>
      <c r="E368" s="20" t="s">
        <v>697</v>
      </c>
      <c r="F368" s="20" t="s">
        <v>150</v>
      </c>
      <c r="G368" s="26">
        <f>55+50</f>
        <v>105</v>
      </c>
      <c r="H368" s="106"/>
      <c r="I368" s="124"/>
    </row>
    <row r="369" spans="1:11" ht="63" x14ac:dyDescent="0.25">
      <c r="A369" s="29" t="s">
        <v>730</v>
      </c>
      <c r="B369" s="16">
        <v>903</v>
      </c>
      <c r="C369" s="20" t="s">
        <v>315</v>
      </c>
      <c r="D369" s="20" t="s">
        <v>166</v>
      </c>
      <c r="E369" s="20" t="s">
        <v>728</v>
      </c>
      <c r="F369" s="20"/>
      <c r="G369" s="26">
        <f>G370</f>
        <v>5</v>
      </c>
      <c r="H369" s="177"/>
    </row>
    <row r="370" spans="1:11" ht="31.5" x14ac:dyDescent="0.25">
      <c r="A370" s="25" t="s">
        <v>385</v>
      </c>
      <c r="B370" s="16">
        <v>903</v>
      </c>
      <c r="C370" s="20" t="s">
        <v>315</v>
      </c>
      <c r="D370" s="20" t="s">
        <v>166</v>
      </c>
      <c r="E370" s="20" t="s">
        <v>736</v>
      </c>
      <c r="F370" s="20"/>
      <c r="G370" s="26">
        <f>G371</f>
        <v>5</v>
      </c>
      <c r="H370" s="177"/>
    </row>
    <row r="371" spans="1:11" ht="31.5" x14ac:dyDescent="0.25">
      <c r="A371" s="25" t="s">
        <v>147</v>
      </c>
      <c r="B371" s="16">
        <v>903</v>
      </c>
      <c r="C371" s="20" t="s">
        <v>315</v>
      </c>
      <c r="D371" s="20" t="s">
        <v>166</v>
      </c>
      <c r="E371" s="20" t="s">
        <v>736</v>
      </c>
      <c r="F371" s="20" t="s">
        <v>148</v>
      </c>
      <c r="G371" s="26">
        <f>G372</f>
        <v>5</v>
      </c>
      <c r="H371" s="177"/>
    </row>
    <row r="372" spans="1:11" ht="47.25" x14ac:dyDescent="0.25">
      <c r="A372" s="25" t="s">
        <v>149</v>
      </c>
      <c r="B372" s="16">
        <v>903</v>
      </c>
      <c r="C372" s="20" t="s">
        <v>315</v>
      </c>
      <c r="D372" s="20" t="s">
        <v>166</v>
      </c>
      <c r="E372" s="20" t="s">
        <v>736</v>
      </c>
      <c r="F372" s="20" t="s">
        <v>150</v>
      </c>
      <c r="G372" s="26">
        <v>5</v>
      </c>
      <c r="H372" s="106"/>
      <c r="I372" s="124"/>
    </row>
    <row r="373" spans="1:11" ht="15.75" x14ac:dyDescent="0.25">
      <c r="A373" s="25" t="s">
        <v>137</v>
      </c>
      <c r="B373" s="16">
        <v>903</v>
      </c>
      <c r="C373" s="20" t="s">
        <v>315</v>
      </c>
      <c r="D373" s="20" t="s">
        <v>166</v>
      </c>
      <c r="E373" s="20" t="s">
        <v>138</v>
      </c>
      <c r="F373" s="20"/>
      <c r="G373" s="26">
        <f>G374+G380</f>
        <v>17148.8</v>
      </c>
      <c r="H373" s="177"/>
    </row>
    <row r="374" spans="1:11" ht="31.5" x14ac:dyDescent="0.25">
      <c r="A374" s="25" t="s">
        <v>139</v>
      </c>
      <c r="B374" s="16">
        <v>903</v>
      </c>
      <c r="C374" s="20" t="s">
        <v>315</v>
      </c>
      <c r="D374" s="20" t="s">
        <v>166</v>
      </c>
      <c r="E374" s="20" t="s">
        <v>140</v>
      </c>
      <c r="F374" s="20"/>
      <c r="G374" s="26">
        <f>G375</f>
        <v>6754.9</v>
      </c>
      <c r="H374" s="177"/>
    </row>
    <row r="375" spans="1:11" ht="47.25" x14ac:dyDescent="0.25">
      <c r="A375" s="25" t="s">
        <v>141</v>
      </c>
      <c r="B375" s="16">
        <v>903</v>
      </c>
      <c r="C375" s="20" t="s">
        <v>315</v>
      </c>
      <c r="D375" s="20" t="s">
        <v>166</v>
      </c>
      <c r="E375" s="20" t="s">
        <v>142</v>
      </c>
      <c r="F375" s="20"/>
      <c r="G375" s="26">
        <f>G376+G378</f>
        <v>6754.9</v>
      </c>
      <c r="H375" s="177"/>
    </row>
    <row r="376" spans="1:11" ht="94.5" x14ac:dyDescent="0.25">
      <c r="A376" s="25" t="s">
        <v>143</v>
      </c>
      <c r="B376" s="16">
        <v>903</v>
      </c>
      <c r="C376" s="20" t="s">
        <v>315</v>
      </c>
      <c r="D376" s="20" t="s">
        <v>166</v>
      </c>
      <c r="E376" s="20" t="s">
        <v>142</v>
      </c>
      <c r="F376" s="20" t="s">
        <v>144</v>
      </c>
      <c r="G376" s="26">
        <f>G377</f>
        <v>6754.9</v>
      </c>
      <c r="H376" s="177"/>
    </row>
    <row r="377" spans="1:11" ht="31.5" x14ac:dyDescent="0.25">
      <c r="A377" s="25" t="s">
        <v>145</v>
      </c>
      <c r="B377" s="16">
        <v>903</v>
      </c>
      <c r="C377" s="20" t="s">
        <v>315</v>
      </c>
      <c r="D377" s="20" t="s">
        <v>166</v>
      </c>
      <c r="E377" s="20" t="s">
        <v>142</v>
      </c>
      <c r="F377" s="20" t="s">
        <v>146</v>
      </c>
      <c r="G377" s="27">
        <v>6754.9</v>
      </c>
      <c r="H377" s="177"/>
    </row>
    <row r="378" spans="1:11" ht="31.5" hidden="1" x14ac:dyDescent="0.25">
      <c r="A378" s="25" t="s">
        <v>147</v>
      </c>
      <c r="B378" s="16">
        <v>903</v>
      </c>
      <c r="C378" s="20" t="s">
        <v>315</v>
      </c>
      <c r="D378" s="20" t="s">
        <v>166</v>
      </c>
      <c r="E378" s="20" t="s">
        <v>142</v>
      </c>
      <c r="F378" s="20" t="s">
        <v>148</v>
      </c>
      <c r="G378" s="26">
        <f>G379</f>
        <v>0</v>
      </c>
      <c r="H378" s="177"/>
    </row>
    <row r="379" spans="1:11" ht="47.25" hidden="1" x14ac:dyDescent="0.25">
      <c r="A379" s="25" t="s">
        <v>149</v>
      </c>
      <c r="B379" s="16">
        <v>903</v>
      </c>
      <c r="C379" s="20" t="s">
        <v>315</v>
      </c>
      <c r="D379" s="20" t="s">
        <v>166</v>
      </c>
      <c r="E379" s="20" t="s">
        <v>142</v>
      </c>
      <c r="F379" s="20" t="s">
        <v>150</v>
      </c>
      <c r="G379" s="26"/>
      <c r="H379" s="177"/>
    </row>
    <row r="380" spans="1:11" ht="15.75" x14ac:dyDescent="0.25">
      <c r="A380" s="25" t="s">
        <v>157</v>
      </c>
      <c r="B380" s="16">
        <v>903</v>
      </c>
      <c r="C380" s="20" t="s">
        <v>315</v>
      </c>
      <c r="D380" s="20" t="s">
        <v>166</v>
      </c>
      <c r="E380" s="20" t="s">
        <v>158</v>
      </c>
      <c r="F380" s="20"/>
      <c r="G380" s="26">
        <f>G381</f>
        <v>10393.9</v>
      </c>
      <c r="H380" s="177"/>
    </row>
    <row r="381" spans="1:11" ht="31.5" x14ac:dyDescent="0.25">
      <c r="A381" s="25" t="s">
        <v>356</v>
      </c>
      <c r="B381" s="16">
        <v>903</v>
      </c>
      <c r="C381" s="20" t="s">
        <v>315</v>
      </c>
      <c r="D381" s="20" t="s">
        <v>166</v>
      </c>
      <c r="E381" s="20" t="s">
        <v>357</v>
      </c>
      <c r="F381" s="20"/>
      <c r="G381" s="26">
        <f>G382+G384+G386</f>
        <v>10393.9</v>
      </c>
      <c r="H381" s="177"/>
      <c r="J381" s="407"/>
      <c r="K381" s="407"/>
    </row>
    <row r="382" spans="1:11" ht="94.5" x14ac:dyDescent="0.25">
      <c r="A382" s="25" t="s">
        <v>143</v>
      </c>
      <c r="B382" s="16">
        <v>903</v>
      </c>
      <c r="C382" s="20" t="s">
        <v>315</v>
      </c>
      <c r="D382" s="20" t="s">
        <v>166</v>
      </c>
      <c r="E382" s="20" t="s">
        <v>357</v>
      </c>
      <c r="F382" s="20" t="s">
        <v>144</v>
      </c>
      <c r="G382" s="26">
        <f>G383</f>
        <v>8721.4</v>
      </c>
      <c r="H382" s="177"/>
      <c r="J382" s="407"/>
      <c r="K382" s="407"/>
    </row>
    <row r="383" spans="1:11" ht="31.5" x14ac:dyDescent="0.25">
      <c r="A383" s="25" t="s">
        <v>358</v>
      </c>
      <c r="B383" s="16">
        <v>903</v>
      </c>
      <c r="C383" s="20" t="s">
        <v>315</v>
      </c>
      <c r="D383" s="20" t="s">
        <v>166</v>
      </c>
      <c r="E383" s="20" t="s">
        <v>357</v>
      </c>
      <c r="F383" s="20" t="s">
        <v>225</v>
      </c>
      <c r="G383" s="27">
        <f>8596.3-84.9+210</f>
        <v>8721.4</v>
      </c>
      <c r="H383" s="106"/>
      <c r="I383" s="124"/>
      <c r="J383" s="407"/>
      <c r="K383" s="407"/>
    </row>
    <row r="384" spans="1:11" ht="31.5" x14ac:dyDescent="0.25">
      <c r="A384" s="25" t="s">
        <v>147</v>
      </c>
      <c r="B384" s="16">
        <v>903</v>
      </c>
      <c r="C384" s="20" t="s">
        <v>315</v>
      </c>
      <c r="D384" s="20" t="s">
        <v>166</v>
      </c>
      <c r="E384" s="20" t="s">
        <v>357</v>
      </c>
      <c r="F384" s="20" t="s">
        <v>148</v>
      </c>
      <c r="G384" s="26">
        <f>G385</f>
        <v>1652.5</v>
      </c>
      <c r="H384" s="177"/>
      <c r="J384" s="407"/>
      <c r="K384" s="407"/>
    </row>
    <row r="385" spans="1:11" ht="47.25" x14ac:dyDescent="0.25">
      <c r="A385" s="25" t="s">
        <v>149</v>
      </c>
      <c r="B385" s="16">
        <v>903</v>
      </c>
      <c r="C385" s="20" t="s">
        <v>315</v>
      </c>
      <c r="D385" s="20" t="s">
        <v>166</v>
      </c>
      <c r="E385" s="20" t="s">
        <v>357</v>
      </c>
      <c r="F385" s="20" t="s">
        <v>150</v>
      </c>
      <c r="G385" s="27">
        <f>1663.9+135.6-147</f>
        <v>1652.5</v>
      </c>
      <c r="H385" s="106"/>
      <c r="I385" s="125"/>
      <c r="J385" s="407"/>
      <c r="K385" s="407"/>
    </row>
    <row r="386" spans="1:11" ht="15.75" x14ac:dyDescent="0.25">
      <c r="A386" s="25" t="s">
        <v>151</v>
      </c>
      <c r="B386" s="16">
        <v>903</v>
      </c>
      <c r="C386" s="20" t="s">
        <v>315</v>
      </c>
      <c r="D386" s="20" t="s">
        <v>166</v>
      </c>
      <c r="E386" s="20" t="s">
        <v>357</v>
      </c>
      <c r="F386" s="20" t="s">
        <v>161</v>
      </c>
      <c r="G386" s="26">
        <f>G387</f>
        <v>20</v>
      </c>
      <c r="H386" s="177"/>
      <c r="J386" s="407"/>
      <c r="K386" s="407"/>
    </row>
    <row r="387" spans="1:11" ht="15.75" x14ac:dyDescent="0.25">
      <c r="A387" s="25" t="s">
        <v>584</v>
      </c>
      <c r="B387" s="16">
        <v>903</v>
      </c>
      <c r="C387" s="20" t="s">
        <v>315</v>
      </c>
      <c r="D387" s="20" t="s">
        <v>166</v>
      </c>
      <c r="E387" s="20" t="s">
        <v>357</v>
      </c>
      <c r="F387" s="20" t="s">
        <v>154</v>
      </c>
      <c r="G387" s="26">
        <v>20</v>
      </c>
      <c r="H387" s="177"/>
      <c r="J387" s="407"/>
      <c r="K387" s="407"/>
    </row>
    <row r="388" spans="1:11" ht="15.75" x14ac:dyDescent="0.25">
      <c r="A388" s="23" t="s">
        <v>259</v>
      </c>
      <c r="B388" s="19">
        <v>903</v>
      </c>
      <c r="C388" s="24" t="s">
        <v>260</v>
      </c>
      <c r="D388" s="24"/>
      <c r="E388" s="24"/>
      <c r="F388" s="24"/>
      <c r="G388" s="21">
        <f>G389</f>
        <v>4625</v>
      </c>
      <c r="H388" s="177"/>
    </row>
    <row r="389" spans="1:11" ht="15.75" x14ac:dyDescent="0.25">
      <c r="A389" s="23" t="s">
        <v>268</v>
      </c>
      <c r="B389" s="19">
        <v>903</v>
      </c>
      <c r="C389" s="24" t="s">
        <v>260</v>
      </c>
      <c r="D389" s="24" t="s">
        <v>231</v>
      </c>
      <c r="E389" s="24"/>
      <c r="F389" s="24"/>
      <c r="G389" s="21">
        <f>G390+G443</f>
        <v>4625</v>
      </c>
      <c r="H389" s="177"/>
    </row>
    <row r="390" spans="1:11" ht="47.25" x14ac:dyDescent="0.25">
      <c r="A390" s="25" t="s">
        <v>359</v>
      </c>
      <c r="B390" s="16">
        <v>903</v>
      </c>
      <c r="C390" s="20" t="s">
        <v>260</v>
      </c>
      <c r="D390" s="20" t="s">
        <v>231</v>
      </c>
      <c r="E390" s="20" t="s">
        <v>360</v>
      </c>
      <c r="F390" s="20"/>
      <c r="G390" s="26">
        <f>G391+G399+G403+G407+G413+G417+G421+G439</f>
        <v>3693</v>
      </c>
      <c r="H390" s="177"/>
    </row>
    <row r="391" spans="1:11" ht="31.5" x14ac:dyDescent="0.25">
      <c r="A391" s="25" t="s">
        <v>361</v>
      </c>
      <c r="B391" s="16">
        <v>903</v>
      </c>
      <c r="C391" s="20" t="s">
        <v>260</v>
      </c>
      <c r="D391" s="20" t="s">
        <v>231</v>
      </c>
      <c r="E391" s="20" t="s">
        <v>362</v>
      </c>
      <c r="F391" s="20"/>
      <c r="G391" s="26">
        <f>G392+G396</f>
        <v>935</v>
      </c>
      <c r="H391" s="177"/>
    </row>
    <row r="392" spans="1:11" ht="31.5" x14ac:dyDescent="0.25">
      <c r="A392" s="25" t="s">
        <v>147</v>
      </c>
      <c r="B392" s="16">
        <v>903</v>
      </c>
      <c r="C392" s="20" t="s">
        <v>260</v>
      </c>
      <c r="D392" s="20" t="s">
        <v>231</v>
      </c>
      <c r="E392" s="20" t="s">
        <v>363</v>
      </c>
      <c r="F392" s="20" t="s">
        <v>148</v>
      </c>
      <c r="G392" s="26">
        <f>G393</f>
        <v>666.4</v>
      </c>
      <c r="H392" s="177"/>
    </row>
    <row r="393" spans="1:11" ht="47.25" x14ac:dyDescent="0.25">
      <c r="A393" s="25" t="s">
        <v>149</v>
      </c>
      <c r="B393" s="16">
        <v>903</v>
      </c>
      <c r="C393" s="20" t="s">
        <v>260</v>
      </c>
      <c r="D393" s="20" t="s">
        <v>231</v>
      </c>
      <c r="E393" s="20" t="s">
        <v>363</v>
      </c>
      <c r="F393" s="20" t="s">
        <v>150</v>
      </c>
      <c r="G393" s="26">
        <f>669.4-3</f>
        <v>666.4</v>
      </c>
      <c r="H393" s="177"/>
    </row>
    <row r="394" spans="1:11" ht="31.5" hidden="1" x14ac:dyDescent="0.25">
      <c r="A394" s="25" t="s">
        <v>264</v>
      </c>
      <c r="B394" s="16">
        <v>903</v>
      </c>
      <c r="C394" s="20" t="s">
        <v>260</v>
      </c>
      <c r="D394" s="20" t="s">
        <v>231</v>
      </c>
      <c r="E394" s="20" t="s">
        <v>363</v>
      </c>
      <c r="F394" s="20" t="s">
        <v>265</v>
      </c>
      <c r="G394" s="26">
        <f>G395</f>
        <v>0</v>
      </c>
      <c r="H394" s="177"/>
    </row>
    <row r="395" spans="1:11" ht="31.5" hidden="1" x14ac:dyDescent="0.25">
      <c r="A395" s="25" t="s">
        <v>364</v>
      </c>
      <c r="B395" s="16">
        <v>903</v>
      </c>
      <c r="C395" s="20" t="s">
        <v>260</v>
      </c>
      <c r="D395" s="20" t="s">
        <v>231</v>
      </c>
      <c r="E395" s="20" t="s">
        <v>363</v>
      </c>
      <c r="F395" s="20" t="s">
        <v>365</v>
      </c>
      <c r="G395" s="26">
        <v>0</v>
      </c>
      <c r="H395" s="177"/>
    </row>
    <row r="396" spans="1:11" ht="31.5" x14ac:dyDescent="0.25">
      <c r="A396" s="25" t="s">
        <v>366</v>
      </c>
      <c r="B396" s="16">
        <v>903</v>
      </c>
      <c r="C396" s="20" t="s">
        <v>260</v>
      </c>
      <c r="D396" s="20" t="s">
        <v>231</v>
      </c>
      <c r="E396" s="20" t="s">
        <v>367</v>
      </c>
      <c r="F396" s="20"/>
      <c r="G396" s="26">
        <f>G397</f>
        <v>268.60000000000002</v>
      </c>
      <c r="H396" s="177"/>
    </row>
    <row r="397" spans="1:11" ht="47.25" x14ac:dyDescent="0.25">
      <c r="A397" s="25" t="s">
        <v>288</v>
      </c>
      <c r="B397" s="16">
        <v>903</v>
      </c>
      <c r="C397" s="20" t="s">
        <v>260</v>
      </c>
      <c r="D397" s="20" t="s">
        <v>231</v>
      </c>
      <c r="E397" s="20" t="s">
        <v>367</v>
      </c>
      <c r="F397" s="20" t="s">
        <v>289</v>
      </c>
      <c r="G397" s="26">
        <f>G398</f>
        <v>268.60000000000002</v>
      </c>
      <c r="H397" s="177"/>
    </row>
    <row r="398" spans="1:11" ht="15.75" x14ac:dyDescent="0.25">
      <c r="A398" s="25" t="s">
        <v>290</v>
      </c>
      <c r="B398" s="16">
        <v>903</v>
      </c>
      <c r="C398" s="20" t="s">
        <v>260</v>
      </c>
      <c r="D398" s="20" t="s">
        <v>231</v>
      </c>
      <c r="E398" s="20" t="s">
        <v>367</v>
      </c>
      <c r="F398" s="20" t="s">
        <v>291</v>
      </c>
      <c r="G398" s="26">
        <f>160.5+108.1</f>
        <v>268.60000000000002</v>
      </c>
      <c r="H398" s="106"/>
    </row>
    <row r="399" spans="1:11" ht="31.5" x14ac:dyDescent="0.25">
      <c r="A399" s="25" t="s">
        <v>368</v>
      </c>
      <c r="B399" s="16">
        <v>903</v>
      </c>
      <c r="C399" s="20" t="s">
        <v>260</v>
      </c>
      <c r="D399" s="20" t="s">
        <v>231</v>
      </c>
      <c r="E399" s="20" t="s">
        <v>369</v>
      </c>
      <c r="F399" s="20"/>
      <c r="G399" s="26">
        <f>G400</f>
        <v>63</v>
      </c>
      <c r="H399" s="177"/>
    </row>
    <row r="400" spans="1:11" ht="31.5" x14ac:dyDescent="0.25">
      <c r="A400" s="25" t="s">
        <v>173</v>
      </c>
      <c r="B400" s="16">
        <v>903</v>
      </c>
      <c r="C400" s="20" t="s">
        <v>260</v>
      </c>
      <c r="D400" s="20" t="s">
        <v>231</v>
      </c>
      <c r="E400" s="20" t="s">
        <v>370</v>
      </c>
      <c r="F400" s="20"/>
      <c r="G400" s="26">
        <f>G401</f>
        <v>63</v>
      </c>
      <c r="H400" s="177"/>
    </row>
    <row r="401" spans="1:8" ht="31.5" x14ac:dyDescent="0.25">
      <c r="A401" s="25" t="s">
        <v>264</v>
      </c>
      <c r="B401" s="16">
        <v>903</v>
      </c>
      <c r="C401" s="20" t="s">
        <v>260</v>
      </c>
      <c r="D401" s="20" t="s">
        <v>231</v>
      </c>
      <c r="E401" s="20" t="s">
        <v>370</v>
      </c>
      <c r="F401" s="20" t="s">
        <v>265</v>
      </c>
      <c r="G401" s="26">
        <f>G402</f>
        <v>63</v>
      </c>
      <c r="H401" s="177"/>
    </row>
    <row r="402" spans="1:8" ht="31.5" x14ac:dyDescent="0.25">
      <c r="A402" s="25" t="s">
        <v>266</v>
      </c>
      <c r="B402" s="16">
        <v>903</v>
      </c>
      <c r="C402" s="20" t="s">
        <v>260</v>
      </c>
      <c r="D402" s="20" t="s">
        <v>231</v>
      </c>
      <c r="E402" s="20" t="s">
        <v>370</v>
      </c>
      <c r="F402" s="20" t="s">
        <v>267</v>
      </c>
      <c r="G402" s="26">
        <f>60+3</f>
        <v>63</v>
      </c>
      <c r="H402" s="177"/>
    </row>
    <row r="403" spans="1:8" ht="31.5" x14ac:dyDescent="0.25">
      <c r="A403" s="25" t="s">
        <v>371</v>
      </c>
      <c r="B403" s="16">
        <v>903</v>
      </c>
      <c r="C403" s="16">
        <v>10</v>
      </c>
      <c r="D403" s="20" t="s">
        <v>231</v>
      </c>
      <c r="E403" s="20" t="s">
        <v>372</v>
      </c>
      <c r="F403" s="20"/>
      <c r="G403" s="26">
        <f>G404</f>
        <v>420</v>
      </c>
      <c r="H403" s="177"/>
    </row>
    <row r="404" spans="1:8" ht="31.5" x14ac:dyDescent="0.25">
      <c r="A404" s="25" t="s">
        <v>173</v>
      </c>
      <c r="B404" s="16">
        <v>903</v>
      </c>
      <c r="C404" s="20" t="s">
        <v>260</v>
      </c>
      <c r="D404" s="20" t="s">
        <v>231</v>
      </c>
      <c r="E404" s="20" t="s">
        <v>373</v>
      </c>
      <c r="F404" s="20"/>
      <c r="G404" s="26">
        <f>G405</f>
        <v>420</v>
      </c>
      <c r="H404" s="177"/>
    </row>
    <row r="405" spans="1:8" ht="31.5" x14ac:dyDescent="0.25">
      <c r="A405" s="25" t="s">
        <v>264</v>
      </c>
      <c r="B405" s="16">
        <v>903</v>
      </c>
      <c r="C405" s="20" t="s">
        <v>260</v>
      </c>
      <c r="D405" s="20" t="s">
        <v>231</v>
      </c>
      <c r="E405" s="20" t="s">
        <v>373</v>
      </c>
      <c r="F405" s="20" t="s">
        <v>265</v>
      </c>
      <c r="G405" s="26">
        <f>G406</f>
        <v>420</v>
      </c>
      <c r="H405" s="177"/>
    </row>
    <row r="406" spans="1:8" ht="31.5" x14ac:dyDescent="0.25">
      <c r="A406" s="25" t="s">
        <v>364</v>
      </c>
      <c r="B406" s="16">
        <v>903</v>
      </c>
      <c r="C406" s="20" t="s">
        <v>260</v>
      </c>
      <c r="D406" s="20" t="s">
        <v>231</v>
      </c>
      <c r="E406" s="20" t="s">
        <v>373</v>
      </c>
      <c r="F406" s="20" t="s">
        <v>365</v>
      </c>
      <c r="G406" s="26">
        <v>420</v>
      </c>
      <c r="H406" s="177"/>
    </row>
    <row r="407" spans="1:8" ht="15.75" x14ac:dyDescent="0.25">
      <c r="A407" s="25" t="s">
        <v>374</v>
      </c>
      <c r="B407" s="16">
        <v>903</v>
      </c>
      <c r="C407" s="16">
        <v>10</v>
      </c>
      <c r="D407" s="20" t="s">
        <v>231</v>
      </c>
      <c r="E407" s="20" t="s">
        <v>375</v>
      </c>
      <c r="F407" s="20"/>
      <c r="G407" s="26">
        <f>G408</f>
        <v>1595</v>
      </c>
      <c r="H407" s="177"/>
    </row>
    <row r="408" spans="1:8" ht="31.5" x14ac:dyDescent="0.25">
      <c r="A408" s="25" t="s">
        <v>173</v>
      </c>
      <c r="B408" s="16">
        <v>903</v>
      </c>
      <c r="C408" s="20" t="s">
        <v>260</v>
      </c>
      <c r="D408" s="20" t="s">
        <v>231</v>
      </c>
      <c r="E408" s="20" t="s">
        <v>376</v>
      </c>
      <c r="F408" s="20"/>
      <c r="G408" s="26">
        <f>G409+G411</f>
        <v>1595</v>
      </c>
      <c r="H408" s="177"/>
    </row>
    <row r="409" spans="1:8" ht="31.5" x14ac:dyDescent="0.25">
      <c r="A409" s="25" t="s">
        <v>147</v>
      </c>
      <c r="B409" s="16">
        <v>903</v>
      </c>
      <c r="C409" s="20" t="s">
        <v>260</v>
      </c>
      <c r="D409" s="20" t="s">
        <v>231</v>
      </c>
      <c r="E409" s="20" t="s">
        <v>376</v>
      </c>
      <c r="F409" s="20" t="s">
        <v>148</v>
      </c>
      <c r="G409" s="26">
        <f>G410</f>
        <v>547</v>
      </c>
      <c r="H409" s="177"/>
    </row>
    <row r="410" spans="1:8" ht="47.25" x14ac:dyDescent="0.25">
      <c r="A410" s="25" t="s">
        <v>149</v>
      </c>
      <c r="B410" s="16">
        <v>903</v>
      </c>
      <c r="C410" s="20" t="s">
        <v>260</v>
      </c>
      <c r="D410" s="20" t="s">
        <v>231</v>
      </c>
      <c r="E410" s="20" t="s">
        <v>376</v>
      </c>
      <c r="F410" s="20" t="s">
        <v>150</v>
      </c>
      <c r="G410" s="162">
        <f>552-50+45</f>
        <v>547</v>
      </c>
      <c r="H410" s="157" t="s">
        <v>771</v>
      </c>
    </row>
    <row r="411" spans="1:8" ht="31.5" x14ac:dyDescent="0.25">
      <c r="A411" s="25" t="s">
        <v>264</v>
      </c>
      <c r="B411" s="16">
        <v>903</v>
      </c>
      <c r="C411" s="20" t="s">
        <v>260</v>
      </c>
      <c r="D411" s="20" t="s">
        <v>231</v>
      </c>
      <c r="E411" s="20" t="s">
        <v>376</v>
      </c>
      <c r="F411" s="20" t="s">
        <v>265</v>
      </c>
      <c r="G411" s="26">
        <f>G412</f>
        <v>1048</v>
      </c>
      <c r="H411" s="177"/>
    </row>
    <row r="412" spans="1:8" ht="31.5" x14ac:dyDescent="0.25">
      <c r="A412" s="25" t="s">
        <v>364</v>
      </c>
      <c r="B412" s="16">
        <v>903</v>
      </c>
      <c r="C412" s="20" t="s">
        <v>260</v>
      </c>
      <c r="D412" s="20" t="s">
        <v>231</v>
      </c>
      <c r="E412" s="20" t="s">
        <v>376</v>
      </c>
      <c r="F412" s="20" t="s">
        <v>365</v>
      </c>
      <c r="G412" s="26">
        <v>1048</v>
      </c>
      <c r="H412" s="177"/>
    </row>
    <row r="413" spans="1:8" ht="47.25" x14ac:dyDescent="0.25">
      <c r="A413" s="25" t="s">
        <v>377</v>
      </c>
      <c r="B413" s="16">
        <v>903</v>
      </c>
      <c r="C413" s="20" t="s">
        <v>260</v>
      </c>
      <c r="D413" s="20" t="s">
        <v>231</v>
      </c>
      <c r="E413" s="20" t="s">
        <v>378</v>
      </c>
      <c r="F413" s="20"/>
      <c r="G413" s="26">
        <f>G414</f>
        <v>335</v>
      </c>
      <c r="H413" s="177"/>
    </row>
    <row r="414" spans="1:8" ht="31.5" x14ac:dyDescent="0.25">
      <c r="A414" s="25" t="s">
        <v>173</v>
      </c>
      <c r="B414" s="16">
        <v>903</v>
      </c>
      <c r="C414" s="20" t="s">
        <v>260</v>
      </c>
      <c r="D414" s="20" t="s">
        <v>231</v>
      </c>
      <c r="E414" s="20" t="s">
        <v>379</v>
      </c>
      <c r="F414" s="20"/>
      <c r="G414" s="26">
        <f>G415</f>
        <v>335</v>
      </c>
      <c r="H414" s="177"/>
    </row>
    <row r="415" spans="1:8" ht="31.5" x14ac:dyDescent="0.25">
      <c r="A415" s="25" t="s">
        <v>264</v>
      </c>
      <c r="B415" s="16">
        <v>903</v>
      </c>
      <c r="C415" s="20" t="s">
        <v>260</v>
      </c>
      <c r="D415" s="20" t="s">
        <v>231</v>
      </c>
      <c r="E415" s="20" t="s">
        <v>379</v>
      </c>
      <c r="F415" s="20" t="s">
        <v>265</v>
      </c>
      <c r="G415" s="26">
        <f>G416</f>
        <v>335</v>
      </c>
      <c r="H415" s="177"/>
    </row>
    <row r="416" spans="1:8" ht="31.5" x14ac:dyDescent="0.25">
      <c r="A416" s="25" t="s">
        <v>364</v>
      </c>
      <c r="B416" s="16">
        <v>903</v>
      </c>
      <c r="C416" s="20" t="s">
        <v>260</v>
      </c>
      <c r="D416" s="20" t="s">
        <v>231</v>
      </c>
      <c r="E416" s="20" t="s">
        <v>379</v>
      </c>
      <c r="F416" s="20" t="s">
        <v>365</v>
      </c>
      <c r="G416" s="26">
        <f>400-65</f>
        <v>335</v>
      </c>
      <c r="H416" s="177"/>
    </row>
    <row r="417" spans="1:8" ht="63" x14ac:dyDescent="0.25">
      <c r="A417" s="25" t="s">
        <v>380</v>
      </c>
      <c r="B417" s="16">
        <v>903</v>
      </c>
      <c r="C417" s="20" t="s">
        <v>260</v>
      </c>
      <c r="D417" s="20" t="s">
        <v>231</v>
      </c>
      <c r="E417" s="20" t="s">
        <v>381</v>
      </c>
      <c r="F417" s="20"/>
      <c r="G417" s="26">
        <f>G418</f>
        <v>210</v>
      </c>
      <c r="H417" s="177"/>
    </row>
    <row r="418" spans="1:8" ht="31.5" x14ac:dyDescent="0.25">
      <c r="A418" s="25" t="s">
        <v>173</v>
      </c>
      <c r="B418" s="16">
        <v>903</v>
      </c>
      <c r="C418" s="20" t="s">
        <v>260</v>
      </c>
      <c r="D418" s="20" t="s">
        <v>231</v>
      </c>
      <c r="E418" s="20" t="s">
        <v>382</v>
      </c>
      <c r="F418" s="20"/>
      <c r="G418" s="26">
        <f>G419</f>
        <v>210</v>
      </c>
      <c r="H418" s="177"/>
    </row>
    <row r="419" spans="1:8" ht="31.5" x14ac:dyDescent="0.25">
      <c r="A419" s="25" t="s">
        <v>147</v>
      </c>
      <c r="B419" s="16">
        <v>903</v>
      </c>
      <c r="C419" s="20" t="s">
        <v>260</v>
      </c>
      <c r="D419" s="20" t="s">
        <v>231</v>
      </c>
      <c r="E419" s="20" t="s">
        <v>382</v>
      </c>
      <c r="F419" s="20" t="s">
        <v>148</v>
      </c>
      <c r="G419" s="26">
        <f>G420</f>
        <v>210</v>
      </c>
      <c r="H419" s="177"/>
    </row>
    <row r="420" spans="1:8" ht="47.25" x14ac:dyDescent="0.25">
      <c r="A420" s="25" t="s">
        <v>149</v>
      </c>
      <c r="B420" s="16">
        <v>903</v>
      </c>
      <c r="C420" s="20" t="s">
        <v>260</v>
      </c>
      <c r="D420" s="20" t="s">
        <v>231</v>
      </c>
      <c r="E420" s="20" t="s">
        <v>382</v>
      </c>
      <c r="F420" s="20" t="s">
        <v>150</v>
      </c>
      <c r="G420" s="26">
        <f>150+60</f>
        <v>210</v>
      </c>
      <c r="H420" s="177"/>
    </row>
    <row r="421" spans="1:8" ht="63" x14ac:dyDescent="0.25">
      <c r="A421" s="25" t="s">
        <v>383</v>
      </c>
      <c r="B421" s="16">
        <v>903</v>
      </c>
      <c r="C421" s="20" t="s">
        <v>260</v>
      </c>
      <c r="D421" s="20" t="s">
        <v>231</v>
      </c>
      <c r="E421" s="20" t="s">
        <v>384</v>
      </c>
      <c r="F421" s="20"/>
      <c r="G421" s="26">
        <f>G422+G434+G428+G431</f>
        <v>30</v>
      </c>
      <c r="H421" s="177"/>
    </row>
    <row r="422" spans="1:8" ht="47.25" customHeight="1" x14ac:dyDescent="0.25">
      <c r="A422" s="25" t="s">
        <v>385</v>
      </c>
      <c r="B422" s="16">
        <v>903</v>
      </c>
      <c r="C422" s="20" t="s">
        <v>260</v>
      </c>
      <c r="D422" s="20" t="s">
        <v>231</v>
      </c>
      <c r="E422" s="20" t="s">
        <v>386</v>
      </c>
      <c r="F422" s="20"/>
      <c r="G422" s="26">
        <f>G423</f>
        <v>20</v>
      </c>
      <c r="H422" s="177"/>
    </row>
    <row r="423" spans="1:8" ht="47.25" x14ac:dyDescent="0.25">
      <c r="A423" s="25" t="s">
        <v>288</v>
      </c>
      <c r="B423" s="16">
        <v>903</v>
      </c>
      <c r="C423" s="20" t="s">
        <v>260</v>
      </c>
      <c r="D423" s="20" t="s">
        <v>231</v>
      </c>
      <c r="E423" s="20" t="s">
        <v>386</v>
      </c>
      <c r="F423" s="20" t="s">
        <v>289</v>
      </c>
      <c r="G423" s="26">
        <f>G424</f>
        <v>20</v>
      </c>
      <c r="H423" s="177"/>
    </row>
    <row r="424" spans="1:8" ht="63" x14ac:dyDescent="0.25">
      <c r="A424" s="39" t="s">
        <v>387</v>
      </c>
      <c r="B424" s="16">
        <v>903</v>
      </c>
      <c r="C424" s="20" t="s">
        <v>260</v>
      </c>
      <c r="D424" s="20" t="s">
        <v>231</v>
      </c>
      <c r="E424" s="20" t="s">
        <v>386</v>
      </c>
      <c r="F424" s="20" t="s">
        <v>388</v>
      </c>
      <c r="G424" s="26">
        <f>30-10</f>
        <v>20</v>
      </c>
      <c r="H424" s="106"/>
    </row>
    <row r="425" spans="1:8" ht="15.75" hidden="1" x14ac:dyDescent="0.25">
      <c r="A425" s="39"/>
      <c r="B425" s="16"/>
      <c r="C425" s="20"/>
      <c r="D425" s="20"/>
      <c r="E425" s="20"/>
      <c r="F425" s="20"/>
      <c r="G425" s="26"/>
      <c r="H425" s="108"/>
    </row>
    <row r="426" spans="1:8" ht="15.75" hidden="1" x14ac:dyDescent="0.25">
      <c r="A426" s="39"/>
      <c r="B426" s="16"/>
      <c r="C426" s="20"/>
      <c r="D426" s="20"/>
      <c r="E426" s="20"/>
      <c r="F426" s="20"/>
      <c r="G426" s="26"/>
      <c r="H426" s="108"/>
    </row>
    <row r="427" spans="1:8" ht="15.75" hidden="1" x14ac:dyDescent="0.25">
      <c r="A427" s="39"/>
      <c r="B427" s="16"/>
      <c r="C427" s="20"/>
      <c r="D427" s="20"/>
      <c r="E427" s="20"/>
      <c r="F427" s="20"/>
      <c r="G427" s="26"/>
      <c r="H427" s="108"/>
    </row>
    <row r="428" spans="1:8" ht="126" hidden="1" x14ac:dyDescent="0.25">
      <c r="A428" s="25" t="s">
        <v>389</v>
      </c>
      <c r="B428" s="16">
        <v>903</v>
      </c>
      <c r="C428" s="20" t="s">
        <v>260</v>
      </c>
      <c r="D428" s="20" t="s">
        <v>231</v>
      </c>
      <c r="E428" s="20" t="s">
        <v>390</v>
      </c>
      <c r="F428" s="20"/>
      <c r="G428" s="26">
        <f>G429</f>
        <v>0</v>
      </c>
      <c r="H428" s="177"/>
    </row>
    <row r="429" spans="1:8" ht="15.75" hidden="1" x14ac:dyDescent="0.25">
      <c r="A429" s="25" t="s">
        <v>151</v>
      </c>
      <c r="B429" s="16">
        <v>903</v>
      </c>
      <c r="C429" s="20" t="s">
        <v>260</v>
      </c>
      <c r="D429" s="20" t="s">
        <v>231</v>
      </c>
      <c r="E429" s="20" t="s">
        <v>390</v>
      </c>
      <c r="F429" s="20" t="s">
        <v>161</v>
      </c>
      <c r="G429" s="26">
        <f>G430</f>
        <v>0</v>
      </c>
      <c r="H429" s="177"/>
    </row>
    <row r="430" spans="1:8" ht="63" hidden="1" x14ac:dyDescent="0.25">
      <c r="A430" s="25" t="s">
        <v>200</v>
      </c>
      <c r="B430" s="16">
        <v>903</v>
      </c>
      <c r="C430" s="20" t="s">
        <v>260</v>
      </c>
      <c r="D430" s="20" t="s">
        <v>231</v>
      </c>
      <c r="E430" s="20" t="s">
        <v>390</v>
      </c>
      <c r="F430" s="20" t="s">
        <v>176</v>
      </c>
      <c r="G430" s="26">
        <v>0</v>
      </c>
      <c r="H430" s="177"/>
    </row>
    <row r="431" spans="1:8" ht="63" x14ac:dyDescent="0.25">
      <c r="A431" s="25" t="s">
        <v>391</v>
      </c>
      <c r="B431" s="16">
        <v>903</v>
      </c>
      <c r="C431" s="20" t="s">
        <v>260</v>
      </c>
      <c r="D431" s="20" t="s">
        <v>231</v>
      </c>
      <c r="E431" s="20" t="s">
        <v>392</v>
      </c>
      <c r="F431" s="20"/>
      <c r="G431" s="26">
        <f>G432</f>
        <v>10</v>
      </c>
      <c r="H431" s="177"/>
    </row>
    <row r="432" spans="1:8" ht="31.5" x14ac:dyDescent="0.25">
      <c r="A432" s="25" t="s">
        <v>264</v>
      </c>
      <c r="B432" s="16">
        <v>903</v>
      </c>
      <c r="C432" s="20" t="s">
        <v>260</v>
      </c>
      <c r="D432" s="20" t="s">
        <v>231</v>
      </c>
      <c r="E432" s="20" t="s">
        <v>392</v>
      </c>
      <c r="F432" s="20" t="s">
        <v>265</v>
      </c>
      <c r="G432" s="26">
        <f>G433</f>
        <v>10</v>
      </c>
      <c r="H432" s="177"/>
    </row>
    <row r="433" spans="1:10" ht="31.5" x14ac:dyDescent="0.25">
      <c r="A433" s="25" t="s">
        <v>266</v>
      </c>
      <c r="B433" s="16">
        <v>903</v>
      </c>
      <c r="C433" s="20" t="s">
        <v>260</v>
      </c>
      <c r="D433" s="20" t="s">
        <v>231</v>
      </c>
      <c r="E433" s="20" t="s">
        <v>392</v>
      </c>
      <c r="F433" s="20" t="s">
        <v>267</v>
      </c>
      <c r="G433" s="26">
        <v>10</v>
      </c>
      <c r="H433" s="106"/>
    </row>
    <row r="434" spans="1:10" ht="31.5" hidden="1" x14ac:dyDescent="0.25">
      <c r="A434" s="25" t="s">
        <v>393</v>
      </c>
      <c r="B434" s="16">
        <v>903</v>
      </c>
      <c r="C434" s="20" t="s">
        <v>260</v>
      </c>
      <c r="D434" s="20" t="s">
        <v>231</v>
      </c>
      <c r="E434" s="20" t="s">
        <v>394</v>
      </c>
      <c r="F434" s="20"/>
      <c r="G434" s="26">
        <f>G435+G437</f>
        <v>0</v>
      </c>
      <c r="H434" s="177"/>
    </row>
    <row r="435" spans="1:10" ht="31.5" hidden="1" x14ac:dyDescent="0.25">
      <c r="A435" s="25" t="s">
        <v>147</v>
      </c>
      <c r="B435" s="16">
        <v>903</v>
      </c>
      <c r="C435" s="20" t="s">
        <v>260</v>
      </c>
      <c r="D435" s="20" t="s">
        <v>231</v>
      </c>
      <c r="E435" s="20" t="s">
        <v>394</v>
      </c>
      <c r="F435" s="20" t="s">
        <v>148</v>
      </c>
      <c r="G435" s="26">
        <f>G436</f>
        <v>0</v>
      </c>
      <c r="H435" s="177"/>
    </row>
    <row r="436" spans="1:10" ht="47.25" hidden="1" x14ac:dyDescent="0.25">
      <c r="A436" s="25" t="s">
        <v>149</v>
      </c>
      <c r="B436" s="16">
        <v>903</v>
      </c>
      <c r="C436" s="20" t="s">
        <v>260</v>
      </c>
      <c r="D436" s="20" t="s">
        <v>231</v>
      </c>
      <c r="E436" s="20" t="s">
        <v>394</v>
      </c>
      <c r="F436" s="20" t="s">
        <v>150</v>
      </c>
      <c r="G436" s="26">
        <v>0</v>
      </c>
      <c r="H436" s="177"/>
    </row>
    <row r="437" spans="1:10" ht="15.75" hidden="1" x14ac:dyDescent="0.25">
      <c r="A437" s="25" t="s">
        <v>151</v>
      </c>
      <c r="B437" s="16">
        <v>903</v>
      </c>
      <c r="C437" s="20" t="s">
        <v>260</v>
      </c>
      <c r="D437" s="20" t="s">
        <v>231</v>
      </c>
      <c r="E437" s="20" t="s">
        <v>395</v>
      </c>
      <c r="F437" s="20" t="s">
        <v>161</v>
      </c>
      <c r="G437" s="26">
        <f>G438</f>
        <v>0</v>
      </c>
      <c r="H437" s="177"/>
    </row>
    <row r="438" spans="1:10" ht="63" hidden="1" x14ac:dyDescent="0.25">
      <c r="A438" s="25" t="s">
        <v>200</v>
      </c>
      <c r="B438" s="16">
        <v>903</v>
      </c>
      <c r="C438" s="20" t="s">
        <v>260</v>
      </c>
      <c r="D438" s="20" t="s">
        <v>231</v>
      </c>
      <c r="E438" s="20" t="s">
        <v>395</v>
      </c>
      <c r="F438" s="20" t="s">
        <v>176</v>
      </c>
      <c r="G438" s="26">
        <v>0</v>
      </c>
      <c r="H438" s="177"/>
    </row>
    <row r="439" spans="1:10" ht="94.5" x14ac:dyDescent="0.25">
      <c r="A439" s="29" t="s">
        <v>396</v>
      </c>
      <c r="B439" s="16">
        <v>903</v>
      </c>
      <c r="C439" s="40" t="s">
        <v>260</v>
      </c>
      <c r="D439" s="40" t="s">
        <v>231</v>
      </c>
      <c r="E439" s="40" t="s">
        <v>397</v>
      </c>
      <c r="F439" s="40"/>
      <c r="G439" s="26">
        <f>G440</f>
        <v>105</v>
      </c>
      <c r="H439" s="177"/>
    </row>
    <row r="440" spans="1:10" ht="31.5" x14ac:dyDescent="0.25">
      <c r="A440" s="29" t="s">
        <v>173</v>
      </c>
      <c r="B440" s="16">
        <v>903</v>
      </c>
      <c r="C440" s="40" t="s">
        <v>260</v>
      </c>
      <c r="D440" s="40" t="s">
        <v>231</v>
      </c>
      <c r="E440" s="40" t="s">
        <v>398</v>
      </c>
      <c r="F440" s="40"/>
      <c r="G440" s="26">
        <f>G441</f>
        <v>105</v>
      </c>
      <c r="H440" s="177"/>
    </row>
    <row r="441" spans="1:10" ht="31.5" x14ac:dyDescent="0.25">
      <c r="A441" s="29" t="s">
        <v>147</v>
      </c>
      <c r="B441" s="16">
        <v>903</v>
      </c>
      <c r="C441" s="40" t="s">
        <v>260</v>
      </c>
      <c r="D441" s="40" t="s">
        <v>231</v>
      </c>
      <c r="E441" s="40" t="s">
        <v>398</v>
      </c>
      <c r="F441" s="40" t="s">
        <v>148</v>
      </c>
      <c r="G441" s="26">
        <f>G442</f>
        <v>105</v>
      </c>
      <c r="H441" s="177"/>
    </row>
    <row r="442" spans="1:10" ht="47.25" x14ac:dyDescent="0.25">
      <c r="A442" s="29" t="s">
        <v>149</v>
      </c>
      <c r="B442" s="16">
        <v>903</v>
      </c>
      <c r="C442" s="40" t="s">
        <v>260</v>
      </c>
      <c r="D442" s="40" t="s">
        <v>231</v>
      </c>
      <c r="E442" s="40" t="s">
        <v>398</v>
      </c>
      <c r="F442" s="40" t="s">
        <v>150</v>
      </c>
      <c r="G442" s="26">
        <f>50+55</f>
        <v>105</v>
      </c>
      <c r="H442" s="177"/>
    </row>
    <row r="443" spans="1:10" ht="15.75" x14ac:dyDescent="0.25">
      <c r="A443" s="25" t="s">
        <v>137</v>
      </c>
      <c r="B443" s="16">
        <v>903</v>
      </c>
      <c r="C443" s="20" t="s">
        <v>260</v>
      </c>
      <c r="D443" s="20" t="s">
        <v>231</v>
      </c>
      <c r="E443" s="20" t="s">
        <v>138</v>
      </c>
      <c r="F443" s="20"/>
      <c r="G443" s="26">
        <f>G444+G455</f>
        <v>932</v>
      </c>
      <c r="H443" s="177"/>
    </row>
    <row r="444" spans="1:10" ht="31.5" x14ac:dyDescent="0.25">
      <c r="A444" s="25" t="s">
        <v>201</v>
      </c>
      <c r="B444" s="16">
        <v>903</v>
      </c>
      <c r="C444" s="20" t="s">
        <v>260</v>
      </c>
      <c r="D444" s="20" t="s">
        <v>231</v>
      </c>
      <c r="E444" s="20" t="s">
        <v>202</v>
      </c>
      <c r="F444" s="20"/>
      <c r="G444" s="26">
        <f>G451+G445+G448</f>
        <v>932</v>
      </c>
      <c r="H444" s="177"/>
    </row>
    <row r="445" spans="1:10" ht="15.75" x14ac:dyDescent="0.25">
      <c r="A445" s="25" t="s">
        <v>399</v>
      </c>
      <c r="B445" s="16">
        <v>903</v>
      </c>
      <c r="C445" s="20" t="s">
        <v>260</v>
      </c>
      <c r="D445" s="20" t="s">
        <v>231</v>
      </c>
      <c r="E445" s="20" t="s">
        <v>400</v>
      </c>
      <c r="F445" s="20"/>
      <c r="G445" s="26">
        <f>G446</f>
        <v>372.6</v>
      </c>
      <c r="H445" s="177"/>
    </row>
    <row r="446" spans="1:10" ht="31.5" x14ac:dyDescent="0.25">
      <c r="A446" s="25" t="s">
        <v>264</v>
      </c>
      <c r="B446" s="16">
        <v>903</v>
      </c>
      <c r="C446" s="20" t="s">
        <v>260</v>
      </c>
      <c r="D446" s="20" t="s">
        <v>231</v>
      </c>
      <c r="E446" s="20" t="s">
        <v>400</v>
      </c>
      <c r="F446" s="20" t="s">
        <v>265</v>
      </c>
      <c r="G446" s="26">
        <f>G447</f>
        <v>372.6</v>
      </c>
      <c r="H446" s="177"/>
    </row>
    <row r="447" spans="1:10" ht="31.5" x14ac:dyDescent="0.25">
      <c r="A447" s="25" t="s">
        <v>266</v>
      </c>
      <c r="B447" s="16">
        <v>903</v>
      </c>
      <c r="C447" s="20" t="s">
        <v>260</v>
      </c>
      <c r="D447" s="20" t="s">
        <v>231</v>
      </c>
      <c r="E447" s="20" t="s">
        <v>400</v>
      </c>
      <c r="F447" s="20" t="s">
        <v>267</v>
      </c>
      <c r="G447" s="26">
        <v>372.6</v>
      </c>
      <c r="H447" s="106"/>
      <c r="I447" s="124"/>
    </row>
    <row r="448" spans="1:10" ht="63" x14ac:dyDescent="0.25">
      <c r="A448" s="25" t="s">
        <v>391</v>
      </c>
      <c r="B448" s="16">
        <v>903</v>
      </c>
      <c r="C448" s="20" t="s">
        <v>260</v>
      </c>
      <c r="D448" s="20" t="s">
        <v>231</v>
      </c>
      <c r="E448" s="20" t="s">
        <v>401</v>
      </c>
      <c r="F448" s="20"/>
      <c r="G448" s="26">
        <f>G449</f>
        <v>500</v>
      </c>
      <c r="H448" s="177"/>
      <c r="J448" s="109"/>
    </row>
    <row r="449" spans="1:10" ht="31.5" x14ac:dyDescent="0.25">
      <c r="A449" s="25" t="s">
        <v>264</v>
      </c>
      <c r="B449" s="16">
        <v>903</v>
      </c>
      <c r="C449" s="20" t="s">
        <v>260</v>
      </c>
      <c r="D449" s="20" t="s">
        <v>231</v>
      </c>
      <c r="E449" s="20" t="s">
        <v>401</v>
      </c>
      <c r="F449" s="20" t="s">
        <v>265</v>
      </c>
      <c r="G449" s="26">
        <f>G450</f>
        <v>500</v>
      </c>
      <c r="H449" s="177"/>
      <c r="J449" s="109"/>
    </row>
    <row r="450" spans="1:10" ht="31.5" x14ac:dyDescent="0.25">
      <c r="A450" s="25" t="s">
        <v>266</v>
      </c>
      <c r="B450" s="16">
        <v>903</v>
      </c>
      <c r="C450" s="20" t="s">
        <v>260</v>
      </c>
      <c r="D450" s="20" t="s">
        <v>231</v>
      </c>
      <c r="E450" s="20" t="s">
        <v>401</v>
      </c>
      <c r="F450" s="20" t="s">
        <v>267</v>
      </c>
      <c r="G450" s="26">
        <v>500</v>
      </c>
      <c r="H450" s="106"/>
      <c r="J450" s="109"/>
    </row>
    <row r="451" spans="1:10" ht="54" customHeight="1" x14ac:dyDescent="0.25">
      <c r="A451" s="164" t="s">
        <v>759</v>
      </c>
      <c r="B451" s="16">
        <v>903</v>
      </c>
      <c r="C451" s="20" t="s">
        <v>260</v>
      </c>
      <c r="D451" s="20" t="s">
        <v>231</v>
      </c>
      <c r="E451" s="20" t="s">
        <v>402</v>
      </c>
      <c r="F451" s="20"/>
      <c r="G451" s="26">
        <f>G452</f>
        <v>59.4</v>
      </c>
      <c r="H451" s="177"/>
      <c r="J451" s="109"/>
    </row>
    <row r="452" spans="1:10" ht="31.5" x14ac:dyDescent="0.25">
      <c r="A452" s="25" t="s">
        <v>264</v>
      </c>
      <c r="B452" s="16">
        <v>903</v>
      </c>
      <c r="C452" s="20" t="s">
        <v>260</v>
      </c>
      <c r="D452" s="20" t="s">
        <v>231</v>
      </c>
      <c r="E452" s="20" t="s">
        <v>402</v>
      </c>
      <c r="F452" s="20" t="s">
        <v>265</v>
      </c>
      <c r="G452" s="26">
        <f>G453+G454</f>
        <v>59.4</v>
      </c>
      <c r="H452" s="177"/>
      <c r="J452" s="109"/>
    </row>
    <row r="453" spans="1:10" ht="31.5" x14ac:dyDescent="0.25">
      <c r="A453" s="25" t="s">
        <v>364</v>
      </c>
      <c r="B453" s="16">
        <v>903</v>
      </c>
      <c r="C453" s="20" t="s">
        <v>260</v>
      </c>
      <c r="D453" s="20" t="s">
        <v>231</v>
      </c>
      <c r="E453" s="20" t="s">
        <v>402</v>
      </c>
      <c r="F453" s="20" t="s">
        <v>365</v>
      </c>
      <c r="G453" s="162">
        <v>59.4</v>
      </c>
      <c r="H453" s="157" t="s">
        <v>749</v>
      </c>
      <c r="J453" s="109"/>
    </row>
    <row r="454" spans="1:10" ht="31.5" x14ac:dyDescent="0.25">
      <c r="A454" s="25" t="s">
        <v>266</v>
      </c>
      <c r="B454" s="16">
        <v>903</v>
      </c>
      <c r="C454" s="20" t="s">
        <v>260</v>
      </c>
      <c r="D454" s="20" t="s">
        <v>231</v>
      </c>
      <c r="E454" s="20" t="s">
        <v>402</v>
      </c>
      <c r="F454" s="20" t="s">
        <v>267</v>
      </c>
      <c r="G454" s="26"/>
      <c r="H454" s="177"/>
    </row>
    <row r="455" spans="1:10" ht="15.75" x14ac:dyDescent="0.25">
      <c r="A455" s="25" t="s">
        <v>157</v>
      </c>
      <c r="B455" s="16">
        <v>903</v>
      </c>
      <c r="C455" s="20" t="s">
        <v>260</v>
      </c>
      <c r="D455" s="20" t="s">
        <v>231</v>
      </c>
      <c r="E455" s="20" t="s">
        <v>158</v>
      </c>
      <c r="F455" s="20"/>
      <c r="G455" s="26">
        <f>G456</f>
        <v>0</v>
      </c>
      <c r="H455" s="177"/>
    </row>
    <row r="456" spans="1:10" ht="15.75" x14ac:dyDescent="0.25">
      <c r="A456" s="25" t="s">
        <v>217</v>
      </c>
      <c r="B456" s="16">
        <v>903</v>
      </c>
      <c r="C456" s="20" t="s">
        <v>260</v>
      </c>
      <c r="D456" s="20" t="s">
        <v>231</v>
      </c>
      <c r="E456" s="20" t="s">
        <v>218</v>
      </c>
      <c r="F456" s="20"/>
      <c r="G456" s="26">
        <f>G457</f>
        <v>0</v>
      </c>
      <c r="H456" s="177"/>
    </row>
    <row r="457" spans="1:10" ht="31.5" x14ac:dyDescent="0.25">
      <c r="A457" s="25" t="s">
        <v>264</v>
      </c>
      <c r="B457" s="16">
        <v>903</v>
      </c>
      <c r="C457" s="20" t="s">
        <v>260</v>
      </c>
      <c r="D457" s="20" t="s">
        <v>231</v>
      </c>
      <c r="E457" s="20" t="s">
        <v>218</v>
      </c>
      <c r="F457" s="20" t="s">
        <v>265</v>
      </c>
      <c r="G457" s="26">
        <f>G458</f>
        <v>0</v>
      </c>
      <c r="H457" s="177"/>
    </row>
    <row r="458" spans="1:10" ht="31.5" x14ac:dyDescent="0.25">
      <c r="A458" s="25" t="s">
        <v>364</v>
      </c>
      <c r="B458" s="16">
        <v>903</v>
      </c>
      <c r="C458" s="20" t="s">
        <v>260</v>
      </c>
      <c r="D458" s="20" t="s">
        <v>231</v>
      </c>
      <c r="E458" s="20" t="s">
        <v>218</v>
      </c>
      <c r="F458" s="20" t="s">
        <v>365</v>
      </c>
      <c r="G458" s="26">
        <v>0</v>
      </c>
      <c r="H458" s="177"/>
    </row>
    <row r="459" spans="1:10" ht="47.25" x14ac:dyDescent="0.25">
      <c r="A459" s="19" t="s">
        <v>403</v>
      </c>
      <c r="B459" s="19">
        <v>905</v>
      </c>
      <c r="C459" s="20"/>
      <c r="D459" s="20"/>
      <c r="E459" s="20"/>
      <c r="F459" s="20"/>
      <c r="G459" s="21">
        <f>G460+G477+G492</f>
        <v>15801.74</v>
      </c>
      <c r="H459" s="177"/>
    </row>
    <row r="460" spans="1:10" ht="15.75" x14ac:dyDescent="0.25">
      <c r="A460" s="23" t="s">
        <v>133</v>
      </c>
      <c r="B460" s="19">
        <v>905</v>
      </c>
      <c r="C460" s="24" t="s">
        <v>134</v>
      </c>
      <c r="D460" s="20"/>
      <c r="E460" s="20"/>
      <c r="F460" s="20"/>
      <c r="G460" s="21">
        <f>G461+G471</f>
        <v>14701.94</v>
      </c>
      <c r="H460" s="177"/>
    </row>
    <row r="461" spans="1:10" ht="78.75" x14ac:dyDescent="0.25">
      <c r="A461" s="23" t="s">
        <v>165</v>
      </c>
      <c r="B461" s="19">
        <v>905</v>
      </c>
      <c r="C461" s="24" t="s">
        <v>134</v>
      </c>
      <c r="D461" s="24" t="s">
        <v>166</v>
      </c>
      <c r="E461" s="24"/>
      <c r="F461" s="24"/>
      <c r="G461" s="21">
        <f>G462</f>
        <v>11089</v>
      </c>
      <c r="H461" s="177"/>
    </row>
    <row r="462" spans="1:10" ht="15.75" x14ac:dyDescent="0.25">
      <c r="A462" s="25" t="s">
        <v>137</v>
      </c>
      <c r="B462" s="16">
        <v>905</v>
      </c>
      <c r="C462" s="20" t="s">
        <v>134</v>
      </c>
      <c r="D462" s="20" t="s">
        <v>166</v>
      </c>
      <c r="E462" s="20" t="s">
        <v>138</v>
      </c>
      <c r="F462" s="20"/>
      <c r="G462" s="26">
        <f>G463</f>
        <v>11089</v>
      </c>
      <c r="H462" s="177"/>
    </row>
    <row r="463" spans="1:10" ht="31.5" x14ac:dyDescent="0.25">
      <c r="A463" s="25" t="s">
        <v>139</v>
      </c>
      <c r="B463" s="16">
        <v>905</v>
      </c>
      <c r="C463" s="20" t="s">
        <v>134</v>
      </c>
      <c r="D463" s="20" t="s">
        <v>166</v>
      </c>
      <c r="E463" s="20" t="s">
        <v>140</v>
      </c>
      <c r="F463" s="20"/>
      <c r="G463" s="26">
        <f>G464</f>
        <v>11089</v>
      </c>
      <c r="H463" s="177"/>
    </row>
    <row r="464" spans="1:10" ht="47.25" x14ac:dyDescent="0.25">
      <c r="A464" s="25" t="s">
        <v>141</v>
      </c>
      <c r="B464" s="16">
        <v>905</v>
      </c>
      <c r="C464" s="20" t="s">
        <v>134</v>
      </c>
      <c r="D464" s="20" t="s">
        <v>166</v>
      </c>
      <c r="E464" s="20" t="s">
        <v>142</v>
      </c>
      <c r="F464" s="20"/>
      <c r="G464" s="26">
        <f>G465+G467+G469</f>
        <v>11089</v>
      </c>
      <c r="H464" s="177"/>
    </row>
    <row r="465" spans="1:9" ht="94.5" x14ac:dyDescent="0.25">
      <c r="A465" s="25" t="s">
        <v>143</v>
      </c>
      <c r="B465" s="16">
        <v>905</v>
      </c>
      <c r="C465" s="20" t="s">
        <v>134</v>
      </c>
      <c r="D465" s="20" t="s">
        <v>166</v>
      </c>
      <c r="E465" s="20" t="s">
        <v>142</v>
      </c>
      <c r="F465" s="20" t="s">
        <v>144</v>
      </c>
      <c r="G465" s="26">
        <f>G466</f>
        <v>10200.700000000001</v>
      </c>
      <c r="H465" s="177"/>
    </row>
    <row r="466" spans="1:9" ht="31.5" x14ac:dyDescent="0.25">
      <c r="A466" s="25" t="s">
        <v>145</v>
      </c>
      <c r="B466" s="16">
        <v>905</v>
      </c>
      <c r="C466" s="20" t="s">
        <v>134</v>
      </c>
      <c r="D466" s="20" t="s">
        <v>166</v>
      </c>
      <c r="E466" s="20" t="s">
        <v>142</v>
      </c>
      <c r="F466" s="20" t="s">
        <v>146</v>
      </c>
      <c r="G466" s="27">
        <v>10200.700000000001</v>
      </c>
      <c r="H466" s="177"/>
    </row>
    <row r="467" spans="1:9" ht="31.5" x14ac:dyDescent="0.25">
      <c r="A467" s="25" t="s">
        <v>147</v>
      </c>
      <c r="B467" s="16">
        <v>905</v>
      </c>
      <c r="C467" s="20" t="s">
        <v>134</v>
      </c>
      <c r="D467" s="20" t="s">
        <v>166</v>
      </c>
      <c r="E467" s="20" t="s">
        <v>142</v>
      </c>
      <c r="F467" s="20" t="s">
        <v>148</v>
      </c>
      <c r="G467" s="26">
        <f>G468</f>
        <v>811.8</v>
      </c>
      <c r="H467" s="177"/>
    </row>
    <row r="468" spans="1:9" ht="47.25" x14ac:dyDescent="0.25">
      <c r="A468" s="25" t="s">
        <v>149</v>
      </c>
      <c r="B468" s="16">
        <v>905</v>
      </c>
      <c r="C468" s="20" t="s">
        <v>134</v>
      </c>
      <c r="D468" s="20" t="s">
        <v>166</v>
      </c>
      <c r="E468" s="20" t="s">
        <v>142</v>
      </c>
      <c r="F468" s="20" t="s">
        <v>150</v>
      </c>
      <c r="G468" s="156">
        <f>885.8-74</f>
        <v>811.8</v>
      </c>
      <c r="H468" s="157" t="s">
        <v>744</v>
      </c>
    </row>
    <row r="469" spans="1:9" ht="15.75" x14ac:dyDescent="0.25">
      <c r="A469" s="25" t="s">
        <v>151</v>
      </c>
      <c r="B469" s="16">
        <v>905</v>
      </c>
      <c r="C469" s="20" t="s">
        <v>134</v>
      </c>
      <c r="D469" s="20" t="s">
        <v>166</v>
      </c>
      <c r="E469" s="20" t="s">
        <v>142</v>
      </c>
      <c r="F469" s="20" t="s">
        <v>161</v>
      </c>
      <c r="G469" s="26">
        <f>G470</f>
        <v>76.5</v>
      </c>
      <c r="H469" s="177"/>
    </row>
    <row r="470" spans="1:9" ht="15.75" x14ac:dyDescent="0.25">
      <c r="A470" s="25" t="s">
        <v>584</v>
      </c>
      <c r="B470" s="16">
        <v>905</v>
      </c>
      <c r="C470" s="20" t="s">
        <v>134</v>
      </c>
      <c r="D470" s="20" t="s">
        <v>166</v>
      </c>
      <c r="E470" s="20" t="s">
        <v>142</v>
      </c>
      <c r="F470" s="20" t="s">
        <v>154</v>
      </c>
      <c r="G470" s="158">
        <f>2.5+74</f>
        <v>76.5</v>
      </c>
      <c r="H470" s="157" t="s">
        <v>745</v>
      </c>
    </row>
    <row r="471" spans="1:9" ht="15.75" x14ac:dyDescent="0.25">
      <c r="A471" s="23" t="s">
        <v>155</v>
      </c>
      <c r="B471" s="19">
        <v>905</v>
      </c>
      <c r="C471" s="24" t="s">
        <v>134</v>
      </c>
      <c r="D471" s="24" t="s">
        <v>156</v>
      </c>
      <c r="E471" s="24"/>
      <c r="F471" s="24"/>
      <c r="G471" s="21">
        <f>G472</f>
        <v>3612.94</v>
      </c>
      <c r="H471" s="177"/>
    </row>
    <row r="472" spans="1:9" ht="15.75" x14ac:dyDescent="0.25">
      <c r="A472" s="25" t="s">
        <v>137</v>
      </c>
      <c r="B472" s="16">
        <v>905</v>
      </c>
      <c r="C472" s="20" t="s">
        <v>134</v>
      </c>
      <c r="D472" s="20" t="s">
        <v>156</v>
      </c>
      <c r="E472" s="20" t="s">
        <v>138</v>
      </c>
      <c r="F472" s="20"/>
      <c r="G472" s="26">
        <f>G473</f>
        <v>3612.94</v>
      </c>
      <c r="H472" s="177"/>
    </row>
    <row r="473" spans="1:9" ht="15.75" x14ac:dyDescent="0.25">
      <c r="A473" s="25" t="s">
        <v>157</v>
      </c>
      <c r="B473" s="16">
        <v>905</v>
      </c>
      <c r="C473" s="20" t="s">
        <v>134</v>
      </c>
      <c r="D473" s="20" t="s">
        <v>156</v>
      </c>
      <c r="E473" s="20" t="s">
        <v>158</v>
      </c>
      <c r="F473" s="20"/>
      <c r="G473" s="26">
        <f>G474</f>
        <v>3612.94</v>
      </c>
      <c r="H473" s="177"/>
    </row>
    <row r="474" spans="1:9" ht="47.25" x14ac:dyDescent="0.25">
      <c r="A474" s="25" t="s">
        <v>404</v>
      </c>
      <c r="B474" s="16">
        <v>905</v>
      </c>
      <c r="C474" s="20" t="s">
        <v>134</v>
      </c>
      <c r="D474" s="20" t="s">
        <v>156</v>
      </c>
      <c r="E474" s="20" t="s">
        <v>405</v>
      </c>
      <c r="F474" s="20"/>
      <c r="G474" s="26">
        <f>G475</f>
        <v>3612.94</v>
      </c>
      <c r="H474" s="177"/>
    </row>
    <row r="475" spans="1:9" ht="31.5" x14ac:dyDescent="0.25">
      <c r="A475" s="25" t="s">
        <v>147</v>
      </c>
      <c r="B475" s="16">
        <v>905</v>
      </c>
      <c r="C475" s="20" t="s">
        <v>134</v>
      </c>
      <c r="D475" s="20" t="s">
        <v>156</v>
      </c>
      <c r="E475" s="20" t="s">
        <v>405</v>
      </c>
      <c r="F475" s="20" t="s">
        <v>148</v>
      </c>
      <c r="G475" s="26">
        <f>G476</f>
        <v>3612.94</v>
      </c>
      <c r="H475" s="177"/>
    </row>
    <row r="476" spans="1:9" ht="47.25" x14ac:dyDescent="0.25">
      <c r="A476" s="25" t="s">
        <v>149</v>
      </c>
      <c r="B476" s="16">
        <v>905</v>
      </c>
      <c r="C476" s="20" t="s">
        <v>134</v>
      </c>
      <c r="D476" s="20" t="s">
        <v>156</v>
      </c>
      <c r="E476" s="20" t="s">
        <v>405</v>
      </c>
      <c r="F476" s="20" t="s">
        <v>150</v>
      </c>
      <c r="G476" s="162">
        <f>1961.14+1251.8+400</f>
        <v>3612.94</v>
      </c>
      <c r="H476" s="106" t="s">
        <v>762</v>
      </c>
      <c r="I476" s="124"/>
    </row>
    <row r="477" spans="1:9" ht="15.75" x14ac:dyDescent="0.25">
      <c r="A477" s="41" t="s">
        <v>406</v>
      </c>
      <c r="B477" s="19">
        <v>905</v>
      </c>
      <c r="C477" s="24" t="s">
        <v>250</v>
      </c>
      <c r="D477" s="24"/>
      <c r="E477" s="24"/>
      <c r="F477" s="24"/>
      <c r="G477" s="21">
        <f>G478</f>
        <v>1099.8</v>
      </c>
      <c r="H477" s="177"/>
    </row>
    <row r="478" spans="1:9" ht="15.75" x14ac:dyDescent="0.25">
      <c r="A478" s="41" t="s">
        <v>407</v>
      </c>
      <c r="B478" s="19">
        <v>905</v>
      </c>
      <c r="C478" s="24" t="s">
        <v>250</v>
      </c>
      <c r="D478" s="24" t="s">
        <v>134</v>
      </c>
      <c r="E478" s="24"/>
      <c r="F478" s="24"/>
      <c r="G478" s="26">
        <f>G479</f>
        <v>1099.8</v>
      </c>
      <c r="H478" s="177"/>
    </row>
    <row r="479" spans="1:9" ht="15.75" x14ac:dyDescent="0.25">
      <c r="A479" s="29" t="s">
        <v>137</v>
      </c>
      <c r="B479" s="16">
        <v>905</v>
      </c>
      <c r="C479" s="20" t="s">
        <v>250</v>
      </c>
      <c r="D479" s="20" t="s">
        <v>134</v>
      </c>
      <c r="E479" s="20" t="s">
        <v>138</v>
      </c>
      <c r="F479" s="20"/>
      <c r="G479" s="26">
        <f>G485+G480</f>
        <v>1099.8</v>
      </c>
      <c r="H479" s="177"/>
    </row>
    <row r="480" spans="1:9" ht="31.5" hidden="1" x14ac:dyDescent="0.25">
      <c r="A480" s="25" t="s">
        <v>201</v>
      </c>
      <c r="B480" s="37">
        <v>905</v>
      </c>
      <c r="C480" s="20" t="s">
        <v>250</v>
      </c>
      <c r="D480" s="20" t="s">
        <v>134</v>
      </c>
      <c r="E480" s="20" t="s">
        <v>202</v>
      </c>
      <c r="F480" s="20"/>
      <c r="G480" s="26">
        <f>G481</f>
        <v>0</v>
      </c>
      <c r="H480" s="177"/>
    </row>
    <row r="481" spans="1:9" ht="47.25" hidden="1" x14ac:dyDescent="0.25">
      <c r="A481" s="36" t="s">
        <v>408</v>
      </c>
      <c r="B481" s="37">
        <v>905</v>
      </c>
      <c r="C481" s="20" t="s">
        <v>250</v>
      </c>
      <c r="D481" s="20" t="s">
        <v>134</v>
      </c>
      <c r="E481" s="20" t="s">
        <v>409</v>
      </c>
      <c r="F481" s="20"/>
      <c r="G481" s="26">
        <f>G482</f>
        <v>0</v>
      </c>
      <c r="H481" s="177"/>
    </row>
    <row r="482" spans="1:9" ht="31.5" hidden="1" x14ac:dyDescent="0.25">
      <c r="A482" s="42" t="s">
        <v>410</v>
      </c>
      <c r="B482" s="37">
        <v>905</v>
      </c>
      <c r="C482" s="20" t="s">
        <v>250</v>
      </c>
      <c r="D482" s="20" t="s">
        <v>134</v>
      </c>
      <c r="E482" s="20" t="s">
        <v>411</v>
      </c>
      <c r="F482" s="20"/>
      <c r="G482" s="26">
        <f>G483</f>
        <v>0</v>
      </c>
      <c r="H482" s="177"/>
    </row>
    <row r="483" spans="1:9" ht="31.5" hidden="1" x14ac:dyDescent="0.25">
      <c r="A483" s="25" t="s">
        <v>147</v>
      </c>
      <c r="B483" s="16">
        <v>905</v>
      </c>
      <c r="C483" s="20" t="s">
        <v>250</v>
      </c>
      <c r="D483" s="20" t="s">
        <v>134</v>
      </c>
      <c r="E483" s="20" t="s">
        <v>411</v>
      </c>
      <c r="F483" s="20" t="s">
        <v>148</v>
      </c>
      <c r="G483" s="26">
        <f>G484</f>
        <v>0</v>
      </c>
      <c r="H483" s="177"/>
    </row>
    <row r="484" spans="1:9" ht="47.25" hidden="1" x14ac:dyDescent="0.25">
      <c r="A484" s="25" t="s">
        <v>149</v>
      </c>
      <c r="B484" s="16">
        <v>905</v>
      </c>
      <c r="C484" s="20" t="s">
        <v>250</v>
      </c>
      <c r="D484" s="20" t="s">
        <v>134</v>
      </c>
      <c r="E484" s="20" t="s">
        <v>411</v>
      </c>
      <c r="F484" s="20" t="s">
        <v>150</v>
      </c>
      <c r="G484" s="26"/>
      <c r="H484" s="177"/>
    </row>
    <row r="485" spans="1:9" ht="15.75" x14ac:dyDescent="0.25">
      <c r="A485" s="29" t="s">
        <v>157</v>
      </c>
      <c r="B485" s="16">
        <v>905</v>
      </c>
      <c r="C485" s="20" t="s">
        <v>250</v>
      </c>
      <c r="D485" s="20" t="s">
        <v>134</v>
      </c>
      <c r="E485" s="20" t="s">
        <v>158</v>
      </c>
      <c r="F485" s="20"/>
      <c r="G485" s="26">
        <f>G486+G489</f>
        <v>1099.8</v>
      </c>
      <c r="H485" s="177"/>
    </row>
    <row r="486" spans="1:9" ht="31.5" x14ac:dyDescent="0.25">
      <c r="A486" s="29" t="s">
        <v>414</v>
      </c>
      <c r="B486" s="16">
        <v>905</v>
      </c>
      <c r="C486" s="20" t="s">
        <v>250</v>
      </c>
      <c r="D486" s="20" t="s">
        <v>134</v>
      </c>
      <c r="E486" s="20" t="s">
        <v>415</v>
      </c>
      <c r="F486" s="20"/>
      <c r="G486" s="26">
        <f>G487</f>
        <v>260.8</v>
      </c>
      <c r="H486" s="177"/>
    </row>
    <row r="487" spans="1:9" ht="31.5" x14ac:dyDescent="0.25">
      <c r="A487" s="25" t="s">
        <v>147</v>
      </c>
      <c r="B487" s="16">
        <v>905</v>
      </c>
      <c r="C487" s="20" t="s">
        <v>250</v>
      </c>
      <c r="D487" s="20" t="s">
        <v>134</v>
      </c>
      <c r="E487" s="20" t="s">
        <v>415</v>
      </c>
      <c r="F487" s="20" t="s">
        <v>148</v>
      </c>
      <c r="G487" s="26">
        <f>G488</f>
        <v>260.8</v>
      </c>
      <c r="H487" s="177"/>
    </row>
    <row r="488" spans="1:9" ht="47.25" x14ac:dyDescent="0.25">
      <c r="A488" s="25" t="s">
        <v>149</v>
      </c>
      <c r="B488" s="16">
        <v>905</v>
      </c>
      <c r="C488" s="20" t="s">
        <v>250</v>
      </c>
      <c r="D488" s="20" t="s">
        <v>134</v>
      </c>
      <c r="E488" s="20" t="s">
        <v>415</v>
      </c>
      <c r="F488" s="20" t="s">
        <v>150</v>
      </c>
      <c r="G488" s="26">
        <v>260.8</v>
      </c>
      <c r="H488" s="177"/>
    </row>
    <row r="489" spans="1:9" ht="15.75" x14ac:dyDescent="0.25">
      <c r="A489" s="29" t="s">
        <v>412</v>
      </c>
      <c r="B489" s="16">
        <v>905</v>
      </c>
      <c r="C489" s="20" t="s">
        <v>250</v>
      </c>
      <c r="D489" s="20" t="s">
        <v>134</v>
      </c>
      <c r="E489" s="20" t="s">
        <v>413</v>
      </c>
      <c r="F489" s="20"/>
      <c r="G489" s="26">
        <f>G490</f>
        <v>839</v>
      </c>
      <c r="H489" s="177"/>
    </row>
    <row r="490" spans="1:9" ht="31.5" x14ac:dyDescent="0.25">
      <c r="A490" s="25" t="s">
        <v>147</v>
      </c>
      <c r="B490" s="16">
        <v>905</v>
      </c>
      <c r="C490" s="20" t="s">
        <v>250</v>
      </c>
      <c r="D490" s="20" t="s">
        <v>134</v>
      </c>
      <c r="E490" s="20" t="s">
        <v>413</v>
      </c>
      <c r="F490" s="20" t="s">
        <v>148</v>
      </c>
      <c r="G490" s="26">
        <f>G491</f>
        <v>839</v>
      </c>
      <c r="H490" s="177"/>
    </row>
    <row r="491" spans="1:9" ht="47.25" x14ac:dyDescent="0.25">
      <c r="A491" s="25" t="s">
        <v>149</v>
      </c>
      <c r="B491" s="16">
        <v>905</v>
      </c>
      <c r="C491" s="20" t="s">
        <v>250</v>
      </c>
      <c r="D491" s="20" t="s">
        <v>134</v>
      </c>
      <c r="E491" s="20" t="s">
        <v>413</v>
      </c>
      <c r="F491" s="20" t="s">
        <v>150</v>
      </c>
      <c r="G491" s="26">
        <v>839</v>
      </c>
      <c r="H491" s="177"/>
      <c r="I491" s="115"/>
    </row>
    <row r="492" spans="1:9" ht="15.75" hidden="1" x14ac:dyDescent="0.25">
      <c r="A492" s="43" t="s">
        <v>259</v>
      </c>
      <c r="B492" s="19">
        <v>905</v>
      </c>
      <c r="C492" s="24" t="s">
        <v>260</v>
      </c>
      <c r="D492" s="24"/>
      <c r="E492" s="24"/>
      <c r="F492" s="24"/>
      <c r="G492" s="21">
        <f>G493</f>
        <v>0</v>
      </c>
      <c r="H492" s="177"/>
    </row>
    <row r="493" spans="1:9" ht="15.75" hidden="1" x14ac:dyDescent="0.25">
      <c r="A493" s="23" t="s">
        <v>416</v>
      </c>
      <c r="B493" s="19">
        <v>905</v>
      </c>
      <c r="C493" s="24" t="s">
        <v>260</v>
      </c>
      <c r="D493" s="24" t="s">
        <v>166</v>
      </c>
      <c r="E493" s="24"/>
      <c r="F493" s="24"/>
      <c r="G493" s="21">
        <f>G494</f>
        <v>0</v>
      </c>
      <c r="H493" s="177"/>
    </row>
    <row r="494" spans="1:9" ht="31.5" hidden="1" x14ac:dyDescent="0.25">
      <c r="A494" s="25" t="s">
        <v>201</v>
      </c>
      <c r="B494" s="16">
        <v>905</v>
      </c>
      <c r="C494" s="20" t="s">
        <v>260</v>
      </c>
      <c r="D494" s="20" t="s">
        <v>166</v>
      </c>
      <c r="E494" s="20" t="s">
        <v>202</v>
      </c>
      <c r="F494" s="20"/>
      <c r="G494" s="26">
        <f>G495</f>
        <v>0</v>
      </c>
      <c r="H494" s="177"/>
    </row>
    <row r="495" spans="1:9" ht="47.25" hidden="1" x14ac:dyDescent="0.25">
      <c r="A495" s="31" t="s">
        <v>417</v>
      </c>
      <c r="B495" s="16">
        <v>905</v>
      </c>
      <c r="C495" s="20" t="s">
        <v>260</v>
      </c>
      <c r="D495" s="20" t="s">
        <v>166</v>
      </c>
      <c r="E495" s="20" t="s">
        <v>418</v>
      </c>
      <c r="F495" s="20"/>
      <c r="G495" s="26">
        <f>G496</f>
        <v>0</v>
      </c>
      <c r="H495" s="177"/>
    </row>
    <row r="496" spans="1:9" ht="31.5" hidden="1" x14ac:dyDescent="0.25">
      <c r="A496" s="25" t="s">
        <v>147</v>
      </c>
      <c r="B496" s="16">
        <v>905</v>
      </c>
      <c r="C496" s="20" t="s">
        <v>260</v>
      </c>
      <c r="D496" s="20" t="s">
        <v>166</v>
      </c>
      <c r="E496" s="20" t="s">
        <v>418</v>
      </c>
      <c r="F496" s="20" t="s">
        <v>148</v>
      </c>
      <c r="G496" s="26">
        <f>G497</f>
        <v>0</v>
      </c>
      <c r="H496" s="177"/>
    </row>
    <row r="497" spans="1:12" ht="47.25" hidden="1" x14ac:dyDescent="0.25">
      <c r="A497" s="25" t="s">
        <v>149</v>
      </c>
      <c r="B497" s="16">
        <v>905</v>
      </c>
      <c r="C497" s="20" t="s">
        <v>260</v>
      </c>
      <c r="D497" s="20" t="s">
        <v>166</v>
      </c>
      <c r="E497" s="20" t="s">
        <v>418</v>
      </c>
      <c r="F497" s="20" t="s">
        <v>150</v>
      </c>
      <c r="G497" s="26">
        <f>1330-1330</f>
        <v>0</v>
      </c>
      <c r="H497" s="177"/>
      <c r="I497" s="115"/>
    </row>
    <row r="498" spans="1:12" ht="31.5" x14ac:dyDescent="0.25">
      <c r="A498" s="19" t="s">
        <v>419</v>
      </c>
      <c r="B498" s="19">
        <v>906</v>
      </c>
      <c r="C498" s="24"/>
      <c r="D498" s="24"/>
      <c r="E498" s="24"/>
      <c r="F498" s="24"/>
      <c r="G498" s="21">
        <f>G506+G499</f>
        <v>261521.80000000002</v>
      </c>
      <c r="H498" s="177"/>
      <c r="L498" s="116"/>
    </row>
    <row r="499" spans="1:12" ht="15.75" x14ac:dyDescent="0.25">
      <c r="A499" s="23" t="s">
        <v>133</v>
      </c>
      <c r="B499" s="19">
        <v>906</v>
      </c>
      <c r="C499" s="24" t="s">
        <v>134</v>
      </c>
      <c r="D499" s="24"/>
      <c r="E499" s="24"/>
      <c r="F499" s="24"/>
      <c r="G499" s="21">
        <f t="shared" ref="G499:G504" si="2">G500</f>
        <v>5</v>
      </c>
      <c r="H499" s="177"/>
    </row>
    <row r="500" spans="1:12" ht="15.75" x14ac:dyDescent="0.25">
      <c r="A500" s="34" t="s">
        <v>155</v>
      </c>
      <c r="B500" s="19">
        <v>906</v>
      </c>
      <c r="C500" s="24" t="s">
        <v>134</v>
      </c>
      <c r="D500" s="24" t="s">
        <v>156</v>
      </c>
      <c r="E500" s="24"/>
      <c r="F500" s="24"/>
      <c r="G500" s="21">
        <f t="shared" si="2"/>
        <v>5</v>
      </c>
      <c r="H500" s="177"/>
    </row>
    <row r="501" spans="1:12" ht="18" customHeight="1" x14ac:dyDescent="0.25">
      <c r="A501" s="31" t="s">
        <v>137</v>
      </c>
      <c r="B501" s="16">
        <v>906</v>
      </c>
      <c r="C501" s="20" t="s">
        <v>134</v>
      </c>
      <c r="D501" s="20" t="s">
        <v>156</v>
      </c>
      <c r="E501" s="20" t="s">
        <v>138</v>
      </c>
      <c r="F501" s="20"/>
      <c r="G501" s="26">
        <f t="shared" si="2"/>
        <v>5</v>
      </c>
      <c r="H501" s="177"/>
    </row>
    <row r="502" spans="1:12" ht="15.75" x14ac:dyDescent="0.25">
      <c r="A502" s="31" t="s">
        <v>157</v>
      </c>
      <c r="B502" s="16">
        <v>906</v>
      </c>
      <c r="C502" s="20" t="s">
        <v>134</v>
      </c>
      <c r="D502" s="20" t="s">
        <v>156</v>
      </c>
      <c r="E502" s="20" t="s">
        <v>158</v>
      </c>
      <c r="F502" s="20"/>
      <c r="G502" s="26">
        <f t="shared" si="2"/>
        <v>5</v>
      </c>
      <c r="H502" s="177"/>
    </row>
    <row r="503" spans="1:12" ht="15.75" x14ac:dyDescent="0.25">
      <c r="A503" s="25" t="s">
        <v>195</v>
      </c>
      <c r="B503" s="16">
        <v>906</v>
      </c>
      <c r="C503" s="20" t="s">
        <v>134</v>
      </c>
      <c r="D503" s="20" t="s">
        <v>156</v>
      </c>
      <c r="E503" s="20" t="s">
        <v>221</v>
      </c>
      <c r="F503" s="20"/>
      <c r="G503" s="26">
        <f t="shared" si="2"/>
        <v>5</v>
      </c>
      <c r="H503" s="177"/>
    </row>
    <row r="504" spans="1:12" ht="31.5" x14ac:dyDescent="0.25">
      <c r="A504" s="25" t="s">
        <v>147</v>
      </c>
      <c r="B504" s="16">
        <v>906</v>
      </c>
      <c r="C504" s="20" t="s">
        <v>134</v>
      </c>
      <c r="D504" s="20" t="s">
        <v>156</v>
      </c>
      <c r="E504" s="20" t="s">
        <v>221</v>
      </c>
      <c r="F504" s="20" t="s">
        <v>148</v>
      </c>
      <c r="G504" s="26">
        <f t="shared" si="2"/>
        <v>5</v>
      </c>
      <c r="H504" s="177"/>
    </row>
    <row r="505" spans="1:12" ht="47.25" x14ac:dyDescent="0.25">
      <c r="A505" s="25" t="s">
        <v>149</v>
      </c>
      <c r="B505" s="16">
        <v>906</v>
      </c>
      <c r="C505" s="20" t="s">
        <v>134</v>
      </c>
      <c r="D505" s="20" t="s">
        <v>156</v>
      </c>
      <c r="E505" s="20" t="s">
        <v>221</v>
      </c>
      <c r="F505" s="20" t="s">
        <v>150</v>
      </c>
      <c r="G505" s="26">
        <v>5</v>
      </c>
      <c r="H505" s="177"/>
    </row>
    <row r="506" spans="1:12" ht="15.75" x14ac:dyDescent="0.25">
      <c r="A506" s="23" t="s">
        <v>279</v>
      </c>
      <c r="B506" s="19">
        <v>906</v>
      </c>
      <c r="C506" s="24" t="s">
        <v>280</v>
      </c>
      <c r="D506" s="24"/>
      <c r="E506" s="24"/>
      <c r="F506" s="24"/>
      <c r="G506" s="21">
        <f>G507+G546+G633+G645+G612</f>
        <v>261516.80000000002</v>
      </c>
      <c r="H506" s="177"/>
    </row>
    <row r="507" spans="1:12" ht="15.75" x14ac:dyDescent="0.25">
      <c r="A507" s="23" t="s">
        <v>420</v>
      </c>
      <c r="B507" s="19">
        <v>906</v>
      </c>
      <c r="C507" s="24" t="s">
        <v>280</v>
      </c>
      <c r="D507" s="24" t="s">
        <v>134</v>
      </c>
      <c r="E507" s="24"/>
      <c r="F507" s="24"/>
      <c r="G507" s="21">
        <f>G508+G526</f>
        <v>84659.4</v>
      </c>
      <c r="H507" s="177"/>
    </row>
    <row r="508" spans="1:12" ht="47.25" x14ac:dyDescent="0.25">
      <c r="A508" s="25" t="s">
        <v>421</v>
      </c>
      <c r="B508" s="16">
        <v>906</v>
      </c>
      <c r="C508" s="20" t="s">
        <v>280</v>
      </c>
      <c r="D508" s="20" t="s">
        <v>134</v>
      </c>
      <c r="E508" s="20" t="s">
        <v>422</v>
      </c>
      <c r="F508" s="20"/>
      <c r="G508" s="26">
        <f>G509+G513</f>
        <v>23453.4</v>
      </c>
      <c r="H508" s="177"/>
    </row>
    <row r="509" spans="1:12" ht="47.25" x14ac:dyDescent="0.25">
      <c r="A509" s="25" t="s">
        <v>423</v>
      </c>
      <c r="B509" s="16">
        <v>906</v>
      </c>
      <c r="C509" s="20" t="s">
        <v>280</v>
      </c>
      <c r="D509" s="20" t="s">
        <v>134</v>
      </c>
      <c r="E509" s="20" t="s">
        <v>424</v>
      </c>
      <c r="F509" s="20"/>
      <c r="G509" s="26">
        <f>G510</f>
        <v>15578.400000000001</v>
      </c>
      <c r="H509" s="177"/>
    </row>
    <row r="510" spans="1:12" ht="47.25" x14ac:dyDescent="0.25">
      <c r="A510" s="25" t="s">
        <v>425</v>
      </c>
      <c r="B510" s="16">
        <v>906</v>
      </c>
      <c r="C510" s="20" t="s">
        <v>280</v>
      </c>
      <c r="D510" s="20" t="s">
        <v>134</v>
      </c>
      <c r="E510" s="20" t="s">
        <v>426</v>
      </c>
      <c r="F510" s="20"/>
      <c r="G510" s="26">
        <f>G511</f>
        <v>15578.400000000001</v>
      </c>
      <c r="H510" s="177"/>
    </row>
    <row r="511" spans="1:12" ht="47.25" x14ac:dyDescent="0.25">
      <c r="A511" s="25" t="s">
        <v>288</v>
      </c>
      <c r="B511" s="16">
        <v>906</v>
      </c>
      <c r="C511" s="20" t="s">
        <v>280</v>
      </c>
      <c r="D511" s="20" t="s">
        <v>134</v>
      </c>
      <c r="E511" s="20" t="s">
        <v>426</v>
      </c>
      <c r="F511" s="20" t="s">
        <v>289</v>
      </c>
      <c r="G511" s="26">
        <f>G512</f>
        <v>15578.400000000001</v>
      </c>
      <c r="H511" s="177"/>
    </row>
    <row r="512" spans="1:12" ht="15.75" x14ac:dyDescent="0.25">
      <c r="A512" s="25" t="s">
        <v>290</v>
      </c>
      <c r="B512" s="16">
        <v>906</v>
      </c>
      <c r="C512" s="20" t="s">
        <v>280</v>
      </c>
      <c r="D512" s="20" t="s">
        <v>134</v>
      </c>
      <c r="E512" s="20" t="s">
        <v>426</v>
      </c>
      <c r="F512" s="20" t="s">
        <v>291</v>
      </c>
      <c r="G512" s="27">
        <f>17368.2+6858.7-6314-1360.2-974.3</f>
        <v>15578.400000000001</v>
      </c>
      <c r="H512" s="179"/>
      <c r="I512" s="125"/>
    </row>
    <row r="513" spans="1:8" ht="47.25" x14ac:dyDescent="0.25">
      <c r="A513" s="25" t="s">
        <v>427</v>
      </c>
      <c r="B513" s="16">
        <v>906</v>
      </c>
      <c r="C513" s="20" t="s">
        <v>280</v>
      </c>
      <c r="D513" s="20" t="s">
        <v>134</v>
      </c>
      <c r="E513" s="20" t="s">
        <v>428</v>
      </c>
      <c r="F513" s="20"/>
      <c r="G513" s="26">
        <f>G514+G517+G520+G523</f>
        <v>7875</v>
      </c>
      <c r="H513" s="177"/>
    </row>
    <row r="514" spans="1:8" ht="47.25" hidden="1" x14ac:dyDescent="0.25">
      <c r="A514" s="25" t="s">
        <v>294</v>
      </c>
      <c r="B514" s="16">
        <v>906</v>
      </c>
      <c r="C514" s="20" t="s">
        <v>280</v>
      </c>
      <c r="D514" s="20" t="s">
        <v>134</v>
      </c>
      <c r="E514" s="20" t="s">
        <v>429</v>
      </c>
      <c r="F514" s="20"/>
      <c r="G514" s="26">
        <f>G515</f>
        <v>0</v>
      </c>
      <c r="H514" s="177"/>
    </row>
    <row r="515" spans="1:8" ht="47.25" hidden="1" x14ac:dyDescent="0.25">
      <c r="A515" s="25" t="s">
        <v>288</v>
      </c>
      <c r="B515" s="16">
        <v>906</v>
      </c>
      <c r="C515" s="20" t="s">
        <v>280</v>
      </c>
      <c r="D515" s="20" t="s">
        <v>134</v>
      </c>
      <c r="E515" s="20" t="s">
        <v>429</v>
      </c>
      <c r="F515" s="20" t="s">
        <v>289</v>
      </c>
      <c r="G515" s="26">
        <f>G516</f>
        <v>0</v>
      </c>
      <c r="H515" s="177"/>
    </row>
    <row r="516" spans="1:8" ht="15.75" hidden="1" x14ac:dyDescent="0.25">
      <c r="A516" s="25" t="s">
        <v>290</v>
      </c>
      <c r="B516" s="16">
        <v>906</v>
      </c>
      <c r="C516" s="20" t="s">
        <v>280</v>
      </c>
      <c r="D516" s="20" t="s">
        <v>134</v>
      </c>
      <c r="E516" s="20" t="s">
        <v>429</v>
      </c>
      <c r="F516" s="20" t="s">
        <v>291</v>
      </c>
      <c r="G516" s="26">
        <v>0</v>
      </c>
      <c r="H516" s="177"/>
    </row>
    <row r="517" spans="1:8" ht="31.5" x14ac:dyDescent="0.25">
      <c r="A517" s="25" t="s">
        <v>296</v>
      </c>
      <c r="B517" s="16">
        <v>906</v>
      </c>
      <c r="C517" s="20" t="s">
        <v>280</v>
      </c>
      <c r="D517" s="20" t="s">
        <v>134</v>
      </c>
      <c r="E517" s="20" t="s">
        <v>430</v>
      </c>
      <c r="F517" s="20"/>
      <c r="G517" s="26">
        <f>G518</f>
        <v>1145</v>
      </c>
      <c r="H517" s="177"/>
    </row>
    <row r="518" spans="1:8" ht="47.25" x14ac:dyDescent="0.25">
      <c r="A518" s="25" t="s">
        <v>288</v>
      </c>
      <c r="B518" s="16">
        <v>906</v>
      </c>
      <c r="C518" s="20" t="s">
        <v>280</v>
      </c>
      <c r="D518" s="20" t="s">
        <v>134</v>
      </c>
      <c r="E518" s="20" t="s">
        <v>430</v>
      </c>
      <c r="F518" s="20" t="s">
        <v>289</v>
      </c>
      <c r="G518" s="26">
        <f>G519</f>
        <v>1145</v>
      </c>
      <c r="H518" s="177"/>
    </row>
    <row r="519" spans="1:8" ht="15.75" x14ac:dyDescent="0.25">
      <c r="A519" s="25" t="s">
        <v>290</v>
      </c>
      <c r="B519" s="16">
        <v>906</v>
      </c>
      <c r="C519" s="20" t="s">
        <v>280</v>
      </c>
      <c r="D519" s="20" t="s">
        <v>134</v>
      </c>
      <c r="E519" s="20" t="s">
        <v>430</v>
      </c>
      <c r="F519" s="20" t="s">
        <v>291</v>
      </c>
      <c r="G519" s="158">
        <f>800+300+45</f>
        <v>1145</v>
      </c>
      <c r="H519" s="165" t="s">
        <v>764</v>
      </c>
    </row>
    <row r="520" spans="1:8" ht="47.25" x14ac:dyDescent="0.25">
      <c r="A520" s="25" t="s">
        <v>431</v>
      </c>
      <c r="B520" s="16">
        <v>906</v>
      </c>
      <c r="C520" s="20" t="s">
        <v>280</v>
      </c>
      <c r="D520" s="20" t="s">
        <v>134</v>
      </c>
      <c r="E520" s="20" t="s">
        <v>432</v>
      </c>
      <c r="F520" s="20"/>
      <c r="G520" s="26">
        <f>G521</f>
        <v>6730</v>
      </c>
      <c r="H520" s="177"/>
    </row>
    <row r="521" spans="1:8" ht="47.25" x14ac:dyDescent="0.25">
      <c r="A521" s="25" t="s">
        <v>288</v>
      </c>
      <c r="B521" s="16">
        <v>906</v>
      </c>
      <c r="C521" s="20" t="s">
        <v>280</v>
      </c>
      <c r="D521" s="20" t="s">
        <v>134</v>
      </c>
      <c r="E521" s="20" t="s">
        <v>432</v>
      </c>
      <c r="F521" s="20" t="s">
        <v>289</v>
      </c>
      <c r="G521" s="26">
        <f>G522</f>
        <v>6730</v>
      </c>
      <c r="H521" s="177"/>
    </row>
    <row r="522" spans="1:8" ht="15.75" x14ac:dyDescent="0.25">
      <c r="A522" s="25" t="s">
        <v>290</v>
      </c>
      <c r="B522" s="16">
        <v>906</v>
      </c>
      <c r="C522" s="20" t="s">
        <v>280</v>
      </c>
      <c r="D522" s="20" t="s">
        <v>134</v>
      </c>
      <c r="E522" s="20" t="s">
        <v>432</v>
      </c>
      <c r="F522" s="20" t="s">
        <v>291</v>
      </c>
      <c r="G522" s="27">
        <v>6730</v>
      </c>
      <c r="H522" s="177"/>
    </row>
    <row r="523" spans="1:8" ht="31.5" hidden="1" x14ac:dyDescent="0.25">
      <c r="A523" s="25" t="s">
        <v>300</v>
      </c>
      <c r="B523" s="16">
        <v>906</v>
      </c>
      <c r="C523" s="20" t="s">
        <v>280</v>
      </c>
      <c r="D523" s="20" t="s">
        <v>134</v>
      </c>
      <c r="E523" s="20" t="s">
        <v>433</v>
      </c>
      <c r="F523" s="20"/>
      <c r="G523" s="26">
        <f>G524</f>
        <v>0</v>
      </c>
      <c r="H523" s="177"/>
    </row>
    <row r="524" spans="1:8" ht="47.25" hidden="1" x14ac:dyDescent="0.25">
      <c r="A524" s="25" t="s">
        <v>288</v>
      </c>
      <c r="B524" s="16">
        <v>906</v>
      </c>
      <c r="C524" s="20" t="s">
        <v>280</v>
      </c>
      <c r="D524" s="20" t="s">
        <v>134</v>
      </c>
      <c r="E524" s="20" t="s">
        <v>433</v>
      </c>
      <c r="F524" s="20" t="s">
        <v>289</v>
      </c>
      <c r="G524" s="26">
        <f>G525</f>
        <v>0</v>
      </c>
      <c r="H524" s="177"/>
    </row>
    <row r="525" spans="1:8" ht="15.75" hidden="1" x14ac:dyDescent="0.25">
      <c r="A525" s="25" t="s">
        <v>290</v>
      </c>
      <c r="B525" s="16">
        <v>906</v>
      </c>
      <c r="C525" s="20" t="s">
        <v>280</v>
      </c>
      <c r="D525" s="20" t="s">
        <v>134</v>
      </c>
      <c r="E525" s="20" t="s">
        <v>433</v>
      </c>
      <c r="F525" s="20" t="s">
        <v>291</v>
      </c>
      <c r="G525" s="26">
        <v>0</v>
      </c>
      <c r="H525" s="177"/>
    </row>
    <row r="526" spans="1:8" ht="15.75" x14ac:dyDescent="0.25">
      <c r="A526" s="25" t="s">
        <v>137</v>
      </c>
      <c r="B526" s="16">
        <v>906</v>
      </c>
      <c r="C526" s="20" t="s">
        <v>280</v>
      </c>
      <c r="D526" s="20" t="s">
        <v>134</v>
      </c>
      <c r="E526" s="20" t="s">
        <v>138</v>
      </c>
      <c r="F526" s="20"/>
      <c r="G526" s="26">
        <f>G527</f>
        <v>61206</v>
      </c>
      <c r="H526" s="177"/>
    </row>
    <row r="527" spans="1:8" ht="31.5" x14ac:dyDescent="0.25">
      <c r="A527" s="25" t="s">
        <v>201</v>
      </c>
      <c r="B527" s="16">
        <v>906</v>
      </c>
      <c r="C527" s="20" t="s">
        <v>280</v>
      </c>
      <c r="D527" s="20" t="s">
        <v>134</v>
      </c>
      <c r="E527" s="20" t="s">
        <v>202</v>
      </c>
      <c r="F527" s="20"/>
      <c r="G527" s="26">
        <f>G528+G531+G534+G537+G540+G543</f>
        <v>61206</v>
      </c>
      <c r="H527" s="177"/>
    </row>
    <row r="528" spans="1:8" ht="31.5" hidden="1" x14ac:dyDescent="0.25">
      <c r="A528" s="25" t="s">
        <v>434</v>
      </c>
      <c r="B528" s="16">
        <v>906</v>
      </c>
      <c r="C528" s="20" t="s">
        <v>280</v>
      </c>
      <c r="D528" s="20" t="s">
        <v>134</v>
      </c>
      <c r="E528" s="20" t="s">
        <v>435</v>
      </c>
      <c r="F528" s="20"/>
      <c r="G528" s="26">
        <f>G529</f>
        <v>0</v>
      </c>
      <c r="H528" s="177"/>
    </row>
    <row r="529" spans="1:9" ht="47.25" hidden="1" x14ac:dyDescent="0.25">
      <c r="A529" s="25" t="s">
        <v>288</v>
      </c>
      <c r="B529" s="16">
        <v>906</v>
      </c>
      <c r="C529" s="20" t="s">
        <v>280</v>
      </c>
      <c r="D529" s="20" t="s">
        <v>134</v>
      </c>
      <c r="E529" s="20" t="s">
        <v>435</v>
      </c>
      <c r="F529" s="20" t="s">
        <v>289</v>
      </c>
      <c r="G529" s="26">
        <f>G530</f>
        <v>0</v>
      </c>
      <c r="H529" s="177"/>
    </row>
    <row r="530" spans="1:9" ht="15.75" hidden="1" x14ac:dyDescent="0.25">
      <c r="A530" s="25" t="s">
        <v>290</v>
      </c>
      <c r="B530" s="16">
        <v>906</v>
      </c>
      <c r="C530" s="20" t="s">
        <v>280</v>
      </c>
      <c r="D530" s="20" t="s">
        <v>134</v>
      </c>
      <c r="E530" s="20" t="s">
        <v>435</v>
      </c>
      <c r="F530" s="20" t="s">
        <v>291</v>
      </c>
      <c r="G530" s="26"/>
      <c r="H530" s="177"/>
    </row>
    <row r="531" spans="1:9" ht="63" x14ac:dyDescent="0.25">
      <c r="A531" s="31" t="s">
        <v>305</v>
      </c>
      <c r="B531" s="16">
        <v>906</v>
      </c>
      <c r="C531" s="20" t="s">
        <v>280</v>
      </c>
      <c r="D531" s="20" t="s">
        <v>134</v>
      </c>
      <c r="E531" s="20" t="s">
        <v>306</v>
      </c>
      <c r="F531" s="20"/>
      <c r="G531" s="26">
        <f>G532</f>
        <v>310.2</v>
      </c>
      <c r="H531" s="177"/>
    </row>
    <row r="532" spans="1:9" ht="47.25" x14ac:dyDescent="0.25">
      <c r="A532" s="25" t="s">
        <v>288</v>
      </c>
      <c r="B532" s="16">
        <v>906</v>
      </c>
      <c r="C532" s="20" t="s">
        <v>280</v>
      </c>
      <c r="D532" s="20" t="s">
        <v>134</v>
      </c>
      <c r="E532" s="20" t="s">
        <v>306</v>
      </c>
      <c r="F532" s="20" t="s">
        <v>289</v>
      </c>
      <c r="G532" s="26">
        <f>G533</f>
        <v>310.2</v>
      </c>
      <c r="H532" s="177"/>
    </row>
    <row r="533" spans="1:9" ht="15.75" x14ac:dyDescent="0.25">
      <c r="A533" s="25" t="s">
        <v>290</v>
      </c>
      <c r="B533" s="16">
        <v>906</v>
      </c>
      <c r="C533" s="20" t="s">
        <v>280</v>
      </c>
      <c r="D533" s="20" t="s">
        <v>134</v>
      </c>
      <c r="E533" s="20" t="s">
        <v>306</v>
      </c>
      <c r="F533" s="20" t="s">
        <v>291</v>
      </c>
      <c r="G533" s="26">
        <f>416.2-106</f>
        <v>310.2</v>
      </c>
      <c r="H533" s="177"/>
      <c r="I533" s="115"/>
    </row>
    <row r="534" spans="1:9" ht="78.75" x14ac:dyDescent="0.25">
      <c r="A534" s="31" t="s">
        <v>436</v>
      </c>
      <c r="B534" s="16">
        <v>906</v>
      </c>
      <c r="C534" s="20" t="s">
        <v>280</v>
      </c>
      <c r="D534" s="20" t="s">
        <v>134</v>
      </c>
      <c r="E534" s="20" t="s">
        <v>308</v>
      </c>
      <c r="F534" s="20"/>
      <c r="G534" s="26">
        <f>G535</f>
        <v>1696.8</v>
      </c>
      <c r="H534" s="177"/>
    </row>
    <row r="535" spans="1:9" ht="47.25" x14ac:dyDescent="0.25">
      <c r="A535" s="25" t="s">
        <v>288</v>
      </c>
      <c r="B535" s="16">
        <v>906</v>
      </c>
      <c r="C535" s="20" t="s">
        <v>280</v>
      </c>
      <c r="D535" s="20" t="s">
        <v>134</v>
      </c>
      <c r="E535" s="20" t="s">
        <v>308</v>
      </c>
      <c r="F535" s="20" t="s">
        <v>289</v>
      </c>
      <c r="G535" s="26">
        <f>G536</f>
        <v>1696.8</v>
      </c>
      <c r="H535" s="177"/>
    </row>
    <row r="536" spans="1:9" ht="15.75" x14ac:dyDescent="0.25">
      <c r="A536" s="25" t="s">
        <v>290</v>
      </c>
      <c r="B536" s="16">
        <v>906</v>
      </c>
      <c r="C536" s="20" t="s">
        <v>280</v>
      </c>
      <c r="D536" s="20" t="s">
        <v>134</v>
      </c>
      <c r="E536" s="20" t="s">
        <v>308</v>
      </c>
      <c r="F536" s="20" t="s">
        <v>291</v>
      </c>
      <c r="G536" s="26">
        <f>1900-203.2</f>
        <v>1696.8</v>
      </c>
      <c r="H536" s="177"/>
      <c r="I536" s="115"/>
    </row>
    <row r="537" spans="1:9" ht="94.5" x14ac:dyDescent="0.25">
      <c r="A537" s="31" t="s">
        <v>437</v>
      </c>
      <c r="B537" s="16">
        <v>906</v>
      </c>
      <c r="C537" s="20" t="s">
        <v>280</v>
      </c>
      <c r="D537" s="20" t="s">
        <v>134</v>
      </c>
      <c r="E537" s="20" t="s">
        <v>438</v>
      </c>
      <c r="F537" s="20"/>
      <c r="G537" s="26">
        <f>G538</f>
        <v>56320</v>
      </c>
      <c r="H537" s="177"/>
    </row>
    <row r="538" spans="1:9" ht="47.25" x14ac:dyDescent="0.25">
      <c r="A538" s="25" t="s">
        <v>288</v>
      </c>
      <c r="B538" s="16">
        <v>906</v>
      </c>
      <c r="C538" s="20" t="s">
        <v>280</v>
      </c>
      <c r="D538" s="20" t="s">
        <v>134</v>
      </c>
      <c r="E538" s="20" t="s">
        <v>438</v>
      </c>
      <c r="F538" s="20" t="s">
        <v>289</v>
      </c>
      <c r="G538" s="26">
        <f>G539</f>
        <v>56320</v>
      </c>
      <c r="H538" s="177"/>
    </row>
    <row r="539" spans="1:9" ht="15.75" x14ac:dyDescent="0.25">
      <c r="A539" s="25" t="s">
        <v>290</v>
      </c>
      <c r="B539" s="16">
        <v>906</v>
      </c>
      <c r="C539" s="20" t="s">
        <v>280</v>
      </c>
      <c r="D539" s="20" t="s">
        <v>134</v>
      </c>
      <c r="E539" s="20" t="s">
        <v>438</v>
      </c>
      <c r="F539" s="20" t="s">
        <v>291</v>
      </c>
      <c r="G539" s="27">
        <f>66162.2-7643.6-2198.6</f>
        <v>56320</v>
      </c>
      <c r="H539" s="106"/>
      <c r="I539" s="115"/>
    </row>
    <row r="540" spans="1:9" ht="110.25" x14ac:dyDescent="0.25">
      <c r="A540" s="31" t="s">
        <v>309</v>
      </c>
      <c r="B540" s="16">
        <v>906</v>
      </c>
      <c r="C540" s="20" t="s">
        <v>280</v>
      </c>
      <c r="D540" s="20" t="s">
        <v>134</v>
      </c>
      <c r="E540" s="20" t="s">
        <v>310</v>
      </c>
      <c r="F540" s="20"/>
      <c r="G540" s="26">
        <f>G541</f>
        <v>2879</v>
      </c>
      <c r="H540" s="177"/>
    </row>
    <row r="541" spans="1:9" ht="47.25" x14ac:dyDescent="0.25">
      <c r="A541" s="25" t="s">
        <v>288</v>
      </c>
      <c r="B541" s="16">
        <v>906</v>
      </c>
      <c r="C541" s="20" t="s">
        <v>280</v>
      </c>
      <c r="D541" s="20" t="s">
        <v>134</v>
      </c>
      <c r="E541" s="20" t="s">
        <v>310</v>
      </c>
      <c r="F541" s="20" t="s">
        <v>289</v>
      </c>
      <c r="G541" s="26">
        <f>G542</f>
        <v>2879</v>
      </c>
      <c r="H541" s="177"/>
    </row>
    <row r="542" spans="1:9" ht="15.75" x14ac:dyDescent="0.25">
      <c r="A542" s="25" t="s">
        <v>290</v>
      </c>
      <c r="B542" s="16">
        <v>906</v>
      </c>
      <c r="C542" s="20" t="s">
        <v>280</v>
      </c>
      <c r="D542" s="20" t="s">
        <v>134</v>
      </c>
      <c r="E542" s="20" t="s">
        <v>310</v>
      </c>
      <c r="F542" s="20" t="s">
        <v>291</v>
      </c>
      <c r="G542" s="27">
        <f>2937.2-58.2</f>
        <v>2879</v>
      </c>
      <c r="H542" s="177"/>
      <c r="I542" s="115"/>
    </row>
    <row r="543" spans="1:9" ht="157.5" hidden="1" x14ac:dyDescent="0.25">
      <c r="A543" s="25" t="s">
        <v>439</v>
      </c>
      <c r="B543" s="16">
        <v>906</v>
      </c>
      <c r="C543" s="20" t="s">
        <v>280</v>
      </c>
      <c r="D543" s="20" t="s">
        <v>134</v>
      </c>
      <c r="E543" s="20" t="s">
        <v>440</v>
      </c>
      <c r="F543" s="20"/>
      <c r="G543" s="27">
        <f>G544</f>
        <v>0</v>
      </c>
      <c r="H543" s="177"/>
    </row>
    <row r="544" spans="1:9" ht="47.25" hidden="1" x14ac:dyDescent="0.25">
      <c r="A544" s="25" t="s">
        <v>288</v>
      </c>
      <c r="B544" s="16">
        <v>906</v>
      </c>
      <c r="C544" s="20" t="s">
        <v>280</v>
      </c>
      <c r="D544" s="20" t="s">
        <v>134</v>
      </c>
      <c r="E544" s="20" t="s">
        <v>440</v>
      </c>
      <c r="F544" s="20" t="s">
        <v>289</v>
      </c>
      <c r="G544" s="27">
        <f>G545</f>
        <v>0</v>
      </c>
      <c r="H544" s="177"/>
    </row>
    <row r="545" spans="1:9" ht="15.75" hidden="1" x14ac:dyDescent="0.25">
      <c r="A545" s="25" t="s">
        <v>290</v>
      </c>
      <c r="B545" s="16">
        <v>906</v>
      </c>
      <c r="C545" s="20" t="s">
        <v>280</v>
      </c>
      <c r="D545" s="20" t="s">
        <v>134</v>
      </c>
      <c r="E545" s="20" t="s">
        <v>440</v>
      </c>
      <c r="F545" s="20" t="s">
        <v>291</v>
      </c>
      <c r="G545" s="27">
        <f>276.5-276.5</f>
        <v>0</v>
      </c>
      <c r="H545" s="177"/>
      <c r="I545" s="115"/>
    </row>
    <row r="546" spans="1:9" ht="15.75" x14ac:dyDescent="0.25">
      <c r="A546" s="23" t="s">
        <v>441</v>
      </c>
      <c r="B546" s="19">
        <v>906</v>
      </c>
      <c r="C546" s="24" t="s">
        <v>280</v>
      </c>
      <c r="D546" s="24" t="s">
        <v>229</v>
      </c>
      <c r="E546" s="24"/>
      <c r="F546" s="24"/>
      <c r="G546" s="21">
        <f>G547+G580</f>
        <v>130684.4</v>
      </c>
      <c r="H546" s="177"/>
    </row>
    <row r="547" spans="1:9" ht="47.25" x14ac:dyDescent="0.25">
      <c r="A547" s="25" t="s">
        <v>442</v>
      </c>
      <c r="B547" s="16">
        <v>906</v>
      </c>
      <c r="C547" s="20" t="s">
        <v>280</v>
      </c>
      <c r="D547" s="20" t="s">
        <v>229</v>
      </c>
      <c r="E547" s="20" t="s">
        <v>422</v>
      </c>
      <c r="F547" s="20"/>
      <c r="G547" s="26">
        <f>G548+G552</f>
        <v>40826.6</v>
      </c>
      <c r="H547" s="177"/>
    </row>
    <row r="548" spans="1:9" ht="47.25" x14ac:dyDescent="0.25">
      <c r="A548" s="25" t="s">
        <v>423</v>
      </c>
      <c r="B548" s="16">
        <v>906</v>
      </c>
      <c r="C548" s="20" t="s">
        <v>280</v>
      </c>
      <c r="D548" s="20" t="s">
        <v>229</v>
      </c>
      <c r="E548" s="20" t="s">
        <v>424</v>
      </c>
      <c r="F548" s="20"/>
      <c r="G548" s="26">
        <f>G549</f>
        <v>34151.199999999997</v>
      </c>
      <c r="H548" s="177"/>
    </row>
    <row r="549" spans="1:9" ht="47.25" x14ac:dyDescent="0.25">
      <c r="A549" s="25" t="s">
        <v>443</v>
      </c>
      <c r="B549" s="16">
        <v>906</v>
      </c>
      <c r="C549" s="20" t="s">
        <v>280</v>
      </c>
      <c r="D549" s="20" t="s">
        <v>229</v>
      </c>
      <c r="E549" s="20" t="s">
        <v>444</v>
      </c>
      <c r="F549" s="20"/>
      <c r="G549" s="26">
        <f>G550</f>
        <v>34151.199999999997</v>
      </c>
      <c r="H549" s="177"/>
    </row>
    <row r="550" spans="1:9" ht="47.25" x14ac:dyDescent="0.25">
      <c r="A550" s="25" t="s">
        <v>288</v>
      </c>
      <c r="B550" s="16">
        <v>906</v>
      </c>
      <c r="C550" s="20" t="s">
        <v>280</v>
      </c>
      <c r="D550" s="20" t="s">
        <v>229</v>
      </c>
      <c r="E550" s="20" t="s">
        <v>444</v>
      </c>
      <c r="F550" s="20" t="s">
        <v>289</v>
      </c>
      <c r="G550" s="26">
        <f>G551</f>
        <v>34151.199999999997</v>
      </c>
      <c r="H550" s="177"/>
    </row>
    <row r="551" spans="1:9" ht="15.75" x14ac:dyDescent="0.25">
      <c r="A551" s="25" t="s">
        <v>290</v>
      </c>
      <c r="B551" s="16">
        <v>906</v>
      </c>
      <c r="C551" s="20" t="s">
        <v>280</v>
      </c>
      <c r="D551" s="20" t="s">
        <v>229</v>
      </c>
      <c r="E551" s="20" t="s">
        <v>444</v>
      </c>
      <c r="F551" s="20" t="s">
        <v>291</v>
      </c>
      <c r="G551" s="27">
        <f>21817.5+13206.2-481.7+562.6-953.4</f>
        <v>34151.199999999997</v>
      </c>
      <c r="H551" s="179"/>
      <c r="I551" s="125"/>
    </row>
    <row r="552" spans="1:9" ht="31.5" x14ac:dyDescent="0.25">
      <c r="A552" s="25" t="s">
        <v>446</v>
      </c>
      <c r="B552" s="16">
        <v>906</v>
      </c>
      <c r="C552" s="20" t="s">
        <v>280</v>
      </c>
      <c r="D552" s="20" t="s">
        <v>229</v>
      </c>
      <c r="E552" s="20" t="s">
        <v>447</v>
      </c>
      <c r="F552" s="20"/>
      <c r="G552" s="26">
        <f>G558+G574+G571+G577+G568+G553+G559+G562+G565</f>
        <v>6675.4</v>
      </c>
      <c r="H552" s="177"/>
    </row>
    <row r="553" spans="1:9" ht="63" hidden="1" x14ac:dyDescent="0.25">
      <c r="A553" s="25" t="s">
        <v>448</v>
      </c>
      <c r="B553" s="16">
        <v>906</v>
      </c>
      <c r="C553" s="20" t="s">
        <v>280</v>
      </c>
      <c r="D553" s="20" t="s">
        <v>229</v>
      </c>
      <c r="E553" s="20" t="s">
        <v>449</v>
      </c>
      <c r="F553" s="20"/>
      <c r="G553" s="26">
        <f>G554</f>
        <v>0</v>
      </c>
      <c r="H553" s="177"/>
    </row>
    <row r="554" spans="1:9" ht="47.25" hidden="1" x14ac:dyDescent="0.25">
      <c r="A554" s="25" t="s">
        <v>288</v>
      </c>
      <c r="B554" s="16">
        <v>906</v>
      </c>
      <c r="C554" s="20" t="s">
        <v>280</v>
      </c>
      <c r="D554" s="20" t="s">
        <v>229</v>
      </c>
      <c r="E554" s="20" t="s">
        <v>449</v>
      </c>
      <c r="F554" s="20" t="s">
        <v>289</v>
      </c>
      <c r="G554" s="26">
        <f>G555</f>
        <v>0</v>
      </c>
      <c r="H554" s="177"/>
    </row>
    <row r="555" spans="1:9" ht="15.75" hidden="1" x14ac:dyDescent="0.25">
      <c r="A555" s="25" t="s">
        <v>290</v>
      </c>
      <c r="B555" s="16">
        <v>906</v>
      </c>
      <c r="C555" s="20" t="s">
        <v>280</v>
      </c>
      <c r="D555" s="20" t="s">
        <v>229</v>
      </c>
      <c r="E555" s="20" t="s">
        <v>449</v>
      </c>
      <c r="F555" s="20" t="s">
        <v>291</v>
      </c>
      <c r="G555" s="26">
        <v>0</v>
      </c>
      <c r="H555" s="177"/>
    </row>
    <row r="556" spans="1:9" ht="48.75" hidden="1" customHeight="1" x14ac:dyDescent="0.25">
      <c r="A556" s="25" t="s">
        <v>450</v>
      </c>
      <c r="B556" s="16">
        <v>906</v>
      </c>
      <c r="C556" s="20" t="s">
        <v>280</v>
      </c>
      <c r="D556" s="20" t="s">
        <v>229</v>
      </c>
      <c r="E556" s="20" t="s">
        <v>451</v>
      </c>
      <c r="F556" s="20"/>
      <c r="G556" s="26">
        <f>G557</f>
        <v>0</v>
      </c>
      <c r="H556" s="177"/>
    </row>
    <row r="557" spans="1:9" ht="47.25" hidden="1" x14ac:dyDescent="0.25">
      <c r="A557" s="25" t="s">
        <v>288</v>
      </c>
      <c r="B557" s="16">
        <v>906</v>
      </c>
      <c r="C557" s="20" t="s">
        <v>280</v>
      </c>
      <c r="D557" s="20" t="s">
        <v>229</v>
      </c>
      <c r="E557" s="20" t="s">
        <v>451</v>
      </c>
      <c r="F557" s="20" t="s">
        <v>289</v>
      </c>
      <c r="G557" s="26">
        <f>G558</f>
        <v>0</v>
      </c>
      <c r="H557" s="177"/>
    </row>
    <row r="558" spans="1:9" ht="15.75" hidden="1" x14ac:dyDescent="0.25">
      <c r="A558" s="25" t="s">
        <v>290</v>
      </c>
      <c r="B558" s="16">
        <v>906</v>
      </c>
      <c r="C558" s="20" t="s">
        <v>280</v>
      </c>
      <c r="D558" s="20" t="s">
        <v>229</v>
      </c>
      <c r="E558" s="20" t="s">
        <v>451</v>
      </c>
      <c r="F558" s="20" t="s">
        <v>291</v>
      </c>
      <c r="G558" s="26">
        <v>0</v>
      </c>
      <c r="H558" s="177"/>
    </row>
    <row r="559" spans="1:9" ht="63" x14ac:dyDescent="0.25">
      <c r="A559" s="25" t="s">
        <v>452</v>
      </c>
      <c r="B559" s="16">
        <v>906</v>
      </c>
      <c r="C559" s="20" t="s">
        <v>280</v>
      </c>
      <c r="D559" s="20" t="s">
        <v>229</v>
      </c>
      <c r="E559" s="20" t="s">
        <v>453</v>
      </c>
      <c r="F559" s="20"/>
      <c r="G559" s="26">
        <f>G560</f>
        <v>2690</v>
      </c>
      <c r="H559" s="177"/>
    </row>
    <row r="560" spans="1:9" ht="47.25" x14ac:dyDescent="0.25">
      <c r="A560" s="25" t="s">
        <v>288</v>
      </c>
      <c r="B560" s="16">
        <v>906</v>
      </c>
      <c r="C560" s="20" t="s">
        <v>280</v>
      </c>
      <c r="D560" s="20" t="s">
        <v>229</v>
      </c>
      <c r="E560" s="20" t="s">
        <v>453</v>
      </c>
      <c r="F560" s="20" t="s">
        <v>289</v>
      </c>
      <c r="G560" s="26">
        <f>G561</f>
        <v>2690</v>
      </c>
      <c r="H560" s="177"/>
    </row>
    <row r="561" spans="1:8" ht="15.75" x14ac:dyDescent="0.25">
      <c r="A561" s="25" t="s">
        <v>290</v>
      </c>
      <c r="B561" s="16">
        <v>906</v>
      </c>
      <c r="C561" s="20" t="s">
        <v>280</v>
      </c>
      <c r="D561" s="20" t="s">
        <v>229</v>
      </c>
      <c r="E561" s="20" t="s">
        <v>453</v>
      </c>
      <c r="F561" s="20" t="s">
        <v>291</v>
      </c>
      <c r="G561" s="27">
        <f>3010-320</f>
        <v>2690</v>
      </c>
      <c r="H561" s="177"/>
    </row>
    <row r="562" spans="1:8" ht="63" x14ac:dyDescent="0.25">
      <c r="A562" s="25" t="s">
        <v>454</v>
      </c>
      <c r="B562" s="16">
        <v>906</v>
      </c>
      <c r="C562" s="20" t="s">
        <v>280</v>
      </c>
      <c r="D562" s="20" t="s">
        <v>229</v>
      </c>
      <c r="E562" s="20" t="s">
        <v>455</v>
      </c>
      <c r="F562" s="20"/>
      <c r="G562" s="26">
        <f>G563</f>
        <v>320</v>
      </c>
      <c r="H562" s="177"/>
    </row>
    <row r="563" spans="1:8" ht="47.25" x14ac:dyDescent="0.25">
      <c r="A563" s="25" t="s">
        <v>288</v>
      </c>
      <c r="B563" s="16">
        <v>906</v>
      </c>
      <c r="C563" s="20" t="s">
        <v>280</v>
      </c>
      <c r="D563" s="20" t="s">
        <v>229</v>
      </c>
      <c r="E563" s="20" t="s">
        <v>455</v>
      </c>
      <c r="F563" s="20" t="s">
        <v>289</v>
      </c>
      <c r="G563" s="26">
        <f>G564</f>
        <v>320</v>
      </c>
      <c r="H563" s="177"/>
    </row>
    <row r="564" spans="1:8" ht="15.75" x14ac:dyDescent="0.25">
      <c r="A564" s="25" t="s">
        <v>290</v>
      </c>
      <c r="B564" s="16">
        <v>906</v>
      </c>
      <c r="C564" s="20" t="s">
        <v>280</v>
      </c>
      <c r="D564" s="20" t="s">
        <v>229</v>
      </c>
      <c r="E564" s="20" t="s">
        <v>455</v>
      </c>
      <c r="F564" s="20" t="s">
        <v>291</v>
      </c>
      <c r="G564" s="26">
        <v>320</v>
      </c>
      <c r="H564" s="177"/>
    </row>
    <row r="565" spans="1:8" ht="47.25" hidden="1" x14ac:dyDescent="0.25">
      <c r="A565" s="25" t="s">
        <v>456</v>
      </c>
      <c r="B565" s="16">
        <v>906</v>
      </c>
      <c r="C565" s="20" t="s">
        <v>280</v>
      </c>
      <c r="D565" s="20" t="s">
        <v>229</v>
      </c>
      <c r="E565" s="20" t="s">
        <v>457</v>
      </c>
      <c r="F565" s="20"/>
      <c r="G565" s="26">
        <f>G566</f>
        <v>0</v>
      </c>
      <c r="H565" s="177"/>
    </row>
    <row r="566" spans="1:8" ht="47.25" hidden="1" x14ac:dyDescent="0.25">
      <c r="A566" s="25" t="s">
        <v>288</v>
      </c>
      <c r="B566" s="16">
        <v>906</v>
      </c>
      <c r="C566" s="20" t="s">
        <v>280</v>
      </c>
      <c r="D566" s="20" t="s">
        <v>229</v>
      </c>
      <c r="E566" s="20" t="s">
        <v>457</v>
      </c>
      <c r="F566" s="20" t="s">
        <v>289</v>
      </c>
      <c r="G566" s="26">
        <f>G567</f>
        <v>0</v>
      </c>
      <c r="H566" s="177"/>
    </row>
    <row r="567" spans="1:8" ht="15.75" hidden="1" x14ac:dyDescent="0.25">
      <c r="A567" s="25" t="s">
        <v>290</v>
      </c>
      <c r="B567" s="16">
        <v>906</v>
      </c>
      <c r="C567" s="20" t="s">
        <v>280</v>
      </c>
      <c r="D567" s="20" t="s">
        <v>229</v>
      </c>
      <c r="E567" s="20" t="s">
        <v>457</v>
      </c>
      <c r="F567" s="20" t="s">
        <v>291</v>
      </c>
      <c r="G567" s="26">
        <v>0</v>
      </c>
      <c r="H567" s="177"/>
    </row>
    <row r="568" spans="1:8" ht="47.25" x14ac:dyDescent="0.25">
      <c r="A568" s="25" t="s">
        <v>294</v>
      </c>
      <c r="B568" s="16">
        <v>906</v>
      </c>
      <c r="C568" s="20" t="s">
        <v>280</v>
      </c>
      <c r="D568" s="20" t="s">
        <v>229</v>
      </c>
      <c r="E568" s="20" t="s">
        <v>458</v>
      </c>
      <c r="F568" s="20"/>
      <c r="G568" s="26">
        <f>G569</f>
        <v>3309</v>
      </c>
      <c r="H568" s="177"/>
    </row>
    <row r="569" spans="1:8" ht="47.25" x14ac:dyDescent="0.25">
      <c r="A569" s="25" t="s">
        <v>288</v>
      </c>
      <c r="B569" s="16">
        <v>906</v>
      </c>
      <c r="C569" s="20" t="s">
        <v>280</v>
      </c>
      <c r="D569" s="20" t="s">
        <v>229</v>
      </c>
      <c r="E569" s="20" t="s">
        <v>458</v>
      </c>
      <c r="F569" s="20" t="s">
        <v>289</v>
      </c>
      <c r="G569" s="26">
        <f>G570</f>
        <v>3309</v>
      </c>
      <c r="H569" s="177"/>
    </row>
    <row r="570" spans="1:8" ht="15.75" x14ac:dyDescent="0.25">
      <c r="A570" s="25" t="s">
        <v>290</v>
      </c>
      <c r="B570" s="16">
        <v>906</v>
      </c>
      <c r="C570" s="20" t="s">
        <v>280</v>
      </c>
      <c r="D570" s="20" t="s">
        <v>229</v>
      </c>
      <c r="E570" s="20" t="s">
        <v>458</v>
      </c>
      <c r="F570" s="20" t="s">
        <v>291</v>
      </c>
      <c r="G570" s="26">
        <f>341+2968</f>
        <v>3309</v>
      </c>
      <c r="H570" s="120"/>
    </row>
    <row r="571" spans="1:8" ht="31.5" hidden="1" x14ac:dyDescent="0.25">
      <c r="A571" s="25" t="s">
        <v>296</v>
      </c>
      <c r="B571" s="16">
        <v>906</v>
      </c>
      <c r="C571" s="20" t="s">
        <v>280</v>
      </c>
      <c r="D571" s="20" t="s">
        <v>229</v>
      </c>
      <c r="E571" s="20" t="s">
        <v>459</v>
      </c>
      <c r="F571" s="20"/>
      <c r="G571" s="26">
        <f>G572</f>
        <v>0</v>
      </c>
      <c r="H571" s="177"/>
    </row>
    <row r="572" spans="1:8" ht="47.25" hidden="1" x14ac:dyDescent="0.25">
      <c r="A572" s="25" t="s">
        <v>288</v>
      </c>
      <c r="B572" s="16">
        <v>906</v>
      </c>
      <c r="C572" s="20" t="s">
        <v>280</v>
      </c>
      <c r="D572" s="20" t="s">
        <v>229</v>
      </c>
      <c r="E572" s="20" t="s">
        <v>459</v>
      </c>
      <c r="F572" s="20" t="s">
        <v>289</v>
      </c>
      <c r="G572" s="26">
        <f>G573</f>
        <v>0</v>
      </c>
      <c r="H572" s="177"/>
    </row>
    <row r="573" spans="1:8" ht="15.75" hidden="1" x14ac:dyDescent="0.25">
      <c r="A573" s="25" t="s">
        <v>290</v>
      </c>
      <c r="B573" s="16">
        <v>906</v>
      </c>
      <c r="C573" s="20" t="s">
        <v>280</v>
      </c>
      <c r="D573" s="20" t="s">
        <v>229</v>
      </c>
      <c r="E573" s="20" t="s">
        <v>459</v>
      </c>
      <c r="F573" s="20" t="s">
        <v>291</v>
      </c>
      <c r="G573" s="26">
        <v>0</v>
      </c>
      <c r="H573" s="177"/>
    </row>
    <row r="574" spans="1:8" ht="47.25" x14ac:dyDescent="0.25">
      <c r="A574" s="25" t="s">
        <v>298</v>
      </c>
      <c r="B574" s="16">
        <v>906</v>
      </c>
      <c r="C574" s="20" t="s">
        <v>280</v>
      </c>
      <c r="D574" s="20" t="s">
        <v>229</v>
      </c>
      <c r="E574" s="20" t="s">
        <v>460</v>
      </c>
      <c r="F574" s="20"/>
      <c r="G574" s="26">
        <f>G575</f>
        <v>127</v>
      </c>
      <c r="H574" s="177"/>
    </row>
    <row r="575" spans="1:8" ht="47.25" x14ac:dyDescent="0.25">
      <c r="A575" s="25" t="s">
        <v>288</v>
      </c>
      <c r="B575" s="16">
        <v>906</v>
      </c>
      <c r="C575" s="20" t="s">
        <v>280</v>
      </c>
      <c r="D575" s="20" t="s">
        <v>229</v>
      </c>
      <c r="E575" s="20" t="s">
        <v>460</v>
      </c>
      <c r="F575" s="20" t="s">
        <v>289</v>
      </c>
      <c r="G575" s="26">
        <f>G576</f>
        <v>127</v>
      </c>
      <c r="H575" s="177"/>
    </row>
    <row r="576" spans="1:8" ht="15.75" x14ac:dyDescent="0.25">
      <c r="A576" s="25" t="s">
        <v>290</v>
      </c>
      <c r="B576" s="16">
        <v>906</v>
      </c>
      <c r="C576" s="20" t="s">
        <v>280</v>
      </c>
      <c r="D576" s="20" t="s">
        <v>229</v>
      </c>
      <c r="E576" s="20" t="s">
        <v>460</v>
      </c>
      <c r="F576" s="20" t="s">
        <v>291</v>
      </c>
      <c r="G576" s="26">
        <v>127</v>
      </c>
      <c r="H576" s="177"/>
    </row>
    <row r="577" spans="1:12" ht="31.5" x14ac:dyDescent="0.25">
      <c r="A577" s="25" t="s">
        <v>300</v>
      </c>
      <c r="B577" s="16">
        <v>906</v>
      </c>
      <c r="C577" s="20" t="s">
        <v>280</v>
      </c>
      <c r="D577" s="20" t="s">
        <v>229</v>
      </c>
      <c r="E577" s="20" t="s">
        <v>461</v>
      </c>
      <c r="F577" s="20"/>
      <c r="G577" s="26">
        <f>G578</f>
        <v>229.4</v>
      </c>
      <c r="H577" s="177"/>
    </row>
    <row r="578" spans="1:12" ht="47.25" x14ac:dyDescent="0.25">
      <c r="A578" s="25" t="s">
        <v>288</v>
      </c>
      <c r="B578" s="16">
        <v>906</v>
      </c>
      <c r="C578" s="20" t="s">
        <v>280</v>
      </c>
      <c r="D578" s="20" t="s">
        <v>229</v>
      </c>
      <c r="E578" s="20" t="s">
        <v>461</v>
      </c>
      <c r="F578" s="20" t="s">
        <v>289</v>
      </c>
      <c r="G578" s="26">
        <f>G579</f>
        <v>229.4</v>
      </c>
      <c r="H578" s="177"/>
    </row>
    <row r="579" spans="1:12" ht="15.75" x14ac:dyDescent="0.25">
      <c r="A579" s="25" t="s">
        <v>290</v>
      </c>
      <c r="B579" s="16">
        <v>906</v>
      </c>
      <c r="C579" s="20" t="s">
        <v>280</v>
      </c>
      <c r="D579" s="20" t="s">
        <v>229</v>
      </c>
      <c r="E579" s="20" t="s">
        <v>461</v>
      </c>
      <c r="F579" s="20" t="s">
        <v>291</v>
      </c>
      <c r="G579" s="26">
        <v>229.4</v>
      </c>
      <c r="H579" s="106"/>
      <c r="I579" s="124"/>
    </row>
    <row r="580" spans="1:12" ht="15.75" x14ac:dyDescent="0.25">
      <c r="A580" s="25" t="s">
        <v>137</v>
      </c>
      <c r="B580" s="16">
        <v>906</v>
      </c>
      <c r="C580" s="20" t="s">
        <v>280</v>
      </c>
      <c r="D580" s="20" t="s">
        <v>229</v>
      </c>
      <c r="E580" s="20" t="s">
        <v>138</v>
      </c>
      <c r="F580" s="20"/>
      <c r="G580" s="26">
        <f>G581</f>
        <v>89857.8</v>
      </c>
      <c r="H580" s="177"/>
    </row>
    <row r="581" spans="1:12" ht="31.5" x14ac:dyDescent="0.25">
      <c r="A581" s="25" t="s">
        <v>201</v>
      </c>
      <c r="B581" s="16">
        <v>906</v>
      </c>
      <c r="C581" s="20" t="s">
        <v>280</v>
      </c>
      <c r="D581" s="20" t="s">
        <v>229</v>
      </c>
      <c r="E581" s="20" t="s">
        <v>202</v>
      </c>
      <c r="F581" s="20"/>
      <c r="G581" s="26">
        <f>G588+G591+G597+G600+G603+G606+G582+G585+G609+G594</f>
        <v>89857.8</v>
      </c>
      <c r="H581" s="177"/>
    </row>
    <row r="582" spans="1:12" ht="47.25" hidden="1" x14ac:dyDescent="0.25">
      <c r="A582" s="25" t="s">
        <v>466</v>
      </c>
      <c r="B582" s="16">
        <v>906</v>
      </c>
      <c r="C582" s="20" t="s">
        <v>280</v>
      </c>
      <c r="D582" s="20" t="s">
        <v>229</v>
      </c>
      <c r="E582" s="20" t="s">
        <v>467</v>
      </c>
      <c r="F582" s="20"/>
      <c r="G582" s="26">
        <f>G583</f>
        <v>0</v>
      </c>
      <c r="H582" s="177"/>
    </row>
    <row r="583" spans="1:12" ht="47.25" hidden="1" x14ac:dyDescent="0.25">
      <c r="A583" s="25" t="s">
        <v>288</v>
      </c>
      <c r="B583" s="16">
        <v>906</v>
      </c>
      <c r="C583" s="20" t="s">
        <v>280</v>
      </c>
      <c r="D583" s="20" t="s">
        <v>229</v>
      </c>
      <c r="E583" s="20" t="s">
        <v>467</v>
      </c>
      <c r="F583" s="20" t="s">
        <v>289</v>
      </c>
      <c r="G583" s="26">
        <f>G584</f>
        <v>0</v>
      </c>
      <c r="H583" s="177"/>
    </row>
    <row r="584" spans="1:12" ht="15.75" hidden="1" x14ac:dyDescent="0.25">
      <c r="A584" s="25" t="s">
        <v>290</v>
      </c>
      <c r="B584" s="16">
        <v>906</v>
      </c>
      <c r="C584" s="20" t="s">
        <v>280</v>
      </c>
      <c r="D584" s="20" t="s">
        <v>229</v>
      </c>
      <c r="E584" s="20" t="s">
        <v>467</v>
      </c>
      <c r="F584" s="20" t="s">
        <v>291</v>
      </c>
      <c r="G584" s="26">
        <v>0</v>
      </c>
      <c r="H584" s="177"/>
    </row>
    <row r="585" spans="1:12" ht="15.75" hidden="1" x14ac:dyDescent="0.25">
      <c r="A585" s="25" t="s">
        <v>468</v>
      </c>
      <c r="B585" s="16">
        <v>906</v>
      </c>
      <c r="C585" s="20" t="s">
        <v>280</v>
      </c>
      <c r="D585" s="20" t="s">
        <v>229</v>
      </c>
      <c r="E585" s="20" t="s">
        <v>469</v>
      </c>
      <c r="F585" s="20"/>
      <c r="G585" s="26">
        <f>G586</f>
        <v>0</v>
      </c>
      <c r="H585" s="177"/>
    </row>
    <row r="586" spans="1:12" ht="47.25" hidden="1" x14ac:dyDescent="0.25">
      <c r="A586" s="25" t="s">
        <v>288</v>
      </c>
      <c r="B586" s="16">
        <v>906</v>
      </c>
      <c r="C586" s="20" t="s">
        <v>280</v>
      </c>
      <c r="D586" s="20" t="s">
        <v>229</v>
      </c>
      <c r="E586" s="20" t="s">
        <v>469</v>
      </c>
      <c r="F586" s="20" t="s">
        <v>289</v>
      </c>
      <c r="G586" s="26">
        <f>G587</f>
        <v>0</v>
      </c>
      <c r="H586" s="177"/>
    </row>
    <row r="587" spans="1:12" ht="15.75" hidden="1" x14ac:dyDescent="0.25">
      <c r="A587" s="25" t="s">
        <v>290</v>
      </c>
      <c r="B587" s="16">
        <v>906</v>
      </c>
      <c r="C587" s="20" t="s">
        <v>280</v>
      </c>
      <c r="D587" s="20" t="s">
        <v>229</v>
      </c>
      <c r="E587" s="20" t="s">
        <v>469</v>
      </c>
      <c r="F587" s="20" t="s">
        <v>291</v>
      </c>
      <c r="G587" s="27">
        <v>0</v>
      </c>
      <c r="H587" s="177"/>
    </row>
    <row r="588" spans="1:12" ht="31.5" hidden="1" x14ac:dyDescent="0.25">
      <c r="A588" s="25" t="s">
        <v>470</v>
      </c>
      <c r="B588" s="16">
        <v>906</v>
      </c>
      <c r="C588" s="20" t="s">
        <v>280</v>
      </c>
      <c r="D588" s="20" t="s">
        <v>229</v>
      </c>
      <c r="E588" s="20" t="s">
        <v>471</v>
      </c>
      <c r="F588" s="20"/>
      <c r="G588" s="26">
        <f>G589</f>
        <v>0</v>
      </c>
      <c r="H588" s="177"/>
    </row>
    <row r="589" spans="1:12" ht="47.25" hidden="1" x14ac:dyDescent="0.25">
      <c r="A589" s="25" t="s">
        <v>288</v>
      </c>
      <c r="B589" s="16">
        <v>906</v>
      </c>
      <c r="C589" s="20" t="s">
        <v>280</v>
      </c>
      <c r="D589" s="20" t="s">
        <v>229</v>
      </c>
      <c r="E589" s="20" t="s">
        <v>471</v>
      </c>
      <c r="F589" s="20" t="s">
        <v>289</v>
      </c>
      <c r="G589" s="26">
        <f>G590</f>
        <v>0</v>
      </c>
      <c r="H589" s="177"/>
    </row>
    <row r="590" spans="1:12" ht="15.75" hidden="1" x14ac:dyDescent="0.25">
      <c r="A590" s="25" t="s">
        <v>290</v>
      </c>
      <c r="B590" s="16">
        <v>906</v>
      </c>
      <c r="C590" s="20" t="s">
        <v>280</v>
      </c>
      <c r="D590" s="20" t="s">
        <v>229</v>
      </c>
      <c r="E590" s="20" t="s">
        <v>471</v>
      </c>
      <c r="F590" s="20" t="s">
        <v>291</v>
      </c>
      <c r="G590" s="26">
        <f>157.3-157.3</f>
        <v>0</v>
      </c>
      <c r="H590" s="177"/>
      <c r="I590" s="115"/>
    </row>
    <row r="591" spans="1:12" ht="31.5" x14ac:dyDescent="0.25">
      <c r="A591" s="25" t="s">
        <v>472</v>
      </c>
      <c r="B591" s="16">
        <v>906</v>
      </c>
      <c r="C591" s="20" t="s">
        <v>280</v>
      </c>
      <c r="D591" s="20" t="s">
        <v>229</v>
      </c>
      <c r="E591" s="20" t="s">
        <v>473</v>
      </c>
      <c r="F591" s="20"/>
      <c r="G591" s="26">
        <f>G592</f>
        <v>1293.5999999999999</v>
      </c>
      <c r="H591" s="177"/>
    </row>
    <row r="592" spans="1:12" ht="47.25" x14ac:dyDescent="0.25">
      <c r="A592" s="25" t="s">
        <v>288</v>
      </c>
      <c r="B592" s="16">
        <v>906</v>
      </c>
      <c r="C592" s="20" t="s">
        <v>280</v>
      </c>
      <c r="D592" s="20" t="s">
        <v>229</v>
      </c>
      <c r="E592" s="20" t="s">
        <v>473</v>
      </c>
      <c r="F592" s="20" t="s">
        <v>289</v>
      </c>
      <c r="G592" s="26">
        <f>G593</f>
        <v>1293.5999999999999</v>
      </c>
      <c r="H592" s="177"/>
      <c r="L592" s="116"/>
    </row>
    <row r="593" spans="1:9" ht="15.75" x14ac:dyDescent="0.25">
      <c r="A593" s="25" t="s">
        <v>290</v>
      </c>
      <c r="B593" s="16">
        <v>906</v>
      </c>
      <c r="C593" s="20" t="s">
        <v>280</v>
      </c>
      <c r="D593" s="20" t="s">
        <v>229</v>
      </c>
      <c r="E593" s="20" t="s">
        <v>473</v>
      </c>
      <c r="F593" s="20" t="s">
        <v>291</v>
      </c>
      <c r="G593" s="27">
        <f>1572.5-278.9</f>
        <v>1293.5999999999999</v>
      </c>
      <c r="H593" s="177"/>
      <c r="I593" s="115"/>
    </row>
    <row r="594" spans="1:9" ht="47.25" x14ac:dyDescent="0.25">
      <c r="A594" s="25" t="s">
        <v>474</v>
      </c>
      <c r="B594" s="16">
        <v>906</v>
      </c>
      <c r="C594" s="20" t="s">
        <v>280</v>
      </c>
      <c r="D594" s="20" t="s">
        <v>229</v>
      </c>
      <c r="E594" s="20" t="s">
        <v>475</v>
      </c>
      <c r="F594" s="20"/>
      <c r="G594" s="27">
        <f>G595</f>
        <v>488.7</v>
      </c>
      <c r="H594" s="177"/>
    </row>
    <row r="595" spans="1:9" ht="47.25" x14ac:dyDescent="0.25">
      <c r="A595" s="25" t="s">
        <v>288</v>
      </c>
      <c r="B595" s="16">
        <v>906</v>
      </c>
      <c r="C595" s="20" t="s">
        <v>280</v>
      </c>
      <c r="D595" s="20" t="s">
        <v>229</v>
      </c>
      <c r="E595" s="20" t="s">
        <v>475</v>
      </c>
      <c r="F595" s="20" t="s">
        <v>289</v>
      </c>
      <c r="G595" s="27">
        <f>G596</f>
        <v>488.7</v>
      </c>
      <c r="H595" s="177"/>
    </row>
    <row r="596" spans="1:9" ht="15.75" x14ac:dyDescent="0.25">
      <c r="A596" s="25" t="s">
        <v>290</v>
      </c>
      <c r="B596" s="16">
        <v>906</v>
      </c>
      <c r="C596" s="20" t="s">
        <v>280</v>
      </c>
      <c r="D596" s="20" t="s">
        <v>229</v>
      </c>
      <c r="E596" s="20" t="s">
        <v>475</v>
      </c>
      <c r="F596" s="20" t="s">
        <v>291</v>
      </c>
      <c r="G596" s="27">
        <f>733.5-244.8</f>
        <v>488.7</v>
      </c>
      <c r="H596" s="177"/>
      <c r="I596" s="115"/>
    </row>
    <row r="597" spans="1:9" ht="94.5" x14ac:dyDescent="0.25">
      <c r="A597" s="31" t="s">
        <v>476</v>
      </c>
      <c r="B597" s="16">
        <v>906</v>
      </c>
      <c r="C597" s="20" t="s">
        <v>280</v>
      </c>
      <c r="D597" s="20" t="s">
        <v>229</v>
      </c>
      <c r="E597" s="20" t="s">
        <v>477</v>
      </c>
      <c r="F597" s="20"/>
      <c r="G597" s="26">
        <f>G598</f>
        <v>79753.600000000006</v>
      </c>
      <c r="H597" s="177"/>
    </row>
    <row r="598" spans="1:9" ht="47.25" x14ac:dyDescent="0.25">
      <c r="A598" s="25" t="s">
        <v>288</v>
      </c>
      <c r="B598" s="16">
        <v>906</v>
      </c>
      <c r="C598" s="20" t="s">
        <v>280</v>
      </c>
      <c r="D598" s="20" t="s">
        <v>229</v>
      </c>
      <c r="E598" s="20" t="s">
        <v>477</v>
      </c>
      <c r="F598" s="20" t="s">
        <v>289</v>
      </c>
      <c r="G598" s="26">
        <f>G599</f>
        <v>79753.600000000006</v>
      </c>
      <c r="H598" s="177"/>
    </row>
    <row r="599" spans="1:9" ht="15.75" x14ac:dyDescent="0.25">
      <c r="A599" s="25" t="s">
        <v>290</v>
      </c>
      <c r="B599" s="16">
        <v>906</v>
      </c>
      <c r="C599" s="20" t="s">
        <v>280</v>
      </c>
      <c r="D599" s="20" t="s">
        <v>229</v>
      </c>
      <c r="E599" s="20" t="s">
        <v>477</v>
      </c>
      <c r="F599" s="20" t="s">
        <v>291</v>
      </c>
      <c r="G599" s="27">
        <f>93568.6-13815</f>
        <v>79753.600000000006</v>
      </c>
      <c r="H599" s="177"/>
      <c r="I599" s="115"/>
    </row>
    <row r="600" spans="1:9" ht="63" x14ac:dyDescent="0.25">
      <c r="A600" s="31" t="s">
        <v>305</v>
      </c>
      <c r="B600" s="16">
        <v>906</v>
      </c>
      <c r="C600" s="20" t="s">
        <v>280</v>
      </c>
      <c r="D600" s="20" t="s">
        <v>229</v>
      </c>
      <c r="E600" s="20" t="s">
        <v>306</v>
      </c>
      <c r="F600" s="20"/>
      <c r="G600" s="26">
        <f>G601</f>
        <v>910.90000000000009</v>
      </c>
      <c r="H600" s="177"/>
    </row>
    <row r="601" spans="1:9" ht="47.25" x14ac:dyDescent="0.25">
      <c r="A601" s="25" t="s">
        <v>288</v>
      </c>
      <c r="B601" s="16">
        <v>906</v>
      </c>
      <c r="C601" s="20" t="s">
        <v>280</v>
      </c>
      <c r="D601" s="20" t="s">
        <v>229</v>
      </c>
      <c r="E601" s="20" t="s">
        <v>306</v>
      </c>
      <c r="F601" s="20" t="s">
        <v>289</v>
      </c>
      <c r="G601" s="26">
        <f>G602</f>
        <v>910.90000000000009</v>
      </c>
      <c r="H601" s="177"/>
    </row>
    <row r="602" spans="1:9" ht="15.75" x14ac:dyDescent="0.25">
      <c r="A602" s="25" t="s">
        <v>290</v>
      </c>
      <c r="B602" s="16">
        <v>906</v>
      </c>
      <c r="C602" s="20" t="s">
        <v>280</v>
      </c>
      <c r="D602" s="20" t="s">
        <v>229</v>
      </c>
      <c r="E602" s="20" t="s">
        <v>306</v>
      </c>
      <c r="F602" s="20" t="s">
        <v>291</v>
      </c>
      <c r="G602" s="27">
        <f>1101.7-190.8</f>
        <v>910.90000000000009</v>
      </c>
      <c r="H602" s="177"/>
      <c r="I602" s="115"/>
    </row>
    <row r="603" spans="1:9" ht="78.75" x14ac:dyDescent="0.25">
      <c r="A603" s="31" t="s">
        <v>307</v>
      </c>
      <c r="B603" s="16">
        <v>906</v>
      </c>
      <c r="C603" s="20" t="s">
        <v>280</v>
      </c>
      <c r="D603" s="20" t="s">
        <v>229</v>
      </c>
      <c r="E603" s="20" t="s">
        <v>308</v>
      </c>
      <c r="F603" s="20"/>
      <c r="G603" s="26">
        <f>G604</f>
        <v>2155.5</v>
      </c>
      <c r="H603" s="177"/>
    </row>
    <row r="604" spans="1:9" ht="47.25" x14ac:dyDescent="0.25">
      <c r="A604" s="25" t="s">
        <v>288</v>
      </c>
      <c r="B604" s="16">
        <v>906</v>
      </c>
      <c r="C604" s="20" t="s">
        <v>280</v>
      </c>
      <c r="D604" s="20" t="s">
        <v>229</v>
      </c>
      <c r="E604" s="20" t="s">
        <v>308</v>
      </c>
      <c r="F604" s="20" t="s">
        <v>289</v>
      </c>
      <c r="G604" s="26">
        <f>G605</f>
        <v>2155.5</v>
      </c>
      <c r="H604" s="177"/>
    </row>
    <row r="605" spans="1:9" ht="15.75" x14ac:dyDescent="0.25">
      <c r="A605" s="25" t="s">
        <v>290</v>
      </c>
      <c r="B605" s="16">
        <v>906</v>
      </c>
      <c r="C605" s="20" t="s">
        <v>280</v>
      </c>
      <c r="D605" s="20" t="s">
        <v>229</v>
      </c>
      <c r="E605" s="20" t="s">
        <v>308</v>
      </c>
      <c r="F605" s="20" t="s">
        <v>291</v>
      </c>
      <c r="G605" s="27">
        <f>2823.2-667.7</f>
        <v>2155.5</v>
      </c>
      <c r="H605" s="177"/>
      <c r="I605" s="115"/>
    </row>
    <row r="606" spans="1:9" ht="47.25" x14ac:dyDescent="0.25">
      <c r="A606" s="31" t="s">
        <v>478</v>
      </c>
      <c r="B606" s="16">
        <v>906</v>
      </c>
      <c r="C606" s="20" t="s">
        <v>280</v>
      </c>
      <c r="D606" s="20" t="s">
        <v>229</v>
      </c>
      <c r="E606" s="20" t="s">
        <v>479</v>
      </c>
      <c r="F606" s="20"/>
      <c r="G606" s="26">
        <f>G607</f>
        <v>886.5</v>
      </c>
      <c r="H606" s="177"/>
    </row>
    <row r="607" spans="1:9" ht="47.25" x14ac:dyDescent="0.25">
      <c r="A607" s="25" t="s">
        <v>288</v>
      </c>
      <c r="B607" s="16">
        <v>906</v>
      </c>
      <c r="C607" s="20" t="s">
        <v>280</v>
      </c>
      <c r="D607" s="20" t="s">
        <v>229</v>
      </c>
      <c r="E607" s="20" t="s">
        <v>479</v>
      </c>
      <c r="F607" s="20" t="s">
        <v>289</v>
      </c>
      <c r="G607" s="26">
        <f>G608</f>
        <v>886.5</v>
      </c>
      <c r="H607" s="177"/>
    </row>
    <row r="608" spans="1:9" ht="15.75" x14ac:dyDescent="0.25">
      <c r="A608" s="25" t="s">
        <v>290</v>
      </c>
      <c r="B608" s="16">
        <v>906</v>
      </c>
      <c r="C608" s="20" t="s">
        <v>280</v>
      </c>
      <c r="D608" s="20" t="s">
        <v>229</v>
      </c>
      <c r="E608" s="20" t="s">
        <v>479</v>
      </c>
      <c r="F608" s="20" t="s">
        <v>291</v>
      </c>
      <c r="G608" s="27">
        <f>998.4-111.9</f>
        <v>886.5</v>
      </c>
      <c r="H608" s="177"/>
      <c r="I608" s="115"/>
    </row>
    <row r="609" spans="1:9" ht="110.25" x14ac:dyDescent="0.25">
      <c r="A609" s="31" t="s">
        <v>480</v>
      </c>
      <c r="B609" s="16">
        <v>906</v>
      </c>
      <c r="C609" s="20" t="s">
        <v>280</v>
      </c>
      <c r="D609" s="20" t="s">
        <v>229</v>
      </c>
      <c r="E609" s="20" t="s">
        <v>310</v>
      </c>
      <c r="F609" s="20"/>
      <c r="G609" s="26">
        <f>G610</f>
        <v>4369</v>
      </c>
      <c r="H609" s="177"/>
    </row>
    <row r="610" spans="1:9" ht="47.25" x14ac:dyDescent="0.25">
      <c r="A610" s="25" t="s">
        <v>288</v>
      </c>
      <c r="B610" s="16">
        <v>906</v>
      </c>
      <c r="C610" s="20" t="s">
        <v>280</v>
      </c>
      <c r="D610" s="20" t="s">
        <v>229</v>
      </c>
      <c r="E610" s="20" t="s">
        <v>310</v>
      </c>
      <c r="F610" s="20" t="s">
        <v>289</v>
      </c>
      <c r="G610" s="26">
        <f>G611</f>
        <v>4369</v>
      </c>
      <c r="H610" s="177"/>
    </row>
    <row r="611" spans="1:9" ht="15.75" x14ac:dyDescent="0.25">
      <c r="A611" s="25" t="s">
        <v>290</v>
      </c>
      <c r="B611" s="16">
        <v>906</v>
      </c>
      <c r="C611" s="20" t="s">
        <v>280</v>
      </c>
      <c r="D611" s="20" t="s">
        <v>229</v>
      </c>
      <c r="E611" s="20" t="s">
        <v>310</v>
      </c>
      <c r="F611" s="20" t="s">
        <v>291</v>
      </c>
      <c r="G611" s="27">
        <f>5441.9-1072.9</f>
        <v>4369</v>
      </c>
      <c r="H611" s="177"/>
      <c r="I611" s="115"/>
    </row>
    <row r="612" spans="1:9" ht="15.75" x14ac:dyDescent="0.25">
      <c r="A612" s="23" t="s">
        <v>281</v>
      </c>
      <c r="B612" s="19">
        <v>906</v>
      </c>
      <c r="C612" s="24" t="s">
        <v>280</v>
      </c>
      <c r="D612" s="24" t="s">
        <v>231</v>
      </c>
      <c r="E612" s="24"/>
      <c r="F612" s="24"/>
      <c r="G612" s="44">
        <f>G613+G622</f>
        <v>23062.100000000002</v>
      </c>
      <c r="H612" s="177"/>
      <c r="I612" s="115"/>
    </row>
    <row r="613" spans="1:9" ht="47.25" x14ac:dyDescent="0.25">
      <c r="A613" s="25" t="s">
        <v>442</v>
      </c>
      <c r="B613" s="16">
        <v>906</v>
      </c>
      <c r="C613" s="20" t="s">
        <v>280</v>
      </c>
      <c r="D613" s="20" t="s">
        <v>231</v>
      </c>
      <c r="E613" s="20" t="s">
        <v>422</v>
      </c>
      <c r="F613" s="20"/>
      <c r="G613" s="27">
        <f>G614+G620</f>
        <v>21479.9</v>
      </c>
      <c r="H613" s="177"/>
      <c r="I613" s="115"/>
    </row>
    <row r="614" spans="1:9" ht="47.25" x14ac:dyDescent="0.25">
      <c r="A614" s="25" t="s">
        <v>423</v>
      </c>
      <c r="B614" s="16">
        <v>906</v>
      </c>
      <c r="C614" s="20" t="s">
        <v>280</v>
      </c>
      <c r="D614" s="20" t="s">
        <v>231</v>
      </c>
      <c r="E614" s="20" t="s">
        <v>424</v>
      </c>
      <c r="F614" s="20"/>
      <c r="G614" s="27">
        <f>G615</f>
        <v>21124</v>
      </c>
      <c r="H614" s="177"/>
      <c r="I614" s="115"/>
    </row>
    <row r="615" spans="1:9" ht="47.25" x14ac:dyDescent="0.25">
      <c r="A615" s="25" t="s">
        <v>286</v>
      </c>
      <c r="B615" s="16">
        <v>906</v>
      </c>
      <c r="C615" s="20" t="s">
        <v>280</v>
      </c>
      <c r="D615" s="20" t="s">
        <v>231</v>
      </c>
      <c r="E615" s="20" t="s">
        <v>445</v>
      </c>
      <c r="F615" s="20"/>
      <c r="G615" s="27">
        <f>G616</f>
        <v>21124</v>
      </c>
      <c r="H615" s="177"/>
      <c r="I615" s="115"/>
    </row>
    <row r="616" spans="1:9" ht="47.25" x14ac:dyDescent="0.25">
      <c r="A616" s="25" t="s">
        <v>288</v>
      </c>
      <c r="B616" s="16">
        <v>906</v>
      </c>
      <c r="C616" s="20" t="s">
        <v>280</v>
      </c>
      <c r="D616" s="20" t="s">
        <v>231</v>
      </c>
      <c r="E616" s="20" t="s">
        <v>445</v>
      </c>
      <c r="F616" s="20" t="s">
        <v>289</v>
      </c>
      <c r="G616" s="27">
        <f>G617</f>
        <v>21124</v>
      </c>
      <c r="H616" s="177"/>
      <c r="I616" s="115"/>
    </row>
    <row r="617" spans="1:9" ht="15.75" x14ac:dyDescent="0.25">
      <c r="A617" s="25" t="s">
        <v>290</v>
      </c>
      <c r="B617" s="16">
        <v>906</v>
      </c>
      <c r="C617" s="20" t="s">
        <v>280</v>
      </c>
      <c r="D617" s="20" t="s">
        <v>231</v>
      </c>
      <c r="E617" s="20" t="s">
        <v>445</v>
      </c>
      <c r="F617" s="20" t="s">
        <v>291</v>
      </c>
      <c r="G617" s="27">
        <f>21044+80</f>
        <v>21124</v>
      </c>
      <c r="H617" s="106"/>
      <c r="I617" s="125"/>
    </row>
    <row r="618" spans="1:9" ht="47.25" x14ac:dyDescent="0.25">
      <c r="A618" s="31" t="s">
        <v>721</v>
      </c>
      <c r="B618" s="16">
        <v>906</v>
      </c>
      <c r="C618" s="20" t="s">
        <v>280</v>
      </c>
      <c r="D618" s="20" t="s">
        <v>231</v>
      </c>
      <c r="E618" s="20" t="s">
        <v>463</v>
      </c>
      <c r="F618" s="20"/>
      <c r="G618" s="27">
        <f>G619</f>
        <v>355.9</v>
      </c>
      <c r="H618" s="177"/>
      <c r="I618" s="115"/>
    </row>
    <row r="619" spans="1:9" ht="31.5" x14ac:dyDescent="0.25">
      <c r="A619" s="45" t="s">
        <v>722</v>
      </c>
      <c r="B619" s="16">
        <v>906</v>
      </c>
      <c r="C619" s="20" t="s">
        <v>280</v>
      </c>
      <c r="D619" s="20" t="s">
        <v>231</v>
      </c>
      <c r="E619" s="20" t="s">
        <v>723</v>
      </c>
      <c r="F619" s="20"/>
      <c r="G619" s="27">
        <f>G620</f>
        <v>355.9</v>
      </c>
      <c r="H619" s="177"/>
      <c r="I619" s="115"/>
    </row>
    <row r="620" spans="1:9" ht="47.25" x14ac:dyDescent="0.25">
      <c r="A620" s="31" t="s">
        <v>288</v>
      </c>
      <c r="B620" s="16">
        <v>906</v>
      </c>
      <c r="C620" s="20" t="s">
        <v>280</v>
      </c>
      <c r="D620" s="20" t="s">
        <v>231</v>
      </c>
      <c r="E620" s="20" t="s">
        <v>723</v>
      </c>
      <c r="F620" s="20" t="s">
        <v>289</v>
      </c>
      <c r="G620" s="27">
        <f>G621</f>
        <v>355.9</v>
      </c>
      <c r="H620" s="106"/>
      <c r="I620" s="115"/>
    </row>
    <row r="621" spans="1:9" ht="15.75" x14ac:dyDescent="0.25">
      <c r="A621" s="31" t="s">
        <v>290</v>
      </c>
      <c r="B621" s="16">
        <v>906</v>
      </c>
      <c r="C621" s="20" t="s">
        <v>280</v>
      </c>
      <c r="D621" s="20" t="s">
        <v>231</v>
      </c>
      <c r="E621" s="20" t="s">
        <v>723</v>
      </c>
      <c r="F621" s="20" t="s">
        <v>291</v>
      </c>
      <c r="G621" s="27">
        <v>355.9</v>
      </c>
      <c r="H621" s="177"/>
      <c r="I621" s="115"/>
    </row>
    <row r="622" spans="1:9" ht="15.75" x14ac:dyDescent="0.25">
      <c r="A622" s="25" t="s">
        <v>481</v>
      </c>
      <c r="B622" s="16">
        <v>906</v>
      </c>
      <c r="C622" s="20" t="s">
        <v>280</v>
      </c>
      <c r="D622" s="20" t="s">
        <v>231</v>
      </c>
      <c r="E622" s="20" t="s">
        <v>138</v>
      </c>
      <c r="F622" s="20"/>
      <c r="G622" s="27">
        <f>G623</f>
        <v>1582.2</v>
      </c>
      <c r="H622" s="177"/>
      <c r="I622" s="115"/>
    </row>
    <row r="623" spans="1:9" ht="31.5" x14ac:dyDescent="0.25">
      <c r="A623" s="25" t="s">
        <v>201</v>
      </c>
      <c r="B623" s="16">
        <v>906</v>
      </c>
      <c r="C623" s="20" t="s">
        <v>280</v>
      </c>
      <c r="D623" s="20" t="s">
        <v>231</v>
      </c>
      <c r="E623" s="20" t="s">
        <v>202</v>
      </c>
      <c r="F623" s="20"/>
      <c r="G623" s="27">
        <f>G624+G627+G630</f>
        <v>1582.2</v>
      </c>
      <c r="H623" s="177"/>
      <c r="I623" s="115"/>
    </row>
    <row r="624" spans="1:9" ht="63" x14ac:dyDescent="0.25">
      <c r="A624" s="31" t="s">
        <v>305</v>
      </c>
      <c r="B624" s="16">
        <v>906</v>
      </c>
      <c r="C624" s="20" t="s">
        <v>280</v>
      </c>
      <c r="D624" s="20" t="s">
        <v>231</v>
      </c>
      <c r="E624" s="20" t="s">
        <v>306</v>
      </c>
      <c r="F624" s="20"/>
      <c r="G624" s="27">
        <f>G625</f>
        <v>110</v>
      </c>
      <c r="H624" s="177"/>
      <c r="I624" s="115"/>
    </row>
    <row r="625" spans="1:9" ht="47.25" x14ac:dyDescent="0.25">
      <c r="A625" s="25" t="s">
        <v>288</v>
      </c>
      <c r="B625" s="16">
        <v>906</v>
      </c>
      <c r="C625" s="20" t="s">
        <v>280</v>
      </c>
      <c r="D625" s="20" t="s">
        <v>231</v>
      </c>
      <c r="E625" s="20" t="s">
        <v>306</v>
      </c>
      <c r="F625" s="20" t="s">
        <v>289</v>
      </c>
      <c r="G625" s="27">
        <f>G626</f>
        <v>110</v>
      </c>
      <c r="H625" s="177"/>
      <c r="I625" s="115"/>
    </row>
    <row r="626" spans="1:9" ht="15.75" x14ac:dyDescent="0.25">
      <c r="A626" s="25" t="s">
        <v>290</v>
      </c>
      <c r="B626" s="16">
        <v>906</v>
      </c>
      <c r="C626" s="20" t="s">
        <v>280</v>
      </c>
      <c r="D626" s="20" t="s">
        <v>231</v>
      </c>
      <c r="E626" s="20" t="s">
        <v>306</v>
      </c>
      <c r="F626" s="20" t="s">
        <v>291</v>
      </c>
      <c r="G626" s="27">
        <v>110</v>
      </c>
      <c r="H626" s="177"/>
      <c r="I626" s="115"/>
    </row>
    <row r="627" spans="1:9" ht="78.75" x14ac:dyDescent="0.25">
      <c r="A627" s="31" t="s">
        <v>307</v>
      </c>
      <c r="B627" s="16">
        <v>906</v>
      </c>
      <c r="C627" s="20" t="s">
        <v>280</v>
      </c>
      <c r="D627" s="20" t="s">
        <v>231</v>
      </c>
      <c r="E627" s="20" t="s">
        <v>308</v>
      </c>
      <c r="F627" s="20"/>
      <c r="G627" s="27">
        <f>G628</f>
        <v>572.20000000000005</v>
      </c>
      <c r="H627" s="177"/>
      <c r="I627" s="115"/>
    </row>
    <row r="628" spans="1:9" ht="47.25" x14ac:dyDescent="0.25">
      <c r="A628" s="25" t="s">
        <v>288</v>
      </c>
      <c r="B628" s="16">
        <v>906</v>
      </c>
      <c r="C628" s="20" t="s">
        <v>280</v>
      </c>
      <c r="D628" s="20" t="s">
        <v>231</v>
      </c>
      <c r="E628" s="20" t="s">
        <v>308</v>
      </c>
      <c r="F628" s="20" t="s">
        <v>289</v>
      </c>
      <c r="G628" s="27">
        <f>G629</f>
        <v>572.20000000000005</v>
      </c>
      <c r="H628" s="177"/>
      <c r="I628" s="115"/>
    </row>
    <row r="629" spans="1:9" ht="15.75" x14ac:dyDescent="0.25">
      <c r="A629" s="25" t="s">
        <v>290</v>
      </c>
      <c r="B629" s="16">
        <v>906</v>
      </c>
      <c r="C629" s="20" t="s">
        <v>280</v>
      </c>
      <c r="D629" s="20" t="s">
        <v>231</v>
      </c>
      <c r="E629" s="20" t="s">
        <v>308</v>
      </c>
      <c r="F629" s="20" t="s">
        <v>291</v>
      </c>
      <c r="G629" s="27">
        <v>572.20000000000005</v>
      </c>
      <c r="H629" s="177"/>
      <c r="I629" s="115"/>
    </row>
    <row r="630" spans="1:9" ht="110.25" x14ac:dyDescent="0.25">
      <c r="A630" s="31" t="s">
        <v>309</v>
      </c>
      <c r="B630" s="16">
        <v>906</v>
      </c>
      <c r="C630" s="20" t="s">
        <v>280</v>
      </c>
      <c r="D630" s="20" t="s">
        <v>231</v>
      </c>
      <c r="E630" s="20" t="s">
        <v>310</v>
      </c>
      <c r="F630" s="20"/>
      <c r="G630" s="27">
        <f>G631</f>
        <v>900</v>
      </c>
      <c r="H630" s="177"/>
      <c r="I630" s="115"/>
    </row>
    <row r="631" spans="1:9" ht="47.25" x14ac:dyDescent="0.25">
      <c r="A631" s="25" t="s">
        <v>288</v>
      </c>
      <c r="B631" s="16">
        <v>906</v>
      </c>
      <c r="C631" s="20" t="s">
        <v>280</v>
      </c>
      <c r="D631" s="20" t="s">
        <v>231</v>
      </c>
      <c r="E631" s="20" t="s">
        <v>310</v>
      </c>
      <c r="F631" s="20" t="s">
        <v>289</v>
      </c>
      <c r="G631" s="27">
        <f>G632</f>
        <v>900</v>
      </c>
      <c r="H631" s="177"/>
      <c r="I631" s="115"/>
    </row>
    <row r="632" spans="1:9" ht="15.75" x14ac:dyDescent="0.25">
      <c r="A632" s="25" t="s">
        <v>290</v>
      </c>
      <c r="B632" s="16">
        <v>906</v>
      </c>
      <c r="C632" s="20" t="s">
        <v>280</v>
      </c>
      <c r="D632" s="20" t="s">
        <v>231</v>
      </c>
      <c r="E632" s="20" t="s">
        <v>310</v>
      </c>
      <c r="F632" s="20" t="s">
        <v>291</v>
      </c>
      <c r="G632" s="27">
        <v>900</v>
      </c>
      <c r="H632" s="177"/>
      <c r="I632" s="115"/>
    </row>
    <row r="633" spans="1:9" ht="31.5" x14ac:dyDescent="0.25">
      <c r="A633" s="23" t="s">
        <v>482</v>
      </c>
      <c r="B633" s="19">
        <v>906</v>
      </c>
      <c r="C633" s="24" t="s">
        <v>280</v>
      </c>
      <c r="D633" s="24" t="s">
        <v>280</v>
      </c>
      <c r="E633" s="24"/>
      <c r="F633" s="24"/>
      <c r="G633" s="21">
        <f>G634+G639</f>
        <v>4788.6000000000004</v>
      </c>
      <c r="H633" s="177"/>
    </row>
    <row r="634" spans="1:9" ht="47.25" x14ac:dyDescent="0.25">
      <c r="A634" s="25" t="s">
        <v>442</v>
      </c>
      <c r="B634" s="16">
        <v>906</v>
      </c>
      <c r="C634" s="20" t="s">
        <v>280</v>
      </c>
      <c r="D634" s="20" t="s">
        <v>280</v>
      </c>
      <c r="E634" s="20" t="s">
        <v>422</v>
      </c>
      <c r="F634" s="20"/>
      <c r="G634" s="26">
        <f>G635</f>
        <v>3484.8</v>
      </c>
      <c r="H634" s="177"/>
    </row>
    <row r="635" spans="1:9" ht="31.5" x14ac:dyDescent="0.25">
      <c r="A635" s="25" t="s">
        <v>483</v>
      </c>
      <c r="B635" s="16">
        <v>906</v>
      </c>
      <c r="C635" s="20" t="s">
        <v>280</v>
      </c>
      <c r="D635" s="20" t="s">
        <v>484</v>
      </c>
      <c r="E635" s="20" t="s">
        <v>485</v>
      </c>
      <c r="F635" s="20"/>
      <c r="G635" s="26">
        <f>G636</f>
        <v>3484.8</v>
      </c>
      <c r="H635" s="177"/>
    </row>
    <row r="636" spans="1:9" ht="47.25" x14ac:dyDescent="0.25">
      <c r="A636" s="25" t="s">
        <v>486</v>
      </c>
      <c r="B636" s="16">
        <v>906</v>
      </c>
      <c r="C636" s="20" t="s">
        <v>280</v>
      </c>
      <c r="D636" s="20" t="s">
        <v>280</v>
      </c>
      <c r="E636" s="20" t="s">
        <v>487</v>
      </c>
      <c r="F636" s="20"/>
      <c r="G636" s="26">
        <f>G637</f>
        <v>3484.8</v>
      </c>
      <c r="H636" s="177"/>
    </row>
    <row r="637" spans="1:9" ht="47.25" x14ac:dyDescent="0.25">
      <c r="A637" s="25" t="s">
        <v>288</v>
      </c>
      <c r="B637" s="16">
        <v>906</v>
      </c>
      <c r="C637" s="20" t="s">
        <v>280</v>
      </c>
      <c r="D637" s="20" t="s">
        <v>280</v>
      </c>
      <c r="E637" s="20" t="s">
        <v>487</v>
      </c>
      <c r="F637" s="20" t="s">
        <v>289</v>
      </c>
      <c r="G637" s="26">
        <f t="shared" ref="G637:G642" si="3">G638</f>
        <v>3484.8</v>
      </c>
      <c r="H637" s="177"/>
    </row>
    <row r="638" spans="1:9" ht="15.75" x14ac:dyDescent="0.25">
      <c r="A638" s="25" t="s">
        <v>290</v>
      </c>
      <c r="B638" s="16">
        <v>906</v>
      </c>
      <c r="C638" s="20" t="s">
        <v>280</v>
      </c>
      <c r="D638" s="20" t="s">
        <v>280</v>
      </c>
      <c r="E638" s="20" t="s">
        <v>487</v>
      </c>
      <c r="F638" s="20" t="s">
        <v>291</v>
      </c>
      <c r="G638" s="27">
        <v>3484.8</v>
      </c>
      <c r="H638" s="177"/>
    </row>
    <row r="639" spans="1:9" ht="15.75" x14ac:dyDescent="0.25">
      <c r="A639" s="25" t="s">
        <v>137</v>
      </c>
      <c r="B639" s="16">
        <v>906</v>
      </c>
      <c r="C639" s="20" t="s">
        <v>280</v>
      </c>
      <c r="D639" s="20" t="s">
        <v>280</v>
      </c>
      <c r="E639" s="20" t="s">
        <v>138</v>
      </c>
      <c r="F639" s="20"/>
      <c r="G639" s="26">
        <f>G640</f>
        <v>1303.8000000000002</v>
      </c>
      <c r="H639" s="177"/>
    </row>
    <row r="640" spans="1:9" ht="31.5" x14ac:dyDescent="0.25">
      <c r="A640" s="25" t="s">
        <v>201</v>
      </c>
      <c r="B640" s="16">
        <v>906</v>
      </c>
      <c r="C640" s="20" t="s">
        <v>280</v>
      </c>
      <c r="D640" s="20" t="s">
        <v>280</v>
      </c>
      <c r="E640" s="20" t="s">
        <v>202</v>
      </c>
      <c r="F640" s="20"/>
      <c r="G640" s="26">
        <f>G642</f>
        <v>1303.8000000000002</v>
      </c>
      <c r="H640" s="177"/>
    </row>
    <row r="641" spans="1:9" ht="63" hidden="1" x14ac:dyDescent="0.25">
      <c r="A641" s="25" t="s">
        <v>488</v>
      </c>
      <c r="B641" s="16">
        <v>906</v>
      </c>
      <c r="C641" s="20" t="s">
        <v>280</v>
      </c>
      <c r="D641" s="20" t="s">
        <v>280</v>
      </c>
      <c r="E641" s="20" t="s">
        <v>489</v>
      </c>
      <c r="F641" s="20"/>
      <c r="G641" s="26">
        <f t="shared" si="3"/>
        <v>1303.8000000000002</v>
      </c>
      <c r="H641" s="177"/>
    </row>
    <row r="642" spans="1:9" ht="31.5" x14ac:dyDescent="0.25">
      <c r="A642" s="31" t="s">
        <v>490</v>
      </c>
      <c r="B642" s="16">
        <v>906</v>
      </c>
      <c r="C642" s="20" t="s">
        <v>280</v>
      </c>
      <c r="D642" s="20" t="s">
        <v>280</v>
      </c>
      <c r="E642" s="20" t="s">
        <v>491</v>
      </c>
      <c r="F642" s="20"/>
      <c r="G642" s="26">
        <f t="shared" si="3"/>
        <v>1303.8000000000002</v>
      </c>
      <c r="H642" s="177"/>
    </row>
    <row r="643" spans="1:9" ht="47.25" x14ac:dyDescent="0.25">
      <c r="A643" s="25" t="s">
        <v>288</v>
      </c>
      <c r="B643" s="16">
        <v>906</v>
      </c>
      <c r="C643" s="20" t="s">
        <v>280</v>
      </c>
      <c r="D643" s="20" t="s">
        <v>280</v>
      </c>
      <c r="E643" s="20" t="s">
        <v>491</v>
      </c>
      <c r="F643" s="20" t="s">
        <v>289</v>
      </c>
      <c r="G643" s="26">
        <f>G644</f>
        <v>1303.8000000000002</v>
      </c>
      <c r="H643" s="177"/>
    </row>
    <row r="644" spans="1:9" ht="15.75" x14ac:dyDescent="0.25">
      <c r="A644" s="25" t="s">
        <v>290</v>
      </c>
      <c r="B644" s="16">
        <v>906</v>
      </c>
      <c r="C644" s="20" t="s">
        <v>280</v>
      </c>
      <c r="D644" s="20" t="s">
        <v>280</v>
      </c>
      <c r="E644" s="20" t="s">
        <v>491</v>
      </c>
      <c r="F644" s="20" t="s">
        <v>291</v>
      </c>
      <c r="G644" s="27">
        <f>1660.4-356.6</f>
        <v>1303.8000000000002</v>
      </c>
      <c r="H644" s="177"/>
      <c r="I644" s="115"/>
    </row>
    <row r="645" spans="1:9" ht="15.75" x14ac:dyDescent="0.25">
      <c r="A645" s="23" t="s">
        <v>311</v>
      </c>
      <c r="B645" s="19">
        <v>906</v>
      </c>
      <c r="C645" s="24" t="s">
        <v>280</v>
      </c>
      <c r="D645" s="24" t="s">
        <v>235</v>
      </c>
      <c r="E645" s="24"/>
      <c r="F645" s="24"/>
      <c r="G645" s="21">
        <f>G646+G655</f>
        <v>18322.300000000003</v>
      </c>
      <c r="H645" s="177"/>
    </row>
    <row r="646" spans="1:9" ht="47.25" x14ac:dyDescent="0.25">
      <c r="A646" s="25" t="s">
        <v>350</v>
      </c>
      <c r="B646" s="16">
        <v>906</v>
      </c>
      <c r="C646" s="20" t="s">
        <v>280</v>
      </c>
      <c r="D646" s="20" t="s">
        <v>235</v>
      </c>
      <c r="E646" s="20" t="s">
        <v>351</v>
      </c>
      <c r="F646" s="20"/>
      <c r="G646" s="26">
        <f>G647+G650</f>
        <v>20</v>
      </c>
      <c r="H646" s="177"/>
      <c r="I646" s="115"/>
    </row>
    <row r="647" spans="1:9" ht="31.5" hidden="1" x14ac:dyDescent="0.25">
      <c r="A647" s="25" t="s">
        <v>352</v>
      </c>
      <c r="B647" s="16">
        <v>906</v>
      </c>
      <c r="C647" s="20" t="s">
        <v>280</v>
      </c>
      <c r="D647" s="20" t="s">
        <v>235</v>
      </c>
      <c r="E647" s="20" t="s">
        <v>353</v>
      </c>
      <c r="F647" s="20"/>
      <c r="G647" s="26">
        <f>G648</f>
        <v>0</v>
      </c>
      <c r="H647" s="177"/>
    </row>
    <row r="648" spans="1:9" ht="31.5" hidden="1" x14ac:dyDescent="0.25">
      <c r="A648" s="25" t="s">
        <v>147</v>
      </c>
      <c r="B648" s="16">
        <v>906</v>
      </c>
      <c r="C648" s="20" t="s">
        <v>280</v>
      </c>
      <c r="D648" s="20" t="s">
        <v>235</v>
      </c>
      <c r="E648" s="20" t="s">
        <v>353</v>
      </c>
      <c r="F648" s="20" t="s">
        <v>148</v>
      </c>
      <c r="G648" s="26">
        <f>G649</f>
        <v>0</v>
      </c>
      <c r="H648" s="177"/>
    </row>
    <row r="649" spans="1:9" ht="47.25" hidden="1" x14ac:dyDescent="0.25">
      <c r="A649" s="25" t="s">
        <v>149</v>
      </c>
      <c r="B649" s="16">
        <v>906</v>
      </c>
      <c r="C649" s="20" t="s">
        <v>280</v>
      </c>
      <c r="D649" s="20" t="s">
        <v>235</v>
      </c>
      <c r="E649" s="20" t="s">
        <v>353</v>
      </c>
      <c r="F649" s="20" t="s">
        <v>150</v>
      </c>
      <c r="G649" s="26">
        <f>50-50</f>
        <v>0</v>
      </c>
      <c r="H649" s="106"/>
      <c r="I649" s="124"/>
    </row>
    <row r="650" spans="1:9" ht="63" x14ac:dyDescent="0.25">
      <c r="A650" s="25" t="s">
        <v>492</v>
      </c>
      <c r="B650" s="16">
        <v>906</v>
      </c>
      <c r="C650" s="20" t="s">
        <v>280</v>
      </c>
      <c r="D650" s="20" t="s">
        <v>235</v>
      </c>
      <c r="E650" s="20" t="s">
        <v>493</v>
      </c>
      <c r="F650" s="20"/>
      <c r="G650" s="26">
        <f>G651+G653</f>
        <v>20</v>
      </c>
      <c r="H650" s="177"/>
    </row>
    <row r="651" spans="1:9" ht="94.5" x14ac:dyDescent="0.25">
      <c r="A651" s="25" t="s">
        <v>143</v>
      </c>
      <c r="B651" s="16">
        <v>906</v>
      </c>
      <c r="C651" s="20" t="s">
        <v>280</v>
      </c>
      <c r="D651" s="20" t="s">
        <v>235</v>
      </c>
      <c r="E651" s="20" t="s">
        <v>493</v>
      </c>
      <c r="F651" s="20" t="s">
        <v>144</v>
      </c>
      <c r="G651" s="26">
        <f>G652</f>
        <v>5</v>
      </c>
      <c r="H651" s="177"/>
    </row>
    <row r="652" spans="1:9" ht="31.5" x14ac:dyDescent="0.25">
      <c r="A652" s="25" t="s">
        <v>358</v>
      </c>
      <c r="B652" s="16">
        <v>906</v>
      </c>
      <c r="C652" s="20" t="s">
        <v>280</v>
      </c>
      <c r="D652" s="20" t="s">
        <v>235</v>
      </c>
      <c r="E652" s="20" t="s">
        <v>493</v>
      </c>
      <c r="F652" s="20" t="s">
        <v>225</v>
      </c>
      <c r="G652" s="26">
        <v>5</v>
      </c>
      <c r="H652" s="177"/>
    </row>
    <row r="653" spans="1:9" ht="31.5" x14ac:dyDescent="0.25">
      <c r="A653" s="25" t="s">
        <v>147</v>
      </c>
      <c r="B653" s="16">
        <v>906</v>
      </c>
      <c r="C653" s="20" t="s">
        <v>280</v>
      </c>
      <c r="D653" s="20" t="s">
        <v>235</v>
      </c>
      <c r="E653" s="20" t="s">
        <v>493</v>
      </c>
      <c r="F653" s="20" t="s">
        <v>148</v>
      </c>
      <c r="G653" s="26">
        <f>G654</f>
        <v>15</v>
      </c>
      <c r="H653" s="177"/>
    </row>
    <row r="654" spans="1:9" ht="47.25" x14ac:dyDescent="0.25">
      <c r="A654" s="25" t="s">
        <v>149</v>
      </c>
      <c r="B654" s="16">
        <v>906</v>
      </c>
      <c r="C654" s="20" t="s">
        <v>280</v>
      </c>
      <c r="D654" s="20" t="s">
        <v>235</v>
      </c>
      <c r="E654" s="20" t="s">
        <v>493</v>
      </c>
      <c r="F654" s="20" t="s">
        <v>150</v>
      </c>
      <c r="G654" s="26">
        <v>15</v>
      </c>
      <c r="H654" s="177"/>
    </row>
    <row r="655" spans="1:9" ht="15.75" x14ac:dyDescent="0.25">
      <c r="A655" s="25" t="s">
        <v>137</v>
      </c>
      <c r="B655" s="16">
        <v>906</v>
      </c>
      <c r="C655" s="20" t="s">
        <v>280</v>
      </c>
      <c r="D655" s="20" t="s">
        <v>235</v>
      </c>
      <c r="E655" s="20" t="s">
        <v>138</v>
      </c>
      <c r="F655" s="20"/>
      <c r="G655" s="26">
        <f>G656+G662</f>
        <v>18302.300000000003</v>
      </c>
      <c r="H655" s="177"/>
    </row>
    <row r="656" spans="1:9" ht="31.5" x14ac:dyDescent="0.25">
      <c r="A656" s="25" t="s">
        <v>139</v>
      </c>
      <c r="B656" s="16">
        <v>906</v>
      </c>
      <c r="C656" s="20" t="s">
        <v>280</v>
      </c>
      <c r="D656" s="20" t="s">
        <v>235</v>
      </c>
      <c r="E656" s="20" t="s">
        <v>140</v>
      </c>
      <c r="F656" s="20"/>
      <c r="G656" s="26">
        <f>G657</f>
        <v>5138.7</v>
      </c>
      <c r="H656" s="177"/>
    </row>
    <row r="657" spans="1:11" ht="47.25" x14ac:dyDescent="0.25">
      <c r="A657" s="25" t="s">
        <v>141</v>
      </c>
      <c r="B657" s="16">
        <v>906</v>
      </c>
      <c r="C657" s="20" t="s">
        <v>280</v>
      </c>
      <c r="D657" s="20" t="s">
        <v>235</v>
      </c>
      <c r="E657" s="20" t="s">
        <v>142</v>
      </c>
      <c r="F657" s="20"/>
      <c r="G657" s="26">
        <f>G658+G660</f>
        <v>5138.7</v>
      </c>
      <c r="H657" s="177"/>
    </row>
    <row r="658" spans="1:11" ht="94.5" x14ac:dyDescent="0.25">
      <c r="A658" s="25" t="s">
        <v>143</v>
      </c>
      <c r="B658" s="16">
        <v>906</v>
      </c>
      <c r="C658" s="20" t="s">
        <v>280</v>
      </c>
      <c r="D658" s="20" t="s">
        <v>235</v>
      </c>
      <c r="E658" s="20" t="s">
        <v>142</v>
      </c>
      <c r="F658" s="20" t="s">
        <v>144</v>
      </c>
      <c r="G658" s="26">
        <f>G659</f>
        <v>4981.5</v>
      </c>
      <c r="H658" s="177"/>
    </row>
    <row r="659" spans="1:11" ht="31.5" x14ac:dyDescent="0.25">
      <c r="A659" s="25" t="s">
        <v>145</v>
      </c>
      <c r="B659" s="16">
        <v>906</v>
      </c>
      <c r="C659" s="20" t="s">
        <v>280</v>
      </c>
      <c r="D659" s="20" t="s">
        <v>235</v>
      </c>
      <c r="E659" s="20" t="s">
        <v>142</v>
      </c>
      <c r="F659" s="20" t="s">
        <v>146</v>
      </c>
      <c r="G659" s="156">
        <f>4975.7+5.8</f>
        <v>4981.5</v>
      </c>
      <c r="H659" s="157" t="s">
        <v>747</v>
      </c>
    </row>
    <row r="660" spans="1:11" ht="31.5" x14ac:dyDescent="0.25">
      <c r="A660" s="25" t="s">
        <v>147</v>
      </c>
      <c r="B660" s="16">
        <v>906</v>
      </c>
      <c r="C660" s="20" t="s">
        <v>280</v>
      </c>
      <c r="D660" s="20" t="s">
        <v>235</v>
      </c>
      <c r="E660" s="20" t="s">
        <v>142</v>
      </c>
      <c r="F660" s="20" t="s">
        <v>148</v>
      </c>
      <c r="G660" s="26">
        <f>G661</f>
        <v>157.19999999999999</v>
      </c>
      <c r="H660" s="177"/>
    </row>
    <row r="661" spans="1:11" ht="47.25" x14ac:dyDescent="0.25">
      <c r="A661" s="25" t="s">
        <v>149</v>
      </c>
      <c r="B661" s="16">
        <v>906</v>
      </c>
      <c r="C661" s="20" t="s">
        <v>280</v>
      </c>
      <c r="D661" s="20" t="s">
        <v>235</v>
      </c>
      <c r="E661" s="20" t="s">
        <v>142</v>
      </c>
      <c r="F661" s="20" t="s">
        <v>150</v>
      </c>
      <c r="G661" s="158">
        <f>163-5.8</f>
        <v>157.19999999999999</v>
      </c>
      <c r="H661" s="157" t="s">
        <v>746</v>
      </c>
    </row>
    <row r="662" spans="1:11" ht="15.75" x14ac:dyDescent="0.25">
      <c r="A662" s="25" t="s">
        <v>157</v>
      </c>
      <c r="B662" s="16">
        <v>906</v>
      </c>
      <c r="C662" s="20" t="s">
        <v>280</v>
      </c>
      <c r="D662" s="20" t="s">
        <v>235</v>
      </c>
      <c r="E662" s="20" t="s">
        <v>158</v>
      </c>
      <c r="F662" s="20"/>
      <c r="G662" s="26">
        <f>G666+G663</f>
        <v>13163.600000000002</v>
      </c>
      <c r="H662" s="177"/>
    </row>
    <row r="663" spans="1:11" ht="15.75" x14ac:dyDescent="0.25">
      <c r="A663" s="25" t="s">
        <v>494</v>
      </c>
      <c r="B663" s="16">
        <v>906</v>
      </c>
      <c r="C663" s="20" t="s">
        <v>280</v>
      </c>
      <c r="D663" s="20" t="s">
        <v>235</v>
      </c>
      <c r="E663" s="20" t="s">
        <v>495</v>
      </c>
      <c r="F663" s="20"/>
      <c r="G663" s="26">
        <f>G664</f>
        <v>375</v>
      </c>
      <c r="H663" s="177"/>
    </row>
    <row r="664" spans="1:11" ht="31.5" x14ac:dyDescent="0.25">
      <c r="A664" s="25" t="s">
        <v>147</v>
      </c>
      <c r="B664" s="16">
        <v>906</v>
      </c>
      <c r="C664" s="20" t="s">
        <v>280</v>
      </c>
      <c r="D664" s="20" t="s">
        <v>235</v>
      </c>
      <c r="E664" s="20" t="s">
        <v>495</v>
      </c>
      <c r="F664" s="20" t="s">
        <v>148</v>
      </c>
      <c r="G664" s="26">
        <f>G665</f>
        <v>375</v>
      </c>
      <c r="H664" s="177"/>
    </row>
    <row r="665" spans="1:11" ht="47.25" x14ac:dyDescent="0.25">
      <c r="A665" s="25" t="s">
        <v>149</v>
      </c>
      <c r="B665" s="16">
        <v>906</v>
      </c>
      <c r="C665" s="20" t="s">
        <v>280</v>
      </c>
      <c r="D665" s="20" t="s">
        <v>235</v>
      </c>
      <c r="E665" s="20" t="s">
        <v>495</v>
      </c>
      <c r="F665" s="20" t="s">
        <v>150</v>
      </c>
      <c r="G665" s="162">
        <f>206.3+143.7+25</f>
        <v>375</v>
      </c>
      <c r="H665" s="157" t="s">
        <v>763</v>
      </c>
      <c r="I665" s="115"/>
    </row>
    <row r="666" spans="1:11" ht="31.5" x14ac:dyDescent="0.25">
      <c r="A666" s="25" t="s">
        <v>356</v>
      </c>
      <c r="B666" s="16">
        <v>906</v>
      </c>
      <c r="C666" s="20" t="s">
        <v>280</v>
      </c>
      <c r="D666" s="20" t="s">
        <v>235</v>
      </c>
      <c r="E666" s="20" t="s">
        <v>357</v>
      </c>
      <c r="F666" s="20"/>
      <c r="G666" s="26">
        <f>G667+G669+G671</f>
        <v>12788.600000000002</v>
      </c>
      <c r="H666" s="177"/>
      <c r="J666" s="407"/>
      <c r="K666" s="407"/>
    </row>
    <row r="667" spans="1:11" ht="94.5" x14ac:dyDescent="0.25">
      <c r="A667" s="25" t="s">
        <v>143</v>
      </c>
      <c r="B667" s="16">
        <v>906</v>
      </c>
      <c r="C667" s="20" t="s">
        <v>280</v>
      </c>
      <c r="D667" s="20" t="s">
        <v>235</v>
      </c>
      <c r="E667" s="20" t="s">
        <v>357</v>
      </c>
      <c r="F667" s="20" t="s">
        <v>144</v>
      </c>
      <c r="G667" s="26">
        <f>G668</f>
        <v>11519.300000000001</v>
      </c>
      <c r="H667" s="177"/>
      <c r="J667" s="407"/>
      <c r="K667" s="407"/>
    </row>
    <row r="668" spans="1:11" ht="31.5" x14ac:dyDescent="0.25">
      <c r="A668" s="25" t="s">
        <v>358</v>
      </c>
      <c r="B668" s="16">
        <v>906</v>
      </c>
      <c r="C668" s="20" t="s">
        <v>280</v>
      </c>
      <c r="D668" s="20" t="s">
        <v>235</v>
      </c>
      <c r="E668" s="20" t="s">
        <v>357</v>
      </c>
      <c r="F668" s="20" t="s">
        <v>225</v>
      </c>
      <c r="G668" s="27">
        <f>11988.7-469.4</f>
        <v>11519.300000000001</v>
      </c>
      <c r="H668" s="106"/>
      <c r="I668" s="124"/>
      <c r="J668" s="407"/>
      <c r="K668" s="407"/>
    </row>
    <row r="669" spans="1:11" ht="31.5" x14ac:dyDescent="0.25">
      <c r="A669" s="25" t="s">
        <v>147</v>
      </c>
      <c r="B669" s="16">
        <v>906</v>
      </c>
      <c r="C669" s="20" t="s">
        <v>280</v>
      </c>
      <c r="D669" s="20" t="s">
        <v>235</v>
      </c>
      <c r="E669" s="20" t="s">
        <v>357</v>
      </c>
      <c r="F669" s="20" t="s">
        <v>148</v>
      </c>
      <c r="G669" s="26">
        <f>G670</f>
        <v>1264.0999999999999</v>
      </c>
      <c r="H669" s="177"/>
      <c r="J669" s="407"/>
      <c r="K669" s="407"/>
    </row>
    <row r="670" spans="1:11" ht="47.25" x14ac:dyDescent="0.25">
      <c r="A670" s="25" t="s">
        <v>149</v>
      </c>
      <c r="B670" s="16">
        <v>906</v>
      </c>
      <c r="C670" s="20" t="s">
        <v>280</v>
      </c>
      <c r="D670" s="20" t="s">
        <v>235</v>
      </c>
      <c r="E670" s="20" t="s">
        <v>357</v>
      </c>
      <c r="F670" s="20" t="s">
        <v>150</v>
      </c>
      <c r="G670" s="26">
        <f>1416.8-152.7</f>
        <v>1264.0999999999999</v>
      </c>
      <c r="H670" s="106"/>
      <c r="I670" s="124"/>
      <c r="J670" s="407"/>
      <c r="K670" s="407"/>
    </row>
    <row r="671" spans="1:11" ht="15.75" x14ac:dyDescent="0.25">
      <c r="A671" s="25" t="s">
        <v>151</v>
      </c>
      <c r="B671" s="16">
        <v>906</v>
      </c>
      <c r="C671" s="20" t="s">
        <v>280</v>
      </c>
      <c r="D671" s="20" t="s">
        <v>235</v>
      </c>
      <c r="E671" s="20" t="s">
        <v>357</v>
      </c>
      <c r="F671" s="20" t="s">
        <v>161</v>
      </c>
      <c r="G671" s="26">
        <f>G672</f>
        <v>5.2</v>
      </c>
      <c r="H671" s="177"/>
      <c r="J671" s="407"/>
      <c r="K671" s="407"/>
    </row>
    <row r="672" spans="1:11" ht="15.75" x14ac:dyDescent="0.25">
      <c r="A672" s="25" t="s">
        <v>584</v>
      </c>
      <c r="B672" s="16">
        <v>906</v>
      </c>
      <c r="C672" s="20" t="s">
        <v>280</v>
      </c>
      <c r="D672" s="20" t="s">
        <v>235</v>
      </c>
      <c r="E672" s="20" t="s">
        <v>357</v>
      </c>
      <c r="F672" s="20" t="s">
        <v>154</v>
      </c>
      <c r="G672" s="26">
        <f>7-1.8</f>
        <v>5.2</v>
      </c>
      <c r="H672" s="106"/>
      <c r="I672" s="124"/>
      <c r="J672" s="407"/>
      <c r="K672" s="407"/>
    </row>
    <row r="673" spans="1:10" ht="47.25" x14ac:dyDescent="0.25">
      <c r="A673" s="19" t="s">
        <v>496</v>
      </c>
      <c r="B673" s="19">
        <v>907</v>
      </c>
      <c r="C673" s="20"/>
      <c r="D673" s="20"/>
      <c r="E673" s="20"/>
      <c r="F673" s="20"/>
      <c r="G673" s="21">
        <f>G674+G704</f>
        <v>46187.799999999996</v>
      </c>
      <c r="H673" s="177"/>
    </row>
    <row r="674" spans="1:10" ht="15.75" x14ac:dyDescent="0.25">
      <c r="A674" s="23" t="s">
        <v>279</v>
      </c>
      <c r="B674" s="19">
        <v>907</v>
      </c>
      <c r="C674" s="24" t="s">
        <v>484</v>
      </c>
      <c r="D674" s="24"/>
      <c r="E674" s="24"/>
      <c r="F674" s="24"/>
      <c r="G674" s="21">
        <f>G675</f>
        <v>11485.1</v>
      </c>
      <c r="H674" s="177"/>
    </row>
    <row r="675" spans="1:10" ht="15.75" x14ac:dyDescent="0.25">
      <c r="A675" s="23" t="s">
        <v>281</v>
      </c>
      <c r="B675" s="19">
        <v>907</v>
      </c>
      <c r="C675" s="24" t="s">
        <v>280</v>
      </c>
      <c r="D675" s="24" t="s">
        <v>231</v>
      </c>
      <c r="E675" s="24"/>
      <c r="F675" s="24"/>
      <c r="G675" s="21">
        <f>G676+G693</f>
        <v>11485.1</v>
      </c>
      <c r="H675" s="177"/>
      <c r="J675" s="116"/>
    </row>
    <row r="676" spans="1:10" ht="47.25" x14ac:dyDescent="0.25">
      <c r="A676" s="25" t="s">
        <v>497</v>
      </c>
      <c r="B676" s="16">
        <v>907</v>
      </c>
      <c r="C676" s="20" t="s">
        <v>280</v>
      </c>
      <c r="D676" s="20" t="s">
        <v>231</v>
      </c>
      <c r="E676" s="20" t="s">
        <v>498</v>
      </c>
      <c r="F676" s="20"/>
      <c r="G676" s="26">
        <f>G677</f>
        <v>10758</v>
      </c>
      <c r="H676" s="177"/>
    </row>
    <row r="677" spans="1:10" ht="47.25" x14ac:dyDescent="0.25">
      <c r="A677" s="25" t="s">
        <v>499</v>
      </c>
      <c r="B677" s="16">
        <v>907</v>
      </c>
      <c r="C677" s="20" t="s">
        <v>280</v>
      </c>
      <c r="D677" s="20" t="s">
        <v>231</v>
      </c>
      <c r="E677" s="20" t="s">
        <v>500</v>
      </c>
      <c r="F677" s="20"/>
      <c r="G677" s="26">
        <f>G678+G681+G684+G690+G687</f>
        <v>10758</v>
      </c>
      <c r="H677" s="177"/>
    </row>
    <row r="678" spans="1:10" ht="47.25" x14ac:dyDescent="0.25">
      <c r="A678" s="25" t="s">
        <v>286</v>
      </c>
      <c r="B678" s="16">
        <v>907</v>
      </c>
      <c r="C678" s="20" t="s">
        <v>280</v>
      </c>
      <c r="D678" s="20" t="s">
        <v>231</v>
      </c>
      <c r="E678" s="20" t="s">
        <v>501</v>
      </c>
      <c r="F678" s="20"/>
      <c r="G678" s="26">
        <f>G679</f>
        <v>10722</v>
      </c>
      <c r="H678" s="177"/>
    </row>
    <row r="679" spans="1:10" ht="47.25" x14ac:dyDescent="0.25">
      <c r="A679" s="25" t="s">
        <v>288</v>
      </c>
      <c r="B679" s="16">
        <v>907</v>
      </c>
      <c r="C679" s="20" t="s">
        <v>280</v>
      </c>
      <c r="D679" s="20" t="s">
        <v>231</v>
      </c>
      <c r="E679" s="20" t="s">
        <v>501</v>
      </c>
      <c r="F679" s="20" t="s">
        <v>289</v>
      </c>
      <c r="G679" s="26">
        <f>G680</f>
        <v>10722</v>
      </c>
      <c r="H679" s="177"/>
    </row>
    <row r="680" spans="1:10" ht="15.75" x14ac:dyDescent="0.25">
      <c r="A680" s="25" t="s">
        <v>290</v>
      </c>
      <c r="B680" s="16">
        <v>907</v>
      </c>
      <c r="C680" s="20" t="s">
        <v>280</v>
      </c>
      <c r="D680" s="20" t="s">
        <v>231</v>
      </c>
      <c r="E680" s="20" t="s">
        <v>501</v>
      </c>
      <c r="F680" s="20" t="s">
        <v>291</v>
      </c>
      <c r="G680" s="27">
        <f>10500+753.9-531.9</f>
        <v>10722</v>
      </c>
      <c r="H680" s="106"/>
      <c r="I680" s="125"/>
    </row>
    <row r="681" spans="1:10" ht="47.25" hidden="1" x14ac:dyDescent="0.25">
      <c r="A681" s="25" t="s">
        <v>294</v>
      </c>
      <c r="B681" s="16">
        <v>907</v>
      </c>
      <c r="C681" s="20" t="s">
        <v>280</v>
      </c>
      <c r="D681" s="20" t="s">
        <v>229</v>
      </c>
      <c r="E681" s="20" t="s">
        <v>502</v>
      </c>
      <c r="F681" s="20"/>
      <c r="G681" s="26">
        <f>G682</f>
        <v>0</v>
      </c>
      <c r="H681" s="177"/>
    </row>
    <row r="682" spans="1:10" ht="47.25" hidden="1" x14ac:dyDescent="0.25">
      <c r="A682" s="25" t="s">
        <v>288</v>
      </c>
      <c r="B682" s="16">
        <v>907</v>
      </c>
      <c r="C682" s="20" t="s">
        <v>280</v>
      </c>
      <c r="D682" s="20" t="s">
        <v>229</v>
      </c>
      <c r="E682" s="20" t="s">
        <v>502</v>
      </c>
      <c r="F682" s="20" t="s">
        <v>289</v>
      </c>
      <c r="G682" s="26">
        <f>G683</f>
        <v>0</v>
      </c>
      <c r="H682" s="177"/>
    </row>
    <row r="683" spans="1:10" ht="15.75" hidden="1" x14ac:dyDescent="0.25">
      <c r="A683" s="25" t="s">
        <v>290</v>
      </c>
      <c r="B683" s="16">
        <v>907</v>
      </c>
      <c r="C683" s="20" t="s">
        <v>280</v>
      </c>
      <c r="D683" s="20" t="s">
        <v>229</v>
      </c>
      <c r="E683" s="20" t="s">
        <v>502</v>
      </c>
      <c r="F683" s="20" t="s">
        <v>291</v>
      </c>
      <c r="G683" s="26">
        <v>0</v>
      </c>
      <c r="H683" s="177"/>
    </row>
    <row r="684" spans="1:10" ht="31.5" hidden="1" x14ac:dyDescent="0.25">
      <c r="A684" s="25" t="s">
        <v>296</v>
      </c>
      <c r="B684" s="16">
        <v>907</v>
      </c>
      <c r="C684" s="20" t="s">
        <v>280</v>
      </c>
      <c r="D684" s="20" t="s">
        <v>229</v>
      </c>
      <c r="E684" s="20" t="s">
        <v>503</v>
      </c>
      <c r="F684" s="20"/>
      <c r="G684" s="26">
        <f>G685</f>
        <v>0</v>
      </c>
      <c r="H684" s="177"/>
    </row>
    <row r="685" spans="1:10" ht="47.25" hidden="1" x14ac:dyDescent="0.25">
      <c r="A685" s="25" t="s">
        <v>288</v>
      </c>
      <c r="B685" s="16">
        <v>907</v>
      </c>
      <c r="C685" s="20" t="s">
        <v>280</v>
      </c>
      <c r="D685" s="20" t="s">
        <v>229</v>
      </c>
      <c r="E685" s="20" t="s">
        <v>503</v>
      </c>
      <c r="F685" s="20" t="s">
        <v>289</v>
      </c>
      <c r="G685" s="26">
        <f>G686</f>
        <v>0</v>
      </c>
      <c r="H685" s="177"/>
    </row>
    <row r="686" spans="1:10" ht="15.75" hidden="1" x14ac:dyDescent="0.25">
      <c r="A686" s="25" t="s">
        <v>290</v>
      </c>
      <c r="B686" s="16">
        <v>907</v>
      </c>
      <c r="C686" s="20" t="s">
        <v>280</v>
      </c>
      <c r="D686" s="20" t="s">
        <v>229</v>
      </c>
      <c r="E686" s="20" t="s">
        <v>503</v>
      </c>
      <c r="F686" s="20" t="s">
        <v>291</v>
      </c>
      <c r="G686" s="26">
        <v>0</v>
      </c>
      <c r="H686" s="177"/>
    </row>
    <row r="687" spans="1:10" ht="47.25" x14ac:dyDescent="0.25">
      <c r="A687" s="25" t="s">
        <v>298</v>
      </c>
      <c r="B687" s="16">
        <v>907</v>
      </c>
      <c r="C687" s="20" t="s">
        <v>280</v>
      </c>
      <c r="D687" s="20" t="s">
        <v>231</v>
      </c>
      <c r="E687" s="20" t="s">
        <v>504</v>
      </c>
      <c r="F687" s="20"/>
      <c r="G687" s="26">
        <f>G688</f>
        <v>36</v>
      </c>
      <c r="H687" s="177"/>
    </row>
    <row r="688" spans="1:10" ht="47.25" x14ac:dyDescent="0.25">
      <c r="A688" s="25" t="s">
        <v>288</v>
      </c>
      <c r="B688" s="16">
        <v>907</v>
      </c>
      <c r="C688" s="20" t="s">
        <v>280</v>
      </c>
      <c r="D688" s="20" t="s">
        <v>231</v>
      </c>
      <c r="E688" s="20" t="s">
        <v>504</v>
      </c>
      <c r="F688" s="20" t="s">
        <v>289</v>
      </c>
      <c r="G688" s="26">
        <f>G689</f>
        <v>36</v>
      </c>
      <c r="H688" s="177"/>
    </row>
    <row r="689" spans="1:10" ht="15.75" x14ac:dyDescent="0.25">
      <c r="A689" s="25" t="s">
        <v>290</v>
      </c>
      <c r="B689" s="16">
        <v>907</v>
      </c>
      <c r="C689" s="20" t="s">
        <v>280</v>
      </c>
      <c r="D689" s="20" t="s">
        <v>231</v>
      </c>
      <c r="E689" s="20" t="s">
        <v>504</v>
      </c>
      <c r="F689" s="20" t="s">
        <v>291</v>
      </c>
      <c r="G689" s="26">
        <v>36</v>
      </c>
      <c r="H689" s="177"/>
    </row>
    <row r="690" spans="1:10" ht="31.5" hidden="1" x14ac:dyDescent="0.25">
      <c r="A690" s="25" t="s">
        <v>300</v>
      </c>
      <c r="B690" s="16">
        <v>907</v>
      </c>
      <c r="C690" s="20" t="s">
        <v>280</v>
      </c>
      <c r="D690" s="20" t="s">
        <v>229</v>
      </c>
      <c r="E690" s="20" t="s">
        <v>505</v>
      </c>
      <c r="F690" s="20"/>
      <c r="G690" s="26">
        <f>G691</f>
        <v>0</v>
      </c>
      <c r="H690" s="177"/>
    </row>
    <row r="691" spans="1:10" ht="47.25" hidden="1" x14ac:dyDescent="0.25">
      <c r="A691" s="25" t="s">
        <v>288</v>
      </c>
      <c r="B691" s="16">
        <v>907</v>
      </c>
      <c r="C691" s="20" t="s">
        <v>280</v>
      </c>
      <c r="D691" s="20" t="s">
        <v>229</v>
      </c>
      <c r="E691" s="20" t="s">
        <v>505</v>
      </c>
      <c r="F691" s="20" t="s">
        <v>289</v>
      </c>
      <c r="G691" s="26">
        <f>G692</f>
        <v>0</v>
      </c>
      <c r="H691" s="177"/>
    </row>
    <row r="692" spans="1:10" ht="15.75" hidden="1" x14ac:dyDescent="0.25">
      <c r="A692" s="25" t="s">
        <v>290</v>
      </c>
      <c r="B692" s="16">
        <v>907</v>
      </c>
      <c r="C692" s="20" t="s">
        <v>280</v>
      </c>
      <c r="D692" s="20" t="s">
        <v>229</v>
      </c>
      <c r="E692" s="20" t="s">
        <v>505</v>
      </c>
      <c r="F692" s="20" t="s">
        <v>291</v>
      </c>
      <c r="G692" s="26">
        <v>0</v>
      </c>
      <c r="H692" s="177"/>
    </row>
    <row r="693" spans="1:10" ht="15.75" x14ac:dyDescent="0.25">
      <c r="A693" s="25" t="s">
        <v>137</v>
      </c>
      <c r="B693" s="16">
        <v>907</v>
      </c>
      <c r="C693" s="20" t="s">
        <v>280</v>
      </c>
      <c r="D693" s="20" t="s">
        <v>231</v>
      </c>
      <c r="E693" s="20" t="s">
        <v>138</v>
      </c>
      <c r="F693" s="20"/>
      <c r="G693" s="26">
        <f>G694</f>
        <v>727.1</v>
      </c>
      <c r="H693" s="177"/>
    </row>
    <row r="694" spans="1:10" ht="31.5" x14ac:dyDescent="0.25">
      <c r="A694" s="25" t="s">
        <v>201</v>
      </c>
      <c r="B694" s="16">
        <v>907</v>
      </c>
      <c r="C694" s="20" t="s">
        <v>280</v>
      </c>
      <c r="D694" s="20" t="s">
        <v>231</v>
      </c>
      <c r="E694" s="20" t="s">
        <v>202</v>
      </c>
      <c r="F694" s="20"/>
      <c r="G694" s="26">
        <f>G695+G698+G701</f>
        <v>727.1</v>
      </c>
      <c r="H694" s="177"/>
    </row>
    <row r="695" spans="1:10" ht="63" x14ac:dyDescent="0.25">
      <c r="A695" s="31" t="s">
        <v>305</v>
      </c>
      <c r="B695" s="16">
        <v>907</v>
      </c>
      <c r="C695" s="20" t="s">
        <v>280</v>
      </c>
      <c r="D695" s="20" t="s">
        <v>231</v>
      </c>
      <c r="E695" s="20" t="s">
        <v>306</v>
      </c>
      <c r="F695" s="20"/>
      <c r="G695" s="26">
        <f>G696</f>
        <v>50</v>
      </c>
      <c r="H695" s="177"/>
    </row>
    <row r="696" spans="1:10" ht="47.25" x14ac:dyDescent="0.25">
      <c r="A696" s="25" t="s">
        <v>288</v>
      </c>
      <c r="B696" s="16">
        <v>907</v>
      </c>
      <c r="C696" s="20" t="s">
        <v>280</v>
      </c>
      <c r="D696" s="20" t="s">
        <v>231</v>
      </c>
      <c r="E696" s="20" t="s">
        <v>306</v>
      </c>
      <c r="F696" s="20" t="s">
        <v>289</v>
      </c>
      <c r="G696" s="26">
        <f>G697</f>
        <v>50</v>
      </c>
      <c r="H696" s="177"/>
    </row>
    <row r="697" spans="1:10" ht="15.75" x14ac:dyDescent="0.25">
      <c r="A697" s="25" t="s">
        <v>290</v>
      </c>
      <c r="B697" s="16">
        <v>907</v>
      </c>
      <c r="C697" s="20" t="s">
        <v>280</v>
      </c>
      <c r="D697" s="20" t="s">
        <v>231</v>
      </c>
      <c r="E697" s="20" t="s">
        <v>306</v>
      </c>
      <c r="F697" s="20" t="s">
        <v>291</v>
      </c>
      <c r="G697" s="26">
        <v>50</v>
      </c>
      <c r="H697" s="177"/>
    </row>
    <row r="698" spans="1:10" ht="78.75" x14ac:dyDescent="0.25">
      <c r="A698" s="31" t="s">
        <v>307</v>
      </c>
      <c r="B698" s="16">
        <v>907</v>
      </c>
      <c r="C698" s="20" t="s">
        <v>280</v>
      </c>
      <c r="D698" s="20" t="s">
        <v>231</v>
      </c>
      <c r="E698" s="20" t="s">
        <v>308</v>
      </c>
      <c r="F698" s="20"/>
      <c r="G698" s="26">
        <f>G699</f>
        <v>197.3</v>
      </c>
      <c r="H698" s="177"/>
    </row>
    <row r="699" spans="1:10" ht="47.25" x14ac:dyDescent="0.25">
      <c r="A699" s="25" t="s">
        <v>288</v>
      </c>
      <c r="B699" s="16">
        <v>907</v>
      </c>
      <c r="C699" s="20" t="s">
        <v>280</v>
      </c>
      <c r="D699" s="20" t="s">
        <v>231</v>
      </c>
      <c r="E699" s="20" t="s">
        <v>308</v>
      </c>
      <c r="F699" s="20" t="s">
        <v>289</v>
      </c>
      <c r="G699" s="26">
        <f>G700</f>
        <v>197.3</v>
      </c>
      <c r="H699" s="177"/>
    </row>
    <row r="700" spans="1:10" ht="15.75" x14ac:dyDescent="0.25">
      <c r="A700" s="25" t="s">
        <v>290</v>
      </c>
      <c r="B700" s="16">
        <v>907</v>
      </c>
      <c r="C700" s="20" t="s">
        <v>280</v>
      </c>
      <c r="D700" s="20" t="s">
        <v>231</v>
      </c>
      <c r="E700" s="20" t="s">
        <v>308</v>
      </c>
      <c r="F700" s="20" t="s">
        <v>291</v>
      </c>
      <c r="G700" s="26">
        <f>200-2.7</f>
        <v>197.3</v>
      </c>
      <c r="H700" s="177"/>
      <c r="I700" s="115"/>
      <c r="J700" s="116"/>
    </row>
    <row r="701" spans="1:10" ht="110.25" x14ac:dyDescent="0.25">
      <c r="A701" s="31" t="s">
        <v>480</v>
      </c>
      <c r="B701" s="16">
        <v>907</v>
      </c>
      <c r="C701" s="20" t="s">
        <v>280</v>
      </c>
      <c r="D701" s="20" t="s">
        <v>231</v>
      </c>
      <c r="E701" s="20" t="s">
        <v>310</v>
      </c>
      <c r="F701" s="20"/>
      <c r="G701" s="26">
        <f>G702</f>
        <v>479.8</v>
      </c>
      <c r="H701" s="177"/>
    </row>
    <row r="702" spans="1:10" ht="47.25" x14ac:dyDescent="0.25">
      <c r="A702" s="25" t="s">
        <v>288</v>
      </c>
      <c r="B702" s="16">
        <v>907</v>
      </c>
      <c r="C702" s="20" t="s">
        <v>280</v>
      </c>
      <c r="D702" s="20" t="s">
        <v>231</v>
      </c>
      <c r="E702" s="20" t="s">
        <v>310</v>
      </c>
      <c r="F702" s="20" t="s">
        <v>289</v>
      </c>
      <c r="G702" s="26">
        <f>G703</f>
        <v>479.8</v>
      </c>
      <c r="H702" s="177"/>
    </row>
    <row r="703" spans="1:10" ht="15.75" x14ac:dyDescent="0.25">
      <c r="A703" s="25" t="s">
        <v>290</v>
      </c>
      <c r="B703" s="16">
        <v>907</v>
      </c>
      <c r="C703" s="20" t="s">
        <v>280</v>
      </c>
      <c r="D703" s="20" t="s">
        <v>231</v>
      </c>
      <c r="E703" s="20" t="s">
        <v>310</v>
      </c>
      <c r="F703" s="20" t="s">
        <v>291</v>
      </c>
      <c r="G703" s="26">
        <f>500-20.2</f>
        <v>479.8</v>
      </c>
      <c r="H703" s="177"/>
      <c r="I703" s="115"/>
    </row>
    <row r="704" spans="1:10" ht="15.75" x14ac:dyDescent="0.25">
      <c r="A704" s="23" t="s">
        <v>506</v>
      </c>
      <c r="B704" s="19">
        <v>907</v>
      </c>
      <c r="C704" s="24" t="s">
        <v>507</v>
      </c>
      <c r="D704" s="20"/>
      <c r="E704" s="20"/>
      <c r="F704" s="20"/>
      <c r="G704" s="21">
        <f>G705+G725</f>
        <v>34702.699999999997</v>
      </c>
      <c r="H704" s="177"/>
    </row>
    <row r="705" spans="1:9" ht="15.75" x14ac:dyDescent="0.25">
      <c r="A705" s="23" t="s">
        <v>508</v>
      </c>
      <c r="B705" s="19">
        <v>907</v>
      </c>
      <c r="C705" s="24" t="s">
        <v>507</v>
      </c>
      <c r="D705" s="24" t="s">
        <v>134</v>
      </c>
      <c r="E705" s="20"/>
      <c r="F705" s="20"/>
      <c r="G705" s="21">
        <f>G706+G721</f>
        <v>23173.9</v>
      </c>
      <c r="H705" s="177"/>
    </row>
    <row r="706" spans="1:9" ht="47.25" x14ac:dyDescent="0.25">
      <c r="A706" s="25" t="s">
        <v>497</v>
      </c>
      <c r="B706" s="16">
        <v>907</v>
      </c>
      <c r="C706" s="20" t="s">
        <v>507</v>
      </c>
      <c r="D706" s="20" t="s">
        <v>134</v>
      </c>
      <c r="E706" s="20" t="s">
        <v>498</v>
      </c>
      <c r="F706" s="20"/>
      <c r="G706" s="26">
        <f>G707</f>
        <v>22673.9</v>
      </c>
      <c r="H706" s="177"/>
    </row>
    <row r="707" spans="1:9" ht="47.25" x14ac:dyDescent="0.25">
      <c r="A707" s="25" t="s">
        <v>509</v>
      </c>
      <c r="B707" s="16">
        <v>907</v>
      </c>
      <c r="C707" s="20" t="s">
        <v>507</v>
      </c>
      <c r="D707" s="20" t="s">
        <v>134</v>
      </c>
      <c r="E707" s="20" t="s">
        <v>510</v>
      </c>
      <c r="F707" s="20"/>
      <c r="G707" s="26">
        <f>G708+G711+G714+G717</f>
        <v>22673.9</v>
      </c>
      <c r="H707" s="177"/>
    </row>
    <row r="708" spans="1:9" ht="47.25" x14ac:dyDescent="0.25">
      <c r="A708" s="25" t="s">
        <v>511</v>
      </c>
      <c r="B708" s="16">
        <v>907</v>
      </c>
      <c r="C708" s="20" t="s">
        <v>507</v>
      </c>
      <c r="D708" s="20" t="s">
        <v>134</v>
      </c>
      <c r="E708" s="20" t="s">
        <v>512</v>
      </c>
      <c r="F708" s="20"/>
      <c r="G708" s="26">
        <f>G709</f>
        <v>22376.400000000001</v>
      </c>
      <c r="H708" s="177"/>
    </row>
    <row r="709" spans="1:9" ht="47.25" x14ac:dyDescent="0.25">
      <c r="A709" s="25" t="s">
        <v>288</v>
      </c>
      <c r="B709" s="16">
        <v>907</v>
      </c>
      <c r="C709" s="20" t="s">
        <v>507</v>
      </c>
      <c r="D709" s="20" t="s">
        <v>134</v>
      </c>
      <c r="E709" s="20" t="s">
        <v>512</v>
      </c>
      <c r="F709" s="20" t="s">
        <v>289</v>
      </c>
      <c r="G709" s="26">
        <f>G710</f>
        <v>22376.400000000001</v>
      </c>
      <c r="H709" s="177"/>
    </row>
    <row r="710" spans="1:9" ht="15.75" x14ac:dyDescent="0.25">
      <c r="A710" s="25" t="s">
        <v>290</v>
      </c>
      <c r="B710" s="16">
        <v>907</v>
      </c>
      <c r="C710" s="20" t="s">
        <v>507</v>
      </c>
      <c r="D710" s="20" t="s">
        <v>134</v>
      </c>
      <c r="E710" s="20" t="s">
        <v>512</v>
      </c>
      <c r="F710" s="20" t="s">
        <v>291</v>
      </c>
      <c r="G710" s="163">
        <f>10890+1490.1+9887.3-199+308</f>
        <v>22376.400000000001</v>
      </c>
      <c r="H710" s="106" t="s">
        <v>756</v>
      </c>
      <c r="I710" s="125"/>
    </row>
    <row r="711" spans="1:9" ht="47.25" x14ac:dyDescent="0.25">
      <c r="A711" s="25" t="s">
        <v>294</v>
      </c>
      <c r="B711" s="16">
        <v>907</v>
      </c>
      <c r="C711" s="20" t="s">
        <v>507</v>
      </c>
      <c r="D711" s="20" t="s">
        <v>134</v>
      </c>
      <c r="E711" s="20" t="s">
        <v>513</v>
      </c>
      <c r="F711" s="20"/>
      <c r="G711" s="26">
        <f>G712</f>
        <v>297.5</v>
      </c>
      <c r="H711" s="177"/>
    </row>
    <row r="712" spans="1:9" ht="47.25" x14ac:dyDescent="0.25">
      <c r="A712" s="25" t="s">
        <v>288</v>
      </c>
      <c r="B712" s="16">
        <v>907</v>
      </c>
      <c r="C712" s="20" t="s">
        <v>507</v>
      </c>
      <c r="D712" s="20" t="s">
        <v>134</v>
      </c>
      <c r="E712" s="20" t="s">
        <v>513</v>
      </c>
      <c r="F712" s="20" t="s">
        <v>289</v>
      </c>
      <c r="G712" s="26">
        <f>G713</f>
        <v>297.5</v>
      </c>
      <c r="H712" s="177"/>
    </row>
    <row r="713" spans="1:9" ht="15.75" x14ac:dyDescent="0.25">
      <c r="A713" s="25" t="s">
        <v>290</v>
      </c>
      <c r="B713" s="16">
        <v>907</v>
      </c>
      <c r="C713" s="20" t="s">
        <v>507</v>
      </c>
      <c r="D713" s="20" t="s">
        <v>134</v>
      </c>
      <c r="E713" s="20" t="s">
        <v>513</v>
      </c>
      <c r="F713" s="20" t="s">
        <v>291</v>
      </c>
      <c r="G713" s="158">
        <f>797.5-500</f>
        <v>297.5</v>
      </c>
      <c r="H713" s="157" t="s">
        <v>754</v>
      </c>
    </row>
    <row r="714" spans="1:9" ht="31.5" hidden="1" x14ac:dyDescent="0.25">
      <c r="A714" s="25" t="s">
        <v>296</v>
      </c>
      <c r="B714" s="16">
        <v>907</v>
      </c>
      <c r="C714" s="20" t="s">
        <v>507</v>
      </c>
      <c r="D714" s="20" t="s">
        <v>134</v>
      </c>
      <c r="E714" s="20" t="s">
        <v>514</v>
      </c>
      <c r="F714" s="20"/>
      <c r="G714" s="26">
        <f>G715</f>
        <v>0</v>
      </c>
      <c r="H714" s="177"/>
    </row>
    <row r="715" spans="1:9" ht="47.25" hidden="1" x14ac:dyDescent="0.25">
      <c r="A715" s="25" t="s">
        <v>288</v>
      </c>
      <c r="B715" s="16">
        <v>907</v>
      </c>
      <c r="C715" s="20" t="s">
        <v>507</v>
      </c>
      <c r="D715" s="20" t="s">
        <v>134</v>
      </c>
      <c r="E715" s="20" t="s">
        <v>514</v>
      </c>
      <c r="F715" s="20" t="s">
        <v>289</v>
      </c>
      <c r="G715" s="26">
        <f>G716</f>
        <v>0</v>
      </c>
      <c r="H715" s="177"/>
    </row>
    <row r="716" spans="1:9" ht="15.75" hidden="1" x14ac:dyDescent="0.25">
      <c r="A716" s="25" t="s">
        <v>290</v>
      </c>
      <c r="B716" s="16">
        <v>907</v>
      </c>
      <c r="C716" s="20" t="s">
        <v>507</v>
      </c>
      <c r="D716" s="20" t="s">
        <v>134</v>
      </c>
      <c r="E716" s="20" t="s">
        <v>514</v>
      </c>
      <c r="F716" s="20" t="s">
        <v>291</v>
      </c>
      <c r="G716" s="26">
        <v>0</v>
      </c>
      <c r="H716" s="177"/>
    </row>
    <row r="717" spans="1:9" ht="31.5" hidden="1" x14ac:dyDescent="0.25">
      <c r="A717" s="25" t="s">
        <v>300</v>
      </c>
      <c r="B717" s="16">
        <v>907</v>
      </c>
      <c r="C717" s="20" t="s">
        <v>507</v>
      </c>
      <c r="D717" s="20" t="s">
        <v>134</v>
      </c>
      <c r="E717" s="20" t="s">
        <v>515</v>
      </c>
      <c r="F717" s="20"/>
      <c r="G717" s="26">
        <f>G718</f>
        <v>0</v>
      </c>
      <c r="H717" s="177"/>
    </row>
    <row r="718" spans="1:9" ht="47.25" hidden="1" x14ac:dyDescent="0.25">
      <c r="A718" s="25" t="s">
        <v>288</v>
      </c>
      <c r="B718" s="16">
        <v>907</v>
      </c>
      <c r="C718" s="20" t="s">
        <v>507</v>
      </c>
      <c r="D718" s="20" t="s">
        <v>134</v>
      </c>
      <c r="E718" s="20" t="s">
        <v>515</v>
      </c>
      <c r="F718" s="20" t="s">
        <v>289</v>
      </c>
      <c r="G718" s="26">
        <f>G719</f>
        <v>0</v>
      </c>
      <c r="H718" s="177"/>
    </row>
    <row r="719" spans="1:9" ht="15.75" hidden="1" x14ac:dyDescent="0.25">
      <c r="A719" s="25" t="s">
        <v>290</v>
      </c>
      <c r="B719" s="16">
        <v>907</v>
      </c>
      <c r="C719" s="20" t="s">
        <v>507</v>
      </c>
      <c r="D719" s="20" t="s">
        <v>134</v>
      </c>
      <c r="E719" s="20" t="s">
        <v>515</v>
      </c>
      <c r="F719" s="20" t="s">
        <v>291</v>
      </c>
      <c r="G719" s="26">
        <v>0</v>
      </c>
      <c r="H719" s="177"/>
    </row>
    <row r="720" spans="1:9" ht="15.75" x14ac:dyDescent="0.25">
      <c r="A720" s="25" t="s">
        <v>137</v>
      </c>
      <c r="B720" s="16">
        <v>907</v>
      </c>
      <c r="C720" s="20" t="s">
        <v>507</v>
      </c>
      <c r="D720" s="20" t="s">
        <v>134</v>
      </c>
      <c r="E720" s="20" t="s">
        <v>138</v>
      </c>
      <c r="F720" s="20"/>
      <c r="G720" s="26">
        <f>G721</f>
        <v>500</v>
      </c>
      <c r="H720" s="177"/>
    </row>
    <row r="721" spans="1:9" ht="31.5" x14ac:dyDescent="0.25">
      <c r="A721" s="25" t="s">
        <v>201</v>
      </c>
      <c r="B721" s="16">
        <v>907</v>
      </c>
      <c r="C721" s="20" t="s">
        <v>507</v>
      </c>
      <c r="D721" s="20" t="s">
        <v>134</v>
      </c>
      <c r="E721" s="20" t="s">
        <v>202</v>
      </c>
      <c r="F721" s="20"/>
      <c r="G721" s="26">
        <f>G722</f>
        <v>500</v>
      </c>
      <c r="H721" s="177"/>
    </row>
    <row r="722" spans="1:9" ht="31.5" x14ac:dyDescent="0.25">
      <c r="A722" s="25" t="s">
        <v>753</v>
      </c>
      <c r="B722" s="16">
        <v>907</v>
      </c>
      <c r="C722" s="20" t="s">
        <v>507</v>
      </c>
      <c r="D722" s="20" t="s">
        <v>134</v>
      </c>
      <c r="E722" s="20" t="s">
        <v>751</v>
      </c>
      <c r="F722" s="20"/>
      <c r="G722" s="26">
        <f>G724</f>
        <v>500</v>
      </c>
      <c r="H722" s="177"/>
    </row>
    <row r="723" spans="1:9" ht="47.25" x14ac:dyDescent="0.25">
      <c r="A723" s="25" t="s">
        <v>288</v>
      </c>
      <c r="B723" s="16">
        <v>907</v>
      </c>
      <c r="C723" s="20" t="s">
        <v>507</v>
      </c>
      <c r="D723" s="20" t="s">
        <v>134</v>
      </c>
      <c r="E723" s="20" t="s">
        <v>751</v>
      </c>
      <c r="F723" s="20" t="s">
        <v>289</v>
      </c>
      <c r="G723" s="26">
        <f>G724</f>
        <v>500</v>
      </c>
      <c r="H723" s="177"/>
    </row>
    <row r="724" spans="1:9" ht="15.75" x14ac:dyDescent="0.25">
      <c r="A724" s="25" t="s">
        <v>290</v>
      </c>
      <c r="B724" s="16">
        <v>907</v>
      </c>
      <c r="C724" s="20" t="s">
        <v>507</v>
      </c>
      <c r="D724" s="20" t="s">
        <v>134</v>
      </c>
      <c r="E724" s="20" t="s">
        <v>751</v>
      </c>
      <c r="F724" s="20" t="s">
        <v>291</v>
      </c>
      <c r="G724" s="158">
        <v>500</v>
      </c>
      <c r="H724" s="157" t="s">
        <v>755</v>
      </c>
    </row>
    <row r="725" spans="1:9" ht="31.5" x14ac:dyDescent="0.25">
      <c r="A725" s="23" t="s">
        <v>516</v>
      </c>
      <c r="B725" s="19">
        <v>907</v>
      </c>
      <c r="C725" s="24" t="s">
        <v>507</v>
      </c>
      <c r="D725" s="24" t="s">
        <v>250</v>
      </c>
      <c r="E725" s="24"/>
      <c r="F725" s="24"/>
      <c r="G725" s="21">
        <f>G733+G726</f>
        <v>11528.8</v>
      </c>
      <c r="H725" s="177"/>
    </row>
    <row r="726" spans="1:9" ht="47.25" x14ac:dyDescent="0.25">
      <c r="A726" s="29" t="s">
        <v>497</v>
      </c>
      <c r="B726" s="16">
        <v>907</v>
      </c>
      <c r="C726" s="20" t="s">
        <v>507</v>
      </c>
      <c r="D726" s="20" t="s">
        <v>250</v>
      </c>
      <c r="E726" s="40" t="s">
        <v>498</v>
      </c>
      <c r="F726" s="20"/>
      <c r="G726" s="26">
        <f>G727</f>
        <v>3047</v>
      </c>
      <c r="H726" s="177"/>
    </row>
    <row r="727" spans="1:9" ht="47.25" x14ac:dyDescent="0.25">
      <c r="A727" s="45" t="s">
        <v>517</v>
      </c>
      <c r="B727" s="16">
        <v>907</v>
      </c>
      <c r="C727" s="20" t="s">
        <v>507</v>
      </c>
      <c r="D727" s="20" t="s">
        <v>250</v>
      </c>
      <c r="E727" s="40" t="s">
        <v>518</v>
      </c>
      <c r="F727" s="20"/>
      <c r="G727" s="26">
        <f>G728</f>
        <v>3047</v>
      </c>
      <c r="H727" s="177"/>
    </row>
    <row r="728" spans="1:9" ht="31.5" x14ac:dyDescent="0.25">
      <c r="A728" s="29" t="s">
        <v>173</v>
      </c>
      <c r="B728" s="16">
        <v>907</v>
      </c>
      <c r="C728" s="20" t="s">
        <v>507</v>
      </c>
      <c r="D728" s="20" t="s">
        <v>250</v>
      </c>
      <c r="E728" s="40" t="s">
        <v>519</v>
      </c>
      <c r="F728" s="20"/>
      <c r="G728" s="26">
        <f>G731+G729</f>
        <v>3047</v>
      </c>
      <c r="H728" s="177"/>
    </row>
    <row r="729" spans="1:9" ht="94.5" x14ac:dyDescent="0.25">
      <c r="A729" s="25" t="s">
        <v>143</v>
      </c>
      <c r="B729" s="16">
        <v>907</v>
      </c>
      <c r="C729" s="20" t="s">
        <v>507</v>
      </c>
      <c r="D729" s="20" t="s">
        <v>250</v>
      </c>
      <c r="E729" s="40" t="s">
        <v>519</v>
      </c>
      <c r="F729" s="20" t="s">
        <v>144</v>
      </c>
      <c r="G729" s="26">
        <f>G730</f>
        <v>2111</v>
      </c>
      <c r="H729" s="177"/>
    </row>
    <row r="730" spans="1:9" ht="31.5" x14ac:dyDescent="0.25">
      <c r="A730" s="25" t="s">
        <v>145</v>
      </c>
      <c r="B730" s="16">
        <v>907</v>
      </c>
      <c r="C730" s="20" t="s">
        <v>507</v>
      </c>
      <c r="D730" s="20" t="s">
        <v>250</v>
      </c>
      <c r="E730" s="40" t="s">
        <v>519</v>
      </c>
      <c r="F730" s="20" t="s">
        <v>146</v>
      </c>
      <c r="G730" s="26">
        <v>2111</v>
      </c>
      <c r="H730" s="177"/>
      <c r="I730" s="115"/>
    </row>
    <row r="731" spans="1:9" ht="31.5" x14ac:dyDescent="0.25">
      <c r="A731" s="29" t="s">
        <v>147</v>
      </c>
      <c r="B731" s="16">
        <v>907</v>
      </c>
      <c r="C731" s="20" t="s">
        <v>507</v>
      </c>
      <c r="D731" s="20" t="s">
        <v>250</v>
      </c>
      <c r="E731" s="40" t="s">
        <v>519</v>
      </c>
      <c r="F731" s="20" t="s">
        <v>148</v>
      </c>
      <c r="G731" s="26">
        <f>G732</f>
        <v>936</v>
      </c>
      <c r="H731" s="177"/>
    </row>
    <row r="732" spans="1:9" ht="47.25" x14ac:dyDescent="0.25">
      <c r="A732" s="29" t="s">
        <v>149</v>
      </c>
      <c r="B732" s="16">
        <v>907</v>
      </c>
      <c r="C732" s="20" t="s">
        <v>507</v>
      </c>
      <c r="D732" s="20" t="s">
        <v>250</v>
      </c>
      <c r="E732" s="40" t="s">
        <v>519</v>
      </c>
      <c r="F732" s="20" t="s">
        <v>150</v>
      </c>
      <c r="G732" s="26">
        <f>3047-2111</f>
        <v>936</v>
      </c>
      <c r="H732" s="177"/>
      <c r="I732" s="115"/>
    </row>
    <row r="733" spans="1:9" ht="15.75" x14ac:dyDescent="0.25">
      <c r="A733" s="25" t="s">
        <v>137</v>
      </c>
      <c r="B733" s="16">
        <v>907</v>
      </c>
      <c r="C733" s="20" t="s">
        <v>507</v>
      </c>
      <c r="D733" s="20" t="s">
        <v>250</v>
      </c>
      <c r="E733" s="20" t="s">
        <v>138</v>
      </c>
      <c r="F733" s="20"/>
      <c r="G733" s="26">
        <f>G734+G740</f>
        <v>8481.7999999999993</v>
      </c>
      <c r="H733" s="177"/>
    </row>
    <row r="734" spans="1:9" ht="31.5" x14ac:dyDescent="0.25">
      <c r="A734" s="25" t="s">
        <v>139</v>
      </c>
      <c r="B734" s="16">
        <v>907</v>
      </c>
      <c r="C734" s="20" t="s">
        <v>507</v>
      </c>
      <c r="D734" s="20" t="s">
        <v>250</v>
      </c>
      <c r="E734" s="20" t="s">
        <v>140</v>
      </c>
      <c r="F734" s="20"/>
      <c r="G734" s="26">
        <f>G735</f>
        <v>3599.8</v>
      </c>
      <c r="H734" s="177"/>
    </row>
    <row r="735" spans="1:9" ht="47.25" x14ac:dyDescent="0.25">
      <c r="A735" s="25" t="s">
        <v>141</v>
      </c>
      <c r="B735" s="16">
        <v>907</v>
      </c>
      <c r="C735" s="20" t="s">
        <v>507</v>
      </c>
      <c r="D735" s="20" t="s">
        <v>250</v>
      </c>
      <c r="E735" s="20" t="s">
        <v>142</v>
      </c>
      <c r="F735" s="20"/>
      <c r="G735" s="26">
        <f>G736+G738</f>
        <v>3599.8</v>
      </c>
      <c r="H735" s="177"/>
    </row>
    <row r="736" spans="1:9" ht="94.5" x14ac:dyDescent="0.25">
      <c r="A736" s="25" t="s">
        <v>143</v>
      </c>
      <c r="B736" s="16">
        <v>907</v>
      </c>
      <c r="C736" s="20" t="s">
        <v>507</v>
      </c>
      <c r="D736" s="20" t="s">
        <v>250</v>
      </c>
      <c r="E736" s="20" t="s">
        <v>142</v>
      </c>
      <c r="F736" s="20" t="s">
        <v>144</v>
      </c>
      <c r="G736" s="26">
        <f>G737</f>
        <v>3599.8</v>
      </c>
      <c r="H736" s="177"/>
    </row>
    <row r="737" spans="1:12" ht="31.5" x14ac:dyDescent="0.25">
      <c r="A737" s="25" t="s">
        <v>145</v>
      </c>
      <c r="B737" s="16">
        <v>907</v>
      </c>
      <c r="C737" s="20" t="s">
        <v>507</v>
      </c>
      <c r="D737" s="20" t="s">
        <v>250</v>
      </c>
      <c r="E737" s="20" t="s">
        <v>142</v>
      </c>
      <c r="F737" s="20" t="s">
        <v>146</v>
      </c>
      <c r="G737" s="27">
        <v>3599.8</v>
      </c>
      <c r="H737" s="177"/>
    </row>
    <row r="738" spans="1:12" ht="31.5" hidden="1" x14ac:dyDescent="0.25">
      <c r="A738" s="25" t="s">
        <v>147</v>
      </c>
      <c r="B738" s="16">
        <v>907</v>
      </c>
      <c r="C738" s="20" t="s">
        <v>507</v>
      </c>
      <c r="D738" s="20" t="s">
        <v>250</v>
      </c>
      <c r="E738" s="20" t="s">
        <v>142</v>
      </c>
      <c r="F738" s="20" t="s">
        <v>148</v>
      </c>
      <c r="G738" s="26">
        <f>G739</f>
        <v>0</v>
      </c>
      <c r="H738" s="177"/>
    </row>
    <row r="739" spans="1:12" ht="47.25" hidden="1" x14ac:dyDescent="0.25">
      <c r="A739" s="25" t="s">
        <v>149</v>
      </c>
      <c r="B739" s="16">
        <v>907</v>
      </c>
      <c r="C739" s="20" t="s">
        <v>507</v>
      </c>
      <c r="D739" s="20" t="s">
        <v>250</v>
      </c>
      <c r="E739" s="20" t="s">
        <v>142</v>
      </c>
      <c r="F739" s="20" t="s">
        <v>150</v>
      </c>
      <c r="G739" s="26"/>
      <c r="H739" s="177"/>
    </row>
    <row r="740" spans="1:12" ht="15.75" x14ac:dyDescent="0.25">
      <c r="A740" s="25" t="s">
        <v>157</v>
      </c>
      <c r="B740" s="16">
        <v>907</v>
      </c>
      <c r="C740" s="20" t="s">
        <v>507</v>
      </c>
      <c r="D740" s="20" t="s">
        <v>250</v>
      </c>
      <c r="E740" s="20" t="s">
        <v>158</v>
      </c>
      <c r="F740" s="20"/>
      <c r="G740" s="26">
        <f>G741</f>
        <v>4882</v>
      </c>
      <c r="H740" s="177"/>
    </row>
    <row r="741" spans="1:12" ht="31.5" x14ac:dyDescent="0.25">
      <c r="A741" s="25" t="s">
        <v>356</v>
      </c>
      <c r="B741" s="16">
        <v>907</v>
      </c>
      <c r="C741" s="20" t="s">
        <v>507</v>
      </c>
      <c r="D741" s="20" t="s">
        <v>250</v>
      </c>
      <c r="E741" s="20" t="s">
        <v>357</v>
      </c>
      <c r="F741" s="20"/>
      <c r="G741" s="26">
        <f>G742+G744+G746</f>
        <v>4882</v>
      </c>
      <c r="H741" s="177"/>
      <c r="J741" s="407"/>
      <c r="K741" s="407"/>
    </row>
    <row r="742" spans="1:12" ht="94.5" x14ac:dyDescent="0.25">
      <c r="A742" s="25" t="s">
        <v>143</v>
      </c>
      <c r="B742" s="16">
        <v>907</v>
      </c>
      <c r="C742" s="20" t="s">
        <v>507</v>
      </c>
      <c r="D742" s="20" t="s">
        <v>250</v>
      </c>
      <c r="E742" s="20" t="s">
        <v>357</v>
      </c>
      <c r="F742" s="20" t="s">
        <v>144</v>
      </c>
      <c r="G742" s="26">
        <f>G743</f>
        <v>3660.7</v>
      </c>
      <c r="H742" s="177"/>
      <c r="J742" s="407"/>
      <c r="K742" s="407"/>
    </row>
    <row r="743" spans="1:12" ht="31.5" x14ac:dyDescent="0.25">
      <c r="A743" s="25" t="s">
        <v>358</v>
      </c>
      <c r="B743" s="16">
        <v>907</v>
      </c>
      <c r="C743" s="20" t="s">
        <v>507</v>
      </c>
      <c r="D743" s="20" t="s">
        <v>250</v>
      </c>
      <c r="E743" s="20" t="s">
        <v>357</v>
      </c>
      <c r="F743" s="20" t="s">
        <v>225</v>
      </c>
      <c r="G743" s="27">
        <f>4240.2-579.5</f>
        <v>3660.7</v>
      </c>
      <c r="H743" s="106"/>
      <c r="I743" s="124"/>
      <c r="J743" s="407"/>
      <c r="K743" s="407"/>
    </row>
    <row r="744" spans="1:12" ht="31.5" x14ac:dyDescent="0.25">
      <c r="A744" s="25" t="s">
        <v>147</v>
      </c>
      <c r="B744" s="16">
        <v>907</v>
      </c>
      <c r="C744" s="20" t="s">
        <v>507</v>
      </c>
      <c r="D744" s="20" t="s">
        <v>250</v>
      </c>
      <c r="E744" s="20" t="s">
        <v>357</v>
      </c>
      <c r="F744" s="20" t="s">
        <v>148</v>
      </c>
      <c r="G744" s="26">
        <f>G745</f>
        <v>1194.1999999999998</v>
      </c>
      <c r="H744" s="177"/>
      <c r="J744" s="407"/>
      <c r="K744" s="407"/>
    </row>
    <row r="745" spans="1:12" ht="47.25" x14ac:dyDescent="0.25">
      <c r="A745" s="25" t="s">
        <v>149</v>
      </c>
      <c r="B745" s="16">
        <v>907</v>
      </c>
      <c r="C745" s="20" t="s">
        <v>507</v>
      </c>
      <c r="D745" s="20" t="s">
        <v>250</v>
      </c>
      <c r="E745" s="20" t="s">
        <v>357</v>
      </c>
      <c r="F745" s="20" t="s">
        <v>150</v>
      </c>
      <c r="G745" s="27">
        <f>1339.6-145.4</f>
        <v>1194.1999999999998</v>
      </c>
      <c r="H745" s="106"/>
      <c r="I745" s="124"/>
      <c r="J745" s="407"/>
      <c r="K745" s="407"/>
    </row>
    <row r="746" spans="1:12" ht="15.75" x14ac:dyDescent="0.25">
      <c r="A746" s="25" t="s">
        <v>151</v>
      </c>
      <c r="B746" s="16">
        <v>907</v>
      </c>
      <c r="C746" s="20" t="s">
        <v>507</v>
      </c>
      <c r="D746" s="20" t="s">
        <v>250</v>
      </c>
      <c r="E746" s="20" t="s">
        <v>357</v>
      </c>
      <c r="F746" s="20" t="s">
        <v>161</v>
      </c>
      <c r="G746" s="26">
        <f>G747</f>
        <v>27.1</v>
      </c>
      <c r="H746" s="177"/>
      <c r="J746" s="407"/>
      <c r="K746" s="407"/>
    </row>
    <row r="747" spans="1:12" ht="15.75" x14ac:dyDescent="0.25">
      <c r="A747" s="25" t="s">
        <v>584</v>
      </c>
      <c r="B747" s="16">
        <v>907</v>
      </c>
      <c r="C747" s="20" t="s">
        <v>507</v>
      </c>
      <c r="D747" s="20" t="s">
        <v>250</v>
      </c>
      <c r="E747" s="20" t="s">
        <v>357</v>
      </c>
      <c r="F747" s="20" t="s">
        <v>154</v>
      </c>
      <c r="G747" s="26">
        <f>27.1</f>
        <v>27.1</v>
      </c>
      <c r="H747" s="106"/>
      <c r="I747" s="124"/>
      <c r="J747" s="407"/>
      <c r="K747" s="407"/>
    </row>
    <row r="748" spans="1:12" ht="47.25" x14ac:dyDescent="0.25">
      <c r="A748" s="19" t="s">
        <v>520</v>
      </c>
      <c r="B748" s="19">
        <v>908</v>
      </c>
      <c r="C748" s="20"/>
      <c r="D748" s="20"/>
      <c r="E748" s="20"/>
      <c r="F748" s="20"/>
      <c r="G748" s="21">
        <f>G763+G770+G784+G918+G749</f>
        <v>143249.49000000002</v>
      </c>
      <c r="H748" s="177"/>
      <c r="L748" s="116"/>
    </row>
    <row r="749" spans="1:12" ht="15.75" x14ac:dyDescent="0.25">
      <c r="A749" s="34" t="s">
        <v>133</v>
      </c>
      <c r="B749" s="19">
        <v>908</v>
      </c>
      <c r="C749" s="24" t="s">
        <v>134</v>
      </c>
      <c r="D749" s="20"/>
      <c r="E749" s="20"/>
      <c r="F749" s="20"/>
      <c r="G749" s="21">
        <f>G750</f>
        <v>16714.8</v>
      </c>
      <c r="H749" s="177"/>
      <c r="L749" s="116"/>
    </row>
    <row r="750" spans="1:12" ht="15.75" x14ac:dyDescent="0.25">
      <c r="A750" s="34" t="s">
        <v>155</v>
      </c>
      <c r="B750" s="19">
        <v>908</v>
      </c>
      <c r="C750" s="24" t="s">
        <v>134</v>
      </c>
      <c r="D750" s="24" t="s">
        <v>156</v>
      </c>
      <c r="E750" s="20"/>
      <c r="F750" s="20"/>
      <c r="G750" s="21">
        <f>G752+G755</f>
        <v>16714.8</v>
      </c>
      <c r="H750" s="177"/>
      <c r="L750" s="116"/>
    </row>
    <row r="751" spans="1:12" ht="15.75" x14ac:dyDescent="0.25">
      <c r="A751" s="25" t="s">
        <v>157</v>
      </c>
      <c r="B751" s="16">
        <v>908</v>
      </c>
      <c r="C751" s="20" t="s">
        <v>134</v>
      </c>
      <c r="D751" s="20" t="s">
        <v>156</v>
      </c>
      <c r="E751" s="20" t="s">
        <v>158</v>
      </c>
      <c r="F751" s="20"/>
      <c r="G751" s="26">
        <f>G752</f>
        <v>262.5</v>
      </c>
      <c r="H751" s="177"/>
      <c r="L751" s="116"/>
    </row>
    <row r="752" spans="1:12" ht="15.75" x14ac:dyDescent="0.25">
      <c r="A752" s="25" t="s">
        <v>159</v>
      </c>
      <c r="B752" s="16">
        <v>908</v>
      </c>
      <c r="C752" s="20" t="s">
        <v>134</v>
      </c>
      <c r="D752" s="20" t="s">
        <v>156</v>
      </c>
      <c r="E752" s="20" t="s">
        <v>160</v>
      </c>
      <c r="F752" s="20"/>
      <c r="G752" s="26">
        <f>G753</f>
        <v>262.5</v>
      </c>
      <c r="H752" s="177"/>
      <c r="L752" s="116"/>
    </row>
    <row r="753" spans="1:12" ht="15.75" x14ac:dyDescent="0.25">
      <c r="A753" s="25" t="s">
        <v>151</v>
      </c>
      <c r="B753" s="16">
        <v>908</v>
      </c>
      <c r="C753" s="20" t="s">
        <v>134</v>
      </c>
      <c r="D753" s="20" t="s">
        <v>156</v>
      </c>
      <c r="E753" s="20" t="s">
        <v>160</v>
      </c>
      <c r="F753" s="20" t="s">
        <v>161</v>
      </c>
      <c r="G753" s="26">
        <f>G754</f>
        <v>262.5</v>
      </c>
      <c r="H753" s="177"/>
      <c r="L753" s="116"/>
    </row>
    <row r="754" spans="1:12" ht="15.75" x14ac:dyDescent="0.25">
      <c r="A754" s="25" t="s">
        <v>584</v>
      </c>
      <c r="B754" s="16">
        <v>908</v>
      </c>
      <c r="C754" s="20" t="s">
        <v>134</v>
      </c>
      <c r="D754" s="20" t="s">
        <v>156</v>
      </c>
      <c r="E754" s="20" t="s">
        <v>160</v>
      </c>
      <c r="F754" s="20" t="s">
        <v>154</v>
      </c>
      <c r="G754" s="26">
        <v>262.5</v>
      </c>
      <c r="H754" s="106"/>
      <c r="I754" s="124"/>
      <c r="L754" s="116"/>
    </row>
    <row r="755" spans="1:12" ht="31.5" x14ac:dyDescent="0.25">
      <c r="A755" s="25" t="s">
        <v>600</v>
      </c>
      <c r="B755" s="16">
        <v>908</v>
      </c>
      <c r="C755" s="20" t="s">
        <v>134</v>
      </c>
      <c r="D755" s="20" t="s">
        <v>156</v>
      </c>
      <c r="E755" s="20" t="s">
        <v>601</v>
      </c>
      <c r="F755" s="20"/>
      <c r="G755" s="27">
        <f>G756</f>
        <v>16452.3</v>
      </c>
      <c r="H755" s="177"/>
    </row>
    <row r="756" spans="1:12" ht="31.5" x14ac:dyDescent="0.25">
      <c r="A756" s="25" t="s">
        <v>326</v>
      </c>
      <c r="B756" s="16">
        <v>908</v>
      </c>
      <c r="C756" s="20" t="s">
        <v>134</v>
      </c>
      <c r="D756" s="20" t="s">
        <v>156</v>
      </c>
      <c r="E756" s="20" t="s">
        <v>602</v>
      </c>
      <c r="F756" s="20"/>
      <c r="G756" s="27">
        <f>G757+G759+G761</f>
        <v>16452.3</v>
      </c>
      <c r="H756" s="177"/>
    </row>
    <row r="757" spans="1:12" ht="94.5" x14ac:dyDescent="0.25">
      <c r="A757" s="25" t="s">
        <v>143</v>
      </c>
      <c r="B757" s="16">
        <v>908</v>
      </c>
      <c r="C757" s="20" t="s">
        <v>134</v>
      </c>
      <c r="D757" s="20" t="s">
        <v>156</v>
      </c>
      <c r="E757" s="20" t="s">
        <v>602</v>
      </c>
      <c r="F757" s="20" t="s">
        <v>144</v>
      </c>
      <c r="G757" s="27">
        <f>G758</f>
        <v>13760</v>
      </c>
      <c r="H757" s="177"/>
    </row>
    <row r="758" spans="1:12" ht="31.5" x14ac:dyDescent="0.25">
      <c r="A758" s="46" t="s">
        <v>358</v>
      </c>
      <c r="B758" s="16">
        <v>908</v>
      </c>
      <c r="C758" s="20" t="s">
        <v>134</v>
      </c>
      <c r="D758" s="20" t="s">
        <v>156</v>
      </c>
      <c r="E758" s="20" t="s">
        <v>602</v>
      </c>
      <c r="F758" s="20" t="s">
        <v>225</v>
      </c>
      <c r="G758" s="166">
        <f>13403.8+356.2</f>
        <v>13760</v>
      </c>
      <c r="H758" s="106" t="s">
        <v>765</v>
      </c>
      <c r="I758" s="124"/>
      <c r="L758" s="116"/>
    </row>
    <row r="759" spans="1:12" ht="31.5" x14ac:dyDescent="0.25">
      <c r="A759" s="25" t="s">
        <v>147</v>
      </c>
      <c r="B759" s="16">
        <v>908</v>
      </c>
      <c r="C759" s="20" t="s">
        <v>134</v>
      </c>
      <c r="D759" s="20" t="s">
        <v>156</v>
      </c>
      <c r="E759" s="20" t="s">
        <v>602</v>
      </c>
      <c r="F759" s="20" t="s">
        <v>148</v>
      </c>
      <c r="G759" s="27">
        <f>G760</f>
        <v>2678</v>
      </c>
      <c r="H759" s="177"/>
      <c r="L759" s="116"/>
    </row>
    <row r="760" spans="1:12" ht="47.25" x14ac:dyDescent="0.25">
      <c r="A760" s="25" t="s">
        <v>149</v>
      </c>
      <c r="B760" s="16">
        <v>908</v>
      </c>
      <c r="C760" s="20" t="s">
        <v>134</v>
      </c>
      <c r="D760" s="20" t="s">
        <v>156</v>
      </c>
      <c r="E760" s="20" t="s">
        <v>602</v>
      </c>
      <c r="F760" s="20" t="s">
        <v>150</v>
      </c>
      <c r="G760" s="166">
        <f>3034.2-356.2</f>
        <v>2678</v>
      </c>
      <c r="H760" s="106" t="s">
        <v>766</v>
      </c>
      <c r="I760" s="124"/>
      <c r="L760" s="116"/>
    </row>
    <row r="761" spans="1:12" ht="15.75" x14ac:dyDescent="0.25">
      <c r="A761" s="25" t="s">
        <v>151</v>
      </c>
      <c r="B761" s="16">
        <v>908</v>
      </c>
      <c r="C761" s="20" t="s">
        <v>134</v>
      </c>
      <c r="D761" s="20" t="s">
        <v>156</v>
      </c>
      <c r="E761" s="20" t="s">
        <v>602</v>
      </c>
      <c r="F761" s="20" t="s">
        <v>161</v>
      </c>
      <c r="G761" s="27">
        <f>G762</f>
        <v>14.3</v>
      </c>
      <c r="H761" s="177"/>
      <c r="L761" s="116"/>
    </row>
    <row r="762" spans="1:12" ht="15.75" x14ac:dyDescent="0.25">
      <c r="A762" s="25" t="s">
        <v>727</v>
      </c>
      <c r="B762" s="16">
        <v>908</v>
      </c>
      <c r="C762" s="20" t="s">
        <v>134</v>
      </c>
      <c r="D762" s="20" t="s">
        <v>156</v>
      </c>
      <c r="E762" s="20" t="s">
        <v>602</v>
      </c>
      <c r="F762" s="20" t="s">
        <v>154</v>
      </c>
      <c r="G762" s="27">
        <v>14.3</v>
      </c>
      <c r="H762" s="106"/>
      <c r="I762" s="124"/>
      <c r="L762" s="116"/>
    </row>
    <row r="763" spans="1:12" ht="31.5" x14ac:dyDescent="0.25">
      <c r="A763" s="23" t="s">
        <v>238</v>
      </c>
      <c r="B763" s="19">
        <v>908</v>
      </c>
      <c r="C763" s="24" t="s">
        <v>231</v>
      </c>
      <c r="D763" s="24"/>
      <c r="E763" s="24"/>
      <c r="F763" s="24"/>
      <c r="G763" s="21">
        <f t="shared" ref="G763:G768" si="4">G764</f>
        <v>50</v>
      </c>
      <c r="H763" s="177"/>
    </row>
    <row r="764" spans="1:12" ht="63" x14ac:dyDescent="0.25">
      <c r="A764" s="23" t="s">
        <v>239</v>
      </c>
      <c r="B764" s="19">
        <v>908</v>
      </c>
      <c r="C764" s="24" t="s">
        <v>231</v>
      </c>
      <c r="D764" s="24" t="s">
        <v>235</v>
      </c>
      <c r="E764" s="24"/>
      <c r="F764" s="24"/>
      <c r="G764" s="21">
        <f t="shared" si="4"/>
        <v>50</v>
      </c>
      <c r="H764" s="177"/>
    </row>
    <row r="765" spans="1:12" ht="21.75" customHeight="1" x14ac:dyDescent="0.25">
      <c r="A765" s="25" t="s">
        <v>137</v>
      </c>
      <c r="B765" s="16">
        <v>908</v>
      </c>
      <c r="C765" s="20" t="s">
        <v>231</v>
      </c>
      <c r="D765" s="20" t="s">
        <v>235</v>
      </c>
      <c r="E765" s="20" t="s">
        <v>138</v>
      </c>
      <c r="F765" s="20"/>
      <c r="G765" s="26">
        <f t="shared" si="4"/>
        <v>50</v>
      </c>
      <c r="H765" s="177"/>
    </row>
    <row r="766" spans="1:12" ht="15.75" x14ac:dyDescent="0.25">
      <c r="A766" s="25" t="s">
        <v>157</v>
      </c>
      <c r="B766" s="16">
        <v>908</v>
      </c>
      <c r="C766" s="20" t="s">
        <v>231</v>
      </c>
      <c r="D766" s="20" t="s">
        <v>235</v>
      </c>
      <c r="E766" s="20" t="s">
        <v>158</v>
      </c>
      <c r="F766" s="20"/>
      <c r="G766" s="26">
        <f t="shared" si="4"/>
        <v>50</v>
      </c>
      <c r="H766" s="177"/>
    </row>
    <row r="767" spans="1:12" ht="15.75" x14ac:dyDescent="0.25">
      <c r="A767" s="25" t="s">
        <v>246</v>
      </c>
      <c r="B767" s="16">
        <v>908</v>
      </c>
      <c r="C767" s="20" t="s">
        <v>231</v>
      </c>
      <c r="D767" s="20" t="s">
        <v>235</v>
      </c>
      <c r="E767" s="20" t="s">
        <v>247</v>
      </c>
      <c r="F767" s="20"/>
      <c r="G767" s="26">
        <f t="shared" si="4"/>
        <v>50</v>
      </c>
      <c r="H767" s="177"/>
    </row>
    <row r="768" spans="1:12" ht="31.5" x14ac:dyDescent="0.25">
      <c r="A768" s="25" t="s">
        <v>147</v>
      </c>
      <c r="B768" s="16">
        <v>908</v>
      </c>
      <c r="C768" s="20" t="s">
        <v>231</v>
      </c>
      <c r="D768" s="20" t="s">
        <v>235</v>
      </c>
      <c r="E768" s="20" t="s">
        <v>247</v>
      </c>
      <c r="F768" s="20" t="s">
        <v>148</v>
      </c>
      <c r="G768" s="26">
        <f t="shared" si="4"/>
        <v>50</v>
      </c>
      <c r="H768" s="177"/>
    </row>
    <row r="769" spans="1:9" ht="47.25" x14ac:dyDescent="0.25">
      <c r="A769" s="25" t="s">
        <v>149</v>
      </c>
      <c r="B769" s="16">
        <v>908</v>
      </c>
      <c r="C769" s="20" t="s">
        <v>231</v>
      </c>
      <c r="D769" s="20" t="s">
        <v>235</v>
      </c>
      <c r="E769" s="20" t="s">
        <v>247</v>
      </c>
      <c r="F769" s="20" t="s">
        <v>150</v>
      </c>
      <c r="G769" s="26">
        <v>50</v>
      </c>
      <c r="H769" s="177"/>
    </row>
    <row r="770" spans="1:9" ht="15.75" x14ac:dyDescent="0.25">
      <c r="A770" s="23" t="s">
        <v>248</v>
      </c>
      <c r="B770" s="19">
        <v>908</v>
      </c>
      <c r="C770" s="24" t="s">
        <v>166</v>
      </c>
      <c r="D770" s="24"/>
      <c r="E770" s="24"/>
      <c r="F770" s="24"/>
      <c r="G770" s="21">
        <f>G771+G777</f>
        <v>18331.8</v>
      </c>
      <c r="H770" s="177"/>
    </row>
    <row r="771" spans="1:9" ht="15.75" x14ac:dyDescent="0.25">
      <c r="A771" s="23" t="s">
        <v>521</v>
      </c>
      <c r="B771" s="19">
        <v>908</v>
      </c>
      <c r="C771" s="24" t="s">
        <v>166</v>
      </c>
      <c r="D771" s="24" t="s">
        <v>315</v>
      </c>
      <c r="E771" s="24"/>
      <c r="F771" s="24"/>
      <c r="G771" s="21">
        <f>G772</f>
        <v>3207.7</v>
      </c>
      <c r="H771" s="177"/>
    </row>
    <row r="772" spans="1:9" ht="15.75" x14ac:dyDescent="0.25">
      <c r="A772" s="25" t="s">
        <v>137</v>
      </c>
      <c r="B772" s="16">
        <v>908</v>
      </c>
      <c r="C772" s="20" t="s">
        <v>166</v>
      </c>
      <c r="D772" s="20" t="s">
        <v>315</v>
      </c>
      <c r="E772" s="20" t="s">
        <v>138</v>
      </c>
      <c r="F772" s="24"/>
      <c r="G772" s="26">
        <f>G773</f>
        <v>3207.7</v>
      </c>
      <c r="H772" s="177"/>
    </row>
    <row r="773" spans="1:9" ht="15.75" x14ac:dyDescent="0.25">
      <c r="A773" s="25" t="s">
        <v>157</v>
      </c>
      <c r="B773" s="16">
        <v>908</v>
      </c>
      <c r="C773" s="20" t="s">
        <v>166</v>
      </c>
      <c r="D773" s="20" t="s">
        <v>315</v>
      </c>
      <c r="E773" s="20" t="s">
        <v>158</v>
      </c>
      <c r="F773" s="24"/>
      <c r="G773" s="26">
        <f>G774</f>
        <v>3207.7</v>
      </c>
      <c r="H773" s="177"/>
    </row>
    <row r="774" spans="1:9" ht="39.200000000000003" customHeight="1" x14ac:dyDescent="0.25">
      <c r="A774" s="25" t="s">
        <v>522</v>
      </c>
      <c r="B774" s="16">
        <v>908</v>
      </c>
      <c r="C774" s="20" t="s">
        <v>166</v>
      </c>
      <c r="D774" s="20" t="s">
        <v>315</v>
      </c>
      <c r="E774" s="20" t="s">
        <v>523</v>
      </c>
      <c r="F774" s="20"/>
      <c r="G774" s="26">
        <f>G775</f>
        <v>3207.7</v>
      </c>
      <c r="H774" s="177"/>
    </row>
    <row r="775" spans="1:9" ht="31.5" x14ac:dyDescent="0.25">
      <c r="A775" s="25" t="s">
        <v>147</v>
      </c>
      <c r="B775" s="16">
        <v>908</v>
      </c>
      <c r="C775" s="20" t="s">
        <v>166</v>
      </c>
      <c r="D775" s="20" t="s">
        <v>315</v>
      </c>
      <c r="E775" s="20" t="s">
        <v>523</v>
      </c>
      <c r="F775" s="20" t="s">
        <v>148</v>
      </c>
      <c r="G775" s="26">
        <f>G776</f>
        <v>3207.7</v>
      </c>
      <c r="H775" s="177"/>
    </row>
    <row r="776" spans="1:9" ht="47.25" x14ac:dyDescent="0.25">
      <c r="A776" s="25" t="s">
        <v>149</v>
      </c>
      <c r="B776" s="16">
        <v>908</v>
      </c>
      <c r="C776" s="20" t="s">
        <v>166</v>
      </c>
      <c r="D776" s="20" t="s">
        <v>315</v>
      </c>
      <c r="E776" s="20" t="s">
        <v>523</v>
      </c>
      <c r="F776" s="20" t="s">
        <v>150</v>
      </c>
      <c r="G776" s="26">
        <v>3207.7</v>
      </c>
      <c r="H776" s="177"/>
    </row>
    <row r="777" spans="1:9" ht="15.75" x14ac:dyDescent="0.25">
      <c r="A777" s="23" t="s">
        <v>524</v>
      </c>
      <c r="B777" s="19">
        <v>908</v>
      </c>
      <c r="C777" s="24" t="s">
        <v>166</v>
      </c>
      <c r="D777" s="24" t="s">
        <v>235</v>
      </c>
      <c r="E777" s="20"/>
      <c r="F777" s="24"/>
      <c r="G777" s="21">
        <f>G778</f>
        <v>15124.1</v>
      </c>
      <c r="H777" s="177"/>
    </row>
    <row r="778" spans="1:9" ht="47.25" x14ac:dyDescent="0.25">
      <c r="A778" s="31" t="s">
        <v>525</v>
      </c>
      <c r="B778" s="16">
        <v>908</v>
      </c>
      <c r="C778" s="20" t="s">
        <v>166</v>
      </c>
      <c r="D778" s="20" t="s">
        <v>235</v>
      </c>
      <c r="E778" s="20" t="s">
        <v>526</v>
      </c>
      <c r="F778" s="20"/>
      <c r="G778" s="26">
        <f>G779</f>
        <v>15124.1</v>
      </c>
      <c r="H778" s="177"/>
    </row>
    <row r="779" spans="1:9" ht="15.75" x14ac:dyDescent="0.25">
      <c r="A779" s="29" t="s">
        <v>527</v>
      </c>
      <c r="B779" s="16">
        <v>908</v>
      </c>
      <c r="C779" s="20" t="s">
        <v>166</v>
      </c>
      <c r="D779" s="20" t="s">
        <v>235</v>
      </c>
      <c r="E779" s="40" t="s">
        <v>528</v>
      </c>
      <c r="F779" s="20"/>
      <c r="G779" s="26">
        <f>G780+G782</f>
        <v>15124.1</v>
      </c>
      <c r="H779" s="177"/>
    </row>
    <row r="780" spans="1:9" ht="31.5" x14ac:dyDescent="0.25">
      <c r="A780" s="25" t="s">
        <v>147</v>
      </c>
      <c r="B780" s="16">
        <v>908</v>
      </c>
      <c r="C780" s="20" t="s">
        <v>166</v>
      </c>
      <c r="D780" s="20" t="s">
        <v>235</v>
      </c>
      <c r="E780" s="40" t="s">
        <v>528</v>
      </c>
      <c r="F780" s="20" t="s">
        <v>148</v>
      </c>
      <c r="G780" s="26">
        <f>G781</f>
        <v>15108.1</v>
      </c>
      <c r="H780" s="177"/>
    </row>
    <row r="781" spans="1:9" ht="47.25" x14ac:dyDescent="0.25">
      <c r="A781" s="25" t="s">
        <v>149</v>
      </c>
      <c r="B781" s="16">
        <v>908</v>
      </c>
      <c r="C781" s="20" t="s">
        <v>166</v>
      </c>
      <c r="D781" s="20" t="s">
        <v>235</v>
      </c>
      <c r="E781" s="40" t="s">
        <v>528</v>
      </c>
      <c r="F781" s="20" t="s">
        <v>150</v>
      </c>
      <c r="G781" s="26">
        <f>15124.1-10-6</f>
        <v>15108.1</v>
      </c>
      <c r="H781" s="120" t="s">
        <v>785</v>
      </c>
    </row>
    <row r="782" spans="1:9" ht="15.75" x14ac:dyDescent="0.25">
      <c r="A782" s="25" t="s">
        <v>151</v>
      </c>
      <c r="B782" s="16">
        <v>908</v>
      </c>
      <c r="C782" s="20" t="s">
        <v>166</v>
      </c>
      <c r="D782" s="20" t="s">
        <v>235</v>
      </c>
      <c r="E782" s="40" t="s">
        <v>528</v>
      </c>
      <c r="F782" s="20" t="s">
        <v>161</v>
      </c>
      <c r="G782" s="26">
        <f>G783</f>
        <v>16</v>
      </c>
      <c r="H782" s="177"/>
    </row>
    <row r="783" spans="1:9" ht="15.75" x14ac:dyDescent="0.25">
      <c r="A783" s="25" t="s">
        <v>584</v>
      </c>
      <c r="B783" s="16">
        <v>908</v>
      </c>
      <c r="C783" s="20" t="s">
        <v>166</v>
      </c>
      <c r="D783" s="20" t="s">
        <v>235</v>
      </c>
      <c r="E783" s="40" t="s">
        <v>528</v>
      </c>
      <c r="F783" s="20" t="s">
        <v>154</v>
      </c>
      <c r="G783" s="26">
        <f>10+6</f>
        <v>16</v>
      </c>
      <c r="H783" s="157" t="s">
        <v>786</v>
      </c>
    </row>
    <row r="784" spans="1:9" ht="15.75" x14ac:dyDescent="0.25">
      <c r="A784" s="23" t="s">
        <v>406</v>
      </c>
      <c r="B784" s="19">
        <v>908</v>
      </c>
      <c r="C784" s="24" t="s">
        <v>250</v>
      </c>
      <c r="D784" s="24"/>
      <c r="E784" s="24"/>
      <c r="F784" s="24"/>
      <c r="G784" s="21">
        <f>G785+G800+G847+G899</f>
        <v>108065.79000000001</v>
      </c>
      <c r="H784" s="177"/>
      <c r="I784" s="114"/>
    </row>
    <row r="785" spans="1:12" ht="15.75" x14ac:dyDescent="0.25">
      <c r="A785" s="23" t="s">
        <v>407</v>
      </c>
      <c r="B785" s="19">
        <v>908</v>
      </c>
      <c r="C785" s="24" t="s">
        <v>250</v>
      </c>
      <c r="D785" s="24" t="s">
        <v>134</v>
      </c>
      <c r="E785" s="24"/>
      <c r="F785" s="24"/>
      <c r="G785" s="21">
        <f>G786</f>
        <v>7765.4000000000005</v>
      </c>
      <c r="H785" s="177"/>
    </row>
    <row r="786" spans="1:12" ht="15.75" x14ac:dyDescent="0.25">
      <c r="A786" s="25" t="s">
        <v>137</v>
      </c>
      <c r="B786" s="16">
        <v>908</v>
      </c>
      <c r="C786" s="20" t="s">
        <v>250</v>
      </c>
      <c r="D786" s="20" t="s">
        <v>134</v>
      </c>
      <c r="E786" s="20" t="s">
        <v>138</v>
      </c>
      <c r="F786" s="20"/>
      <c r="G786" s="26">
        <f>G791</f>
        <v>7765.4000000000005</v>
      </c>
      <c r="H786" s="177"/>
    </row>
    <row r="787" spans="1:12" ht="31.5" hidden="1" x14ac:dyDescent="0.25">
      <c r="A787" s="25" t="s">
        <v>201</v>
      </c>
      <c r="B787" s="16">
        <v>908</v>
      </c>
      <c r="C787" s="20" t="s">
        <v>250</v>
      </c>
      <c r="D787" s="20" t="s">
        <v>134</v>
      </c>
      <c r="E787" s="20" t="s">
        <v>202</v>
      </c>
      <c r="F787" s="20"/>
      <c r="G787" s="26">
        <f>G788</f>
        <v>0</v>
      </c>
      <c r="H787" s="177"/>
    </row>
    <row r="788" spans="1:12" ht="15.75" hidden="1" x14ac:dyDescent="0.25">
      <c r="A788" s="25" t="s">
        <v>529</v>
      </c>
      <c r="B788" s="16">
        <v>908</v>
      </c>
      <c r="C788" s="20" t="s">
        <v>250</v>
      </c>
      <c r="D788" s="20" t="s">
        <v>134</v>
      </c>
      <c r="E788" s="20" t="s">
        <v>530</v>
      </c>
      <c r="F788" s="20"/>
      <c r="G788" s="26">
        <f>G789</f>
        <v>0</v>
      </c>
      <c r="H788" s="177"/>
    </row>
    <row r="789" spans="1:12" ht="15.75" hidden="1" x14ac:dyDescent="0.25">
      <c r="A789" s="25" t="s">
        <v>151</v>
      </c>
      <c r="B789" s="16">
        <v>908</v>
      </c>
      <c r="C789" s="20" t="s">
        <v>250</v>
      </c>
      <c r="D789" s="20" t="s">
        <v>134</v>
      </c>
      <c r="E789" s="20" t="s">
        <v>530</v>
      </c>
      <c r="F789" s="20" t="s">
        <v>161</v>
      </c>
      <c r="G789" s="26">
        <f>G790</f>
        <v>0</v>
      </c>
      <c r="H789" s="177"/>
    </row>
    <row r="790" spans="1:12" ht="63" hidden="1" x14ac:dyDescent="0.25">
      <c r="A790" s="25" t="s">
        <v>200</v>
      </c>
      <c r="B790" s="16">
        <v>908</v>
      </c>
      <c r="C790" s="20" t="s">
        <v>250</v>
      </c>
      <c r="D790" s="20" t="s">
        <v>134</v>
      </c>
      <c r="E790" s="20" t="s">
        <v>530</v>
      </c>
      <c r="F790" s="20" t="s">
        <v>176</v>
      </c>
      <c r="G790" s="26">
        <v>0</v>
      </c>
      <c r="H790" s="177"/>
    </row>
    <row r="791" spans="1:12" ht="15.75" x14ac:dyDescent="0.25">
      <c r="A791" s="25" t="s">
        <v>157</v>
      </c>
      <c r="B791" s="16">
        <v>908</v>
      </c>
      <c r="C791" s="20" t="s">
        <v>250</v>
      </c>
      <c r="D791" s="20" t="s">
        <v>134</v>
      </c>
      <c r="E791" s="20" t="s">
        <v>158</v>
      </c>
      <c r="F791" s="24"/>
      <c r="G791" s="26">
        <f>G792+G797</f>
        <v>7765.4000000000005</v>
      </c>
      <c r="H791" s="177"/>
    </row>
    <row r="792" spans="1:12" ht="15.75" x14ac:dyDescent="0.25">
      <c r="A792" s="25" t="s">
        <v>531</v>
      </c>
      <c r="B792" s="16">
        <v>908</v>
      </c>
      <c r="C792" s="20" t="s">
        <v>250</v>
      </c>
      <c r="D792" s="20" t="s">
        <v>134</v>
      </c>
      <c r="E792" s="20" t="s">
        <v>532</v>
      </c>
      <c r="F792" s="24"/>
      <c r="G792" s="26">
        <f>G795+G793</f>
        <v>3531.3</v>
      </c>
      <c r="H792" s="177"/>
    </row>
    <row r="793" spans="1:12" ht="31.5" x14ac:dyDescent="0.25">
      <c r="A793" s="25" t="s">
        <v>147</v>
      </c>
      <c r="B793" s="16">
        <v>908</v>
      </c>
      <c r="C793" s="20" t="s">
        <v>250</v>
      </c>
      <c r="D793" s="20" t="s">
        <v>134</v>
      </c>
      <c r="E793" s="20" t="s">
        <v>532</v>
      </c>
      <c r="F793" s="20" t="s">
        <v>148</v>
      </c>
      <c r="G793" s="26">
        <f>G794</f>
        <v>1131.3</v>
      </c>
      <c r="H793" s="177"/>
    </row>
    <row r="794" spans="1:12" ht="47.25" x14ac:dyDescent="0.25">
      <c r="A794" s="25" t="s">
        <v>149</v>
      </c>
      <c r="B794" s="16">
        <v>908</v>
      </c>
      <c r="C794" s="20" t="s">
        <v>250</v>
      </c>
      <c r="D794" s="20" t="s">
        <v>134</v>
      </c>
      <c r="E794" s="20" t="s">
        <v>532</v>
      </c>
      <c r="F794" s="20" t="s">
        <v>150</v>
      </c>
      <c r="G794" s="26">
        <v>1131.3</v>
      </c>
      <c r="H794" s="106"/>
      <c r="I794" s="125"/>
    </row>
    <row r="795" spans="1:12" ht="15.75" x14ac:dyDescent="0.25">
      <c r="A795" s="25" t="s">
        <v>151</v>
      </c>
      <c r="B795" s="16">
        <v>908</v>
      </c>
      <c r="C795" s="20" t="s">
        <v>250</v>
      </c>
      <c r="D795" s="20" t="s">
        <v>134</v>
      </c>
      <c r="E795" s="20" t="s">
        <v>532</v>
      </c>
      <c r="F795" s="20" t="s">
        <v>161</v>
      </c>
      <c r="G795" s="26">
        <f>G796</f>
        <v>2400</v>
      </c>
      <c r="H795" s="177"/>
    </row>
    <row r="796" spans="1:12" ht="63" x14ac:dyDescent="0.25">
      <c r="A796" s="25" t="s">
        <v>200</v>
      </c>
      <c r="B796" s="16">
        <v>908</v>
      </c>
      <c r="C796" s="20" t="s">
        <v>250</v>
      </c>
      <c r="D796" s="20" t="s">
        <v>134</v>
      </c>
      <c r="E796" s="20" t="s">
        <v>532</v>
      </c>
      <c r="F796" s="20" t="s">
        <v>176</v>
      </c>
      <c r="G796" s="26">
        <f>1500+900</f>
        <v>2400</v>
      </c>
      <c r="H796" s="177"/>
      <c r="I796" s="115"/>
    </row>
    <row r="797" spans="1:12" ht="31.5" x14ac:dyDescent="0.25">
      <c r="A797" s="29" t="s">
        <v>414</v>
      </c>
      <c r="B797" s="16">
        <v>908</v>
      </c>
      <c r="C797" s="20" t="s">
        <v>250</v>
      </c>
      <c r="D797" s="20" t="s">
        <v>134</v>
      </c>
      <c r="E797" s="20" t="s">
        <v>415</v>
      </c>
      <c r="F797" s="24"/>
      <c r="G797" s="26">
        <f>G798</f>
        <v>4234.1000000000004</v>
      </c>
      <c r="H797" s="177"/>
    </row>
    <row r="798" spans="1:12" ht="31.5" x14ac:dyDescent="0.25">
      <c r="A798" s="25" t="s">
        <v>147</v>
      </c>
      <c r="B798" s="16">
        <v>908</v>
      </c>
      <c r="C798" s="20" t="s">
        <v>250</v>
      </c>
      <c r="D798" s="20" t="s">
        <v>134</v>
      </c>
      <c r="E798" s="20" t="s">
        <v>415</v>
      </c>
      <c r="F798" s="20" t="s">
        <v>148</v>
      </c>
      <c r="G798" s="26">
        <f>G799</f>
        <v>4234.1000000000004</v>
      </c>
      <c r="H798" s="177"/>
    </row>
    <row r="799" spans="1:12" ht="47.25" x14ac:dyDescent="0.25">
      <c r="A799" s="25" t="s">
        <v>149</v>
      </c>
      <c r="B799" s="16">
        <v>908</v>
      </c>
      <c r="C799" s="20" t="s">
        <v>250</v>
      </c>
      <c r="D799" s="20" t="s">
        <v>134</v>
      </c>
      <c r="E799" s="20" t="s">
        <v>415</v>
      </c>
      <c r="F799" s="20" t="s">
        <v>150</v>
      </c>
      <c r="G799" s="27">
        <f>3811.8+422.3</f>
        <v>4234.1000000000004</v>
      </c>
      <c r="H799" s="177"/>
    </row>
    <row r="800" spans="1:12" ht="15.75" x14ac:dyDescent="0.25">
      <c r="A800" s="23" t="s">
        <v>533</v>
      </c>
      <c r="B800" s="19">
        <v>908</v>
      </c>
      <c r="C800" s="24" t="s">
        <v>250</v>
      </c>
      <c r="D800" s="24" t="s">
        <v>229</v>
      </c>
      <c r="E800" s="24"/>
      <c r="F800" s="24"/>
      <c r="G800" s="21">
        <f>G801+G826</f>
        <v>53711.1</v>
      </c>
      <c r="H800" s="177"/>
      <c r="I800" s="115"/>
      <c r="L800" s="116"/>
    </row>
    <row r="801" spans="1:10" ht="82.5" customHeight="1" x14ac:dyDescent="0.25">
      <c r="A801" s="25" t="s">
        <v>611</v>
      </c>
      <c r="B801" s="16">
        <v>908</v>
      </c>
      <c r="C801" s="20" t="s">
        <v>250</v>
      </c>
      <c r="D801" s="20" t="s">
        <v>229</v>
      </c>
      <c r="E801" s="20" t="s">
        <v>534</v>
      </c>
      <c r="F801" s="24"/>
      <c r="G801" s="26">
        <f>G805+G808+G811+G814+G817+G823</f>
        <v>5567.9000000000005</v>
      </c>
      <c r="H801" s="179"/>
      <c r="I801" s="115"/>
    </row>
    <row r="802" spans="1:10" ht="47.25" hidden="1" x14ac:dyDescent="0.25">
      <c r="A802" s="35" t="s">
        <v>535</v>
      </c>
      <c r="B802" s="16">
        <v>908</v>
      </c>
      <c r="C802" s="20" t="s">
        <v>250</v>
      </c>
      <c r="D802" s="20" t="s">
        <v>229</v>
      </c>
      <c r="E802" s="20" t="s">
        <v>536</v>
      </c>
      <c r="F802" s="20"/>
      <c r="G802" s="26">
        <f>G803</f>
        <v>0</v>
      </c>
      <c r="H802" s="177"/>
    </row>
    <row r="803" spans="1:10" ht="31.5" hidden="1" x14ac:dyDescent="0.25">
      <c r="A803" s="25" t="s">
        <v>147</v>
      </c>
      <c r="B803" s="16">
        <v>908</v>
      </c>
      <c r="C803" s="20" t="s">
        <v>250</v>
      </c>
      <c r="D803" s="20" t="s">
        <v>229</v>
      </c>
      <c r="E803" s="20" t="s">
        <v>536</v>
      </c>
      <c r="F803" s="20" t="s">
        <v>148</v>
      </c>
      <c r="G803" s="26">
        <f>G804</f>
        <v>0</v>
      </c>
      <c r="H803" s="177"/>
    </row>
    <row r="804" spans="1:10" ht="47.25" hidden="1" x14ac:dyDescent="0.25">
      <c r="A804" s="25" t="s">
        <v>149</v>
      </c>
      <c r="B804" s="16">
        <v>908</v>
      </c>
      <c r="C804" s="20" t="s">
        <v>250</v>
      </c>
      <c r="D804" s="20" t="s">
        <v>229</v>
      </c>
      <c r="E804" s="20" t="s">
        <v>536</v>
      </c>
      <c r="F804" s="20" t="s">
        <v>150</v>
      </c>
      <c r="G804" s="26">
        <v>0</v>
      </c>
      <c r="H804" s="177"/>
    </row>
    <row r="805" spans="1:10" ht="15.75" x14ac:dyDescent="0.25">
      <c r="A805" s="45" t="s">
        <v>537</v>
      </c>
      <c r="B805" s="16">
        <v>908</v>
      </c>
      <c r="C805" s="40" t="s">
        <v>250</v>
      </c>
      <c r="D805" s="40" t="s">
        <v>229</v>
      </c>
      <c r="E805" s="20" t="s">
        <v>538</v>
      </c>
      <c r="F805" s="40"/>
      <c r="G805" s="26">
        <f>G806</f>
        <v>450</v>
      </c>
      <c r="H805" s="177"/>
    </row>
    <row r="806" spans="1:10" ht="31.5" x14ac:dyDescent="0.25">
      <c r="A806" s="31" t="s">
        <v>147</v>
      </c>
      <c r="B806" s="16">
        <v>908</v>
      </c>
      <c r="C806" s="40" t="s">
        <v>250</v>
      </c>
      <c r="D806" s="40" t="s">
        <v>229</v>
      </c>
      <c r="E806" s="20" t="s">
        <v>538</v>
      </c>
      <c r="F806" s="40" t="s">
        <v>148</v>
      </c>
      <c r="G806" s="26">
        <f>G807</f>
        <v>450</v>
      </c>
      <c r="H806" s="177"/>
    </row>
    <row r="807" spans="1:10" ht="47.25" x14ac:dyDescent="0.25">
      <c r="A807" s="31" t="s">
        <v>149</v>
      </c>
      <c r="B807" s="16">
        <v>908</v>
      </c>
      <c r="C807" s="40" t="s">
        <v>250</v>
      </c>
      <c r="D807" s="40" t="s">
        <v>229</v>
      </c>
      <c r="E807" s="20" t="s">
        <v>538</v>
      </c>
      <c r="F807" s="40" t="s">
        <v>150</v>
      </c>
      <c r="G807" s="26">
        <v>450</v>
      </c>
      <c r="H807" s="177"/>
    </row>
    <row r="808" spans="1:10" ht="15.75" x14ac:dyDescent="0.25">
      <c r="A808" s="45" t="s">
        <v>539</v>
      </c>
      <c r="B808" s="16">
        <v>908</v>
      </c>
      <c r="C808" s="40" t="s">
        <v>250</v>
      </c>
      <c r="D808" s="40" t="s">
        <v>229</v>
      </c>
      <c r="E808" s="20" t="s">
        <v>540</v>
      </c>
      <c r="F808" s="40"/>
      <c r="G808" s="26">
        <f>G809</f>
        <v>3107</v>
      </c>
      <c r="H808" s="177"/>
    </row>
    <row r="809" spans="1:10" ht="31.5" x14ac:dyDescent="0.25">
      <c r="A809" s="31" t="s">
        <v>147</v>
      </c>
      <c r="B809" s="16">
        <v>908</v>
      </c>
      <c r="C809" s="40" t="s">
        <v>250</v>
      </c>
      <c r="D809" s="40" t="s">
        <v>229</v>
      </c>
      <c r="E809" s="20" t="s">
        <v>540</v>
      </c>
      <c r="F809" s="40" t="s">
        <v>148</v>
      </c>
      <c r="G809" s="26">
        <f>G810</f>
        <v>3107</v>
      </c>
      <c r="H809" s="177"/>
    </row>
    <row r="810" spans="1:10" ht="47.25" x14ac:dyDescent="0.25">
      <c r="A810" s="31" t="s">
        <v>149</v>
      </c>
      <c r="B810" s="16">
        <v>908</v>
      </c>
      <c r="C810" s="40" t="s">
        <v>250</v>
      </c>
      <c r="D810" s="40" t="s">
        <v>229</v>
      </c>
      <c r="E810" s="20" t="s">
        <v>540</v>
      </c>
      <c r="F810" s="40" t="s">
        <v>150</v>
      </c>
      <c r="G810" s="167">
        <f>110+20+2977</f>
        <v>3107</v>
      </c>
      <c r="H810" s="161" t="s">
        <v>767</v>
      </c>
    </row>
    <row r="811" spans="1:10" ht="15.75" x14ac:dyDescent="0.25">
      <c r="A811" s="45" t="s">
        <v>541</v>
      </c>
      <c r="B811" s="16">
        <v>908</v>
      </c>
      <c r="C811" s="40" t="s">
        <v>250</v>
      </c>
      <c r="D811" s="40" t="s">
        <v>229</v>
      </c>
      <c r="E811" s="20" t="s">
        <v>542</v>
      </c>
      <c r="F811" s="40"/>
      <c r="G811" s="26">
        <f>G812</f>
        <v>1374.6</v>
      </c>
      <c r="H811" s="177"/>
    </row>
    <row r="812" spans="1:10" ht="31.5" x14ac:dyDescent="0.25">
      <c r="A812" s="31" t="s">
        <v>147</v>
      </c>
      <c r="B812" s="16">
        <v>908</v>
      </c>
      <c r="C812" s="40" t="s">
        <v>250</v>
      </c>
      <c r="D812" s="40" t="s">
        <v>229</v>
      </c>
      <c r="E812" s="20" t="s">
        <v>542</v>
      </c>
      <c r="F812" s="40" t="s">
        <v>148</v>
      </c>
      <c r="G812" s="26">
        <f>G813</f>
        <v>1374.6</v>
      </c>
      <c r="H812" s="177"/>
    </row>
    <row r="813" spans="1:10" ht="47.25" x14ac:dyDescent="0.25">
      <c r="A813" s="31" t="s">
        <v>149</v>
      </c>
      <c r="B813" s="16">
        <v>908</v>
      </c>
      <c r="C813" s="40" t="s">
        <v>250</v>
      </c>
      <c r="D813" s="40" t="s">
        <v>229</v>
      </c>
      <c r="E813" s="20" t="s">
        <v>542</v>
      </c>
      <c r="F813" s="40" t="s">
        <v>150</v>
      </c>
      <c r="G813" s="167">
        <f>10+30+3534.6-2200</f>
        <v>1374.6</v>
      </c>
      <c r="H813" s="113" t="s">
        <v>773</v>
      </c>
      <c r="J813" s="169" t="s">
        <v>774</v>
      </c>
    </row>
    <row r="814" spans="1:10" ht="15.75" x14ac:dyDescent="0.25">
      <c r="A814" s="45" t="s">
        <v>543</v>
      </c>
      <c r="B814" s="16">
        <v>908</v>
      </c>
      <c r="C814" s="40" t="s">
        <v>250</v>
      </c>
      <c r="D814" s="40" t="s">
        <v>229</v>
      </c>
      <c r="E814" s="20" t="s">
        <v>544</v>
      </c>
      <c r="F814" s="40"/>
      <c r="G814" s="26">
        <f>G815</f>
        <v>159.10000000000002</v>
      </c>
      <c r="H814" s="177"/>
    </row>
    <row r="815" spans="1:10" ht="31.5" x14ac:dyDescent="0.25">
      <c r="A815" s="31" t="s">
        <v>147</v>
      </c>
      <c r="B815" s="16">
        <v>908</v>
      </c>
      <c r="C815" s="40" t="s">
        <v>250</v>
      </c>
      <c r="D815" s="40" t="s">
        <v>229</v>
      </c>
      <c r="E815" s="20" t="s">
        <v>544</v>
      </c>
      <c r="F815" s="40" t="s">
        <v>148</v>
      </c>
      <c r="G815" s="26">
        <f>G816</f>
        <v>159.10000000000002</v>
      </c>
      <c r="H815" s="177"/>
    </row>
    <row r="816" spans="1:10" ht="47.25" x14ac:dyDescent="0.25">
      <c r="A816" s="31" t="s">
        <v>149</v>
      </c>
      <c r="B816" s="16">
        <v>908</v>
      </c>
      <c r="C816" s="40" t="s">
        <v>250</v>
      </c>
      <c r="D816" s="40" t="s">
        <v>229</v>
      </c>
      <c r="E816" s="20" t="s">
        <v>544</v>
      </c>
      <c r="F816" s="40" t="s">
        <v>150</v>
      </c>
      <c r="G816" s="167">
        <f>250+5+681.1-522-255</f>
        <v>159.10000000000002</v>
      </c>
      <c r="H816" s="113" t="s">
        <v>768</v>
      </c>
    </row>
    <row r="817" spans="1:10" ht="15.75" x14ac:dyDescent="0.25">
      <c r="A817" s="45" t="s">
        <v>545</v>
      </c>
      <c r="B817" s="16">
        <v>908</v>
      </c>
      <c r="C817" s="40" t="s">
        <v>250</v>
      </c>
      <c r="D817" s="40" t="s">
        <v>229</v>
      </c>
      <c r="E817" s="20" t="s">
        <v>546</v>
      </c>
      <c r="F817" s="40"/>
      <c r="G817" s="26">
        <f>G818</f>
        <v>288.2</v>
      </c>
      <c r="H817" s="177"/>
    </row>
    <row r="818" spans="1:10" ht="31.5" x14ac:dyDescent="0.25">
      <c r="A818" s="31" t="s">
        <v>147</v>
      </c>
      <c r="B818" s="16">
        <v>908</v>
      </c>
      <c r="C818" s="40" t="s">
        <v>250</v>
      </c>
      <c r="D818" s="40" t="s">
        <v>229</v>
      </c>
      <c r="E818" s="20" t="s">
        <v>546</v>
      </c>
      <c r="F818" s="40" t="s">
        <v>148</v>
      </c>
      <c r="G818" s="26">
        <f>G819</f>
        <v>288.2</v>
      </c>
      <c r="H818" s="177"/>
    </row>
    <row r="819" spans="1:10" ht="47.25" x14ac:dyDescent="0.25">
      <c r="A819" s="31" t="s">
        <v>149</v>
      </c>
      <c r="B819" s="16">
        <v>908</v>
      </c>
      <c r="C819" s="40" t="s">
        <v>250</v>
      </c>
      <c r="D819" s="40" t="s">
        <v>229</v>
      </c>
      <c r="E819" s="20" t="s">
        <v>546</v>
      </c>
      <c r="F819" s="40" t="s">
        <v>150</v>
      </c>
      <c r="G819" s="26">
        <f>2+286.2</f>
        <v>288.2</v>
      </c>
      <c r="H819" s="113"/>
      <c r="J819" s="170" t="s">
        <v>775</v>
      </c>
    </row>
    <row r="820" spans="1:10" ht="31.5" hidden="1" x14ac:dyDescent="0.25">
      <c r="A820" s="178" t="s">
        <v>547</v>
      </c>
      <c r="B820" s="16">
        <v>908</v>
      </c>
      <c r="C820" s="40" t="s">
        <v>250</v>
      </c>
      <c r="D820" s="40" t="s">
        <v>229</v>
      </c>
      <c r="E820" s="20" t="s">
        <v>548</v>
      </c>
      <c r="F820" s="40"/>
      <c r="G820" s="26">
        <f>G821</f>
        <v>0</v>
      </c>
      <c r="H820" s="177"/>
    </row>
    <row r="821" spans="1:10" ht="31.5" hidden="1" x14ac:dyDescent="0.25">
      <c r="A821" s="31" t="s">
        <v>147</v>
      </c>
      <c r="B821" s="16">
        <v>908</v>
      </c>
      <c r="C821" s="40" t="s">
        <v>250</v>
      </c>
      <c r="D821" s="40" t="s">
        <v>229</v>
      </c>
      <c r="E821" s="20" t="s">
        <v>548</v>
      </c>
      <c r="F821" s="40" t="s">
        <v>148</v>
      </c>
      <c r="G821" s="26">
        <f>G822</f>
        <v>0</v>
      </c>
      <c r="H821" s="177"/>
    </row>
    <row r="822" spans="1:10" ht="47.25" hidden="1" x14ac:dyDescent="0.25">
      <c r="A822" s="31" t="s">
        <v>149</v>
      </c>
      <c r="B822" s="16">
        <v>908</v>
      </c>
      <c r="C822" s="40" t="s">
        <v>250</v>
      </c>
      <c r="D822" s="40" t="s">
        <v>229</v>
      </c>
      <c r="E822" s="20" t="s">
        <v>548</v>
      </c>
      <c r="F822" s="40" t="s">
        <v>150</v>
      </c>
      <c r="G822" s="26">
        <v>0</v>
      </c>
      <c r="H822" s="177"/>
    </row>
    <row r="823" spans="1:10" ht="15.75" x14ac:dyDescent="0.25">
      <c r="A823" s="178" t="s">
        <v>549</v>
      </c>
      <c r="B823" s="16">
        <v>908</v>
      </c>
      <c r="C823" s="40" t="s">
        <v>250</v>
      </c>
      <c r="D823" s="40" t="s">
        <v>229</v>
      </c>
      <c r="E823" s="20" t="s">
        <v>550</v>
      </c>
      <c r="F823" s="40"/>
      <c r="G823" s="26">
        <f>G824</f>
        <v>189</v>
      </c>
      <c r="H823" s="177"/>
    </row>
    <row r="824" spans="1:10" ht="31.5" x14ac:dyDescent="0.25">
      <c r="A824" s="25" t="s">
        <v>147</v>
      </c>
      <c r="B824" s="16">
        <v>908</v>
      </c>
      <c r="C824" s="40" t="s">
        <v>250</v>
      </c>
      <c r="D824" s="40" t="s">
        <v>229</v>
      </c>
      <c r="E824" s="20" t="s">
        <v>550</v>
      </c>
      <c r="F824" s="40" t="s">
        <v>148</v>
      </c>
      <c r="G824" s="26">
        <f>G825</f>
        <v>189</v>
      </c>
      <c r="H824" s="177"/>
    </row>
    <row r="825" spans="1:10" ht="47.25" x14ac:dyDescent="0.25">
      <c r="A825" s="25" t="s">
        <v>149</v>
      </c>
      <c r="B825" s="16">
        <v>908</v>
      </c>
      <c r="C825" s="40" t="s">
        <v>250</v>
      </c>
      <c r="D825" s="40" t="s">
        <v>229</v>
      </c>
      <c r="E825" s="20" t="s">
        <v>550</v>
      </c>
      <c r="F825" s="40" t="s">
        <v>150</v>
      </c>
      <c r="G825" s="26">
        <f>15+174</f>
        <v>189</v>
      </c>
      <c r="H825" s="113"/>
      <c r="J825" s="170" t="s">
        <v>776</v>
      </c>
    </row>
    <row r="826" spans="1:10" ht="15.75" x14ac:dyDescent="0.25">
      <c r="A826" s="25" t="s">
        <v>137</v>
      </c>
      <c r="B826" s="16">
        <v>908</v>
      </c>
      <c r="C826" s="20" t="s">
        <v>250</v>
      </c>
      <c r="D826" s="20" t="s">
        <v>229</v>
      </c>
      <c r="E826" s="20" t="s">
        <v>138</v>
      </c>
      <c r="F826" s="20"/>
      <c r="G826" s="26">
        <f>G827+G837</f>
        <v>48143.199999999997</v>
      </c>
      <c r="H826" s="177"/>
    </row>
    <row r="827" spans="1:10" ht="31.5" x14ac:dyDescent="0.25">
      <c r="A827" s="25" t="s">
        <v>201</v>
      </c>
      <c r="B827" s="16">
        <v>908</v>
      </c>
      <c r="C827" s="20" t="s">
        <v>250</v>
      </c>
      <c r="D827" s="20" t="s">
        <v>229</v>
      </c>
      <c r="E827" s="20" t="s">
        <v>202</v>
      </c>
      <c r="F827" s="20"/>
      <c r="G827" s="26">
        <f>G828+G831+G834</f>
        <v>25111.200000000001</v>
      </c>
      <c r="H827" s="177"/>
    </row>
    <row r="828" spans="1:10" ht="47.25" x14ac:dyDescent="0.25">
      <c r="A828" s="100" t="s">
        <v>698</v>
      </c>
      <c r="B828" s="16">
        <v>908</v>
      </c>
      <c r="C828" s="20" t="s">
        <v>250</v>
      </c>
      <c r="D828" s="20" t="s">
        <v>229</v>
      </c>
      <c r="E828" s="20" t="s">
        <v>551</v>
      </c>
      <c r="F828" s="20"/>
      <c r="G828" s="26">
        <f>G829</f>
        <v>5000</v>
      </c>
      <c r="H828" s="177"/>
    </row>
    <row r="829" spans="1:10" ht="31.5" x14ac:dyDescent="0.25">
      <c r="A829" s="25" t="s">
        <v>147</v>
      </c>
      <c r="B829" s="16">
        <v>908</v>
      </c>
      <c r="C829" s="20" t="s">
        <v>250</v>
      </c>
      <c r="D829" s="20" t="s">
        <v>229</v>
      </c>
      <c r="E829" s="20" t="s">
        <v>551</v>
      </c>
      <c r="F829" s="20" t="s">
        <v>148</v>
      </c>
      <c r="G829" s="26">
        <f>G830</f>
        <v>5000</v>
      </c>
      <c r="H829" s="177"/>
    </row>
    <row r="830" spans="1:10" ht="47.25" x14ac:dyDescent="0.25">
      <c r="A830" s="25" t="s">
        <v>149</v>
      </c>
      <c r="B830" s="16">
        <v>908</v>
      </c>
      <c r="C830" s="20" t="s">
        <v>250</v>
      </c>
      <c r="D830" s="20" t="s">
        <v>229</v>
      </c>
      <c r="E830" s="20" t="s">
        <v>551</v>
      </c>
      <c r="F830" s="20" t="s">
        <v>150</v>
      </c>
      <c r="G830" s="26">
        <f>5000</f>
        <v>5000</v>
      </c>
      <c r="H830" s="177"/>
      <c r="I830" s="115"/>
    </row>
    <row r="831" spans="1:10" ht="31.5" x14ac:dyDescent="0.25">
      <c r="A831" s="35" t="s">
        <v>704</v>
      </c>
      <c r="B831" s="16">
        <v>908</v>
      </c>
      <c r="C831" s="20" t="s">
        <v>250</v>
      </c>
      <c r="D831" s="20" t="s">
        <v>229</v>
      </c>
      <c r="E831" s="20" t="s">
        <v>552</v>
      </c>
      <c r="F831" s="20"/>
      <c r="G831" s="26">
        <f>G832</f>
        <v>20000</v>
      </c>
      <c r="H831" s="177"/>
    </row>
    <row r="832" spans="1:10" ht="31.5" x14ac:dyDescent="0.25">
      <c r="A832" s="25" t="s">
        <v>147</v>
      </c>
      <c r="B832" s="16">
        <v>908</v>
      </c>
      <c r="C832" s="20" t="s">
        <v>250</v>
      </c>
      <c r="D832" s="20" t="s">
        <v>229</v>
      </c>
      <c r="E832" s="20" t="s">
        <v>552</v>
      </c>
      <c r="F832" s="20" t="s">
        <v>148</v>
      </c>
      <c r="G832" s="26">
        <f>G833</f>
        <v>20000</v>
      </c>
      <c r="H832" s="177"/>
    </row>
    <row r="833" spans="1:10" ht="47.25" x14ac:dyDescent="0.25">
      <c r="A833" s="25" t="s">
        <v>149</v>
      </c>
      <c r="B833" s="16">
        <v>908</v>
      </c>
      <c r="C833" s="20" t="s">
        <v>250</v>
      </c>
      <c r="D833" s="20" t="s">
        <v>229</v>
      </c>
      <c r="E833" s="20" t="s">
        <v>552</v>
      </c>
      <c r="F833" s="20" t="s">
        <v>150</v>
      </c>
      <c r="G833" s="26">
        <v>20000</v>
      </c>
      <c r="H833" s="106"/>
    </row>
    <row r="834" spans="1:10" ht="47.25" x14ac:dyDescent="0.25">
      <c r="A834" s="25" t="s">
        <v>705</v>
      </c>
      <c r="B834" s="16">
        <v>908</v>
      </c>
      <c r="C834" s="20" t="s">
        <v>250</v>
      </c>
      <c r="D834" s="20" t="s">
        <v>229</v>
      </c>
      <c r="E834" s="20" t="s">
        <v>706</v>
      </c>
      <c r="F834" s="20"/>
      <c r="G834" s="26">
        <f>G835</f>
        <v>111.2</v>
      </c>
      <c r="H834" s="108"/>
    </row>
    <row r="835" spans="1:10" ht="31.5" x14ac:dyDescent="0.25">
      <c r="A835" s="25" t="s">
        <v>147</v>
      </c>
      <c r="B835" s="16">
        <v>908</v>
      </c>
      <c r="C835" s="20" t="s">
        <v>250</v>
      </c>
      <c r="D835" s="20" t="s">
        <v>229</v>
      </c>
      <c r="E835" s="20" t="s">
        <v>706</v>
      </c>
      <c r="F835" s="20" t="s">
        <v>148</v>
      </c>
      <c r="G835" s="26">
        <f>G836</f>
        <v>111.2</v>
      </c>
      <c r="H835" s="108"/>
    </row>
    <row r="836" spans="1:10" ht="47.25" x14ac:dyDescent="0.25">
      <c r="A836" s="25" t="s">
        <v>149</v>
      </c>
      <c r="B836" s="16">
        <v>908</v>
      </c>
      <c r="C836" s="20" t="s">
        <v>250</v>
      </c>
      <c r="D836" s="20" t="s">
        <v>229</v>
      </c>
      <c r="E836" s="20" t="s">
        <v>706</v>
      </c>
      <c r="F836" s="20" t="s">
        <v>150</v>
      </c>
      <c r="G836" s="26">
        <v>111.2</v>
      </c>
      <c r="H836" s="108"/>
    </row>
    <row r="837" spans="1:10" ht="15.75" x14ac:dyDescent="0.25">
      <c r="A837" s="25" t="s">
        <v>157</v>
      </c>
      <c r="B837" s="16">
        <v>908</v>
      </c>
      <c r="C837" s="20" t="s">
        <v>250</v>
      </c>
      <c r="D837" s="20" t="s">
        <v>229</v>
      </c>
      <c r="E837" s="20" t="s">
        <v>158</v>
      </c>
      <c r="F837" s="20"/>
      <c r="G837" s="26">
        <f>G838+G844</f>
        <v>23031.999999999996</v>
      </c>
      <c r="H837" s="177"/>
    </row>
    <row r="838" spans="1:10" ht="31.5" x14ac:dyDescent="0.25">
      <c r="A838" s="35" t="s">
        <v>553</v>
      </c>
      <c r="B838" s="16">
        <v>908</v>
      </c>
      <c r="C838" s="20" t="s">
        <v>250</v>
      </c>
      <c r="D838" s="20" t="s">
        <v>229</v>
      </c>
      <c r="E838" s="20" t="s">
        <v>554</v>
      </c>
      <c r="F838" s="20"/>
      <c r="G838" s="26">
        <f>G839+G841</f>
        <v>20353.699999999997</v>
      </c>
      <c r="H838" s="177"/>
    </row>
    <row r="839" spans="1:10" ht="31.5" x14ac:dyDescent="0.25">
      <c r="A839" s="25" t="s">
        <v>147</v>
      </c>
      <c r="B839" s="16">
        <v>908</v>
      </c>
      <c r="C839" s="20" t="s">
        <v>250</v>
      </c>
      <c r="D839" s="20" t="s">
        <v>229</v>
      </c>
      <c r="E839" s="20" t="s">
        <v>554</v>
      </c>
      <c r="F839" s="20" t="s">
        <v>148</v>
      </c>
      <c r="G839" s="26">
        <f>G840</f>
        <v>20322.099999999999</v>
      </c>
      <c r="H839" s="177"/>
    </row>
    <row r="840" spans="1:10" ht="47.25" x14ac:dyDescent="0.25">
      <c r="A840" s="25" t="s">
        <v>149</v>
      </c>
      <c r="B840" s="16">
        <v>908</v>
      </c>
      <c r="C840" s="20" t="s">
        <v>250</v>
      </c>
      <c r="D840" s="20" t="s">
        <v>229</v>
      </c>
      <c r="E840" s="20" t="s">
        <v>554</v>
      </c>
      <c r="F840" s="20" t="s">
        <v>150</v>
      </c>
      <c r="G840" s="162">
        <f>10880-5000-2230+172.1+16500</f>
        <v>20322.099999999999</v>
      </c>
      <c r="H840" s="106" t="s">
        <v>772</v>
      </c>
      <c r="I840" s="115"/>
      <c r="J840" s="171" t="s">
        <v>741</v>
      </c>
    </row>
    <row r="841" spans="1:10" ht="15.75" x14ac:dyDescent="0.25">
      <c r="A841" s="25" t="s">
        <v>151</v>
      </c>
      <c r="B841" s="16">
        <v>908</v>
      </c>
      <c r="C841" s="20" t="s">
        <v>250</v>
      </c>
      <c r="D841" s="20" t="s">
        <v>229</v>
      </c>
      <c r="E841" s="20" t="s">
        <v>554</v>
      </c>
      <c r="F841" s="20" t="s">
        <v>161</v>
      </c>
      <c r="G841" s="26">
        <f>G842+G843</f>
        <v>31.6</v>
      </c>
      <c r="H841" s="177"/>
    </row>
    <row r="842" spans="1:10" ht="63" hidden="1" x14ac:dyDescent="0.25">
      <c r="A842" s="25" t="s">
        <v>200</v>
      </c>
      <c r="B842" s="16">
        <v>908</v>
      </c>
      <c r="C842" s="20" t="s">
        <v>250</v>
      </c>
      <c r="D842" s="20" t="s">
        <v>229</v>
      </c>
      <c r="E842" s="20" t="s">
        <v>554</v>
      </c>
      <c r="F842" s="20" t="s">
        <v>176</v>
      </c>
      <c r="G842" s="26">
        <v>0</v>
      </c>
      <c r="H842" s="177"/>
    </row>
    <row r="843" spans="1:10" ht="15.75" x14ac:dyDescent="0.25">
      <c r="A843" s="25" t="s">
        <v>584</v>
      </c>
      <c r="B843" s="16">
        <v>908</v>
      </c>
      <c r="C843" s="20" t="s">
        <v>250</v>
      </c>
      <c r="D843" s="20" t="s">
        <v>229</v>
      </c>
      <c r="E843" s="20" t="s">
        <v>554</v>
      </c>
      <c r="F843" s="20" t="s">
        <v>154</v>
      </c>
      <c r="G843" s="26">
        <v>31.6</v>
      </c>
      <c r="H843" s="106"/>
      <c r="I843" s="124"/>
    </row>
    <row r="844" spans="1:10" ht="15.75" x14ac:dyDescent="0.25">
      <c r="A844" s="25" t="s">
        <v>555</v>
      </c>
      <c r="B844" s="16">
        <v>908</v>
      </c>
      <c r="C844" s="20" t="s">
        <v>250</v>
      </c>
      <c r="D844" s="20" t="s">
        <v>229</v>
      </c>
      <c r="E844" s="20" t="s">
        <v>556</v>
      </c>
      <c r="F844" s="20"/>
      <c r="G844" s="26">
        <f>G845</f>
        <v>2678.3</v>
      </c>
      <c r="H844" s="177"/>
    </row>
    <row r="845" spans="1:10" ht="15.75" x14ac:dyDescent="0.25">
      <c r="A845" s="25" t="s">
        <v>151</v>
      </c>
      <c r="B845" s="16">
        <v>908</v>
      </c>
      <c r="C845" s="20" t="s">
        <v>250</v>
      </c>
      <c r="D845" s="20" t="s">
        <v>229</v>
      </c>
      <c r="E845" s="20" t="s">
        <v>556</v>
      </c>
      <c r="F845" s="20" t="s">
        <v>161</v>
      </c>
      <c r="G845" s="26">
        <f>G846</f>
        <v>2678.3</v>
      </c>
      <c r="H845" s="177"/>
    </row>
    <row r="846" spans="1:10" ht="15.75" x14ac:dyDescent="0.25">
      <c r="A846" s="25" t="s">
        <v>162</v>
      </c>
      <c r="B846" s="16">
        <v>908</v>
      </c>
      <c r="C846" s="20" t="s">
        <v>250</v>
      </c>
      <c r="D846" s="20" t="s">
        <v>229</v>
      </c>
      <c r="E846" s="20" t="s">
        <v>556</v>
      </c>
      <c r="F846" s="20" t="s">
        <v>163</v>
      </c>
      <c r="G846" s="26">
        <v>2678.3</v>
      </c>
      <c r="H846" s="177"/>
      <c r="I846" s="115"/>
    </row>
    <row r="847" spans="1:10" ht="15.75" x14ac:dyDescent="0.25">
      <c r="A847" s="23" t="s">
        <v>557</v>
      </c>
      <c r="B847" s="19">
        <v>908</v>
      </c>
      <c r="C847" s="24" t="s">
        <v>250</v>
      </c>
      <c r="D847" s="24" t="s">
        <v>231</v>
      </c>
      <c r="E847" s="24"/>
      <c r="F847" s="24"/>
      <c r="G847" s="21">
        <f>G848++G878+G874</f>
        <v>25464.6</v>
      </c>
      <c r="H847" s="177"/>
    </row>
    <row r="848" spans="1:10" ht="47.25" x14ac:dyDescent="0.25">
      <c r="A848" s="25" t="s">
        <v>558</v>
      </c>
      <c r="B848" s="16">
        <v>908</v>
      </c>
      <c r="C848" s="20" t="s">
        <v>250</v>
      </c>
      <c r="D848" s="20" t="s">
        <v>231</v>
      </c>
      <c r="E848" s="20" t="s">
        <v>559</v>
      </c>
      <c r="F848" s="20"/>
      <c r="G848" s="26">
        <f>G849+G859</f>
        <v>12375.499999999998</v>
      </c>
      <c r="H848" s="177"/>
    </row>
    <row r="849" spans="1:8" ht="47.25" x14ac:dyDescent="0.25">
      <c r="A849" s="25" t="s">
        <v>560</v>
      </c>
      <c r="B849" s="16">
        <v>908</v>
      </c>
      <c r="C849" s="20" t="s">
        <v>250</v>
      </c>
      <c r="D849" s="20" t="s">
        <v>231</v>
      </c>
      <c r="E849" s="20" t="s">
        <v>561</v>
      </c>
      <c r="F849" s="20"/>
      <c r="G849" s="26">
        <f>G850+G853+G856</f>
        <v>8697.2999999999993</v>
      </c>
      <c r="H849" s="177"/>
    </row>
    <row r="850" spans="1:8" ht="31.5" x14ac:dyDescent="0.25">
      <c r="A850" s="25" t="s">
        <v>562</v>
      </c>
      <c r="B850" s="16">
        <v>908</v>
      </c>
      <c r="C850" s="20" t="s">
        <v>250</v>
      </c>
      <c r="D850" s="20" t="s">
        <v>231</v>
      </c>
      <c r="E850" s="20" t="s">
        <v>563</v>
      </c>
      <c r="F850" s="20"/>
      <c r="G850" s="26">
        <f>G851</f>
        <v>253.4</v>
      </c>
      <c r="H850" s="177"/>
    </row>
    <row r="851" spans="1:8" ht="31.5" x14ac:dyDescent="0.25">
      <c r="A851" s="25" t="s">
        <v>147</v>
      </c>
      <c r="B851" s="16">
        <v>908</v>
      </c>
      <c r="C851" s="20" t="s">
        <v>250</v>
      </c>
      <c r="D851" s="20" t="s">
        <v>231</v>
      </c>
      <c r="E851" s="20" t="s">
        <v>563</v>
      </c>
      <c r="F851" s="20" t="s">
        <v>148</v>
      </c>
      <c r="G851" s="26">
        <f>G852</f>
        <v>253.4</v>
      </c>
      <c r="H851" s="177"/>
    </row>
    <row r="852" spans="1:8" ht="47.25" x14ac:dyDescent="0.25">
      <c r="A852" s="25" t="s">
        <v>149</v>
      </c>
      <c r="B852" s="16">
        <v>908</v>
      </c>
      <c r="C852" s="20" t="s">
        <v>250</v>
      </c>
      <c r="D852" s="20" t="s">
        <v>231</v>
      </c>
      <c r="E852" s="20" t="s">
        <v>563</v>
      </c>
      <c r="F852" s="20" t="s">
        <v>150</v>
      </c>
      <c r="G852" s="26">
        <v>253.4</v>
      </c>
      <c r="H852" s="177"/>
    </row>
    <row r="853" spans="1:8" ht="15.75" x14ac:dyDescent="0.25">
      <c r="A853" s="25" t="s">
        <v>564</v>
      </c>
      <c r="B853" s="16">
        <v>908</v>
      </c>
      <c r="C853" s="20" t="s">
        <v>250</v>
      </c>
      <c r="D853" s="20" t="s">
        <v>231</v>
      </c>
      <c r="E853" s="20" t="s">
        <v>565</v>
      </c>
      <c r="F853" s="20"/>
      <c r="G853" s="26">
        <f>G854</f>
        <v>5258.6</v>
      </c>
      <c r="H853" s="177"/>
    </row>
    <row r="854" spans="1:8" ht="31.5" x14ac:dyDescent="0.25">
      <c r="A854" s="25" t="s">
        <v>147</v>
      </c>
      <c r="B854" s="16">
        <v>908</v>
      </c>
      <c r="C854" s="20" t="s">
        <v>250</v>
      </c>
      <c r="D854" s="20" t="s">
        <v>231</v>
      </c>
      <c r="E854" s="20" t="s">
        <v>565</v>
      </c>
      <c r="F854" s="20" t="s">
        <v>148</v>
      </c>
      <c r="G854" s="26">
        <f>G855</f>
        <v>5258.6</v>
      </c>
      <c r="H854" s="177"/>
    </row>
    <row r="855" spans="1:8" ht="47.25" x14ac:dyDescent="0.25">
      <c r="A855" s="25" t="s">
        <v>149</v>
      </c>
      <c r="B855" s="16">
        <v>908</v>
      </c>
      <c r="C855" s="20" t="s">
        <v>250</v>
      </c>
      <c r="D855" s="20" t="s">
        <v>231</v>
      </c>
      <c r="E855" s="20" t="s">
        <v>565</v>
      </c>
      <c r="F855" s="20" t="s">
        <v>150</v>
      </c>
      <c r="G855" s="26">
        <v>5258.6</v>
      </c>
      <c r="H855" s="177"/>
    </row>
    <row r="856" spans="1:8" ht="15.75" x14ac:dyDescent="0.25">
      <c r="A856" s="25" t="s">
        <v>566</v>
      </c>
      <c r="B856" s="16">
        <v>908</v>
      </c>
      <c r="C856" s="20" t="s">
        <v>250</v>
      </c>
      <c r="D856" s="20" t="s">
        <v>231</v>
      </c>
      <c r="E856" s="20" t="s">
        <v>567</v>
      </c>
      <c r="F856" s="20"/>
      <c r="G856" s="26">
        <f>G857</f>
        <v>3185.3</v>
      </c>
      <c r="H856" s="177"/>
    </row>
    <row r="857" spans="1:8" ht="31.5" x14ac:dyDescent="0.25">
      <c r="A857" s="25" t="s">
        <v>147</v>
      </c>
      <c r="B857" s="16">
        <v>908</v>
      </c>
      <c r="C857" s="20" t="s">
        <v>250</v>
      </c>
      <c r="D857" s="20" t="s">
        <v>231</v>
      </c>
      <c r="E857" s="20" t="s">
        <v>567</v>
      </c>
      <c r="F857" s="20" t="s">
        <v>148</v>
      </c>
      <c r="G857" s="26">
        <f>G858</f>
        <v>3185.3</v>
      </c>
      <c r="H857" s="177"/>
    </row>
    <row r="858" spans="1:8" ht="47.25" x14ac:dyDescent="0.25">
      <c r="A858" s="25" t="s">
        <v>149</v>
      </c>
      <c r="B858" s="16">
        <v>908</v>
      </c>
      <c r="C858" s="20" t="s">
        <v>250</v>
      </c>
      <c r="D858" s="20" t="s">
        <v>231</v>
      </c>
      <c r="E858" s="20" t="s">
        <v>567</v>
      </c>
      <c r="F858" s="20" t="s">
        <v>150</v>
      </c>
      <c r="G858" s="26">
        <v>3185.3</v>
      </c>
      <c r="H858" s="177"/>
    </row>
    <row r="859" spans="1:8" ht="47.25" x14ac:dyDescent="0.25">
      <c r="A859" s="25" t="s">
        <v>568</v>
      </c>
      <c r="B859" s="16">
        <v>908</v>
      </c>
      <c r="C859" s="20" t="s">
        <v>250</v>
      </c>
      <c r="D859" s="20" t="s">
        <v>231</v>
      </c>
      <c r="E859" s="20" t="s">
        <v>569</v>
      </c>
      <c r="F859" s="20"/>
      <c r="G859" s="26">
        <f>G860+G865+G868+G871</f>
        <v>3678.1999999999994</v>
      </c>
      <c r="H859" s="177"/>
    </row>
    <row r="860" spans="1:8" ht="15.75" x14ac:dyDescent="0.25">
      <c r="A860" s="25" t="s">
        <v>566</v>
      </c>
      <c r="B860" s="16">
        <v>908</v>
      </c>
      <c r="C860" s="20" t="s">
        <v>250</v>
      </c>
      <c r="D860" s="20" t="s">
        <v>231</v>
      </c>
      <c r="E860" s="20" t="s">
        <v>570</v>
      </c>
      <c r="F860" s="20"/>
      <c r="G860" s="26">
        <f>G861+G863</f>
        <v>1112.3999999999999</v>
      </c>
      <c r="H860" s="177"/>
    </row>
    <row r="861" spans="1:8" ht="94.5" x14ac:dyDescent="0.25">
      <c r="A861" s="25" t="s">
        <v>143</v>
      </c>
      <c r="B861" s="16">
        <v>908</v>
      </c>
      <c r="C861" s="20" t="s">
        <v>250</v>
      </c>
      <c r="D861" s="20" t="s">
        <v>231</v>
      </c>
      <c r="E861" s="20" t="s">
        <v>570</v>
      </c>
      <c r="F861" s="20" t="s">
        <v>144</v>
      </c>
      <c r="G861" s="26">
        <f>G862</f>
        <v>892.8</v>
      </c>
      <c r="H861" s="177"/>
    </row>
    <row r="862" spans="1:8" ht="31.5" x14ac:dyDescent="0.25">
      <c r="A862" s="46" t="s">
        <v>358</v>
      </c>
      <c r="B862" s="16">
        <v>908</v>
      </c>
      <c r="C862" s="20" t="s">
        <v>250</v>
      </c>
      <c r="D862" s="20" t="s">
        <v>231</v>
      </c>
      <c r="E862" s="20" t="s">
        <v>570</v>
      </c>
      <c r="F862" s="20" t="s">
        <v>225</v>
      </c>
      <c r="G862" s="26">
        <f>801.5+91.3</f>
        <v>892.8</v>
      </c>
      <c r="H862" s="106"/>
    </row>
    <row r="863" spans="1:8" ht="31.5" x14ac:dyDescent="0.25">
      <c r="A863" s="25" t="s">
        <v>147</v>
      </c>
      <c r="B863" s="16">
        <v>908</v>
      </c>
      <c r="C863" s="20" t="s">
        <v>250</v>
      </c>
      <c r="D863" s="20" t="s">
        <v>231</v>
      </c>
      <c r="E863" s="20" t="s">
        <v>570</v>
      </c>
      <c r="F863" s="20" t="s">
        <v>148</v>
      </c>
      <c r="G863" s="26">
        <f>G864</f>
        <v>219.6</v>
      </c>
      <c r="H863" s="177"/>
    </row>
    <row r="864" spans="1:8" ht="47.25" x14ac:dyDescent="0.25">
      <c r="A864" s="25" t="s">
        <v>149</v>
      </c>
      <c r="B864" s="16">
        <v>908</v>
      </c>
      <c r="C864" s="20" t="s">
        <v>250</v>
      </c>
      <c r="D864" s="20" t="s">
        <v>231</v>
      </c>
      <c r="E864" s="20" t="s">
        <v>570</v>
      </c>
      <c r="F864" s="20" t="s">
        <v>150</v>
      </c>
      <c r="G864" s="26">
        <v>219.6</v>
      </c>
      <c r="H864" s="177"/>
    </row>
    <row r="865" spans="1:8" ht="15.75" x14ac:dyDescent="0.25">
      <c r="A865" s="25" t="s">
        <v>571</v>
      </c>
      <c r="B865" s="16">
        <v>908</v>
      </c>
      <c r="C865" s="20" t="s">
        <v>250</v>
      </c>
      <c r="D865" s="20" t="s">
        <v>231</v>
      </c>
      <c r="E865" s="20" t="s">
        <v>572</v>
      </c>
      <c r="F865" s="20"/>
      <c r="G865" s="26">
        <f>G866</f>
        <v>86.6</v>
      </c>
      <c r="H865" s="177"/>
    </row>
    <row r="866" spans="1:8" ht="31.5" x14ac:dyDescent="0.25">
      <c r="A866" s="25" t="s">
        <v>147</v>
      </c>
      <c r="B866" s="16">
        <v>908</v>
      </c>
      <c r="C866" s="20" t="s">
        <v>250</v>
      </c>
      <c r="D866" s="20" t="s">
        <v>231</v>
      </c>
      <c r="E866" s="20" t="s">
        <v>572</v>
      </c>
      <c r="F866" s="20" t="s">
        <v>148</v>
      </c>
      <c r="G866" s="26">
        <f>G867</f>
        <v>86.6</v>
      </c>
      <c r="H866" s="177"/>
    </row>
    <row r="867" spans="1:8" ht="47.25" x14ac:dyDescent="0.25">
      <c r="A867" s="25" t="s">
        <v>149</v>
      </c>
      <c r="B867" s="16">
        <v>908</v>
      </c>
      <c r="C867" s="20" t="s">
        <v>250</v>
      </c>
      <c r="D867" s="20" t="s">
        <v>231</v>
      </c>
      <c r="E867" s="20" t="s">
        <v>572</v>
      </c>
      <c r="F867" s="20" t="s">
        <v>150</v>
      </c>
      <c r="G867" s="26">
        <v>86.6</v>
      </c>
      <c r="H867" s="177"/>
    </row>
    <row r="868" spans="1:8" ht="47.25" x14ac:dyDescent="0.25">
      <c r="A868" s="45" t="s">
        <v>573</v>
      </c>
      <c r="B868" s="16">
        <v>908</v>
      </c>
      <c r="C868" s="20" t="s">
        <v>250</v>
      </c>
      <c r="D868" s="20" t="s">
        <v>231</v>
      </c>
      <c r="E868" s="20" t="s">
        <v>574</v>
      </c>
      <c r="F868" s="20"/>
      <c r="G868" s="26">
        <f>G869</f>
        <v>2130.6</v>
      </c>
      <c r="H868" s="177"/>
    </row>
    <row r="869" spans="1:8" ht="31.5" x14ac:dyDescent="0.25">
      <c r="A869" s="25" t="s">
        <v>147</v>
      </c>
      <c r="B869" s="16">
        <v>908</v>
      </c>
      <c r="C869" s="20" t="s">
        <v>250</v>
      </c>
      <c r="D869" s="20" t="s">
        <v>231</v>
      </c>
      <c r="E869" s="20" t="s">
        <v>574</v>
      </c>
      <c r="F869" s="20" t="s">
        <v>148</v>
      </c>
      <c r="G869" s="26">
        <f>G870</f>
        <v>2130.6</v>
      </c>
      <c r="H869" s="177"/>
    </row>
    <row r="870" spans="1:8" ht="47.25" x14ac:dyDescent="0.25">
      <c r="A870" s="25" t="s">
        <v>149</v>
      </c>
      <c r="B870" s="16">
        <v>908</v>
      </c>
      <c r="C870" s="20" t="s">
        <v>250</v>
      </c>
      <c r="D870" s="20" t="s">
        <v>231</v>
      </c>
      <c r="E870" s="20" t="s">
        <v>574</v>
      </c>
      <c r="F870" s="20" t="s">
        <v>150</v>
      </c>
      <c r="G870" s="26">
        <v>2130.6</v>
      </c>
      <c r="H870" s="177"/>
    </row>
    <row r="871" spans="1:8" ht="31.5" x14ac:dyDescent="0.25">
      <c r="A871" s="45" t="s">
        <v>575</v>
      </c>
      <c r="B871" s="16">
        <v>908</v>
      </c>
      <c r="C871" s="20" t="s">
        <v>250</v>
      </c>
      <c r="D871" s="20" t="s">
        <v>231</v>
      </c>
      <c r="E871" s="20" t="s">
        <v>576</v>
      </c>
      <c r="F871" s="20"/>
      <c r="G871" s="26">
        <f>G872</f>
        <v>348.6</v>
      </c>
      <c r="H871" s="177"/>
    </row>
    <row r="872" spans="1:8" ht="31.5" x14ac:dyDescent="0.25">
      <c r="A872" s="25" t="s">
        <v>147</v>
      </c>
      <c r="B872" s="16">
        <v>908</v>
      </c>
      <c r="C872" s="20" t="s">
        <v>250</v>
      </c>
      <c r="D872" s="20" t="s">
        <v>231</v>
      </c>
      <c r="E872" s="20" t="s">
        <v>576</v>
      </c>
      <c r="F872" s="20" t="s">
        <v>148</v>
      </c>
      <c r="G872" s="26">
        <f>G873</f>
        <v>348.6</v>
      </c>
      <c r="H872" s="177"/>
    </row>
    <row r="873" spans="1:8" ht="47.25" x14ac:dyDescent="0.25">
      <c r="A873" s="25" t="s">
        <v>149</v>
      </c>
      <c r="B873" s="16">
        <v>908</v>
      </c>
      <c r="C873" s="20" t="s">
        <v>250</v>
      </c>
      <c r="D873" s="20" t="s">
        <v>231</v>
      </c>
      <c r="E873" s="20" t="s">
        <v>576</v>
      </c>
      <c r="F873" s="20" t="s">
        <v>150</v>
      </c>
      <c r="G873" s="26">
        <v>348.6</v>
      </c>
      <c r="H873" s="177"/>
    </row>
    <row r="874" spans="1:8" ht="63" x14ac:dyDescent="0.25">
      <c r="A874" s="25" t="s">
        <v>732</v>
      </c>
      <c r="B874" s="16">
        <v>908</v>
      </c>
      <c r="C874" s="20" t="s">
        <v>250</v>
      </c>
      <c r="D874" s="20" t="s">
        <v>231</v>
      </c>
      <c r="E874" s="20" t="s">
        <v>734</v>
      </c>
      <c r="F874" s="20"/>
      <c r="G874" s="26">
        <f>G875</f>
        <v>600</v>
      </c>
      <c r="H874" s="177"/>
    </row>
    <row r="875" spans="1:8" ht="31.5" x14ac:dyDescent="0.25">
      <c r="A875" s="80" t="s">
        <v>733</v>
      </c>
      <c r="B875" s="16">
        <v>908</v>
      </c>
      <c r="C875" s="20" t="s">
        <v>250</v>
      </c>
      <c r="D875" s="20" t="s">
        <v>231</v>
      </c>
      <c r="E875" s="20" t="s">
        <v>735</v>
      </c>
      <c r="F875" s="20"/>
      <c r="G875" s="26">
        <f>G876</f>
        <v>600</v>
      </c>
      <c r="H875" s="177"/>
    </row>
    <row r="876" spans="1:8" ht="31.5" x14ac:dyDescent="0.25">
      <c r="A876" s="25" t="s">
        <v>147</v>
      </c>
      <c r="B876" s="16">
        <v>908</v>
      </c>
      <c r="C876" s="20" t="s">
        <v>250</v>
      </c>
      <c r="D876" s="20" t="s">
        <v>231</v>
      </c>
      <c r="E876" s="20" t="s">
        <v>735</v>
      </c>
      <c r="F876" s="20" t="s">
        <v>148</v>
      </c>
      <c r="G876" s="26">
        <f>G877</f>
        <v>600</v>
      </c>
      <c r="H876" s="177"/>
    </row>
    <row r="877" spans="1:8" ht="47.25" x14ac:dyDescent="0.25">
      <c r="A877" s="25" t="s">
        <v>149</v>
      </c>
      <c r="B877" s="16">
        <v>908</v>
      </c>
      <c r="C877" s="20" t="s">
        <v>250</v>
      </c>
      <c r="D877" s="20" t="s">
        <v>231</v>
      </c>
      <c r="E877" s="20" t="s">
        <v>735</v>
      </c>
      <c r="F877" s="20" t="s">
        <v>150</v>
      </c>
      <c r="G877" s="26">
        <v>600</v>
      </c>
      <c r="H877" s="106"/>
    </row>
    <row r="878" spans="1:8" ht="15.75" x14ac:dyDescent="0.25">
      <c r="A878" s="25" t="s">
        <v>137</v>
      </c>
      <c r="B878" s="16">
        <v>908</v>
      </c>
      <c r="C878" s="20" t="s">
        <v>250</v>
      </c>
      <c r="D878" s="20" t="s">
        <v>231</v>
      </c>
      <c r="E878" s="20" t="s">
        <v>138</v>
      </c>
      <c r="F878" s="20"/>
      <c r="G878" s="26">
        <f>G879+G892</f>
        <v>12489.099999999999</v>
      </c>
      <c r="H878" s="177"/>
    </row>
    <row r="879" spans="1:8" ht="31.5" x14ac:dyDescent="0.25">
      <c r="A879" s="25" t="s">
        <v>201</v>
      </c>
      <c r="B879" s="16">
        <v>908</v>
      </c>
      <c r="C879" s="20" t="s">
        <v>250</v>
      </c>
      <c r="D879" s="20" t="s">
        <v>231</v>
      </c>
      <c r="E879" s="20" t="s">
        <v>202</v>
      </c>
      <c r="F879" s="20"/>
      <c r="G879" s="26">
        <f>G880+G883+G886+G889</f>
        <v>12033.199999999999</v>
      </c>
      <c r="H879" s="177"/>
    </row>
    <row r="880" spans="1:8" ht="31.5" x14ac:dyDescent="0.25">
      <c r="A880" s="25" t="s">
        <v>577</v>
      </c>
      <c r="B880" s="16">
        <v>908</v>
      </c>
      <c r="C880" s="20" t="s">
        <v>250</v>
      </c>
      <c r="D880" s="20" t="s">
        <v>231</v>
      </c>
      <c r="E880" s="20" t="s">
        <v>578</v>
      </c>
      <c r="F880" s="20"/>
      <c r="G880" s="26">
        <f>G881</f>
        <v>6302.4</v>
      </c>
      <c r="H880" s="177"/>
    </row>
    <row r="881" spans="1:9" ht="31.5" x14ac:dyDescent="0.25">
      <c r="A881" s="25" t="s">
        <v>147</v>
      </c>
      <c r="B881" s="16">
        <v>908</v>
      </c>
      <c r="C881" s="20" t="s">
        <v>250</v>
      </c>
      <c r="D881" s="20" t="s">
        <v>231</v>
      </c>
      <c r="E881" s="20" t="s">
        <v>578</v>
      </c>
      <c r="F881" s="20" t="s">
        <v>148</v>
      </c>
      <c r="G881" s="26">
        <f>G882</f>
        <v>6302.4</v>
      </c>
      <c r="H881" s="177"/>
    </row>
    <row r="882" spans="1:9" ht="47.25" x14ac:dyDescent="0.25">
      <c r="A882" s="25" t="s">
        <v>149</v>
      </c>
      <c r="B882" s="16">
        <v>908</v>
      </c>
      <c r="C882" s="20" t="s">
        <v>250</v>
      </c>
      <c r="D882" s="20" t="s">
        <v>231</v>
      </c>
      <c r="E882" s="20" t="s">
        <v>578</v>
      </c>
      <c r="F882" s="20" t="s">
        <v>150</v>
      </c>
      <c r="G882" s="26">
        <f>3907.3-814.9+3210</f>
        <v>6302.4</v>
      </c>
      <c r="H882" s="106"/>
      <c r="I882" s="115"/>
    </row>
    <row r="883" spans="1:9" ht="47.25" x14ac:dyDescent="0.25">
      <c r="A883" s="25" t="s">
        <v>707</v>
      </c>
      <c r="B883" s="16">
        <v>908</v>
      </c>
      <c r="C883" s="20" t="s">
        <v>250</v>
      </c>
      <c r="D883" s="20" t="s">
        <v>231</v>
      </c>
      <c r="E883" s="20" t="s">
        <v>708</v>
      </c>
      <c r="F883" s="20"/>
      <c r="G883" s="26">
        <f>G884</f>
        <v>2132</v>
      </c>
      <c r="H883" s="177"/>
    </row>
    <row r="884" spans="1:9" ht="31.5" x14ac:dyDescent="0.25">
      <c r="A884" s="25" t="s">
        <v>147</v>
      </c>
      <c r="B884" s="16">
        <v>908</v>
      </c>
      <c r="C884" s="20" t="s">
        <v>250</v>
      </c>
      <c r="D884" s="20" t="s">
        <v>231</v>
      </c>
      <c r="E884" s="20" t="s">
        <v>708</v>
      </c>
      <c r="F884" s="20" t="s">
        <v>148</v>
      </c>
      <c r="G884" s="26">
        <f>G885</f>
        <v>2132</v>
      </c>
      <c r="H884" s="177"/>
    </row>
    <row r="885" spans="1:9" ht="47.25" x14ac:dyDescent="0.25">
      <c r="A885" s="25" t="s">
        <v>149</v>
      </c>
      <c r="B885" s="16">
        <v>908</v>
      </c>
      <c r="C885" s="20" t="s">
        <v>250</v>
      </c>
      <c r="D885" s="20" t="s">
        <v>231</v>
      </c>
      <c r="E885" s="20" t="s">
        <v>708</v>
      </c>
      <c r="F885" s="20" t="s">
        <v>150</v>
      </c>
      <c r="G885" s="26">
        <v>2132</v>
      </c>
      <c r="H885" s="106"/>
    </row>
    <row r="886" spans="1:9" ht="47.25" x14ac:dyDescent="0.25">
      <c r="A886" s="25" t="s">
        <v>709</v>
      </c>
      <c r="B886" s="16">
        <v>908</v>
      </c>
      <c r="C886" s="20" t="s">
        <v>250</v>
      </c>
      <c r="D886" s="20" t="s">
        <v>231</v>
      </c>
      <c r="E886" s="20" t="s">
        <v>579</v>
      </c>
      <c r="F886" s="20"/>
      <c r="G886" s="26">
        <f>G887</f>
        <v>2000</v>
      </c>
      <c r="H886" s="177"/>
    </row>
    <row r="887" spans="1:9" ht="31.5" x14ac:dyDescent="0.25">
      <c r="A887" s="25" t="s">
        <v>147</v>
      </c>
      <c r="B887" s="16">
        <v>908</v>
      </c>
      <c r="C887" s="20" t="s">
        <v>250</v>
      </c>
      <c r="D887" s="20" t="s">
        <v>231</v>
      </c>
      <c r="E887" s="20" t="s">
        <v>579</v>
      </c>
      <c r="F887" s="20" t="s">
        <v>148</v>
      </c>
      <c r="G887" s="26">
        <f>G888</f>
        <v>2000</v>
      </c>
      <c r="H887" s="177"/>
    </row>
    <row r="888" spans="1:9" ht="47.25" x14ac:dyDescent="0.25">
      <c r="A888" s="25" t="s">
        <v>149</v>
      </c>
      <c r="B888" s="16">
        <v>908</v>
      </c>
      <c r="C888" s="20" t="s">
        <v>250</v>
      </c>
      <c r="D888" s="20" t="s">
        <v>231</v>
      </c>
      <c r="E888" s="20" t="s">
        <v>579</v>
      </c>
      <c r="F888" s="20" t="s">
        <v>150</v>
      </c>
      <c r="G888" s="26">
        <v>2000</v>
      </c>
      <c r="H888" s="106"/>
    </row>
    <row r="889" spans="1:9" ht="63" x14ac:dyDescent="0.25">
      <c r="A889" s="25" t="s">
        <v>710</v>
      </c>
      <c r="B889" s="16">
        <v>908</v>
      </c>
      <c r="C889" s="20" t="s">
        <v>250</v>
      </c>
      <c r="D889" s="20" t="s">
        <v>231</v>
      </c>
      <c r="E889" s="20" t="s">
        <v>711</v>
      </c>
      <c r="F889" s="20"/>
      <c r="G889" s="26">
        <f>G890</f>
        <v>1598.8</v>
      </c>
      <c r="H889" s="108"/>
    </row>
    <row r="890" spans="1:9" ht="31.5" x14ac:dyDescent="0.25">
      <c r="A890" s="25" t="s">
        <v>147</v>
      </c>
      <c r="B890" s="16">
        <v>908</v>
      </c>
      <c r="C890" s="20" t="s">
        <v>250</v>
      </c>
      <c r="D890" s="20" t="s">
        <v>231</v>
      </c>
      <c r="E890" s="20" t="s">
        <v>711</v>
      </c>
      <c r="F890" s="20" t="s">
        <v>148</v>
      </c>
      <c r="G890" s="26">
        <f>G891</f>
        <v>1598.8</v>
      </c>
      <c r="H890" s="108"/>
    </row>
    <row r="891" spans="1:9" ht="47.25" x14ac:dyDescent="0.25">
      <c r="A891" s="25" t="s">
        <v>149</v>
      </c>
      <c r="B891" s="16">
        <v>908</v>
      </c>
      <c r="C891" s="20" t="s">
        <v>250</v>
      </c>
      <c r="D891" s="20" t="s">
        <v>231</v>
      </c>
      <c r="E891" s="20" t="s">
        <v>711</v>
      </c>
      <c r="F891" s="20" t="s">
        <v>150</v>
      </c>
      <c r="G891" s="26">
        <v>1598.8</v>
      </c>
      <c r="H891" s="108"/>
    </row>
    <row r="892" spans="1:9" ht="15.75" x14ac:dyDescent="0.25">
      <c r="A892" s="25" t="s">
        <v>157</v>
      </c>
      <c r="B892" s="16">
        <v>908</v>
      </c>
      <c r="C892" s="20" t="s">
        <v>250</v>
      </c>
      <c r="D892" s="20" t="s">
        <v>231</v>
      </c>
      <c r="E892" s="20" t="s">
        <v>158</v>
      </c>
      <c r="F892" s="20"/>
      <c r="G892" s="26">
        <f>G893</f>
        <v>455.9</v>
      </c>
      <c r="H892" s="177"/>
    </row>
    <row r="893" spans="1:9" ht="15.75" x14ac:dyDescent="0.25">
      <c r="A893" s="25" t="s">
        <v>580</v>
      </c>
      <c r="B893" s="16">
        <v>908</v>
      </c>
      <c r="C893" s="20" t="s">
        <v>250</v>
      </c>
      <c r="D893" s="20" t="s">
        <v>231</v>
      </c>
      <c r="E893" s="20" t="s">
        <v>581</v>
      </c>
      <c r="F893" s="20"/>
      <c r="G893" s="26">
        <f>G894</f>
        <v>455.9</v>
      </c>
      <c r="H893" s="177"/>
    </row>
    <row r="894" spans="1:9" ht="31.5" x14ac:dyDescent="0.25">
      <c r="A894" s="25" t="s">
        <v>147</v>
      </c>
      <c r="B894" s="16">
        <v>908</v>
      </c>
      <c r="C894" s="20" t="s">
        <v>250</v>
      </c>
      <c r="D894" s="20" t="s">
        <v>231</v>
      </c>
      <c r="E894" s="20" t="s">
        <v>581</v>
      </c>
      <c r="F894" s="20" t="s">
        <v>148</v>
      </c>
      <c r="G894" s="26">
        <f>G895</f>
        <v>455.9</v>
      </c>
      <c r="H894" s="177"/>
    </row>
    <row r="895" spans="1:9" ht="47.25" x14ac:dyDescent="0.25">
      <c r="A895" s="25" t="s">
        <v>149</v>
      </c>
      <c r="B895" s="16">
        <v>908</v>
      </c>
      <c r="C895" s="20" t="s">
        <v>250</v>
      </c>
      <c r="D895" s="20" t="s">
        <v>231</v>
      </c>
      <c r="E895" s="20" t="s">
        <v>581</v>
      </c>
      <c r="F895" s="20" t="s">
        <v>150</v>
      </c>
      <c r="G895" s="27">
        <v>455.9</v>
      </c>
      <c r="H895" s="177"/>
    </row>
    <row r="896" spans="1:9" ht="15.75" hidden="1" x14ac:dyDescent="0.25">
      <c r="A896" s="25" t="s">
        <v>582</v>
      </c>
      <c r="B896" s="16">
        <v>908</v>
      </c>
      <c r="C896" s="20" t="s">
        <v>250</v>
      </c>
      <c r="D896" s="20" t="s">
        <v>231</v>
      </c>
      <c r="E896" s="20" t="s">
        <v>583</v>
      </c>
      <c r="F896" s="20"/>
      <c r="G896" s="27">
        <f>G897</f>
        <v>0</v>
      </c>
      <c r="H896" s="177"/>
    </row>
    <row r="897" spans="1:10" ht="15.75" hidden="1" x14ac:dyDescent="0.25">
      <c r="A897" s="25" t="s">
        <v>151</v>
      </c>
      <c r="B897" s="16">
        <v>908</v>
      </c>
      <c r="C897" s="20" t="s">
        <v>250</v>
      </c>
      <c r="D897" s="20" t="s">
        <v>231</v>
      </c>
      <c r="E897" s="20" t="s">
        <v>583</v>
      </c>
      <c r="F897" s="20" t="s">
        <v>161</v>
      </c>
      <c r="G897" s="27">
        <f>G898</f>
        <v>0</v>
      </c>
      <c r="H897" s="177"/>
    </row>
    <row r="898" spans="1:10" ht="15.75" hidden="1" x14ac:dyDescent="0.25">
      <c r="A898" s="25" t="s">
        <v>584</v>
      </c>
      <c r="B898" s="16">
        <v>908</v>
      </c>
      <c r="C898" s="20" t="s">
        <v>250</v>
      </c>
      <c r="D898" s="20" t="s">
        <v>231</v>
      </c>
      <c r="E898" s="20" t="s">
        <v>583</v>
      </c>
      <c r="F898" s="20" t="s">
        <v>154</v>
      </c>
      <c r="G898" s="27">
        <v>0</v>
      </c>
      <c r="H898" s="177"/>
    </row>
    <row r="899" spans="1:10" ht="31.5" x14ac:dyDescent="0.25">
      <c r="A899" s="23" t="s">
        <v>585</v>
      </c>
      <c r="B899" s="19">
        <v>908</v>
      </c>
      <c r="C899" s="24" t="s">
        <v>250</v>
      </c>
      <c r="D899" s="24" t="s">
        <v>250</v>
      </c>
      <c r="E899" s="24"/>
      <c r="F899" s="24"/>
      <c r="G899" s="21">
        <f>G900</f>
        <v>21124.69</v>
      </c>
      <c r="H899" s="177"/>
    </row>
    <row r="900" spans="1:10" ht="15.75" x14ac:dyDescent="0.25">
      <c r="A900" s="25" t="s">
        <v>137</v>
      </c>
      <c r="B900" s="16">
        <v>908</v>
      </c>
      <c r="C900" s="20" t="s">
        <v>250</v>
      </c>
      <c r="D900" s="20" t="s">
        <v>250</v>
      </c>
      <c r="E900" s="20" t="s">
        <v>138</v>
      </c>
      <c r="F900" s="20"/>
      <c r="G900" s="26">
        <f>G901+G909</f>
        <v>21124.69</v>
      </c>
      <c r="H900" s="177"/>
    </row>
    <row r="901" spans="1:10" ht="31.5" x14ac:dyDescent="0.25">
      <c r="A901" s="25" t="s">
        <v>139</v>
      </c>
      <c r="B901" s="16">
        <v>908</v>
      </c>
      <c r="C901" s="20" t="s">
        <v>250</v>
      </c>
      <c r="D901" s="20" t="s">
        <v>250</v>
      </c>
      <c r="E901" s="20" t="s">
        <v>140</v>
      </c>
      <c r="F901" s="20"/>
      <c r="G901" s="26">
        <f>G902</f>
        <v>13501.699999999999</v>
      </c>
      <c r="H901" s="177"/>
    </row>
    <row r="902" spans="1:10" ht="47.25" x14ac:dyDescent="0.25">
      <c r="A902" s="25" t="s">
        <v>141</v>
      </c>
      <c r="B902" s="16">
        <v>908</v>
      </c>
      <c r="C902" s="20" t="s">
        <v>250</v>
      </c>
      <c r="D902" s="20" t="s">
        <v>250</v>
      </c>
      <c r="E902" s="20" t="s">
        <v>142</v>
      </c>
      <c r="F902" s="20"/>
      <c r="G902" s="26">
        <f>G903+G907+G905</f>
        <v>13501.699999999999</v>
      </c>
      <c r="H902" s="177"/>
    </row>
    <row r="903" spans="1:10" ht="94.5" x14ac:dyDescent="0.25">
      <c r="A903" s="25" t="s">
        <v>143</v>
      </c>
      <c r="B903" s="16">
        <v>908</v>
      </c>
      <c r="C903" s="20" t="s">
        <v>250</v>
      </c>
      <c r="D903" s="20" t="s">
        <v>250</v>
      </c>
      <c r="E903" s="20" t="s">
        <v>142</v>
      </c>
      <c r="F903" s="20" t="s">
        <v>144</v>
      </c>
      <c r="G903" s="26">
        <f>G904</f>
        <v>13327.8</v>
      </c>
      <c r="H903" s="177"/>
    </row>
    <row r="904" spans="1:10" ht="31.5" x14ac:dyDescent="0.25">
      <c r="A904" s="25" t="s">
        <v>145</v>
      </c>
      <c r="B904" s="16">
        <v>908</v>
      </c>
      <c r="C904" s="20" t="s">
        <v>250</v>
      </c>
      <c r="D904" s="20" t="s">
        <v>250</v>
      </c>
      <c r="E904" s="20" t="s">
        <v>142</v>
      </c>
      <c r="F904" s="20" t="s">
        <v>146</v>
      </c>
      <c r="G904" s="166">
        <f>13259.3+28.4+100-59.9</f>
        <v>13327.8</v>
      </c>
      <c r="H904" s="106" t="s">
        <v>770</v>
      </c>
      <c r="I904" s="124"/>
      <c r="J904" s="171" t="s">
        <v>777</v>
      </c>
    </row>
    <row r="905" spans="1:10" ht="31.5" x14ac:dyDescent="0.25">
      <c r="A905" s="25" t="s">
        <v>147</v>
      </c>
      <c r="B905" s="16">
        <v>908</v>
      </c>
      <c r="C905" s="20" t="s">
        <v>250</v>
      </c>
      <c r="D905" s="20" t="s">
        <v>250</v>
      </c>
      <c r="E905" s="20" t="s">
        <v>142</v>
      </c>
      <c r="F905" s="20" t="s">
        <v>148</v>
      </c>
      <c r="G905" s="26">
        <f>G906</f>
        <v>25</v>
      </c>
      <c r="H905" s="177"/>
    </row>
    <row r="906" spans="1:10" ht="47.25" x14ac:dyDescent="0.25">
      <c r="A906" s="25" t="s">
        <v>149</v>
      </c>
      <c r="B906" s="16">
        <v>908</v>
      </c>
      <c r="C906" s="20" t="s">
        <v>250</v>
      </c>
      <c r="D906" s="20" t="s">
        <v>250</v>
      </c>
      <c r="E906" s="20" t="s">
        <v>142</v>
      </c>
      <c r="F906" s="20" t="s">
        <v>150</v>
      </c>
      <c r="G906" s="27">
        <v>25</v>
      </c>
      <c r="H906" s="106"/>
      <c r="I906" s="124"/>
    </row>
    <row r="907" spans="1:10" ht="15.75" x14ac:dyDescent="0.25">
      <c r="A907" s="25" t="s">
        <v>151</v>
      </c>
      <c r="B907" s="16">
        <v>908</v>
      </c>
      <c r="C907" s="20" t="s">
        <v>250</v>
      </c>
      <c r="D907" s="20" t="s">
        <v>250</v>
      </c>
      <c r="E907" s="20" t="s">
        <v>142</v>
      </c>
      <c r="F907" s="20" t="s">
        <v>161</v>
      </c>
      <c r="G907" s="26">
        <f>G908</f>
        <v>148.9</v>
      </c>
      <c r="H907" s="177"/>
    </row>
    <row r="908" spans="1:10" ht="15.75" x14ac:dyDescent="0.25">
      <c r="A908" s="25" t="s">
        <v>584</v>
      </c>
      <c r="B908" s="16">
        <v>908</v>
      </c>
      <c r="C908" s="20" t="s">
        <v>250</v>
      </c>
      <c r="D908" s="20" t="s">
        <v>250</v>
      </c>
      <c r="E908" s="20" t="s">
        <v>142</v>
      </c>
      <c r="F908" s="20" t="s">
        <v>154</v>
      </c>
      <c r="G908" s="162">
        <f>89+59.9</f>
        <v>148.9</v>
      </c>
      <c r="H908" s="157" t="s">
        <v>769</v>
      </c>
    </row>
    <row r="909" spans="1:10" ht="15.75" x14ac:dyDescent="0.25">
      <c r="A909" s="25" t="s">
        <v>157</v>
      </c>
      <c r="B909" s="16">
        <v>908</v>
      </c>
      <c r="C909" s="20" t="s">
        <v>250</v>
      </c>
      <c r="D909" s="20" t="s">
        <v>250</v>
      </c>
      <c r="E909" s="20" t="s">
        <v>158</v>
      </c>
      <c r="F909" s="20"/>
      <c r="G909" s="26">
        <f>G913+G910</f>
        <v>7622.99</v>
      </c>
      <c r="H909" s="177"/>
    </row>
    <row r="910" spans="1:10" ht="31.5" x14ac:dyDescent="0.25">
      <c r="A910" s="25" t="s">
        <v>586</v>
      </c>
      <c r="B910" s="16">
        <v>908</v>
      </c>
      <c r="C910" s="20" t="s">
        <v>250</v>
      </c>
      <c r="D910" s="20" t="s">
        <v>250</v>
      </c>
      <c r="E910" s="20" t="s">
        <v>587</v>
      </c>
      <c r="F910" s="20"/>
      <c r="G910" s="27">
        <f>G911</f>
        <v>1461</v>
      </c>
      <c r="H910" s="177"/>
    </row>
    <row r="911" spans="1:10" ht="15.75" x14ac:dyDescent="0.25">
      <c r="A911" s="25" t="s">
        <v>151</v>
      </c>
      <c r="B911" s="16">
        <v>908</v>
      </c>
      <c r="C911" s="20" t="s">
        <v>250</v>
      </c>
      <c r="D911" s="20" t="s">
        <v>250</v>
      </c>
      <c r="E911" s="20" t="s">
        <v>587</v>
      </c>
      <c r="F911" s="20" t="s">
        <v>161</v>
      </c>
      <c r="G911" s="27">
        <f>G912</f>
        <v>1461</v>
      </c>
      <c r="H911" s="177"/>
    </row>
    <row r="912" spans="1:10" ht="63" x14ac:dyDescent="0.25">
      <c r="A912" s="25" t="s">
        <v>200</v>
      </c>
      <c r="B912" s="16">
        <v>908</v>
      </c>
      <c r="C912" s="20" t="s">
        <v>250</v>
      </c>
      <c r="D912" s="20" t="s">
        <v>250</v>
      </c>
      <c r="E912" s="20" t="s">
        <v>587</v>
      </c>
      <c r="F912" s="20" t="s">
        <v>176</v>
      </c>
      <c r="G912" s="27">
        <v>1461</v>
      </c>
      <c r="H912" s="177"/>
    </row>
    <row r="913" spans="1:10" ht="31.5" x14ac:dyDescent="0.25">
      <c r="A913" s="25" t="s">
        <v>356</v>
      </c>
      <c r="B913" s="16">
        <v>908</v>
      </c>
      <c r="C913" s="20" t="s">
        <v>250</v>
      </c>
      <c r="D913" s="20" t="s">
        <v>250</v>
      </c>
      <c r="E913" s="20" t="s">
        <v>357</v>
      </c>
      <c r="F913" s="20"/>
      <c r="G913" s="26">
        <f>G914+G916</f>
        <v>6161.99</v>
      </c>
      <c r="H913" s="177"/>
    </row>
    <row r="914" spans="1:10" ht="94.5" x14ac:dyDescent="0.25">
      <c r="A914" s="25" t="s">
        <v>143</v>
      </c>
      <c r="B914" s="16">
        <v>908</v>
      </c>
      <c r="C914" s="20" t="s">
        <v>250</v>
      </c>
      <c r="D914" s="20" t="s">
        <v>250</v>
      </c>
      <c r="E914" s="20" t="s">
        <v>357</v>
      </c>
      <c r="F914" s="20" t="s">
        <v>144</v>
      </c>
      <c r="G914" s="26">
        <f>G915</f>
        <v>4505.49</v>
      </c>
      <c r="H914" s="177"/>
    </row>
    <row r="915" spans="1:10" ht="31.5" x14ac:dyDescent="0.25">
      <c r="A915" s="25" t="s">
        <v>358</v>
      </c>
      <c r="B915" s="16">
        <v>908</v>
      </c>
      <c r="C915" s="20" t="s">
        <v>250</v>
      </c>
      <c r="D915" s="20" t="s">
        <v>250</v>
      </c>
      <c r="E915" s="20" t="s">
        <v>357</v>
      </c>
      <c r="F915" s="20" t="s">
        <v>225</v>
      </c>
      <c r="G915" s="156">
        <f>6196.89-1411.4-100-180</f>
        <v>4505.49</v>
      </c>
      <c r="H915" s="106" t="s">
        <v>783</v>
      </c>
      <c r="I915" s="124"/>
      <c r="J915" s="170" t="s">
        <v>782</v>
      </c>
    </row>
    <row r="916" spans="1:10" ht="31.5" x14ac:dyDescent="0.25">
      <c r="A916" s="25" t="s">
        <v>147</v>
      </c>
      <c r="B916" s="16">
        <v>908</v>
      </c>
      <c r="C916" s="20" t="s">
        <v>250</v>
      </c>
      <c r="D916" s="20" t="s">
        <v>250</v>
      </c>
      <c r="E916" s="20" t="s">
        <v>357</v>
      </c>
      <c r="F916" s="20" t="s">
        <v>148</v>
      </c>
      <c r="G916" s="26">
        <f>G917</f>
        <v>1656.5</v>
      </c>
      <c r="H916" s="177"/>
    </row>
    <row r="917" spans="1:10" ht="47.25" x14ac:dyDescent="0.25">
      <c r="A917" s="25" t="s">
        <v>149</v>
      </c>
      <c r="B917" s="16">
        <v>908</v>
      </c>
      <c r="C917" s="20" t="s">
        <v>250</v>
      </c>
      <c r="D917" s="20" t="s">
        <v>250</v>
      </c>
      <c r="E917" s="20" t="s">
        <v>357</v>
      </c>
      <c r="F917" s="20" t="s">
        <v>150</v>
      </c>
      <c r="G917" s="156">
        <f>1341.9+928.5-198.8-595.1+180</f>
        <v>1656.5</v>
      </c>
      <c r="H917" s="106" t="s">
        <v>784</v>
      </c>
      <c r="I917" s="125"/>
      <c r="J917" s="170"/>
    </row>
    <row r="918" spans="1:10" ht="15.75" x14ac:dyDescent="0.25">
      <c r="A918" s="23" t="s">
        <v>259</v>
      </c>
      <c r="B918" s="19">
        <v>908</v>
      </c>
      <c r="C918" s="24" t="s">
        <v>260</v>
      </c>
      <c r="D918" s="24"/>
      <c r="E918" s="24"/>
      <c r="F918" s="24"/>
      <c r="G918" s="21">
        <f t="shared" ref="G918:G923" si="5">G919</f>
        <v>87.1</v>
      </c>
      <c r="H918" s="177"/>
    </row>
    <row r="919" spans="1:10" ht="31.5" x14ac:dyDescent="0.25">
      <c r="A919" s="23" t="s">
        <v>274</v>
      </c>
      <c r="B919" s="19">
        <v>908</v>
      </c>
      <c r="C919" s="24" t="s">
        <v>260</v>
      </c>
      <c r="D919" s="24" t="s">
        <v>136</v>
      </c>
      <c r="E919" s="24"/>
      <c r="F919" s="24"/>
      <c r="G919" s="21">
        <f t="shared" si="5"/>
        <v>87.1</v>
      </c>
      <c r="H919" s="177"/>
    </row>
    <row r="920" spans="1:10" ht="15.75" x14ac:dyDescent="0.25">
      <c r="A920" s="25" t="s">
        <v>137</v>
      </c>
      <c r="B920" s="16">
        <v>908</v>
      </c>
      <c r="C920" s="20" t="s">
        <v>260</v>
      </c>
      <c r="D920" s="20" t="s">
        <v>136</v>
      </c>
      <c r="E920" s="20" t="s">
        <v>138</v>
      </c>
      <c r="F920" s="20"/>
      <c r="G920" s="21">
        <f t="shared" si="5"/>
        <v>87.1</v>
      </c>
      <c r="H920" s="177"/>
    </row>
    <row r="921" spans="1:10" ht="15.75" x14ac:dyDescent="0.25">
      <c r="A921" s="25" t="s">
        <v>157</v>
      </c>
      <c r="B921" s="16">
        <v>908</v>
      </c>
      <c r="C921" s="20" t="s">
        <v>260</v>
      </c>
      <c r="D921" s="20" t="s">
        <v>136</v>
      </c>
      <c r="E921" s="20" t="s">
        <v>158</v>
      </c>
      <c r="F921" s="20"/>
      <c r="G921" s="26">
        <f t="shared" si="5"/>
        <v>87.1</v>
      </c>
      <c r="H921" s="177"/>
    </row>
    <row r="922" spans="1:10" ht="15.75" x14ac:dyDescent="0.25">
      <c r="A922" s="25" t="s">
        <v>588</v>
      </c>
      <c r="B922" s="16">
        <v>908</v>
      </c>
      <c r="C922" s="20" t="s">
        <v>260</v>
      </c>
      <c r="D922" s="20" t="s">
        <v>136</v>
      </c>
      <c r="E922" s="20" t="s">
        <v>589</v>
      </c>
      <c r="F922" s="20"/>
      <c r="G922" s="26">
        <f t="shared" si="5"/>
        <v>87.1</v>
      </c>
      <c r="H922" s="177"/>
    </row>
    <row r="923" spans="1:10" ht="15.75" x14ac:dyDescent="0.25">
      <c r="A923" s="25" t="s">
        <v>151</v>
      </c>
      <c r="B923" s="16">
        <v>908</v>
      </c>
      <c r="C923" s="20" t="s">
        <v>260</v>
      </c>
      <c r="D923" s="20" t="s">
        <v>136</v>
      </c>
      <c r="E923" s="20" t="s">
        <v>589</v>
      </c>
      <c r="F923" s="20" t="s">
        <v>161</v>
      </c>
      <c r="G923" s="26">
        <f t="shared" si="5"/>
        <v>87.1</v>
      </c>
      <c r="H923" s="177"/>
    </row>
    <row r="924" spans="1:10" ht="63" x14ac:dyDescent="0.25">
      <c r="A924" s="25" t="s">
        <v>200</v>
      </c>
      <c r="B924" s="16">
        <v>908</v>
      </c>
      <c r="C924" s="20" t="s">
        <v>260</v>
      </c>
      <c r="D924" s="20" t="s">
        <v>136</v>
      </c>
      <c r="E924" s="20" t="s">
        <v>589</v>
      </c>
      <c r="F924" s="20" t="s">
        <v>176</v>
      </c>
      <c r="G924" s="26">
        <v>87.1</v>
      </c>
      <c r="H924" s="177"/>
    </row>
    <row r="925" spans="1:10" ht="31.5" x14ac:dyDescent="0.25">
      <c r="A925" s="19" t="s">
        <v>590</v>
      </c>
      <c r="B925" s="19">
        <v>910</v>
      </c>
      <c r="C925" s="47"/>
      <c r="D925" s="47"/>
      <c r="E925" s="47"/>
      <c r="F925" s="47"/>
      <c r="G925" s="21">
        <f>G926</f>
        <v>7042.5</v>
      </c>
      <c r="H925" s="177"/>
    </row>
    <row r="926" spans="1:10" ht="15.75" x14ac:dyDescent="0.25">
      <c r="A926" s="23" t="s">
        <v>133</v>
      </c>
      <c r="B926" s="19">
        <v>910</v>
      </c>
      <c r="C926" s="24" t="s">
        <v>134</v>
      </c>
      <c r="D926" s="24"/>
      <c r="E926" s="24"/>
      <c r="F926" s="24"/>
      <c r="G926" s="21">
        <f>G927+G935+G945+G953</f>
        <v>7042.5</v>
      </c>
      <c r="H926" s="177"/>
    </row>
    <row r="927" spans="1:10" ht="47.25" x14ac:dyDescent="0.25">
      <c r="A927" s="23" t="s">
        <v>591</v>
      </c>
      <c r="B927" s="19">
        <v>910</v>
      </c>
      <c r="C927" s="24" t="s">
        <v>134</v>
      </c>
      <c r="D927" s="24" t="s">
        <v>229</v>
      </c>
      <c r="E927" s="24"/>
      <c r="F927" s="24"/>
      <c r="G927" s="21">
        <f>G928</f>
        <v>4188.8</v>
      </c>
      <c r="H927" s="177"/>
    </row>
    <row r="928" spans="1:10" ht="15.75" x14ac:dyDescent="0.25">
      <c r="A928" s="25" t="s">
        <v>137</v>
      </c>
      <c r="B928" s="16">
        <v>910</v>
      </c>
      <c r="C928" s="20" t="s">
        <v>134</v>
      </c>
      <c r="D928" s="20" t="s">
        <v>229</v>
      </c>
      <c r="E928" s="20" t="s">
        <v>138</v>
      </c>
      <c r="F928" s="20"/>
      <c r="G928" s="26">
        <f>G929</f>
        <v>4188.8</v>
      </c>
      <c r="H928" s="177"/>
    </row>
    <row r="929" spans="1:10" ht="31.5" x14ac:dyDescent="0.25">
      <c r="A929" s="25" t="s">
        <v>139</v>
      </c>
      <c r="B929" s="16">
        <v>910</v>
      </c>
      <c r="C929" s="20" t="s">
        <v>134</v>
      </c>
      <c r="D929" s="20" t="s">
        <v>229</v>
      </c>
      <c r="E929" s="20" t="s">
        <v>140</v>
      </c>
      <c r="F929" s="20"/>
      <c r="G929" s="26">
        <f>G930</f>
        <v>4188.8</v>
      </c>
      <c r="H929" s="177"/>
    </row>
    <row r="930" spans="1:10" ht="47.25" x14ac:dyDescent="0.25">
      <c r="A930" s="25" t="s">
        <v>592</v>
      </c>
      <c r="B930" s="16">
        <v>910</v>
      </c>
      <c r="C930" s="20" t="s">
        <v>134</v>
      </c>
      <c r="D930" s="20" t="s">
        <v>229</v>
      </c>
      <c r="E930" s="20" t="s">
        <v>593</v>
      </c>
      <c r="F930" s="20"/>
      <c r="G930" s="26">
        <f>G931+G933</f>
        <v>4188.8</v>
      </c>
      <c r="H930" s="177"/>
    </row>
    <row r="931" spans="1:10" ht="94.5" x14ac:dyDescent="0.25">
      <c r="A931" s="25" t="s">
        <v>143</v>
      </c>
      <c r="B931" s="16">
        <v>910</v>
      </c>
      <c r="C931" s="20" t="s">
        <v>134</v>
      </c>
      <c r="D931" s="20" t="s">
        <v>229</v>
      </c>
      <c r="E931" s="20" t="s">
        <v>593</v>
      </c>
      <c r="F931" s="20" t="s">
        <v>144</v>
      </c>
      <c r="G931" s="26">
        <f>G932+G933</f>
        <v>4188.8</v>
      </c>
      <c r="H931" s="177"/>
    </row>
    <row r="932" spans="1:10" ht="31.5" x14ac:dyDescent="0.25">
      <c r="A932" s="25" t="s">
        <v>145</v>
      </c>
      <c r="B932" s="16">
        <v>910</v>
      </c>
      <c r="C932" s="20" t="s">
        <v>134</v>
      </c>
      <c r="D932" s="20" t="s">
        <v>229</v>
      </c>
      <c r="E932" s="20" t="s">
        <v>593</v>
      </c>
      <c r="F932" s="20" t="s">
        <v>146</v>
      </c>
      <c r="G932" s="27">
        <v>4188.8</v>
      </c>
      <c r="H932" s="177"/>
      <c r="J932" s="170" t="s">
        <v>778</v>
      </c>
    </row>
    <row r="933" spans="1:10" ht="47.25" hidden="1" x14ac:dyDescent="0.25">
      <c r="A933" s="25" t="s">
        <v>214</v>
      </c>
      <c r="B933" s="16">
        <v>910</v>
      </c>
      <c r="C933" s="20" t="s">
        <v>134</v>
      </c>
      <c r="D933" s="20" t="s">
        <v>229</v>
      </c>
      <c r="E933" s="20" t="s">
        <v>593</v>
      </c>
      <c r="F933" s="20" t="s">
        <v>148</v>
      </c>
      <c r="G933" s="26">
        <f>G934</f>
        <v>0</v>
      </c>
      <c r="H933" s="177"/>
    </row>
    <row r="934" spans="1:10" ht="47.25" hidden="1" x14ac:dyDescent="0.25">
      <c r="A934" s="25" t="s">
        <v>149</v>
      </c>
      <c r="B934" s="16">
        <v>910</v>
      </c>
      <c r="C934" s="20" t="s">
        <v>134</v>
      </c>
      <c r="D934" s="20" t="s">
        <v>229</v>
      </c>
      <c r="E934" s="20" t="s">
        <v>593</v>
      </c>
      <c r="F934" s="20" t="s">
        <v>150</v>
      </c>
      <c r="G934" s="26"/>
      <c r="H934" s="177"/>
    </row>
    <row r="935" spans="1:10" ht="78.75" x14ac:dyDescent="0.25">
      <c r="A935" s="23" t="s">
        <v>594</v>
      </c>
      <c r="B935" s="19">
        <v>910</v>
      </c>
      <c r="C935" s="24" t="s">
        <v>134</v>
      </c>
      <c r="D935" s="24" t="s">
        <v>231</v>
      </c>
      <c r="E935" s="24"/>
      <c r="F935" s="24"/>
      <c r="G935" s="21">
        <f>G936</f>
        <v>1138.7</v>
      </c>
      <c r="H935" s="177"/>
    </row>
    <row r="936" spans="1:10" ht="15.75" x14ac:dyDescent="0.25">
      <c r="A936" s="25" t="s">
        <v>137</v>
      </c>
      <c r="B936" s="16">
        <v>910</v>
      </c>
      <c r="C936" s="20" t="s">
        <v>134</v>
      </c>
      <c r="D936" s="20" t="s">
        <v>231</v>
      </c>
      <c r="E936" s="20" t="s">
        <v>138</v>
      </c>
      <c r="F936" s="24"/>
      <c r="G936" s="26">
        <f>G937</f>
        <v>1138.7</v>
      </c>
      <c r="H936" s="177"/>
    </row>
    <row r="937" spans="1:10" ht="31.5" x14ac:dyDescent="0.25">
      <c r="A937" s="25" t="s">
        <v>139</v>
      </c>
      <c r="B937" s="16">
        <v>910</v>
      </c>
      <c r="C937" s="20" t="s">
        <v>134</v>
      </c>
      <c r="D937" s="20" t="s">
        <v>231</v>
      </c>
      <c r="E937" s="20" t="s">
        <v>140</v>
      </c>
      <c r="F937" s="24"/>
      <c r="G937" s="26">
        <f>G938</f>
        <v>1138.7</v>
      </c>
      <c r="H937" s="177"/>
    </row>
    <row r="938" spans="1:10" ht="47.25" x14ac:dyDescent="0.25">
      <c r="A938" s="25" t="s">
        <v>595</v>
      </c>
      <c r="B938" s="16">
        <v>910</v>
      </c>
      <c r="C938" s="20" t="s">
        <v>134</v>
      </c>
      <c r="D938" s="20" t="s">
        <v>231</v>
      </c>
      <c r="E938" s="20" t="s">
        <v>596</v>
      </c>
      <c r="F938" s="20"/>
      <c r="G938" s="26">
        <f>G939+G941+G943</f>
        <v>1138.7</v>
      </c>
      <c r="H938" s="177"/>
    </row>
    <row r="939" spans="1:10" ht="94.5" x14ac:dyDescent="0.25">
      <c r="A939" s="25" t="s">
        <v>143</v>
      </c>
      <c r="B939" s="16">
        <v>910</v>
      </c>
      <c r="C939" s="20" t="s">
        <v>134</v>
      </c>
      <c r="D939" s="20" t="s">
        <v>231</v>
      </c>
      <c r="E939" s="20" t="s">
        <v>596</v>
      </c>
      <c r="F939" s="20" t="s">
        <v>144</v>
      </c>
      <c r="G939" s="26">
        <f>G940</f>
        <v>1003.7</v>
      </c>
      <c r="H939" s="177"/>
    </row>
    <row r="940" spans="1:10" ht="31.5" x14ac:dyDescent="0.25">
      <c r="A940" s="25" t="s">
        <v>145</v>
      </c>
      <c r="B940" s="16">
        <v>910</v>
      </c>
      <c r="C940" s="20" t="s">
        <v>134</v>
      </c>
      <c r="D940" s="20" t="s">
        <v>231</v>
      </c>
      <c r="E940" s="20" t="s">
        <v>596</v>
      </c>
      <c r="F940" s="20" t="s">
        <v>146</v>
      </c>
      <c r="G940" s="26">
        <v>1003.7</v>
      </c>
      <c r="H940" s="177"/>
    </row>
    <row r="941" spans="1:10" ht="47.25" x14ac:dyDescent="0.25">
      <c r="A941" s="25" t="s">
        <v>214</v>
      </c>
      <c r="B941" s="16">
        <v>910</v>
      </c>
      <c r="C941" s="20" t="s">
        <v>134</v>
      </c>
      <c r="D941" s="20" t="s">
        <v>231</v>
      </c>
      <c r="E941" s="20" t="s">
        <v>596</v>
      </c>
      <c r="F941" s="20" t="s">
        <v>148</v>
      </c>
      <c r="G941" s="26">
        <f>G942</f>
        <v>135</v>
      </c>
      <c r="H941" s="177"/>
    </row>
    <row r="942" spans="1:10" ht="47.25" x14ac:dyDescent="0.25">
      <c r="A942" s="25" t="s">
        <v>149</v>
      </c>
      <c r="B942" s="16">
        <v>910</v>
      </c>
      <c r="C942" s="20" t="s">
        <v>134</v>
      </c>
      <c r="D942" s="20" t="s">
        <v>231</v>
      </c>
      <c r="E942" s="20" t="s">
        <v>596</v>
      </c>
      <c r="F942" s="20" t="s">
        <v>150</v>
      </c>
      <c r="G942" s="26">
        <v>135</v>
      </c>
      <c r="H942" s="177"/>
    </row>
    <row r="943" spans="1:10" ht="15.75" hidden="1" x14ac:dyDescent="0.25">
      <c r="A943" s="25" t="s">
        <v>151</v>
      </c>
      <c r="B943" s="16">
        <v>910</v>
      </c>
      <c r="C943" s="20" t="s">
        <v>134</v>
      </c>
      <c r="D943" s="20" t="s">
        <v>231</v>
      </c>
      <c r="E943" s="20" t="s">
        <v>596</v>
      </c>
      <c r="F943" s="20" t="s">
        <v>161</v>
      </c>
      <c r="G943" s="26">
        <f>G944</f>
        <v>0</v>
      </c>
      <c r="H943" s="177"/>
    </row>
    <row r="944" spans="1:10" ht="15.75" hidden="1" x14ac:dyDescent="0.25">
      <c r="A944" s="25" t="s">
        <v>584</v>
      </c>
      <c r="B944" s="16">
        <v>910</v>
      </c>
      <c r="C944" s="20" t="s">
        <v>134</v>
      </c>
      <c r="D944" s="20" t="s">
        <v>231</v>
      </c>
      <c r="E944" s="20" t="s">
        <v>596</v>
      </c>
      <c r="F944" s="20" t="s">
        <v>154</v>
      </c>
      <c r="G944" s="26">
        <v>0</v>
      </c>
      <c r="H944" s="177"/>
    </row>
    <row r="945" spans="1:10" ht="63" x14ac:dyDescent="0.25">
      <c r="A945" s="23" t="s">
        <v>135</v>
      </c>
      <c r="B945" s="19">
        <v>910</v>
      </c>
      <c r="C945" s="24" t="s">
        <v>134</v>
      </c>
      <c r="D945" s="24" t="s">
        <v>136</v>
      </c>
      <c r="E945" s="24"/>
      <c r="F945" s="24"/>
      <c r="G945" s="21">
        <f>G946</f>
        <v>1682.5</v>
      </c>
      <c r="H945" s="177"/>
    </row>
    <row r="946" spans="1:10" s="112" customFormat="1" ht="15.75" x14ac:dyDescent="0.25">
      <c r="A946" s="25" t="s">
        <v>137</v>
      </c>
      <c r="B946" s="16">
        <v>910</v>
      </c>
      <c r="C946" s="20" t="s">
        <v>134</v>
      </c>
      <c r="D946" s="20" t="s">
        <v>136</v>
      </c>
      <c r="E946" s="20" t="s">
        <v>138</v>
      </c>
      <c r="F946" s="20"/>
      <c r="G946" s="26">
        <f>G947</f>
        <v>1682.5</v>
      </c>
      <c r="H946" s="177"/>
      <c r="I946" s="128"/>
    </row>
    <row r="947" spans="1:10" s="112" customFormat="1" ht="31.5" x14ac:dyDescent="0.25">
      <c r="A947" s="25" t="s">
        <v>139</v>
      </c>
      <c r="B947" s="16">
        <v>910</v>
      </c>
      <c r="C947" s="20" t="s">
        <v>134</v>
      </c>
      <c r="D947" s="20" t="s">
        <v>136</v>
      </c>
      <c r="E947" s="20" t="s">
        <v>140</v>
      </c>
      <c r="F947" s="20"/>
      <c r="G947" s="26">
        <f>G948</f>
        <v>1682.5</v>
      </c>
      <c r="H947" s="177"/>
      <c r="I947" s="128"/>
    </row>
    <row r="948" spans="1:10" s="112" customFormat="1" ht="47.25" x14ac:dyDescent="0.25">
      <c r="A948" s="25" t="s">
        <v>141</v>
      </c>
      <c r="B948" s="16">
        <v>910</v>
      </c>
      <c r="C948" s="20" t="s">
        <v>134</v>
      </c>
      <c r="D948" s="20" t="s">
        <v>136</v>
      </c>
      <c r="E948" s="20" t="s">
        <v>142</v>
      </c>
      <c r="F948" s="20"/>
      <c r="G948" s="26">
        <f>G949+G951</f>
        <v>1682.5</v>
      </c>
      <c r="H948" s="177"/>
      <c r="I948" s="128"/>
    </row>
    <row r="949" spans="1:10" ht="94.5" x14ac:dyDescent="0.25">
      <c r="A949" s="25" t="s">
        <v>143</v>
      </c>
      <c r="B949" s="16">
        <v>910</v>
      </c>
      <c r="C949" s="20" t="s">
        <v>134</v>
      </c>
      <c r="D949" s="20" t="s">
        <v>136</v>
      </c>
      <c r="E949" s="20" t="s">
        <v>142</v>
      </c>
      <c r="F949" s="20" t="s">
        <v>144</v>
      </c>
      <c r="G949" s="26">
        <f>G950</f>
        <v>1664.2</v>
      </c>
      <c r="H949" s="177"/>
    </row>
    <row r="950" spans="1:10" ht="31.5" x14ac:dyDescent="0.25">
      <c r="A950" s="25" t="s">
        <v>145</v>
      </c>
      <c r="B950" s="16">
        <v>910</v>
      </c>
      <c r="C950" s="20" t="s">
        <v>134</v>
      </c>
      <c r="D950" s="20" t="s">
        <v>136</v>
      </c>
      <c r="E950" s="20" t="s">
        <v>142</v>
      </c>
      <c r="F950" s="20" t="s">
        <v>146</v>
      </c>
      <c r="G950" s="26">
        <v>1664.2</v>
      </c>
      <c r="H950" s="177"/>
      <c r="J950" s="173" t="s">
        <v>779</v>
      </c>
    </row>
    <row r="951" spans="1:10" ht="47.25" x14ac:dyDescent="0.25">
      <c r="A951" s="25" t="s">
        <v>214</v>
      </c>
      <c r="B951" s="16">
        <v>910</v>
      </c>
      <c r="C951" s="20" t="s">
        <v>134</v>
      </c>
      <c r="D951" s="20" t="s">
        <v>136</v>
      </c>
      <c r="E951" s="20" t="s">
        <v>142</v>
      </c>
      <c r="F951" s="20" t="s">
        <v>148</v>
      </c>
      <c r="G951" s="26">
        <f>G952</f>
        <v>18.3</v>
      </c>
      <c r="H951" s="177"/>
    </row>
    <row r="952" spans="1:10" ht="47.25" x14ac:dyDescent="0.25">
      <c r="A952" s="25" t="s">
        <v>149</v>
      </c>
      <c r="B952" s="16">
        <v>910</v>
      </c>
      <c r="C952" s="20" t="s">
        <v>134</v>
      </c>
      <c r="D952" s="20" t="s">
        <v>136</v>
      </c>
      <c r="E952" s="20" t="s">
        <v>142</v>
      </c>
      <c r="F952" s="20" t="s">
        <v>150</v>
      </c>
      <c r="G952" s="26">
        <v>18.3</v>
      </c>
      <c r="H952" s="177"/>
    </row>
    <row r="953" spans="1:10" ht="15.75" x14ac:dyDescent="0.25">
      <c r="A953" s="23" t="s">
        <v>155</v>
      </c>
      <c r="B953" s="19">
        <v>910</v>
      </c>
      <c r="C953" s="24" t="s">
        <v>134</v>
      </c>
      <c r="D953" s="24" t="s">
        <v>156</v>
      </c>
      <c r="E953" s="110"/>
      <c r="F953" s="20"/>
      <c r="G953" s="21">
        <f>G954+G958</f>
        <v>32.5</v>
      </c>
      <c r="H953" s="177"/>
    </row>
    <row r="954" spans="1:10" ht="47.25" x14ac:dyDescent="0.25">
      <c r="A954" s="25" t="s">
        <v>177</v>
      </c>
      <c r="B954" s="16">
        <v>910</v>
      </c>
      <c r="C954" s="20" t="s">
        <v>134</v>
      </c>
      <c r="D954" s="20" t="s">
        <v>156</v>
      </c>
      <c r="E954" s="20" t="s">
        <v>178</v>
      </c>
      <c r="F954" s="20"/>
      <c r="G954" s="26">
        <f>G955</f>
        <v>0.5</v>
      </c>
      <c r="H954" s="177"/>
    </row>
    <row r="955" spans="1:10" ht="63" x14ac:dyDescent="0.25">
      <c r="A955" s="31" t="s">
        <v>712</v>
      </c>
      <c r="B955" s="16">
        <v>910</v>
      </c>
      <c r="C955" s="20" t="s">
        <v>134</v>
      </c>
      <c r="D955" s="20" t="s">
        <v>156</v>
      </c>
      <c r="E955" s="40" t="s">
        <v>713</v>
      </c>
      <c r="F955" s="20"/>
      <c r="G955" s="26">
        <f>G956</f>
        <v>0.5</v>
      </c>
      <c r="H955" s="177"/>
    </row>
    <row r="956" spans="1:10" ht="31.5" x14ac:dyDescent="0.25">
      <c r="A956" s="25" t="s">
        <v>147</v>
      </c>
      <c r="B956" s="16">
        <v>910</v>
      </c>
      <c r="C956" s="20" t="s">
        <v>134</v>
      </c>
      <c r="D956" s="20" t="s">
        <v>156</v>
      </c>
      <c r="E956" s="40" t="s">
        <v>713</v>
      </c>
      <c r="F956" s="20" t="s">
        <v>148</v>
      </c>
      <c r="G956" s="26">
        <f>G957</f>
        <v>0.5</v>
      </c>
      <c r="H956" s="177"/>
    </row>
    <row r="957" spans="1:10" ht="47.25" x14ac:dyDescent="0.25">
      <c r="A957" s="25" t="s">
        <v>149</v>
      </c>
      <c r="B957" s="16">
        <v>910</v>
      </c>
      <c r="C957" s="20" t="s">
        <v>134</v>
      </c>
      <c r="D957" s="20" t="s">
        <v>156</v>
      </c>
      <c r="E957" s="40" t="s">
        <v>713</v>
      </c>
      <c r="F957" s="20" t="s">
        <v>150</v>
      </c>
      <c r="G957" s="26">
        <v>0.5</v>
      </c>
      <c r="H957" s="177"/>
    </row>
    <row r="958" spans="1:10" ht="15.75" x14ac:dyDescent="0.25">
      <c r="A958" s="31" t="s">
        <v>137</v>
      </c>
      <c r="B958" s="16">
        <v>910</v>
      </c>
      <c r="C958" s="20" t="s">
        <v>134</v>
      </c>
      <c r="D958" s="20" t="s">
        <v>156</v>
      </c>
      <c r="E958" s="20" t="s">
        <v>138</v>
      </c>
      <c r="F958" s="20"/>
      <c r="G958" s="26">
        <f>G959</f>
        <v>32</v>
      </c>
      <c r="H958" s="177"/>
    </row>
    <row r="959" spans="1:10" ht="31.5" x14ac:dyDescent="0.25">
      <c r="A959" s="31" t="s">
        <v>201</v>
      </c>
      <c r="B959" s="16">
        <v>910</v>
      </c>
      <c r="C959" s="20" t="s">
        <v>134</v>
      </c>
      <c r="D959" s="20" t="s">
        <v>156</v>
      </c>
      <c r="E959" s="20" t="s">
        <v>202</v>
      </c>
      <c r="F959" s="20"/>
      <c r="G959" s="26">
        <f>G960</f>
        <v>32</v>
      </c>
      <c r="H959" s="177"/>
    </row>
    <row r="960" spans="1:10" ht="63" x14ac:dyDescent="0.25">
      <c r="A960" s="31" t="s">
        <v>712</v>
      </c>
      <c r="B960" s="16">
        <v>910</v>
      </c>
      <c r="C960" s="20" t="s">
        <v>134</v>
      </c>
      <c r="D960" s="20" t="s">
        <v>156</v>
      </c>
      <c r="E960" s="20" t="s">
        <v>714</v>
      </c>
      <c r="F960" s="20"/>
      <c r="G960" s="26">
        <f>G961</f>
        <v>32</v>
      </c>
      <c r="H960" s="177"/>
    </row>
    <row r="961" spans="1:12" ht="31.5" x14ac:dyDescent="0.25">
      <c r="A961" s="25" t="s">
        <v>147</v>
      </c>
      <c r="B961" s="16">
        <v>910</v>
      </c>
      <c r="C961" s="20" t="s">
        <v>134</v>
      </c>
      <c r="D961" s="20" t="s">
        <v>156</v>
      </c>
      <c r="E961" s="20" t="s">
        <v>714</v>
      </c>
      <c r="F961" s="20" t="s">
        <v>148</v>
      </c>
      <c r="G961" s="26">
        <f>G962</f>
        <v>32</v>
      </c>
      <c r="H961" s="177"/>
    </row>
    <row r="962" spans="1:12" ht="47.25" x14ac:dyDescent="0.25">
      <c r="A962" s="25" t="s">
        <v>149</v>
      </c>
      <c r="B962" s="16">
        <v>910</v>
      </c>
      <c r="C962" s="20" t="s">
        <v>134</v>
      </c>
      <c r="D962" s="20" t="s">
        <v>156</v>
      </c>
      <c r="E962" s="20" t="s">
        <v>714</v>
      </c>
      <c r="F962" s="20" t="s">
        <v>150</v>
      </c>
      <c r="G962" s="26">
        <v>32</v>
      </c>
      <c r="H962" s="111"/>
    </row>
    <row r="963" spans="1:12" ht="31.5" x14ac:dyDescent="0.25">
      <c r="A963" s="23" t="s">
        <v>597</v>
      </c>
      <c r="B963" s="19">
        <v>913</v>
      </c>
      <c r="C963" s="24"/>
      <c r="D963" s="24"/>
      <c r="E963" s="24"/>
      <c r="F963" s="24"/>
      <c r="G963" s="21">
        <f>G964</f>
        <v>6309.8</v>
      </c>
      <c r="H963" s="177"/>
    </row>
    <row r="964" spans="1:12" ht="15.75" x14ac:dyDescent="0.25">
      <c r="A964" s="23" t="s">
        <v>598</v>
      </c>
      <c r="B964" s="19">
        <v>913</v>
      </c>
      <c r="C964" s="24" t="s">
        <v>254</v>
      </c>
      <c r="D964" s="20"/>
      <c r="E964" s="20"/>
      <c r="F964" s="20"/>
      <c r="G964" s="26">
        <f>G965</f>
        <v>6309.8</v>
      </c>
      <c r="H964" s="177"/>
    </row>
    <row r="965" spans="1:12" ht="15.75" x14ac:dyDescent="0.25">
      <c r="A965" s="23" t="s">
        <v>599</v>
      </c>
      <c r="B965" s="19">
        <v>913</v>
      </c>
      <c r="C965" s="24" t="s">
        <v>254</v>
      </c>
      <c r="D965" s="24" t="s">
        <v>229</v>
      </c>
      <c r="E965" s="24"/>
      <c r="F965" s="24"/>
      <c r="G965" s="26">
        <f>G966</f>
        <v>6309.8</v>
      </c>
      <c r="H965" s="177"/>
    </row>
    <row r="966" spans="1:12" ht="15.75" x14ac:dyDescent="0.25">
      <c r="A966" s="25" t="s">
        <v>137</v>
      </c>
      <c r="B966" s="16">
        <v>913</v>
      </c>
      <c r="C966" s="20" t="s">
        <v>254</v>
      </c>
      <c r="D966" s="20" t="s">
        <v>229</v>
      </c>
      <c r="E966" s="20" t="s">
        <v>138</v>
      </c>
      <c r="F966" s="20"/>
      <c r="G966" s="26">
        <f>G967</f>
        <v>6309.8</v>
      </c>
      <c r="H966" s="177"/>
    </row>
    <row r="967" spans="1:12" ht="31.5" x14ac:dyDescent="0.25">
      <c r="A967" s="25" t="s">
        <v>600</v>
      </c>
      <c r="B967" s="16">
        <v>913</v>
      </c>
      <c r="C967" s="20" t="s">
        <v>254</v>
      </c>
      <c r="D967" s="20" t="s">
        <v>229</v>
      </c>
      <c r="E967" s="20" t="s">
        <v>601</v>
      </c>
      <c r="F967" s="20"/>
      <c r="G967" s="26">
        <f>G968</f>
        <v>6309.8</v>
      </c>
      <c r="H967" s="177"/>
    </row>
    <row r="968" spans="1:12" ht="31.5" x14ac:dyDescent="0.25">
      <c r="A968" s="25" t="s">
        <v>326</v>
      </c>
      <c r="B968" s="16">
        <v>913</v>
      </c>
      <c r="C968" s="20" t="s">
        <v>254</v>
      </c>
      <c r="D968" s="20" t="s">
        <v>229</v>
      </c>
      <c r="E968" s="20" t="s">
        <v>602</v>
      </c>
      <c r="F968" s="20"/>
      <c r="G968" s="26">
        <f>G969+G971+G973</f>
        <v>6309.8</v>
      </c>
      <c r="H968" s="177"/>
    </row>
    <row r="969" spans="1:12" ht="94.5" x14ac:dyDescent="0.25">
      <c r="A969" s="25" t="s">
        <v>143</v>
      </c>
      <c r="B969" s="16">
        <v>913</v>
      </c>
      <c r="C969" s="20" t="s">
        <v>254</v>
      </c>
      <c r="D969" s="20" t="s">
        <v>229</v>
      </c>
      <c r="E969" s="20" t="s">
        <v>602</v>
      </c>
      <c r="F969" s="20" t="s">
        <v>144</v>
      </c>
      <c r="G969" s="26">
        <f>G970</f>
        <v>5371.7</v>
      </c>
      <c r="H969" s="177"/>
    </row>
    <row r="970" spans="1:12" ht="31.5" x14ac:dyDescent="0.25">
      <c r="A970" s="25" t="s">
        <v>224</v>
      </c>
      <c r="B970" s="16">
        <v>913</v>
      </c>
      <c r="C970" s="20" t="s">
        <v>254</v>
      </c>
      <c r="D970" s="20" t="s">
        <v>229</v>
      </c>
      <c r="E970" s="20" t="s">
        <v>602</v>
      </c>
      <c r="F970" s="20" t="s">
        <v>225</v>
      </c>
      <c r="G970" s="27">
        <v>5371.7</v>
      </c>
      <c r="H970" s="177"/>
    </row>
    <row r="971" spans="1:12" ht="31.5" x14ac:dyDescent="0.25">
      <c r="A971" s="25" t="s">
        <v>147</v>
      </c>
      <c r="B971" s="16">
        <v>913</v>
      </c>
      <c r="C971" s="20" t="s">
        <v>254</v>
      </c>
      <c r="D971" s="20" t="s">
        <v>229</v>
      </c>
      <c r="E971" s="20" t="s">
        <v>602</v>
      </c>
      <c r="F971" s="20" t="s">
        <v>148</v>
      </c>
      <c r="G971" s="26">
        <f>G972</f>
        <v>928.1</v>
      </c>
      <c r="H971" s="177"/>
    </row>
    <row r="972" spans="1:12" ht="47.25" x14ac:dyDescent="0.25">
      <c r="A972" s="25" t="s">
        <v>149</v>
      </c>
      <c r="B972" s="16">
        <v>913</v>
      </c>
      <c r="C972" s="20" t="s">
        <v>254</v>
      </c>
      <c r="D972" s="20" t="s">
        <v>229</v>
      </c>
      <c r="E972" s="20" t="s">
        <v>602</v>
      </c>
      <c r="F972" s="20" t="s">
        <v>150</v>
      </c>
      <c r="G972" s="27">
        <f>898.3+28.1+1.7</f>
        <v>928.1</v>
      </c>
      <c r="H972" s="106"/>
      <c r="I972" s="125"/>
    </row>
    <row r="973" spans="1:12" ht="15.75" x14ac:dyDescent="0.25">
      <c r="A973" s="25" t="s">
        <v>151</v>
      </c>
      <c r="B973" s="16">
        <v>913</v>
      </c>
      <c r="C973" s="20" t="s">
        <v>254</v>
      </c>
      <c r="D973" s="20" t="s">
        <v>229</v>
      </c>
      <c r="E973" s="20" t="s">
        <v>602</v>
      </c>
      <c r="F973" s="20" t="s">
        <v>161</v>
      </c>
      <c r="G973" s="26">
        <f>G974</f>
        <v>10</v>
      </c>
      <c r="H973" s="177"/>
    </row>
    <row r="974" spans="1:12" ht="15.75" x14ac:dyDescent="0.25">
      <c r="A974" s="25" t="s">
        <v>584</v>
      </c>
      <c r="B974" s="16">
        <v>913</v>
      </c>
      <c r="C974" s="20" t="s">
        <v>254</v>
      </c>
      <c r="D974" s="20" t="s">
        <v>229</v>
      </c>
      <c r="E974" s="20" t="s">
        <v>602</v>
      </c>
      <c r="F974" s="20" t="s">
        <v>154</v>
      </c>
      <c r="G974" s="26">
        <v>10</v>
      </c>
      <c r="H974" s="177"/>
    </row>
    <row r="975" spans="1:12" ht="18.75" x14ac:dyDescent="0.3">
      <c r="A975" s="48" t="s">
        <v>603</v>
      </c>
      <c r="B975" s="48"/>
      <c r="C975" s="24"/>
      <c r="D975" s="24"/>
      <c r="E975" s="24"/>
      <c r="F975" s="24"/>
      <c r="G975" s="49">
        <f>G963+G925+G748+G673+G498+G459+G220+G27+G10</f>
        <v>665442.18999999994</v>
      </c>
      <c r="H975" s="177"/>
      <c r="L975" s="116"/>
    </row>
    <row r="976" spans="1:12" x14ac:dyDescent="0.25">
      <c r="A976" s="50"/>
      <c r="B976" s="50"/>
      <c r="C976" s="50"/>
      <c r="D976" s="50"/>
      <c r="E976" s="50"/>
      <c r="F976" s="50"/>
      <c r="G976" s="50"/>
      <c r="I976" s="114"/>
    </row>
    <row r="977" spans="1:12" ht="18.75" x14ac:dyDescent="0.3">
      <c r="A977" s="50"/>
      <c r="B977" s="50"/>
      <c r="C977" s="51"/>
      <c r="D977" s="51"/>
      <c r="E977" s="51"/>
      <c r="F977" s="102" t="s">
        <v>604</v>
      </c>
      <c r="G977" s="52">
        <f>G975-G978</f>
        <v>460911.08999999991</v>
      </c>
    </row>
    <row r="978" spans="1:12" ht="18.75" x14ac:dyDescent="0.3">
      <c r="A978" s="50"/>
      <c r="B978" s="50"/>
      <c r="C978" s="51"/>
      <c r="D978" s="51"/>
      <c r="E978" s="51"/>
      <c r="F978" s="102" t="s">
        <v>605</v>
      </c>
      <c r="G978" s="52">
        <f>G98+G180+G186+G208+G214+G261+G273+G338+G444+G480+G494+G527+G581+G640+G694+G787+G827+G879+G623+G959</f>
        <v>204531.10000000003</v>
      </c>
      <c r="I978" s="118"/>
    </row>
    <row r="979" spans="1:12" ht="15.75" x14ac:dyDescent="0.25">
      <c r="A979" s="50"/>
      <c r="B979" s="50"/>
      <c r="C979" s="51"/>
      <c r="D979" s="53"/>
      <c r="E979" s="53"/>
      <c r="F979" s="53"/>
      <c r="G979" s="103"/>
    </row>
    <row r="980" spans="1:12" ht="15.75" x14ac:dyDescent="0.25">
      <c r="A980" s="50"/>
      <c r="B980" s="50"/>
      <c r="C980" s="51"/>
      <c r="D980" s="53"/>
      <c r="E980" s="53"/>
      <c r="F980" s="53"/>
      <c r="G980" s="51"/>
    </row>
    <row r="981" spans="1:12" ht="15.75" x14ac:dyDescent="0.25">
      <c r="A981" s="50"/>
      <c r="B981" s="50"/>
      <c r="C981" s="54">
        <v>1</v>
      </c>
      <c r="D981" s="53"/>
      <c r="E981" s="53"/>
      <c r="F981" s="53"/>
      <c r="G981" s="55">
        <f>G11+G28+G460+G499+G926+G749+G228</f>
        <v>118780.1</v>
      </c>
      <c r="H981" s="105"/>
      <c r="I981" s="119" t="e">
        <f>'пр.2 Рд,пр 20'!#REF!</f>
        <v>#REF!</v>
      </c>
      <c r="L981" s="105"/>
    </row>
    <row r="982" spans="1:12" ht="15.75" x14ac:dyDescent="0.25">
      <c r="A982" s="50"/>
      <c r="B982" s="50"/>
      <c r="C982" s="54">
        <v>2</v>
      </c>
      <c r="D982" s="53"/>
      <c r="E982" s="53"/>
      <c r="F982" s="53"/>
      <c r="G982" s="55">
        <f>G147</f>
        <v>0</v>
      </c>
      <c r="H982" s="105"/>
      <c r="I982" s="119">
        <v>0</v>
      </c>
      <c r="L982" s="105"/>
    </row>
    <row r="983" spans="1:12" ht="15.75" x14ac:dyDescent="0.25">
      <c r="A983" s="50"/>
      <c r="B983" s="50"/>
      <c r="C983" s="54">
        <v>3</v>
      </c>
      <c r="D983" s="53"/>
      <c r="E983" s="53"/>
      <c r="F983" s="53"/>
      <c r="G983" s="55">
        <f>G763+G159</f>
        <v>7209.4000000000005</v>
      </c>
      <c r="H983" s="105"/>
      <c r="I983" s="119" t="e">
        <f>'пр.2 Рд,пр 20'!#REF!</f>
        <v>#REF!</v>
      </c>
      <c r="L983" s="105"/>
    </row>
    <row r="984" spans="1:12" ht="15.75" x14ac:dyDescent="0.25">
      <c r="A984" s="50"/>
      <c r="B984" s="50"/>
      <c r="C984" s="54">
        <v>4</v>
      </c>
      <c r="D984" s="53"/>
      <c r="E984" s="53"/>
      <c r="F984" s="53"/>
      <c r="G984" s="55">
        <f>G177+G770</f>
        <v>20153.2</v>
      </c>
      <c r="H984" s="105"/>
      <c r="I984" s="119" t="e">
        <f>'пр.2 Рд,пр 20'!#REF!</f>
        <v>#REF!</v>
      </c>
      <c r="L984" s="105"/>
    </row>
    <row r="985" spans="1:12" ht="15.75" x14ac:dyDescent="0.25">
      <c r="A985" s="50"/>
      <c r="B985" s="50"/>
      <c r="C985" s="54">
        <v>5</v>
      </c>
      <c r="D985" s="53"/>
      <c r="E985" s="53"/>
      <c r="F985" s="53"/>
      <c r="G985" s="55">
        <f>G784+G477</f>
        <v>109165.59000000001</v>
      </c>
      <c r="H985" s="105"/>
      <c r="I985" s="119" t="e">
        <f>'пр.2 Рд,пр 20'!#REF!</f>
        <v>#REF!</v>
      </c>
      <c r="L985" s="105"/>
    </row>
    <row r="986" spans="1:12" ht="15.75" x14ac:dyDescent="0.25">
      <c r="A986" s="50"/>
      <c r="B986" s="50"/>
      <c r="C986" s="54">
        <v>7</v>
      </c>
      <c r="D986" s="53"/>
      <c r="E986" s="53"/>
      <c r="F986" s="53"/>
      <c r="G986" s="55">
        <f>G674+G506+G235</f>
        <v>290484.60000000003</v>
      </c>
      <c r="H986" s="105"/>
      <c r="I986" s="119" t="e">
        <f>'пр.2 Рд,пр 20'!#REF!</f>
        <v>#REF!</v>
      </c>
      <c r="L986" s="105"/>
    </row>
    <row r="987" spans="1:12" ht="15.75" x14ac:dyDescent="0.25">
      <c r="A987" s="50"/>
      <c r="B987" s="50"/>
      <c r="C987" s="54">
        <v>8</v>
      </c>
      <c r="D987" s="53"/>
      <c r="E987" s="53"/>
      <c r="F987" s="53"/>
      <c r="G987" s="55">
        <f>G277</f>
        <v>61699.8</v>
      </c>
      <c r="H987" s="105"/>
      <c r="I987" s="119" t="e">
        <f>'пр.2 Рд,пр 20'!#REF!</f>
        <v>#REF!</v>
      </c>
      <c r="L987" s="105"/>
    </row>
    <row r="988" spans="1:12" ht="15.75" x14ac:dyDescent="0.25">
      <c r="A988" s="50"/>
      <c r="B988" s="50"/>
      <c r="C988" s="54">
        <v>10</v>
      </c>
      <c r="D988" s="53"/>
      <c r="E988" s="53"/>
      <c r="F988" s="53"/>
      <c r="G988" s="55">
        <f>G918+G492+G388+G195</f>
        <v>16937</v>
      </c>
      <c r="H988" s="105"/>
      <c r="I988" s="119" t="e">
        <f>'пр.2 Рд,пр 20'!#REF!</f>
        <v>#REF!</v>
      </c>
      <c r="L988" s="105"/>
    </row>
    <row r="989" spans="1:12" ht="15.75" x14ac:dyDescent="0.25">
      <c r="A989" s="50"/>
      <c r="B989" s="50"/>
      <c r="C989" s="54">
        <v>11</v>
      </c>
      <c r="D989" s="53"/>
      <c r="E989" s="53"/>
      <c r="F989" s="53"/>
      <c r="G989" s="55">
        <f>G704</f>
        <v>34702.699999999997</v>
      </c>
      <c r="H989" s="105"/>
      <c r="I989" s="119" t="e">
        <f>'пр.2 Рд,пр 20'!#REF!</f>
        <v>#REF!</v>
      </c>
      <c r="L989" s="105"/>
    </row>
    <row r="990" spans="1:12" ht="15.75" x14ac:dyDescent="0.25">
      <c r="A990" s="50"/>
      <c r="B990" s="50"/>
      <c r="C990" s="54">
        <v>12</v>
      </c>
      <c r="D990" s="53"/>
      <c r="E990" s="53"/>
      <c r="F990" s="53"/>
      <c r="G990" s="55">
        <f>G964</f>
        <v>6309.8</v>
      </c>
      <c r="H990" s="105"/>
      <c r="I990" s="119" t="e">
        <f>'пр.2 Рд,пр 20'!#REF!</f>
        <v>#REF!</v>
      </c>
      <c r="L990" s="105"/>
    </row>
    <row r="991" spans="1:12" ht="15.75" x14ac:dyDescent="0.25">
      <c r="A991" s="50"/>
      <c r="B991" s="50"/>
      <c r="C991" s="55"/>
      <c r="D991" s="53"/>
      <c r="E991" s="53"/>
      <c r="F991" s="53"/>
      <c r="G991" s="104">
        <f>SUM(G981:G990)</f>
        <v>665442.19000000018</v>
      </c>
      <c r="H991" s="105"/>
      <c r="I991" s="119" t="e">
        <f>'пр.2 Рд,пр 20'!#REF!</f>
        <v>#REF!</v>
      </c>
      <c r="L991" s="105"/>
    </row>
    <row r="992" spans="1:12" x14ac:dyDescent="0.25">
      <c r="G992" s="105"/>
      <c r="H992" s="105"/>
      <c r="I992" s="119"/>
    </row>
    <row r="993" spans="4:9" x14ac:dyDescent="0.25">
      <c r="D993" s="1" t="s">
        <v>606</v>
      </c>
      <c r="E993" s="1">
        <v>50</v>
      </c>
      <c r="G993" s="105">
        <f>G778</f>
        <v>15124.1</v>
      </c>
      <c r="H993" s="105"/>
      <c r="I993" s="119"/>
    </row>
    <row r="994" spans="4:9" x14ac:dyDescent="0.25">
      <c r="E994" s="1">
        <v>51</v>
      </c>
      <c r="G994" s="105">
        <f>G390</f>
        <v>3693</v>
      </c>
      <c r="H994" s="105"/>
      <c r="I994" s="119"/>
    </row>
    <row r="995" spans="4:9" x14ac:dyDescent="0.25">
      <c r="E995" s="1">
        <v>52</v>
      </c>
      <c r="G995" s="105">
        <f>G508+G547+G634+G613</f>
        <v>89244.700000000012</v>
      </c>
      <c r="H995" s="105"/>
      <c r="I995" s="119"/>
    </row>
    <row r="996" spans="4:9" x14ac:dyDescent="0.25">
      <c r="E996" s="1">
        <v>53</v>
      </c>
      <c r="G996" s="105">
        <f>G57</f>
        <v>250</v>
      </c>
      <c r="H996" s="105"/>
      <c r="I996" s="119"/>
    </row>
    <row r="997" spans="4:9" x14ac:dyDescent="0.25">
      <c r="E997" s="1">
        <v>54</v>
      </c>
      <c r="G997" s="105">
        <f>G61+G954</f>
        <v>654</v>
      </c>
      <c r="H997" s="105"/>
      <c r="I997" s="119"/>
    </row>
    <row r="998" spans="4:9" x14ac:dyDescent="0.25">
      <c r="E998" s="1">
        <v>55</v>
      </c>
      <c r="G998" s="105">
        <f>G203</f>
        <v>10</v>
      </c>
      <c r="H998" s="105"/>
      <c r="I998" s="119"/>
    </row>
    <row r="999" spans="4:9" x14ac:dyDescent="0.25">
      <c r="E999" s="1">
        <v>56</v>
      </c>
      <c r="G999" s="105">
        <f>G73</f>
        <v>80</v>
      </c>
      <c r="H999" s="105"/>
      <c r="I999" s="119"/>
    </row>
    <row r="1000" spans="4:9" x14ac:dyDescent="0.25">
      <c r="E1000" s="1">
        <v>57</v>
      </c>
      <c r="G1000" s="105">
        <f>G726+G706+G676</f>
        <v>36478.9</v>
      </c>
      <c r="H1000" s="105"/>
      <c r="I1000" s="119"/>
    </row>
    <row r="1001" spans="4:9" x14ac:dyDescent="0.25">
      <c r="E1001" s="1">
        <v>58</v>
      </c>
      <c r="G1001" s="105">
        <f>G279+G237</f>
        <v>58528.700000000004</v>
      </c>
      <c r="H1001" s="105"/>
      <c r="I1001" s="119"/>
    </row>
    <row r="1002" spans="4:9" x14ac:dyDescent="0.25">
      <c r="E1002" s="1">
        <v>59</v>
      </c>
      <c r="G1002" s="105">
        <f>G333</f>
        <v>200</v>
      </c>
      <c r="H1002" s="105"/>
      <c r="I1002" s="119"/>
    </row>
    <row r="1003" spans="4:9" x14ac:dyDescent="0.25">
      <c r="E1003" s="1">
        <v>60</v>
      </c>
      <c r="G1003" s="105">
        <f>G848</f>
        <v>12375.499999999998</v>
      </c>
      <c r="H1003" s="105"/>
      <c r="I1003" s="119"/>
    </row>
    <row r="1004" spans="4:9" x14ac:dyDescent="0.25">
      <c r="E1004" s="1">
        <v>61</v>
      </c>
      <c r="G1004" s="105">
        <f>G86</f>
        <v>120</v>
      </c>
      <c r="H1004" s="105"/>
      <c r="I1004" s="119"/>
    </row>
    <row r="1005" spans="4:9" x14ac:dyDescent="0.25">
      <c r="E1005" s="1">
        <v>62</v>
      </c>
      <c r="G1005" s="105">
        <f>G801</f>
        <v>5567.9000000000005</v>
      </c>
      <c r="H1005" s="105"/>
      <c r="I1005" s="119"/>
    </row>
    <row r="1006" spans="4:9" x14ac:dyDescent="0.25">
      <c r="E1006" s="1">
        <v>63</v>
      </c>
      <c r="G1006" s="105">
        <f>G359+G646</f>
        <v>145</v>
      </c>
      <c r="H1006" s="105"/>
      <c r="I1006" s="119"/>
    </row>
    <row r="1007" spans="4:9" x14ac:dyDescent="0.25">
      <c r="E1007" s="1">
        <v>64</v>
      </c>
      <c r="G1007" s="105">
        <f>G90+G369</f>
        <v>34</v>
      </c>
      <c r="H1007" s="105"/>
      <c r="I1007" s="119"/>
    </row>
    <row r="1008" spans="4:9" x14ac:dyDescent="0.25">
      <c r="E1008" s="1">
        <v>65</v>
      </c>
      <c r="G1008" s="105">
        <f>G874</f>
        <v>600</v>
      </c>
      <c r="H1008" s="105"/>
      <c r="I1008" s="119"/>
    </row>
    <row r="1009" spans="7:9" x14ac:dyDescent="0.25">
      <c r="G1009" s="105">
        <f>SUM(G993:G1008)</f>
        <v>223105.80000000002</v>
      </c>
      <c r="H1009" s="105"/>
      <c r="I1009" s="119"/>
    </row>
    <row r="1010" spans="7:9" x14ac:dyDescent="0.25">
      <c r="G1010" s="105"/>
      <c r="H1010" s="105"/>
      <c r="I1010" s="119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07"/>
  </cols>
  <sheetData>
    <row r="1" spans="1:8" ht="15.75" x14ac:dyDescent="0.25">
      <c r="D1" s="1"/>
      <c r="F1" s="57" t="s">
        <v>633</v>
      </c>
    </row>
    <row r="2" spans="1:8" ht="15.75" x14ac:dyDescent="0.25">
      <c r="D2" s="1"/>
      <c r="F2" s="57" t="s">
        <v>608</v>
      </c>
    </row>
    <row r="3" spans="1:8" ht="15.75" x14ac:dyDescent="0.25">
      <c r="D3" s="1"/>
      <c r="F3" s="57" t="s">
        <v>761</v>
      </c>
    </row>
    <row r="4" spans="1:8" ht="15.75" x14ac:dyDescent="0.25">
      <c r="D4" s="1"/>
      <c r="E4" s="1"/>
      <c r="F4" s="62"/>
      <c r="G4" s="63"/>
    </row>
    <row r="5" spans="1:8" ht="38.25" customHeight="1" x14ac:dyDescent="0.25">
      <c r="A5" s="408" t="s">
        <v>737</v>
      </c>
      <c r="B5" s="408"/>
      <c r="C5" s="408"/>
      <c r="D5" s="408"/>
      <c r="E5" s="408"/>
      <c r="F5" s="408"/>
      <c r="G5" s="408"/>
    </row>
    <row r="6" spans="1:8" ht="16.5" x14ac:dyDescent="0.25">
      <c r="A6" s="175"/>
      <c r="B6" s="175"/>
      <c r="C6" s="175"/>
      <c r="D6" s="175"/>
      <c r="E6" s="175"/>
      <c r="F6" s="175"/>
      <c r="G6" s="175"/>
    </row>
    <row r="7" spans="1:8" ht="15.75" x14ac:dyDescent="0.25">
      <c r="A7" s="62"/>
      <c r="B7" s="62"/>
      <c r="C7" s="62"/>
      <c r="D7" s="62"/>
      <c r="E7" s="64"/>
      <c r="F7" s="64"/>
      <c r="G7" s="65" t="s">
        <v>2</v>
      </c>
    </row>
    <row r="8" spans="1:8" ht="31.5" x14ac:dyDescent="0.25">
      <c r="A8" s="66" t="s">
        <v>609</v>
      </c>
      <c r="B8" s="66" t="s">
        <v>634</v>
      </c>
      <c r="C8" s="66" t="s">
        <v>635</v>
      </c>
      <c r="D8" s="66" t="s">
        <v>636</v>
      </c>
      <c r="E8" s="66" t="s">
        <v>637</v>
      </c>
      <c r="F8" s="66" t="s">
        <v>638</v>
      </c>
      <c r="G8" s="5" t="s">
        <v>5</v>
      </c>
    </row>
    <row r="9" spans="1:8" ht="15.75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5">
        <v>7</v>
      </c>
    </row>
    <row r="10" spans="1:8" ht="78.75" x14ac:dyDescent="0.25">
      <c r="A10" s="58" t="s">
        <v>639</v>
      </c>
      <c r="B10" s="7" t="s">
        <v>526</v>
      </c>
      <c r="C10" s="7"/>
      <c r="D10" s="7"/>
      <c r="E10" s="7"/>
      <c r="F10" s="7"/>
      <c r="G10" s="4" t="e">
        <f>G13</f>
        <v>#REF!</v>
      </c>
    </row>
    <row r="11" spans="1:8" ht="15.75" x14ac:dyDescent="0.25">
      <c r="A11" s="29" t="s">
        <v>248</v>
      </c>
      <c r="B11" s="40" t="s">
        <v>526</v>
      </c>
      <c r="C11" s="40" t="s">
        <v>166</v>
      </c>
      <c r="D11" s="40"/>
      <c r="E11" s="40"/>
      <c r="F11" s="40"/>
      <c r="G11" s="6" t="e">
        <f>G12</f>
        <v>#REF!</v>
      </c>
    </row>
    <row r="12" spans="1:8" ht="31.5" x14ac:dyDescent="0.25">
      <c r="A12" s="29" t="s">
        <v>524</v>
      </c>
      <c r="B12" s="40" t="s">
        <v>526</v>
      </c>
      <c r="C12" s="40" t="s">
        <v>166</v>
      </c>
      <c r="D12" s="40" t="s">
        <v>235</v>
      </c>
      <c r="E12" s="40"/>
      <c r="F12" s="40"/>
      <c r="G12" s="6" t="e">
        <f>G13</f>
        <v>#REF!</v>
      </c>
    </row>
    <row r="13" spans="1:8" ht="15.75" x14ac:dyDescent="0.25">
      <c r="A13" s="29" t="s">
        <v>527</v>
      </c>
      <c r="B13" s="40" t="s">
        <v>528</v>
      </c>
      <c r="C13" s="40" t="s">
        <v>166</v>
      </c>
      <c r="D13" s="40" t="s">
        <v>235</v>
      </c>
      <c r="E13" s="40"/>
      <c r="F13" s="40"/>
      <c r="G13" s="6" t="e">
        <f>G14+G16</f>
        <v>#REF!</v>
      </c>
    </row>
    <row r="14" spans="1:8" ht="47.25" x14ac:dyDescent="0.25">
      <c r="A14" s="29" t="s">
        <v>147</v>
      </c>
      <c r="B14" s="40" t="s">
        <v>528</v>
      </c>
      <c r="C14" s="40" t="s">
        <v>166</v>
      </c>
      <c r="D14" s="40" t="s">
        <v>235</v>
      </c>
      <c r="E14" s="40" t="s">
        <v>148</v>
      </c>
      <c r="F14" s="40"/>
      <c r="G14" s="6" t="e">
        <f>G15</f>
        <v>#REF!</v>
      </c>
    </row>
    <row r="15" spans="1:8" ht="47.25" x14ac:dyDescent="0.25">
      <c r="A15" s="29" t="s">
        <v>149</v>
      </c>
      <c r="B15" s="40" t="s">
        <v>528</v>
      </c>
      <c r="C15" s="40" t="s">
        <v>166</v>
      </c>
      <c r="D15" s="40" t="s">
        <v>235</v>
      </c>
      <c r="E15" s="40" t="s">
        <v>150</v>
      </c>
      <c r="F15" s="40"/>
      <c r="G15" s="6" t="e">
        <f>'Пр.4 ведом.20'!#REF!</f>
        <v>#REF!</v>
      </c>
      <c r="H15" s="113"/>
    </row>
    <row r="16" spans="1:8" ht="15.75" x14ac:dyDescent="0.25">
      <c r="A16" s="25" t="s">
        <v>151</v>
      </c>
      <c r="B16" s="40" t="s">
        <v>528</v>
      </c>
      <c r="C16" s="40" t="s">
        <v>166</v>
      </c>
      <c r="D16" s="40" t="s">
        <v>235</v>
      </c>
      <c r="E16" s="40" t="s">
        <v>161</v>
      </c>
      <c r="F16" s="40"/>
      <c r="G16" s="6" t="e">
        <f>G17</f>
        <v>#REF!</v>
      </c>
    </row>
    <row r="17" spans="1:8" ht="31.5" x14ac:dyDescent="0.25">
      <c r="A17" s="25" t="s">
        <v>153</v>
      </c>
      <c r="B17" s="40" t="s">
        <v>528</v>
      </c>
      <c r="C17" s="40" t="s">
        <v>166</v>
      </c>
      <c r="D17" s="40" t="s">
        <v>235</v>
      </c>
      <c r="E17" s="40" t="s">
        <v>154</v>
      </c>
      <c r="F17" s="40"/>
      <c r="G17" s="6" t="e">
        <f>'Пр.4 ведом.20'!#REF!</f>
        <v>#REF!</v>
      </c>
      <c r="H17" s="113"/>
    </row>
    <row r="18" spans="1:8" ht="47.25" x14ac:dyDescent="0.25">
      <c r="A18" s="45" t="s">
        <v>640</v>
      </c>
      <c r="B18" s="40" t="s">
        <v>526</v>
      </c>
      <c r="C18" s="40" t="s">
        <v>166</v>
      </c>
      <c r="D18" s="40" t="s">
        <v>235</v>
      </c>
      <c r="E18" s="40"/>
      <c r="F18" s="40" t="s">
        <v>641</v>
      </c>
      <c r="G18" s="6" t="e">
        <f>G13</f>
        <v>#REF!</v>
      </c>
    </row>
    <row r="19" spans="1:8" ht="78.75" x14ac:dyDescent="0.25">
      <c r="A19" s="58" t="s">
        <v>359</v>
      </c>
      <c r="B19" s="7" t="s">
        <v>360</v>
      </c>
      <c r="C19" s="7"/>
      <c r="D19" s="7"/>
      <c r="E19" s="7"/>
      <c r="F19" s="7"/>
      <c r="G19" s="59" t="e">
        <f>G20+G32+G39+G46+G55+G62+G69+G95</f>
        <v>#REF!</v>
      </c>
    </row>
    <row r="20" spans="1:8" ht="47.25" x14ac:dyDescent="0.25">
      <c r="A20" s="58" t="s">
        <v>642</v>
      </c>
      <c r="B20" s="7" t="s">
        <v>362</v>
      </c>
      <c r="C20" s="7"/>
      <c r="D20" s="7"/>
      <c r="E20" s="7"/>
      <c r="F20" s="7"/>
      <c r="G20" s="59" t="e">
        <f>G21</f>
        <v>#REF!</v>
      </c>
    </row>
    <row r="21" spans="1:8" ht="15.75" x14ac:dyDescent="0.25">
      <c r="A21" s="45" t="s">
        <v>259</v>
      </c>
      <c r="B21" s="40" t="s">
        <v>362</v>
      </c>
      <c r="C21" s="40" t="s">
        <v>260</v>
      </c>
      <c r="D21" s="40"/>
      <c r="E21" s="40"/>
      <c r="F21" s="40"/>
      <c r="G21" s="10" t="e">
        <f>G22</f>
        <v>#REF!</v>
      </c>
    </row>
    <row r="22" spans="1:8" ht="15.75" x14ac:dyDescent="0.25">
      <c r="A22" s="45" t="s">
        <v>268</v>
      </c>
      <c r="B22" s="40" t="s">
        <v>362</v>
      </c>
      <c r="C22" s="40" t="s">
        <v>260</v>
      </c>
      <c r="D22" s="40" t="s">
        <v>231</v>
      </c>
      <c r="E22" s="40"/>
      <c r="F22" s="40"/>
      <c r="G22" s="10" t="e">
        <f>G23+G28</f>
        <v>#REF!</v>
      </c>
    </row>
    <row r="23" spans="1:8" ht="47.25" x14ac:dyDescent="0.25">
      <c r="A23" s="29" t="s">
        <v>173</v>
      </c>
      <c r="B23" s="40" t="s">
        <v>643</v>
      </c>
      <c r="C23" s="40" t="s">
        <v>260</v>
      </c>
      <c r="D23" s="40" t="s">
        <v>231</v>
      </c>
      <c r="E23" s="40"/>
      <c r="F23" s="40"/>
      <c r="G23" s="10" t="e">
        <f>G26</f>
        <v>#REF!</v>
      </c>
    </row>
    <row r="24" spans="1:8" ht="110.25" hidden="1" x14ac:dyDescent="0.25">
      <c r="A24" s="25" t="s">
        <v>143</v>
      </c>
      <c r="B24" s="40" t="s">
        <v>643</v>
      </c>
      <c r="C24" s="40" t="s">
        <v>260</v>
      </c>
      <c r="D24" s="40" t="s">
        <v>231</v>
      </c>
      <c r="E24" s="40" t="s">
        <v>144</v>
      </c>
      <c r="F24" s="40"/>
      <c r="G24" s="10">
        <f>G25</f>
        <v>0</v>
      </c>
    </row>
    <row r="25" spans="1:8" ht="47.25" hidden="1" x14ac:dyDescent="0.25">
      <c r="A25" s="25" t="s">
        <v>145</v>
      </c>
      <c r="B25" s="40" t="s">
        <v>643</v>
      </c>
      <c r="C25" s="40" t="s">
        <v>260</v>
      </c>
      <c r="D25" s="40" t="s">
        <v>231</v>
      </c>
      <c r="E25" s="40" t="s">
        <v>146</v>
      </c>
      <c r="F25" s="40"/>
      <c r="G25" s="10"/>
    </row>
    <row r="26" spans="1:8" ht="47.25" x14ac:dyDescent="0.25">
      <c r="A26" s="29" t="s">
        <v>147</v>
      </c>
      <c r="B26" s="40" t="s">
        <v>643</v>
      </c>
      <c r="C26" s="40" t="s">
        <v>260</v>
      </c>
      <c r="D26" s="40" t="s">
        <v>231</v>
      </c>
      <c r="E26" s="40" t="s">
        <v>148</v>
      </c>
      <c r="F26" s="40"/>
      <c r="G26" s="10" t="e">
        <f>G27</f>
        <v>#REF!</v>
      </c>
    </row>
    <row r="27" spans="1:8" ht="47.25" x14ac:dyDescent="0.25">
      <c r="A27" s="29" t="s">
        <v>149</v>
      </c>
      <c r="B27" s="40" t="s">
        <v>643</v>
      </c>
      <c r="C27" s="40" t="s">
        <v>260</v>
      </c>
      <c r="D27" s="40" t="s">
        <v>231</v>
      </c>
      <c r="E27" s="40" t="s">
        <v>150</v>
      </c>
      <c r="F27" s="40"/>
      <c r="G27" s="6" t="e">
        <f>'Пр.4 ведом.20'!#REF!</f>
        <v>#REF!</v>
      </c>
    </row>
    <row r="28" spans="1:8" ht="47.25" x14ac:dyDescent="0.25">
      <c r="A28" s="25" t="s">
        <v>366</v>
      </c>
      <c r="B28" s="20" t="s">
        <v>367</v>
      </c>
      <c r="C28" s="40" t="s">
        <v>260</v>
      </c>
      <c r="D28" s="40" t="s">
        <v>231</v>
      </c>
      <c r="E28" s="40"/>
      <c r="F28" s="40"/>
      <c r="G28" s="10" t="e">
        <f>G29</f>
        <v>#REF!</v>
      </c>
    </row>
    <row r="29" spans="1:8" ht="63" x14ac:dyDescent="0.25">
      <c r="A29" s="25" t="s">
        <v>288</v>
      </c>
      <c r="B29" s="20" t="s">
        <v>367</v>
      </c>
      <c r="C29" s="40" t="s">
        <v>260</v>
      </c>
      <c r="D29" s="40" t="s">
        <v>231</v>
      </c>
      <c r="E29" s="40" t="s">
        <v>289</v>
      </c>
      <c r="F29" s="40"/>
      <c r="G29" s="10" t="e">
        <f>G30</f>
        <v>#REF!</v>
      </c>
    </row>
    <row r="30" spans="1:8" ht="15.75" x14ac:dyDescent="0.25">
      <c r="A30" s="25" t="s">
        <v>290</v>
      </c>
      <c r="B30" s="20" t="s">
        <v>367</v>
      </c>
      <c r="C30" s="40" t="s">
        <v>260</v>
      </c>
      <c r="D30" s="40" t="s">
        <v>231</v>
      </c>
      <c r="E30" s="40" t="s">
        <v>291</v>
      </c>
      <c r="F30" s="40"/>
      <c r="G30" s="10" t="e">
        <f>'Пр.4 ведом.20'!#REF!</f>
        <v>#REF!</v>
      </c>
      <c r="H30" s="113"/>
    </row>
    <row r="31" spans="1:8" ht="63" x14ac:dyDescent="0.25">
      <c r="A31" s="45" t="s">
        <v>277</v>
      </c>
      <c r="B31" s="20" t="s">
        <v>362</v>
      </c>
      <c r="C31" s="40" t="s">
        <v>260</v>
      </c>
      <c r="D31" s="40" t="s">
        <v>231</v>
      </c>
      <c r="E31" s="40"/>
      <c r="F31" s="40" t="s">
        <v>644</v>
      </c>
      <c r="G31" s="6" t="e">
        <f>G20</f>
        <v>#REF!</v>
      </c>
    </row>
    <row r="32" spans="1:8" ht="47.25" x14ac:dyDescent="0.25">
      <c r="A32" s="58" t="s">
        <v>645</v>
      </c>
      <c r="B32" s="7" t="s">
        <v>369</v>
      </c>
      <c r="C32" s="7"/>
      <c r="D32" s="7"/>
      <c r="E32" s="7"/>
      <c r="F32" s="7"/>
      <c r="G32" s="59" t="e">
        <f>G33</f>
        <v>#REF!</v>
      </c>
    </row>
    <row r="33" spans="1:7" ht="15.75" x14ac:dyDescent="0.25">
      <c r="A33" s="45" t="s">
        <v>259</v>
      </c>
      <c r="B33" s="40" t="s">
        <v>369</v>
      </c>
      <c r="C33" s="40" t="s">
        <v>260</v>
      </c>
      <c r="D33" s="40"/>
      <c r="E33" s="40"/>
      <c r="F33" s="40"/>
      <c r="G33" s="10" t="e">
        <f>G34</f>
        <v>#REF!</v>
      </c>
    </row>
    <row r="34" spans="1:7" ht="15.75" x14ac:dyDescent="0.25">
      <c r="A34" s="45" t="s">
        <v>268</v>
      </c>
      <c r="B34" s="40" t="s">
        <v>369</v>
      </c>
      <c r="C34" s="40" t="s">
        <v>260</v>
      </c>
      <c r="D34" s="40" t="s">
        <v>231</v>
      </c>
      <c r="E34" s="40"/>
      <c r="F34" s="40"/>
      <c r="G34" s="10" t="e">
        <f>G35</f>
        <v>#REF!</v>
      </c>
    </row>
    <row r="35" spans="1:7" ht="31.5" x14ac:dyDescent="0.25">
      <c r="A35" s="25" t="s">
        <v>631</v>
      </c>
      <c r="B35" s="20" t="s">
        <v>632</v>
      </c>
      <c r="C35" s="40" t="s">
        <v>260</v>
      </c>
      <c r="D35" s="40" t="s">
        <v>231</v>
      </c>
      <c r="E35" s="40"/>
      <c r="F35" s="40"/>
      <c r="G35" s="10" t="e">
        <f>G36</f>
        <v>#REF!</v>
      </c>
    </row>
    <row r="36" spans="1:7" ht="31.5" x14ac:dyDescent="0.25">
      <c r="A36" s="29" t="s">
        <v>264</v>
      </c>
      <c r="B36" s="20" t="s">
        <v>632</v>
      </c>
      <c r="C36" s="40" t="s">
        <v>260</v>
      </c>
      <c r="D36" s="40" t="s">
        <v>231</v>
      </c>
      <c r="E36" s="40" t="s">
        <v>265</v>
      </c>
      <c r="F36" s="40"/>
      <c r="G36" s="10" t="e">
        <f>G37</f>
        <v>#REF!</v>
      </c>
    </row>
    <row r="37" spans="1:7" ht="47.25" x14ac:dyDescent="0.25">
      <c r="A37" s="29" t="s">
        <v>266</v>
      </c>
      <c r="B37" s="20" t="s">
        <v>632</v>
      </c>
      <c r="C37" s="40" t="s">
        <v>260</v>
      </c>
      <c r="D37" s="40" t="s">
        <v>231</v>
      </c>
      <c r="E37" s="40" t="s">
        <v>267</v>
      </c>
      <c r="F37" s="40"/>
      <c r="G37" s="10" t="e">
        <f>'Пр.4 ведом.20'!#REF!</f>
        <v>#REF!</v>
      </c>
    </row>
    <row r="38" spans="1:7" ht="63" x14ac:dyDescent="0.25">
      <c r="A38" s="45" t="s">
        <v>277</v>
      </c>
      <c r="B38" s="20" t="s">
        <v>369</v>
      </c>
      <c r="C38" s="40" t="s">
        <v>260</v>
      </c>
      <c r="D38" s="40" t="s">
        <v>231</v>
      </c>
      <c r="E38" s="40"/>
      <c r="F38" s="40" t="s">
        <v>644</v>
      </c>
      <c r="G38" s="10" t="e">
        <f>G32</f>
        <v>#REF!</v>
      </c>
    </row>
    <row r="39" spans="1:7" ht="47.25" x14ac:dyDescent="0.25">
      <c r="A39" s="58" t="s">
        <v>646</v>
      </c>
      <c r="B39" s="7" t="s">
        <v>372</v>
      </c>
      <c r="C39" s="7"/>
      <c r="D39" s="7"/>
      <c r="E39" s="7"/>
      <c r="F39" s="7"/>
      <c r="G39" s="59" t="e">
        <f>G40</f>
        <v>#REF!</v>
      </c>
    </row>
    <row r="40" spans="1:7" ht="15.75" x14ac:dyDescent="0.25">
      <c r="A40" s="45" t="s">
        <v>259</v>
      </c>
      <c r="B40" s="40" t="s">
        <v>372</v>
      </c>
      <c r="C40" s="40" t="s">
        <v>260</v>
      </c>
      <c r="D40" s="40"/>
      <c r="E40" s="40"/>
      <c r="F40" s="40"/>
      <c r="G40" s="10" t="e">
        <f>G41</f>
        <v>#REF!</v>
      </c>
    </row>
    <row r="41" spans="1:7" ht="15.75" x14ac:dyDescent="0.25">
      <c r="A41" s="45" t="s">
        <v>268</v>
      </c>
      <c r="B41" s="40" t="s">
        <v>372</v>
      </c>
      <c r="C41" s="40" t="s">
        <v>260</v>
      </c>
      <c r="D41" s="40" t="s">
        <v>231</v>
      </c>
      <c r="E41" s="40"/>
      <c r="F41" s="40"/>
      <c r="G41" s="10" t="e">
        <f>G42</f>
        <v>#REF!</v>
      </c>
    </row>
    <row r="42" spans="1:7" ht="47.25" x14ac:dyDescent="0.25">
      <c r="A42" s="29" t="s">
        <v>173</v>
      </c>
      <c r="B42" s="40" t="s">
        <v>647</v>
      </c>
      <c r="C42" s="40" t="s">
        <v>260</v>
      </c>
      <c r="D42" s="40" t="s">
        <v>231</v>
      </c>
      <c r="E42" s="40"/>
      <c r="F42" s="40"/>
      <c r="G42" s="10" t="e">
        <f>G43</f>
        <v>#REF!</v>
      </c>
    </row>
    <row r="43" spans="1:7" ht="31.5" x14ac:dyDescent="0.25">
      <c r="A43" s="29" t="s">
        <v>264</v>
      </c>
      <c r="B43" s="40" t="s">
        <v>647</v>
      </c>
      <c r="C43" s="40" t="s">
        <v>260</v>
      </c>
      <c r="D43" s="40" t="s">
        <v>231</v>
      </c>
      <c r="E43" s="40" t="s">
        <v>265</v>
      </c>
      <c r="F43" s="40"/>
      <c r="G43" s="10" t="e">
        <f>G44</f>
        <v>#REF!</v>
      </c>
    </row>
    <row r="44" spans="1:7" ht="31.5" x14ac:dyDescent="0.25">
      <c r="A44" s="29" t="s">
        <v>364</v>
      </c>
      <c r="B44" s="40" t="s">
        <v>647</v>
      </c>
      <c r="C44" s="40" t="s">
        <v>260</v>
      </c>
      <c r="D44" s="40" t="s">
        <v>231</v>
      </c>
      <c r="E44" s="40" t="s">
        <v>365</v>
      </c>
      <c r="F44" s="40"/>
      <c r="G44" s="10" t="e">
        <f>'Пр.4 ведом.20'!#REF!</f>
        <v>#REF!</v>
      </c>
    </row>
    <row r="45" spans="1:7" ht="63" x14ac:dyDescent="0.25">
      <c r="A45" s="45" t="s">
        <v>277</v>
      </c>
      <c r="B45" s="40" t="s">
        <v>372</v>
      </c>
      <c r="C45" s="40" t="s">
        <v>260</v>
      </c>
      <c r="D45" s="40" t="s">
        <v>231</v>
      </c>
      <c r="E45" s="40"/>
      <c r="F45" s="40" t="s">
        <v>644</v>
      </c>
      <c r="G45" s="10" t="e">
        <f>G39</f>
        <v>#REF!</v>
      </c>
    </row>
    <row r="46" spans="1:7" ht="31.5" x14ac:dyDescent="0.25">
      <c r="A46" s="58" t="s">
        <v>648</v>
      </c>
      <c r="B46" s="7" t="s">
        <v>375</v>
      </c>
      <c r="C46" s="7"/>
      <c r="D46" s="7"/>
      <c r="E46" s="7"/>
      <c r="F46" s="7"/>
      <c r="G46" s="59" t="e">
        <f>G47</f>
        <v>#REF!</v>
      </c>
    </row>
    <row r="47" spans="1:7" ht="15.75" x14ac:dyDescent="0.25">
      <c r="A47" s="45" t="s">
        <v>259</v>
      </c>
      <c r="B47" s="40" t="s">
        <v>375</v>
      </c>
      <c r="C47" s="40" t="s">
        <v>260</v>
      </c>
      <c r="D47" s="40"/>
      <c r="E47" s="40"/>
      <c r="F47" s="40"/>
      <c r="G47" s="10" t="e">
        <f>G48</f>
        <v>#REF!</v>
      </c>
    </row>
    <row r="48" spans="1:7" ht="15.75" x14ac:dyDescent="0.25">
      <c r="A48" s="45" t="s">
        <v>268</v>
      </c>
      <c r="B48" s="40" t="s">
        <v>375</v>
      </c>
      <c r="C48" s="40" t="s">
        <v>260</v>
      </c>
      <c r="D48" s="40" t="s">
        <v>231</v>
      </c>
      <c r="E48" s="40"/>
      <c r="F48" s="40"/>
      <c r="G48" s="10" t="e">
        <f>G49</f>
        <v>#REF!</v>
      </c>
    </row>
    <row r="49" spans="1:7" ht="47.25" x14ac:dyDescent="0.25">
      <c r="A49" s="29" t="s">
        <v>173</v>
      </c>
      <c r="B49" s="40" t="s">
        <v>649</v>
      </c>
      <c r="C49" s="40" t="s">
        <v>260</v>
      </c>
      <c r="D49" s="40" t="s">
        <v>231</v>
      </c>
      <c r="E49" s="40"/>
      <c r="F49" s="40"/>
      <c r="G49" s="10" t="e">
        <f>G50+G52</f>
        <v>#REF!</v>
      </c>
    </row>
    <row r="50" spans="1:7" ht="47.25" x14ac:dyDescent="0.25">
      <c r="A50" s="29" t="s">
        <v>147</v>
      </c>
      <c r="B50" s="40" t="s">
        <v>649</v>
      </c>
      <c r="C50" s="40" t="s">
        <v>260</v>
      </c>
      <c r="D50" s="40" t="s">
        <v>231</v>
      </c>
      <c r="E50" s="40" t="s">
        <v>148</v>
      </c>
      <c r="F50" s="40"/>
      <c r="G50" s="10" t="e">
        <f>G51</f>
        <v>#REF!</v>
      </c>
    </row>
    <row r="51" spans="1:7" ht="47.25" x14ac:dyDescent="0.25">
      <c r="A51" s="29" t="s">
        <v>149</v>
      </c>
      <c r="B51" s="40" t="s">
        <v>649</v>
      </c>
      <c r="C51" s="40" t="s">
        <v>260</v>
      </c>
      <c r="D51" s="40" t="s">
        <v>231</v>
      </c>
      <c r="E51" s="40" t="s">
        <v>150</v>
      </c>
      <c r="F51" s="40"/>
      <c r="G51" s="10" t="e">
        <f>'Пр.4 ведом.20'!#REF!</f>
        <v>#REF!</v>
      </c>
    </row>
    <row r="52" spans="1:7" ht="31.5" x14ac:dyDescent="0.25">
      <c r="A52" s="29" t="s">
        <v>264</v>
      </c>
      <c r="B52" s="40" t="s">
        <v>649</v>
      </c>
      <c r="C52" s="40" t="s">
        <v>260</v>
      </c>
      <c r="D52" s="40" t="s">
        <v>231</v>
      </c>
      <c r="E52" s="40" t="s">
        <v>265</v>
      </c>
      <c r="F52" s="40"/>
      <c r="G52" s="10" t="e">
        <f>G53</f>
        <v>#REF!</v>
      </c>
    </row>
    <row r="53" spans="1:7" ht="31.5" x14ac:dyDescent="0.25">
      <c r="A53" s="29" t="s">
        <v>364</v>
      </c>
      <c r="B53" s="40" t="s">
        <v>649</v>
      </c>
      <c r="C53" s="40" t="s">
        <v>260</v>
      </c>
      <c r="D53" s="40" t="s">
        <v>231</v>
      </c>
      <c r="E53" s="40" t="s">
        <v>365</v>
      </c>
      <c r="F53" s="40"/>
      <c r="G53" s="10" t="e">
        <f>'Пр.4 ведом.20'!#REF!</f>
        <v>#REF!</v>
      </c>
    </row>
    <row r="54" spans="1:7" ht="63" x14ac:dyDescent="0.25">
      <c r="A54" s="45" t="s">
        <v>277</v>
      </c>
      <c r="B54" s="40" t="s">
        <v>375</v>
      </c>
      <c r="C54" s="40" t="s">
        <v>260</v>
      </c>
      <c r="D54" s="40" t="s">
        <v>231</v>
      </c>
      <c r="E54" s="40"/>
      <c r="F54" s="40" t="s">
        <v>644</v>
      </c>
      <c r="G54" s="10" t="e">
        <f>G46</f>
        <v>#REF!</v>
      </c>
    </row>
    <row r="55" spans="1:7" ht="47.25" x14ac:dyDescent="0.25">
      <c r="A55" s="58" t="s">
        <v>650</v>
      </c>
      <c r="B55" s="7" t="s">
        <v>378</v>
      </c>
      <c r="C55" s="7"/>
      <c r="D55" s="7"/>
      <c r="E55" s="7"/>
      <c r="F55" s="7"/>
      <c r="G55" s="59" t="e">
        <f>G56</f>
        <v>#REF!</v>
      </c>
    </row>
    <row r="56" spans="1:7" ht="15.75" x14ac:dyDescent="0.25">
      <c r="A56" s="45" t="s">
        <v>259</v>
      </c>
      <c r="B56" s="40" t="s">
        <v>378</v>
      </c>
      <c r="C56" s="40" t="s">
        <v>260</v>
      </c>
      <c r="D56" s="40"/>
      <c r="E56" s="40"/>
      <c r="F56" s="40"/>
      <c r="G56" s="10" t="e">
        <f>G57</f>
        <v>#REF!</v>
      </c>
    </row>
    <row r="57" spans="1:7" ht="21.75" customHeight="1" x14ac:dyDescent="0.25">
      <c r="A57" s="45" t="s">
        <v>268</v>
      </c>
      <c r="B57" s="40" t="s">
        <v>378</v>
      </c>
      <c r="C57" s="40" t="s">
        <v>260</v>
      </c>
      <c r="D57" s="40" t="s">
        <v>231</v>
      </c>
      <c r="E57" s="40"/>
      <c r="F57" s="40"/>
      <c r="G57" s="10" t="e">
        <f>G58</f>
        <v>#REF!</v>
      </c>
    </row>
    <row r="58" spans="1:7" ht="47.25" x14ac:dyDescent="0.25">
      <c r="A58" s="29" t="s">
        <v>173</v>
      </c>
      <c r="B58" s="40" t="s">
        <v>651</v>
      </c>
      <c r="C58" s="40" t="s">
        <v>260</v>
      </c>
      <c r="D58" s="40" t="s">
        <v>231</v>
      </c>
      <c r="E58" s="40"/>
      <c r="F58" s="40"/>
      <c r="G58" s="10" t="e">
        <f>G59</f>
        <v>#REF!</v>
      </c>
    </row>
    <row r="59" spans="1:7" ht="31.5" x14ac:dyDescent="0.25">
      <c r="A59" s="29" t="s">
        <v>264</v>
      </c>
      <c r="B59" s="40" t="s">
        <v>651</v>
      </c>
      <c r="C59" s="40" t="s">
        <v>260</v>
      </c>
      <c r="D59" s="40" t="s">
        <v>231</v>
      </c>
      <c r="E59" s="40" t="s">
        <v>265</v>
      </c>
      <c r="F59" s="40"/>
      <c r="G59" s="10" t="e">
        <f>G60</f>
        <v>#REF!</v>
      </c>
    </row>
    <row r="60" spans="1:7" ht="31.5" x14ac:dyDescent="0.25">
      <c r="A60" s="29" t="s">
        <v>364</v>
      </c>
      <c r="B60" s="40" t="s">
        <v>651</v>
      </c>
      <c r="C60" s="40" t="s">
        <v>260</v>
      </c>
      <c r="D60" s="40" t="s">
        <v>231</v>
      </c>
      <c r="E60" s="40" t="s">
        <v>365</v>
      </c>
      <c r="F60" s="40"/>
      <c r="G60" s="10" t="e">
        <f>'Пр.4 ведом.20'!#REF!</f>
        <v>#REF!</v>
      </c>
    </row>
    <row r="61" spans="1:7" ht="63" x14ac:dyDescent="0.25">
      <c r="A61" s="45" t="s">
        <v>277</v>
      </c>
      <c r="B61" s="40" t="s">
        <v>378</v>
      </c>
      <c r="C61" s="40" t="s">
        <v>260</v>
      </c>
      <c r="D61" s="40" t="s">
        <v>231</v>
      </c>
      <c r="E61" s="40"/>
      <c r="F61" s="40" t="s">
        <v>644</v>
      </c>
      <c r="G61" s="10" t="e">
        <f>G55</f>
        <v>#REF!</v>
      </c>
    </row>
    <row r="62" spans="1:7" ht="78.75" x14ac:dyDescent="0.25">
      <c r="A62" s="58" t="s">
        <v>380</v>
      </c>
      <c r="B62" s="7" t="s">
        <v>381</v>
      </c>
      <c r="C62" s="7"/>
      <c r="D62" s="7"/>
      <c r="E62" s="7"/>
      <c r="F62" s="7"/>
      <c r="G62" s="59" t="e">
        <f>G63</f>
        <v>#REF!</v>
      </c>
    </row>
    <row r="63" spans="1:7" ht="15.75" x14ac:dyDescent="0.25">
      <c r="A63" s="45" t="s">
        <v>259</v>
      </c>
      <c r="B63" s="40" t="s">
        <v>381</v>
      </c>
      <c r="C63" s="40" t="s">
        <v>260</v>
      </c>
      <c r="D63" s="40"/>
      <c r="E63" s="40"/>
      <c r="F63" s="40"/>
      <c r="G63" s="10" t="e">
        <f>G64</f>
        <v>#REF!</v>
      </c>
    </row>
    <row r="64" spans="1:7" ht="15.75" x14ac:dyDescent="0.25">
      <c r="A64" s="45" t="s">
        <v>268</v>
      </c>
      <c r="B64" s="40" t="s">
        <v>381</v>
      </c>
      <c r="C64" s="40" t="s">
        <v>260</v>
      </c>
      <c r="D64" s="40" t="s">
        <v>231</v>
      </c>
      <c r="E64" s="40"/>
      <c r="F64" s="40"/>
      <c r="G64" s="10" t="e">
        <f>G65</f>
        <v>#REF!</v>
      </c>
    </row>
    <row r="65" spans="1:7" ht="42.75" customHeight="1" x14ac:dyDescent="0.25">
      <c r="A65" s="29" t="s">
        <v>173</v>
      </c>
      <c r="B65" s="40" t="s">
        <v>652</v>
      </c>
      <c r="C65" s="40" t="s">
        <v>260</v>
      </c>
      <c r="D65" s="40" t="s">
        <v>231</v>
      </c>
      <c r="E65" s="40"/>
      <c r="F65" s="40"/>
      <c r="G65" s="10" t="e">
        <f>G66</f>
        <v>#REF!</v>
      </c>
    </row>
    <row r="66" spans="1:7" ht="47.25" x14ac:dyDescent="0.25">
      <c r="A66" s="29" t="s">
        <v>147</v>
      </c>
      <c r="B66" s="40" t="s">
        <v>652</v>
      </c>
      <c r="C66" s="40" t="s">
        <v>260</v>
      </c>
      <c r="D66" s="40" t="s">
        <v>231</v>
      </c>
      <c r="E66" s="40" t="s">
        <v>148</v>
      </c>
      <c r="F66" s="40"/>
      <c r="G66" s="10" t="e">
        <f>G67</f>
        <v>#REF!</v>
      </c>
    </row>
    <row r="67" spans="1:7" ht="47.25" x14ac:dyDescent="0.25">
      <c r="A67" s="29" t="s">
        <v>149</v>
      </c>
      <c r="B67" s="40" t="s">
        <v>652</v>
      </c>
      <c r="C67" s="40" t="s">
        <v>260</v>
      </c>
      <c r="D67" s="40" t="s">
        <v>231</v>
      </c>
      <c r="E67" s="40" t="s">
        <v>150</v>
      </c>
      <c r="F67" s="40"/>
      <c r="G67" s="10" t="e">
        <f>'Пр.4 ведом.20'!#REF!</f>
        <v>#REF!</v>
      </c>
    </row>
    <row r="68" spans="1:7" ht="63" x14ac:dyDescent="0.25">
      <c r="A68" s="45" t="s">
        <v>277</v>
      </c>
      <c r="B68" s="40" t="s">
        <v>381</v>
      </c>
      <c r="C68" s="40" t="s">
        <v>260</v>
      </c>
      <c r="D68" s="40" t="s">
        <v>231</v>
      </c>
      <c r="E68" s="40"/>
      <c r="F68" s="40" t="s">
        <v>644</v>
      </c>
      <c r="G68" s="10" t="e">
        <f>G62</f>
        <v>#REF!</v>
      </c>
    </row>
    <row r="69" spans="1:7" ht="94.5" x14ac:dyDescent="0.25">
      <c r="A69" s="41" t="s">
        <v>383</v>
      </c>
      <c r="B69" s="7" t="s">
        <v>384</v>
      </c>
      <c r="C69" s="7"/>
      <c r="D69" s="7"/>
      <c r="E69" s="7"/>
      <c r="F69" s="7"/>
      <c r="G69" s="59" t="e">
        <f>G70</f>
        <v>#REF!</v>
      </c>
    </row>
    <row r="70" spans="1:7" ht="15.75" x14ac:dyDescent="0.25">
      <c r="A70" s="45" t="s">
        <v>259</v>
      </c>
      <c r="B70" s="40" t="s">
        <v>384</v>
      </c>
      <c r="C70" s="40" t="s">
        <v>260</v>
      </c>
      <c r="D70" s="40"/>
      <c r="E70" s="40"/>
      <c r="F70" s="40"/>
      <c r="G70" s="10" t="e">
        <f>G71</f>
        <v>#REF!</v>
      </c>
    </row>
    <row r="71" spans="1:7" ht="15.75" x14ac:dyDescent="0.25">
      <c r="A71" s="45" t="s">
        <v>268</v>
      </c>
      <c r="B71" s="40" t="s">
        <v>384</v>
      </c>
      <c r="C71" s="40" t="s">
        <v>260</v>
      </c>
      <c r="D71" s="40" t="s">
        <v>231</v>
      </c>
      <c r="E71" s="40"/>
      <c r="F71" s="40"/>
      <c r="G71" s="10" t="e">
        <f>G72+G90+G81+G85+G77</f>
        <v>#REF!</v>
      </c>
    </row>
    <row r="72" spans="1:7" ht="45" customHeight="1" x14ac:dyDescent="0.25">
      <c r="A72" s="29" t="s">
        <v>173</v>
      </c>
      <c r="B72" s="40" t="s">
        <v>386</v>
      </c>
      <c r="C72" s="40" t="s">
        <v>260</v>
      </c>
      <c r="D72" s="40" t="s">
        <v>231</v>
      </c>
      <c r="E72" s="40"/>
      <c r="F72" s="40"/>
      <c r="G72" s="10" t="e">
        <f>G75+G73</f>
        <v>#REF!</v>
      </c>
    </row>
    <row r="73" spans="1:7" ht="47.25" hidden="1" x14ac:dyDescent="0.25">
      <c r="A73" s="29" t="s">
        <v>147</v>
      </c>
      <c r="B73" s="40" t="s">
        <v>384</v>
      </c>
      <c r="C73" s="40" t="s">
        <v>260</v>
      </c>
      <c r="D73" s="40" t="s">
        <v>231</v>
      </c>
      <c r="E73" s="40" t="s">
        <v>148</v>
      </c>
      <c r="F73" s="40"/>
      <c r="G73" s="10">
        <f>G74</f>
        <v>0</v>
      </c>
    </row>
    <row r="74" spans="1:7" ht="47.25" hidden="1" x14ac:dyDescent="0.25">
      <c r="A74" s="29" t="s">
        <v>149</v>
      </c>
      <c r="B74" s="40" t="s">
        <v>384</v>
      </c>
      <c r="C74" s="40" t="s">
        <v>260</v>
      </c>
      <c r="D74" s="40" t="s">
        <v>231</v>
      </c>
      <c r="E74" s="40" t="s">
        <v>150</v>
      </c>
      <c r="F74" s="40"/>
      <c r="G74" s="10"/>
    </row>
    <row r="75" spans="1:7" ht="63" x14ac:dyDescent="0.25">
      <c r="A75" s="25" t="s">
        <v>288</v>
      </c>
      <c r="B75" s="40" t="s">
        <v>386</v>
      </c>
      <c r="C75" s="40" t="s">
        <v>260</v>
      </c>
      <c r="D75" s="40" t="s">
        <v>231</v>
      </c>
      <c r="E75" s="40" t="s">
        <v>289</v>
      </c>
      <c r="F75" s="40"/>
      <c r="G75" s="10" t="e">
        <f>G76</f>
        <v>#REF!</v>
      </c>
    </row>
    <row r="76" spans="1:7" ht="72.75" customHeight="1" x14ac:dyDescent="0.25">
      <c r="A76" s="25" t="s">
        <v>387</v>
      </c>
      <c r="B76" s="40" t="s">
        <v>386</v>
      </c>
      <c r="C76" s="40" t="s">
        <v>260</v>
      </c>
      <c r="D76" s="40" t="s">
        <v>231</v>
      </c>
      <c r="E76" s="40" t="s">
        <v>388</v>
      </c>
      <c r="F76" s="40"/>
      <c r="G76" s="10" t="e">
        <f>'Пр.4 ведом.20'!#REF!</f>
        <v>#REF!</v>
      </c>
    </row>
    <row r="77" spans="1:7" ht="63" x14ac:dyDescent="0.25">
      <c r="A77" s="25" t="s">
        <v>391</v>
      </c>
      <c r="B77" s="20" t="s">
        <v>392</v>
      </c>
      <c r="C77" s="40" t="s">
        <v>260</v>
      </c>
      <c r="D77" s="40" t="s">
        <v>231</v>
      </c>
      <c r="E77" s="40"/>
      <c r="F77" s="40"/>
      <c r="G77" s="10" t="e">
        <f>G78</f>
        <v>#REF!</v>
      </c>
    </row>
    <row r="78" spans="1:7" ht="31.5" x14ac:dyDescent="0.25">
      <c r="A78" s="25" t="s">
        <v>264</v>
      </c>
      <c r="B78" s="20" t="s">
        <v>392</v>
      </c>
      <c r="C78" s="40" t="s">
        <v>260</v>
      </c>
      <c r="D78" s="40" t="s">
        <v>231</v>
      </c>
      <c r="E78" s="40" t="s">
        <v>265</v>
      </c>
      <c r="F78" s="40"/>
      <c r="G78" s="10" t="e">
        <f>G79</f>
        <v>#REF!</v>
      </c>
    </row>
    <row r="79" spans="1:7" ht="47.25" x14ac:dyDescent="0.25">
      <c r="A79" s="25" t="s">
        <v>266</v>
      </c>
      <c r="B79" s="20" t="s">
        <v>392</v>
      </c>
      <c r="C79" s="40" t="s">
        <v>260</v>
      </c>
      <c r="D79" s="40" t="s">
        <v>231</v>
      </c>
      <c r="E79" s="40" t="s">
        <v>267</v>
      </c>
      <c r="F79" s="40"/>
      <c r="G79" s="10" t="e">
        <f>'Пр.4 ведом.20'!#REF!</f>
        <v>#REF!</v>
      </c>
    </row>
    <row r="80" spans="1:7" ht="63" x14ac:dyDescent="0.25">
      <c r="A80" s="45" t="s">
        <v>277</v>
      </c>
      <c r="B80" s="20" t="s">
        <v>384</v>
      </c>
      <c r="C80" s="40" t="s">
        <v>260</v>
      </c>
      <c r="D80" s="40" t="s">
        <v>231</v>
      </c>
      <c r="E80" s="40"/>
      <c r="F80" s="9" t="s">
        <v>644</v>
      </c>
      <c r="G80" s="10" t="e">
        <f>G69</f>
        <v>#REF!</v>
      </c>
    </row>
    <row r="81" spans="1:7" ht="173.25" hidden="1" x14ac:dyDescent="0.25">
      <c r="A81" s="25" t="s">
        <v>389</v>
      </c>
      <c r="B81" s="20" t="s">
        <v>390</v>
      </c>
      <c r="C81" s="40" t="s">
        <v>260</v>
      </c>
      <c r="D81" s="40" t="s">
        <v>231</v>
      </c>
      <c r="E81" s="40"/>
      <c r="F81" s="9"/>
      <c r="G81" s="10">
        <f>G82</f>
        <v>0</v>
      </c>
    </row>
    <row r="82" spans="1:7" ht="15.75" hidden="1" x14ac:dyDescent="0.25">
      <c r="A82" s="25" t="s">
        <v>151</v>
      </c>
      <c r="B82" s="20" t="s">
        <v>390</v>
      </c>
      <c r="C82" s="40" t="s">
        <v>260</v>
      </c>
      <c r="D82" s="40" t="s">
        <v>231</v>
      </c>
      <c r="E82" s="40" t="s">
        <v>161</v>
      </c>
      <c r="F82" s="9"/>
      <c r="G82" s="10">
        <f>G83</f>
        <v>0</v>
      </c>
    </row>
    <row r="83" spans="1:7" ht="78.75" hidden="1" x14ac:dyDescent="0.25">
      <c r="A83" s="25" t="s">
        <v>200</v>
      </c>
      <c r="B83" s="20" t="s">
        <v>390</v>
      </c>
      <c r="C83" s="40" t="s">
        <v>260</v>
      </c>
      <c r="D83" s="40" t="s">
        <v>231</v>
      </c>
      <c r="E83" s="40" t="s">
        <v>176</v>
      </c>
      <c r="F83" s="9"/>
      <c r="G83" s="10"/>
    </row>
    <row r="84" spans="1:7" ht="63" hidden="1" x14ac:dyDescent="0.25">
      <c r="A84" s="45" t="s">
        <v>277</v>
      </c>
      <c r="B84" s="20" t="s">
        <v>390</v>
      </c>
      <c r="C84" s="40" t="s">
        <v>260</v>
      </c>
      <c r="D84" s="40" t="s">
        <v>231</v>
      </c>
      <c r="E84" s="40"/>
      <c r="F84" s="9" t="s">
        <v>644</v>
      </c>
      <c r="G84" s="10">
        <f>G83</f>
        <v>0</v>
      </c>
    </row>
    <row r="85" spans="1:7" ht="63" hidden="1" x14ac:dyDescent="0.25">
      <c r="A85" s="25" t="s">
        <v>391</v>
      </c>
      <c r="B85" s="20" t="s">
        <v>392</v>
      </c>
      <c r="C85" s="40" t="s">
        <v>260</v>
      </c>
      <c r="D85" s="40" t="s">
        <v>231</v>
      </c>
      <c r="E85" s="40"/>
      <c r="F85" s="9"/>
      <c r="G85" s="10">
        <f>G86</f>
        <v>0</v>
      </c>
    </row>
    <row r="86" spans="1:7" ht="31.5" hidden="1" x14ac:dyDescent="0.25">
      <c r="A86" s="29" t="s">
        <v>264</v>
      </c>
      <c r="B86" s="20" t="s">
        <v>392</v>
      </c>
      <c r="C86" s="40" t="s">
        <v>260</v>
      </c>
      <c r="D86" s="40" t="s">
        <v>231</v>
      </c>
      <c r="E86" s="40" t="s">
        <v>265</v>
      </c>
      <c r="F86" s="9"/>
      <c r="G86" s="10">
        <f>G87</f>
        <v>0</v>
      </c>
    </row>
    <row r="87" spans="1:7" ht="47.25" hidden="1" x14ac:dyDescent="0.25">
      <c r="A87" s="29" t="s">
        <v>266</v>
      </c>
      <c r="B87" s="20" t="s">
        <v>392</v>
      </c>
      <c r="C87" s="40" t="s">
        <v>260</v>
      </c>
      <c r="D87" s="40" t="s">
        <v>231</v>
      </c>
      <c r="E87" s="40" t="s">
        <v>267</v>
      </c>
      <c r="F87" s="9"/>
      <c r="G87" s="10"/>
    </row>
    <row r="88" spans="1:7" ht="63" hidden="1" x14ac:dyDescent="0.25">
      <c r="A88" s="45" t="s">
        <v>277</v>
      </c>
      <c r="B88" s="20" t="s">
        <v>392</v>
      </c>
      <c r="C88" s="40" t="s">
        <v>260</v>
      </c>
      <c r="D88" s="40" t="s">
        <v>231</v>
      </c>
      <c r="E88" s="40"/>
      <c r="F88" s="9" t="s">
        <v>644</v>
      </c>
      <c r="G88" s="10">
        <f>G85</f>
        <v>0</v>
      </c>
    </row>
    <row r="89" spans="1:7" ht="47.25" hidden="1" x14ac:dyDescent="0.25">
      <c r="A89" s="29" t="s">
        <v>393</v>
      </c>
      <c r="B89" s="20" t="s">
        <v>394</v>
      </c>
      <c r="C89" s="40" t="s">
        <v>260</v>
      </c>
      <c r="D89" s="40" t="s">
        <v>231</v>
      </c>
      <c r="E89" s="40"/>
      <c r="F89" s="40"/>
      <c r="G89" s="10">
        <f>G90</f>
        <v>0</v>
      </c>
    </row>
    <row r="90" spans="1:7" ht="47.25" hidden="1" x14ac:dyDescent="0.25">
      <c r="A90" s="29" t="s">
        <v>147</v>
      </c>
      <c r="B90" s="20" t="s">
        <v>394</v>
      </c>
      <c r="C90" s="40" t="s">
        <v>260</v>
      </c>
      <c r="D90" s="40" t="s">
        <v>231</v>
      </c>
      <c r="E90" s="40" t="s">
        <v>148</v>
      </c>
      <c r="F90" s="40"/>
      <c r="G90" s="10">
        <f>G91</f>
        <v>0</v>
      </c>
    </row>
    <row r="91" spans="1:7" ht="47.25" hidden="1" x14ac:dyDescent="0.25">
      <c r="A91" s="29" t="s">
        <v>149</v>
      </c>
      <c r="B91" s="20" t="s">
        <v>394</v>
      </c>
      <c r="C91" s="40" t="s">
        <v>260</v>
      </c>
      <c r="D91" s="40" t="s">
        <v>231</v>
      </c>
      <c r="E91" s="40" t="s">
        <v>150</v>
      </c>
      <c r="F91" s="40"/>
      <c r="G91" s="10">
        <v>0</v>
      </c>
    </row>
    <row r="92" spans="1:7" ht="15.75" hidden="1" x14ac:dyDescent="0.25">
      <c r="A92" s="29" t="s">
        <v>151</v>
      </c>
      <c r="B92" s="20" t="s">
        <v>394</v>
      </c>
      <c r="C92" s="40" t="s">
        <v>260</v>
      </c>
      <c r="D92" s="40" t="s">
        <v>231</v>
      </c>
      <c r="E92" s="40" t="s">
        <v>161</v>
      </c>
      <c r="F92" s="40"/>
      <c r="G92" s="10"/>
    </row>
    <row r="93" spans="1:7" ht="78.75" hidden="1" x14ac:dyDescent="0.25">
      <c r="A93" s="29" t="s">
        <v>200</v>
      </c>
      <c r="B93" s="20" t="s">
        <v>394</v>
      </c>
      <c r="C93" s="40" t="s">
        <v>260</v>
      </c>
      <c r="D93" s="40" t="s">
        <v>231</v>
      </c>
      <c r="E93" s="40" t="s">
        <v>176</v>
      </c>
      <c r="F93" s="40"/>
      <c r="G93" s="10"/>
    </row>
    <row r="94" spans="1:7" ht="63" hidden="1" x14ac:dyDescent="0.25">
      <c r="A94" s="45" t="s">
        <v>277</v>
      </c>
      <c r="B94" s="20" t="s">
        <v>394</v>
      </c>
      <c r="C94" s="40" t="s">
        <v>260</v>
      </c>
      <c r="D94" s="40" t="s">
        <v>231</v>
      </c>
      <c r="E94" s="40"/>
      <c r="F94" s="9" t="s">
        <v>644</v>
      </c>
      <c r="G94" s="10">
        <f>G89</f>
        <v>0</v>
      </c>
    </row>
    <row r="95" spans="1:7" ht="141.75" x14ac:dyDescent="0.25">
      <c r="A95" s="41" t="s">
        <v>396</v>
      </c>
      <c r="B95" s="7" t="s">
        <v>397</v>
      </c>
      <c r="C95" s="7"/>
      <c r="D95" s="7"/>
      <c r="E95" s="7"/>
      <c r="F95" s="8"/>
      <c r="G95" s="59" t="e">
        <f>G96</f>
        <v>#REF!</v>
      </c>
    </row>
    <row r="96" spans="1:7" ht="15.75" x14ac:dyDescent="0.25">
      <c r="A96" s="45" t="s">
        <v>259</v>
      </c>
      <c r="B96" s="40" t="s">
        <v>397</v>
      </c>
      <c r="C96" s="40" t="s">
        <v>260</v>
      </c>
      <c r="D96" s="40"/>
      <c r="E96" s="40"/>
      <c r="F96" s="9"/>
      <c r="G96" s="10" t="e">
        <f>G97</f>
        <v>#REF!</v>
      </c>
    </row>
    <row r="97" spans="1:7" ht="24.75" customHeight="1" x14ac:dyDescent="0.25">
      <c r="A97" s="45" t="s">
        <v>268</v>
      </c>
      <c r="B97" s="40" t="s">
        <v>397</v>
      </c>
      <c r="C97" s="40" t="s">
        <v>260</v>
      </c>
      <c r="D97" s="40" t="s">
        <v>231</v>
      </c>
      <c r="E97" s="40"/>
      <c r="F97" s="9"/>
      <c r="G97" s="10" t="e">
        <f>G98</f>
        <v>#REF!</v>
      </c>
    </row>
    <row r="98" spans="1:7" ht="47.25" x14ac:dyDescent="0.25">
      <c r="A98" s="29" t="s">
        <v>173</v>
      </c>
      <c r="B98" s="40" t="s">
        <v>398</v>
      </c>
      <c r="C98" s="40" t="s">
        <v>260</v>
      </c>
      <c r="D98" s="40" t="s">
        <v>231</v>
      </c>
      <c r="E98" s="40"/>
      <c r="F98" s="9"/>
      <c r="G98" s="10" t="e">
        <f>G99</f>
        <v>#REF!</v>
      </c>
    </row>
    <row r="99" spans="1:7" ht="47.25" x14ac:dyDescent="0.25">
      <c r="A99" s="29" t="s">
        <v>147</v>
      </c>
      <c r="B99" s="40" t="s">
        <v>398</v>
      </c>
      <c r="C99" s="40" t="s">
        <v>260</v>
      </c>
      <c r="D99" s="40" t="s">
        <v>231</v>
      </c>
      <c r="E99" s="40" t="s">
        <v>148</v>
      </c>
      <c r="F99" s="9"/>
      <c r="G99" s="10" t="e">
        <f>G100</f>
        <v>#REF!</v>
      </c>
    </row>
    <row r="100" spans="1:7" ht="47.25" x14ac:dyDescent="0.25">
      <c r="A100" s="29" t="s">
        <v>149</v>
      </c>
      <c r="B100" s="40" t="s">
        <v>398</v>
      </c>
      <c r="C100" s="40" t="s">
        <v>260</v>
      </c>
      <c r="D100" s="40" t="s">
        <v>231</v>
      </c>
      <c r="E100" s="40" t="s">
        <v>150</v>
      </c>
      <c r="F100" s="9"/>
      <c r="G100" s="10" t="e">
        <f>'Пр.4 ведом.20'!#REF!</f>
        <v>#REF!</v>
      </c>
    </row>
    <row r="101" spans="1:7" ht="63" x14ac:dyDescent="0.25">
      <c r="A101" s="45" t="s">
        <v>277</v>
      </c>
      <c r="B101" s="40" t="s">
        <v>397</v>
      </c>
      <c r="C101" s="40" t="s">
        <v>260</v>
      </c>
      <c r="D101" s="40" t="s">
        <v>231</v>
      </c>
      <c r="E101" s="40"/>
      <c r="F101" s="9" t="s">
        <v>644</v>
      </c>
      <c r="G101" s="10" t="e">
        <f>G95</f>
        <v>#REF!</v>
      </c>
    </row>
    <row r="102" spans="1:7" ht="63" x14ac:dyDescent="0.25">
      <c r="A102" s="58" t="s">
        <v>442</v>
      </c>
      <c r="B102" s="7" t="s">
        <v>422</v>
      </c>
      <c r="C102" s="7"/>
      <c r="D102" s="7"/>
      <c r="E102" s="7"/>
      <c r="F102" s="7"/>
      <c r="G102" s="59" t="e">
        <f>G103+G118+G163+G188+G210</f>
        <v>#REF!</v>
      </c>
    </row>
    <row r="103" spans="1:7" ht="47.25" x14ac:dyDescent="0.25">
      <c r="A103" s="41" t="s">
        <v>423</v>
      </c>
      <c r="B103" s="7" t="s">
        <v>424</v>
      </c>
      <c r="C103" s="7"/>
      <c r="D103" s="7"/>
      <c r="E103" s="7"/>
      <c r="F103" s="7"/>
      <c r="G103" s="59" t="e">
        <f>G104</f>
        <v>#REF!</v>
      </c>
    </row>
    <row r="104" spans="1:7" ht="15.75" x14ac:dyDescent="0.25">
      <c r="A104" s="29" t="s">
        <v>279</v>
      </c>
      <c r="B104" s="40" t="s">
        <v>424</v>
      </c>
      <c r="C104" s="40" t="s">
        <v>280</v>
      </c>
      <c r="D104" s="40"/>
      <c r="E104" s="40"/>
      <c r="F104" s="40"/>
      <c r="G104" s="10" t="e">
        <f>G105+G109+G113</f>
        <v>#REF!</v>
      </c>
    </row>
    <row r="105" spans="1:7" ht="15.75" x14ac:dyDescent="0.25">
      <c r="A105" s="45" t="s">
        <v>420</v>
      </c>
      <c r="B105" s="40" t="s">
        <v>424</v>
      </c>
      <c r="C105" s="40" t="s">
        <v>280</v>
      </c>
      <c r="D105" s="40" t="s">
        <v>134</v>
      </c>
      <c r="E105" s="40"/>
      <c r="F105" s="40"/>
      <c r="G105" s="10" t="e">
        <f>G106</f>
        <v>#REF!</v>
      </c>
    </row>
    <row r="106" spans="1:7" ht="63" x14ac:dyDescent="0.25">
      <c r="A106" s="29" t="s">
        <v>425</v>
      </c>
      <c r="B106" s="40" t="s">
        <v>426</v>
      </c>
      <c r="C106" s="40" t="s">
        <v>280</v>
      </c>
      <c r="D106" s="40" t="s">
        <v>134</v>
      </c>
      <c r="E106" s="40"/>
      <c r="F106" s="40"/>
      <c r="G106" s="10" t="e">
        <f>G107</f>
        <v>#REF!</v>
      </c>
    </row>
    <row r="107" spans="1:7" ht="63" x14ac:dyDescent="0.25">
      <c r="A107" s="29" t="s">
        <v>288</v>
      </c>
      <c r="B107" s="40" t="s">
        <v>426</v>
      </c>
      <c r="C107" s="40" t="s">
        <v>280</v>
      </c>
      <c r="D107" s="40" t="s">
        <v>134</v>
      </c>
      <c r="E107" s="40" t="s">
        <v>289</v>
      </c>
      <c r="F107" s="40"/>
      <c r="G107" s="10" t="e">
        <f>G108</f>
        <v>#REF!</v>
      </c>
    </row>
    <row r="108" spans="1:7" ht="15.75" x14ac:dyDescent="0.25">
      <c r="A108" s="29" t="s">
        <v>290</v>
      </c>
      <c r="B108" s="40" t="s">
        <v>426</v>
      </c>
      <c r="C108" s="40" t="s">
        <v>280</v>
      </c>
      <c r="D108" s="40" t="s">
        <v>134</v>
      </c>
      <c r="E108" s="40" t="s">
        <v>291</v>
      </c>
      <c r="F108" s="40"/>
      <c r="G108" s="6" t="e">
        <f>'Пр.4 ведом.20'!#REF!</f>
        <v>#REF!</v>
      </c>
    </row>
    <row r="109" spans="1:7" ht="15.75" x14ac:dyDescent="0.25">
      <c r="A109" s="29" t="s">
        <v>441</v>
      </c>
      <c r="B109" s="40" t="s">
        <v>424</v>
      </c>
      <c r="C109" s="40" t="s">
        <v>280</v>
      </c>
      <c r="D109" s="40" t="s">
        <v>229</v>
      </c>
      <c r="E109" s="40"/>
      <c r="F109" s="40"/>
      <c r="G109" s="10" t="e">
        <f>G110</f>
        <v>#REF!</v>
      </c>
    </row>
    <row r="110" spans="1:7" ht="57.75" customHeight="1" x14ac:dyDescent="0.25">
      <c r="A110" s="29" t="s">
        <v>443</v>
      </c>
      <c r="B110" s="40" t="s">
        <v>444</v>
      </c>
      <c r="C110" s="40" t="s">
        <v>280</v>
      </c>
      <c r="D110" s="40" t="s">
        <v>229</v>
      </c>
      <c r="E110" s="40"/>
      <c r="F110" s="40"/>
      <c r="G110" s="10" t="e">
        <f>G111</f>
        <v>#REF!</v>
      </c>
    </row>
    <row r="111" spans="1:7" ht="70.5" customHeight="1" x14ac:dyDescent="0.25">
      <c r="A111" s="29" t="s">
        <v>288</v>
      </c>
      <c r="B111" s="40" t="s">
        <v>444</v>
      </c>
      <c r="C111" s="40" t="s">
        <v>280</v>
      </c>
      <c r="D111" s="40" t="s">
        <v>229</v>
      </c>
      <c r="E111" s="40" t="s">
        <v>289</v>
      </c>
      <c r="F111" s="40"/>
      <c r="G111" s="10" t="e">
        <f>G112</f>
        <v>#REF!</v>
      </c>
    </row>
    <row r="112" spans="1:7" ht="15.75" x14ac:dyDescent="0.25">
      <c r="A112" s="29" t="s">
        <v>290</v>
      </c>
      <c r="B112" s="40" t="s">
        <v>444</v>
      </c>
      <c r="C112" s="40" t="s">
        <v>280</v>
      </c>
      <c r="D112" s="40" t="s">
        <v>229</v>
      </c>
      <c r="E112" s="40" t="s">
        <v>291</v>
      </c>
      <c r="F112" s="40"/>
      <c r="G112" s="6" t="e">
        <f>'Пр.4 ведом.20'!#REF!</f>
        <v>#REF!</v>
      </c>
    </row>
    <row r="113" spans="1:7" ht="15.75" x14ac:dyDescent="0.25">
      <c r="A113" s="29" t="s">
        <v>281</v>
      </c>
      <c r="B113" s="40" t="s">
        <v>424</v>
      </c>
      <c r="C113" s="40" t="s">
        <v>280</v>
      </c>
      <c r="D113" s="40" t="s">
        <v>231</v>
      </c>
      <c r="E113" s="40"/>
      <c r="F113" s="40"/>
      <c r="G113" s="6" t="e">
        <f>G114</f>
        <v>#REF!</v>
      </c>
    </row>
    <row r="114" spans="1:7" ht="63" x14ac:dyDescent="0.25">
      <c r="A114" s="29" t="s">
        <v>286</v>
      </c>
      <c r="B114" s="40" t="s">
        <v>445</v>
      </c>
      <c r="C114" s="40" t="s">
        <v>280</v>
      </c>
      <c r="D114" s="40" t="s">
        <v>231</v>
      </c>
      <c r="E114" s="7"/>
      <c r="F114" s="7"/>
      <c r="G114" s="10" t="e">
        <f>G115</f>
        <v>#REF!</v>
      </c>
    </row>
    <row r="115" spans="1:7" ht="63" x14ac:dyDescent="0.25">
      <c r="A115" s="29" t="s">
        <v>288</v>
      </c>
      <c r="B115" s="40" t="s">
        <v>445</v>
      </c>
      <c r="C115" s="40" t="s">
        <v>280</v>
      </c>
      <c r="D115" s="40" t="s">
        <v>231</v>
      </c>
      <c r="E115" s="40" t="s">
        <v>289</v>
      </c>
      <c r="F115" s="40"/>
      <c r="G115" s="10" t="e">
        <f>G116</f>
        <v>#REF!</v>
      </c>
    </row>
    <row r="116" spans="1:7" ht="15.75" x14ac:dyDescent="0.25">
      <c r="A116" s="29" t="s">
        <v>290</v>
      </c>
      <c r="B116" s="40" t="s">
        <v>445</v>
      </c>
      <c r="C116" s="40" t="s">
        <v>280</v>
      </c>
      <c r="D116" s="40" t="s">
        <v>231</v>
      </c>
      <c r="E116" s="40" t="s">
        <v>291</v>
      </c>
      <c r="F116" s="40"/>
      <c r="G116" s="6" t="e">
        <f>'Пр.4 ведом.20'!#REF!</f>
        <v>#REF!</v>
      </c>
    </row>
    <row r="117" spans="1:7" ht="47.25" x14ac:dyDescent="0.25">
      <c r="A117" s="29" t="s">
        <v>419</v>
      </c>
      <c r="B117" s="40" t="s">
        <v>424</v>
      </c>
      <c r="C117" s="40" t="s">
        <v>280</v>
      </c>
      <c r="D117" s="40" t="s">
        <v>231</v>
      </c>
      <c r="E117" s="40"/>
      <c r="F117" s="40" t="s">
        <v>653</v>
      </c>
      <c r="G117" s="6" t="e">
        <f>G103</f>
        <v>#REF!</v>
      </c>
    </row>
    <row r="118" spans="1:7" ht="47.25" x14ac:dyDescent="0.25">
      <c r="A118" s="41" t="s">
        <v>427</v>
      </c>
      <c r="B118" s="7" t="s">
        <v>428</v>
      </c>
      <c r="C118" s="7"/>
      <c r="D118" s="7"/>
      <c r="E118" s="7"/>
      <c r="F118" s="7"/>
      <c r="G118" s="59" t="e">
        <f>G119</f>
        <v>#REF!</v>
      </c>
    </row>
    <row r="119" spans="1:7" ht="15.75" x14ac:dyDescent="0.25">
      <c r="A119" s="29" t="s">
        <v>279</v>
      </c>
      <c r="B119" s="40" t="s">
        <v>428</v>
      </c>
      <c r="C119" s="40" t="s">
        <v>280</v>
      </c>
      <c r="D119" s="40"/>
      <c r="E119" s="40"/>
      <c r="F119" s="40"/>
      <c r="G119" s="10" t="e">
        <f>G120</f>
        <v>#REF!</v>
      </c>
    </row>
    <row r="120" spans="1:7" ht="15.75" x14ac:dyDescent="0.25">
      <c r="A120" s="45" t="s">
        <v>420</v>
      </c>
      <c r="B120" s="40" t="s">
        <v>428</v>
      </c>
      <c r="C120" s="40" t="s">
        <v>280</v>
      </c>
      <c r="D120" s="40" t="s">
        <v>134</v>
      </c>
      <c r="E120" s="40"/>
      <c r="F120" s="40"/>
      <c r="G120" s="10" t="e">
        <f>G133+G130</f>
        <v>#REF!</v>
      </c>
    </row>
    <row r="121" spans="1:7" ht="57.75" hidden="1" customHeight="1" x14ac:dyDescent="0.25">
      <c r="A121" s="29" t="s">
        <v>612</v>
      </c>
      <c r="B121" s="40" t="s">
        <v>613</v>
      </c>
      <c r="C121" s="40" t="s">
        <v>280</v>
      </c>
      <c r="D121" s="40" t="s">
        <v>134</v>
      </c>
      <c r="E121" s="40"/>
      <c r="F121" s="40"/>
      <c r="G121" s="10">
        <f>G122</f>
        <v>0</v>
      </c>
    </row>
    <row r="122" spans="1:7" ht="63" hidden="1" x14ac:dyDescent="0.25">
      <c r="A122" s="29" t="s">
        <v>288</v>
      </c>
      <c r="B122" s="40" t="s">
        <v>613</v>
      </c>
      <c r="C122" s="40" t="s">
        <v>280</v>
      </c>
      <c r="D122" s="40" t="s">
        <v>134</v>
      </c>
      <c r="E122" s="40" t="s">
        <v>289</v>
      </c>
      <c r="F122" s="40"/>
      <c r="G122" s="10">
        <f>G123</f>
        <v>0</v>
      </c>
    </row>
    <row r="123" spans="1:7" ht="15.75" hidden="1" x14ac:dyDescent="0.25">
      <c r="A123" s="29" t="s">
        <v>290</v>
      </c>
      <c r="B123" s="40" t="s">
        <v>613</v>
      </c>
      <c r="C123" s="40" t="s">
        <v>280</v>
      </c>
      <c r="D123" s="40" t="s">
        <v>134</v>
      </c>
      <c r="E123" s="40" t="s">
        <v>291</v>
      </c>
      <c r="F123" s="40"/>
      <c r="G123" s="10"/>
    </row>
    <row r="124" spans="1:7" ht="47.25" hidden="1" x14ac:dyDescent="0.25">
      <c r="A124" s="29" t="s">
        <v>419</v>
      </c>
      <c r="B124" s="40" t="s">
        <v>613</v>
      </c>
      <c r="C124" s="40" t="s">
        <v>280</v>
      </c>
      <c r="D124" s="40" t="s">
        <v>134</v>
      </c>
      <c r="E124" s="40"/>
      <c r="F124" s="40" t="s">
        <v>653</v>
      </c>
      <c r="G124" s="10">
        <v>0</v>
      </c>
    </row>
    <row r="125" spans="1:7" ht="47.25" hidden="1" x14ac:dyDescent="0.25">
      <c r="A125" s="29" t="s">
        <v>294</v>
      </c>
      <c r="B125" s="40" t="s">
        <v>614</v>
      </c>
      <c r="C125" s="40" t="s">
        <v>280</v>
      </c>
      <c r="D125" s="40" t="s">
        <v>134</v>
      </c>
      <c r="E125" s="40"/>
      <c r="F125" s="40"/>
      <c r="G125" s="10">
        <f>G126</f>
        <v>0</v>
      </c>
    </row>
    <row r="126" spans="1:7" ht="63" hidden="1" x14ac:dyDescent="0.25">
      <c r="A126" s="29" t="s">
        <v>288</v>
      </c>
      <c r="B126" s="40" t="s">
        <v>614</v>
      </c>
      <c r="C126" s="40" t="s">
        <v>280</v>
      </c>
      <c r="D126" s="40" t="s">
        <v>134</v>
      </c>
      <c r="E126" s="40" t="s">
        <v>289</v>
      </c>
      <c r="F126" s="40"/>
      <c r="G126" s="10">
        <f>G127</f>
        <v>0</v>
      </c>
    </row>
    <row r="127" spans="1:7" ht="15.75" hidden="1" x14ac:dyDescent="0.25">
      <c r="A127" s="29" t="s">
        <v>290</v>
      </c>
      <c r="B127" s="40" t="s">
        <v>614</v>
      </c>
      <c r="C127" s="40" t="s">
        <v>280</v>
      </c>
      <c r="D127" s="40" t="s">
        <v>134</v>
      </c>
      <c r="E127" s="40" t="s">
        <v>291</v>
      </c>
      <c r="F127" s="40"/>
      <c r="G127" s="10"/>
    </row>
    <row r="128" spans="1:7" ht="47.25" hidden="1" x14ac:dyDescent="0.25">
      <c r="A128" s="29" t="s">
        <v>419</v>
      </c>
      <c r="B128" s="40" t="s">
        <v>614</v>
      </c>
      <c r="C128" s="40" t="s">
        <v>280</v>
      </c>
      <c r="D128" s="40" t="s">
        <v>134</v>
      </c>
      <c r="E128" s="40"/>
      <c r="F128" s="40" t="s">
        <v>653</v>
      </c>
      <c r="G128" s="10">
        <v>0</v>
      </c>
    </row>
    <row r="129" spans="1:8" ht="31.5" x14ac:dyDescent="0.25">
      <c r="A129" s="29" t="s">
        <v>296</v>
      </c>
      <c r="B129" s="40" t="s">
        <v>430</v>
      </c>
      <c r="C129" s="40" t="s">
        <v>280</v>
      </c>
      <c r="D129" s="40" t="s">
        <v>134</v>
      </c>
      <c r="E129" s="40"/>
      <c r="F129" s="40"/>
      <c r="G129" s="10" t="e">
        <f>G130</f>
        <v>#REF!</v>
      </c>
    </row>
    <row r="130" spans="1:8" ht="63" x14ac:dyDescent="0.25">
      <c r="A130" s="29" t="s">
        <v>288</v>
      </c>
      <c r="B130" s="40" t="s">
        <v>430</v>
      </c>
      <c r="C130" s="40" t="s">
        <v>280</v>
      </c>
      <c r="D130" s="40" t="s">
        <v>134</v>
      </c>
      <c r="E130" s="40" t="s">
        <v>289</v>
      </c>
      <c r="F130" s="40"/>
      <c r="G130" s="10" t="e">
        <f>G131</f>
        <v>#REF!</v>
      </c>
    </row>
    <row r="131" spans="1:8" ht="15.75" x14ac:dyDescent="0.25">
      <c r="A131" s="29" t="s">
        <v>290</v>
      </c>
      <c r="B131" s="40" t="s">
        <v>430</v>
      </c>
      <c r="C131" s="40" t="s">
        <v>280</v>
      </c>
      <c r="D131" s="40" t="s">
        <v>134</v>
      </c>
      <c r="E131" s="40" t="s">
        <v>291</v>
      </c>
      <c r="F131" s="40"/>
      <c r="G131" s="160" t="e">
        <f>'Пр.4 ведом.20'!#REF!</f>
        <v>#REF!</v>
      </c>
      <c r="H131" s="161" t="s">
        <v>748</v>
      </c>
    </row>
    <row r="132" spans="1:8" ht="47.25" hidden="1" x14ac:dyDescent="0.25">
      <c r="A132" s="29" t="s">
        <v>419</v>
      </c>
      <c r="B132" s="40" t="s">
        <v>430</v>
      </c>
      <c r="C132" s="40" t="s">
        <v>280</v>
      </c>
      <c r="D132" s="40" t="s">
        <v>134</v>
      </c>
      <c r="E132" s="40"/>
      <c r="F132" s="40" t="s">
        <v>653</v>
      </c>
      <c r="G132" s="10"/>
    </row>
    <row r="133" spans="1:8" ht="63" x14ac:dyDescent="0.25">
      <c r="A133" s="29" t="s">
        <v>431</v>
      </c>
      <c r="B133" s="40" t="s">
        <v>432</v>
      </c>
      <c r="C133" s="40" t="s">
        <v>280</v>
      </c>
      <c r="D133" s="40" t="s">
        <v>134</v>
      </c>
      <c r="E133" s="40"/>
      <c r="F133" s="40"/>
      <c r="G133" s="10" t="e">
        <f>G134</f>
        <v>#REF!</v>
      </c>
    </row>
    <row r="134" spans="1:8" ht="65.25" customHeight="1" x14ac:dyDescent="0.25">
      <c r="A134" s="29" t="s">
        <v>288</v>
      </c>
      <c r="B134" s="40" t="s">
        <v>432</v>
      </c>
      <c r="C134" s="40" t="s">
        <v>280</v>
      </c>
      <c r="D134" s="40" t="s">
        <v>134</v>
      </c>
      <c r="E134" s="40" t="s">
        <v>289</v>
      </c>
      <c r="F134" s="40"/>
      <c r="G134" s="10" t="e">
        <f>G135</f>
        <v>#REF!</v>
      </c>
    </row>
    <row r="135" spans="1:8" ht="15.75" x14ac:dyDescent="0.25">
      <c r="A135" s="29" t="s">
        <v>290</v>
      </c>
      <c r="B135" s="40" t="s">
        <v>432</v>
      </c>
      <c r="C135" s="40" t="s">
        <v>280</v>
      </c>
      <c r="D135" s="40" t="s">
        <v>134</v>
      </c>
      <c r="E135" s="40" t="s">
        <v>291</v>
      </c>
      <c r="F135" s="40"/>
      <c r="G135" s="6" t="e">
        <f>'Пр.4 ведом.20'!#REF!</f>
        <v>#REF!</v>
      </c>
    </row>
    <row r="136" spans="1:8" ht="47.25" x14ac:dyDescent="0.25">
      <c r="A136" s="29" t="s">
        <v>419</v>
      </c>
      <c r="B136" s="40" t="s">
        <v>428</v>
      </c>
      <c r="C136" s="40" t="s">
        <v>280</v>
      </c>
      <c r="D136" s="40" t="s">
        <v>134</v>
      </c>
      <c r="E136" s="40"/>
      <c r="F136" s="40" t="s">
        <v>653</v>
      </c>
      <c r="G136" s="6" t="e">
        <f>G118+G131</f>
        <v>#REF!</v>
      </c>
    </row>
    <row r="137" spans="1:8" ht="31.5" hidden="1" x14ac:dyDescent="0.25">
      <c r="A137" s="29" t="s">
        <v>300</v>
      </c>
      <c r="B137" s="40" t="s">
        <v>617</v>
      </c>
      <c r="C137" s="40" t="s">
        <v>280</v>
      </c>
      <c r="D137" s="40" t="s">
        <v>134</v>
      </c>
      <c r="E137" s="40"/>
      <c r="F137" s="40"/>
      <c r="G137" s="10">
        <f>G138</f>
        <v>0</v>
      </c>
    </row>
    <row r="138" spans="1:8" ht="63" hidden="1" x14ac:dyDescent="0.25">
      <c r="A138" s="29" t="s">
        <v>288</v>
      </c>
      <c r="B138" s="40" t="s">
        <v>617</v>
      </c>
      <c r="C138" s="40" t="s">
        <v>280</v>
      </c>
      <c r="D138" s="40" t="s">
        <v>134</v>
      </c>
      <c r="E138" s="40" t="s">
        <v>289</v>
      </c>
      <c r="F138" s="40"/>
      <c r="G138" s="10">
        <f>G139</f>
        <v>0</v>
      </c>
    </row>
    <row r="139" spans="1:8" ht="15.75" hidden="1" x14ac:dyDescent="0.25">
      <c r="A139" s="29" t="s">
        <v>290</v>
      </c>
      <c r="B139" s="40" t="s">
        <v>617</v>
      </c>
      <c r="C139" s="40" t="s">
        <v>280</v>
      </c>
      <c r="D139" s="40" t="s">
        <v>134</v>
      </c>
      <c r="E139" s="40" t="s">
        <v>291</v>
      </c>
      <c r="F139" s="40"/>
      <c r="G139" s="10"/>
    </row>
    <row r="140" spans="1:8" ht="47.25" hidden="1" x14ac:dyDescent="0.25">
      <c r="A140" s="29" t="s">
        <v>419</v>
      </c>
      <c r="B140" s="40" t="s">
        <v>617</v>
      </c>
      <c r="C140" s="40" t="s">
        <v>280</v>
      </c>
      <c r="D140" s="40" t="s">
        <v>134</v>
      </c>
      <c r="E140" s="40"/>
      <c r="F140" s="40" t="s">
        <v>653</v>
      </c>
      <c r="G140" s="10">
        <v>0</v>
      </c>
    </row>
    <row r="141" spans="1:8" ht="47.25" x14ac:dyDescent="0.25">
      <c r="A141" s="41" t="s">
        <v>446</v>
      </c>
      <c r="B141" s="7" t="s">
        <v>447</v>
      </c>
      <c r="C141" s="7"/>
      <c r="D141" s="7"/>
      <c r="E141" s="7"/>
      <c r="F141" s="7"/>
      <c r="G141" s="4" t="e">
        <f>G162</f>
        <v>#REF!</v>
      </c>
    </row>
    <row r="142" spans="1:8" ht="70.5" hidden="1" customHeight="1" x14ac:dyDescent="0.25">
      <c r="A142" s="29" t="s">
        <v>612</v>
      </c>
      <c r="B142" s="40" t="s">
        <v>618</v>
      </c>
      <c r="C142" s="40" t="s">
        <v>280</v>
      </c>
      <c r="D142" s="40" t="s">
        <v>229</v>
      </c>
      <c r="E142" s="40"/>
      <c r="F142" s="40"/>
      <c r="G142" s="10">
        <f>G143</f>
        <v>0</v>
      </c>
    </row>
    <row r="143" spans="1:8" ht="63" hidden="1" x14ac:dyDescent="0.25">
      <c r="A143" s="29" t="s">
        <v>288</v>
      </c>
      <c r="B143" s="40" t="s">
        <v>618</v>
      </c>
      <c r="C143" s="40" t="s">
        <v>280</v>
      </c>
      <c r="D143" s="40" t="s">
        <v>229</v>
      </c>
      <c r="E143" s="40" t="s">
        <v>289</v>
      </c>
      <c r="F143" s="40"/>
      <c r="G143" s="10">
        <f>G145</f>
        <v>0</v>
      </c>
    </row>
    <row r="144" spans="1:8" ht="18.75" hidden="1" customHeight="1" x14ac:dyDescent="0.25">
      <c r="A144" s="29" t="s">
        <v>290</v>
      </c>
      <c r="B144" s="40" t="s">
        <v>618</v>
      </c>
      <c r="C144" s="40" t="s">
        <v>280</v>
      </c>
      <c r="D144" s="40" t="s">
        <v>229</v>
      </c>
      <c r="E144" s="40" t="s">
        <v>291</v>
      </c>
      <c r="F144" s="40"/>
      <c r="G144" s="10"/>
    </row>
    <row r="145" spans="1:7" ht="47.25" hidden="1" x14ac:dyDescent="0.25">
      <c r="A145" s="29" t="s">
        <v>419</v>
      </c>
      <c r="B145" s="40" t="s">
        <v>618</v>
      </c>
      <c r="C145" s="40" t="s">
        <v>280</v>
      </c>
      <c r="D145" s="40" t="s">
        <v>229</v>
      </c>
      <c r="E145" s="40"/>
      <c r="F145" s="40" t="s">
        <v>653</v>
      </c>
      <c r="G145" s="10"/>
    </row>
    <row r="146" spans="1:7" ht="78.75" hidden="1" x14ac:dyDescent="0.25">
      <c r="A146" s="25" t="s">
        <v>448</v>
      </c>
      <c r="B146" s="40" t="s">
        <v>449</v>
      </c>
      <c r="C146" s="40" t="s">
        <v>280</v>
      </c>
      <c r="D146" s="40" t="s">
        <v>229</v>
      </c>
      <c r="E146" s="40"/>
      <c r="F146" s="40"/>
      <c r="G146" s="10">
        <f>G147</f>
        <v>0</v>
      </c>
    </row>
    <row r="147" spans="1:7" ht="63" hidden="1" x14ac:dyDescent="0.25">
      <c r="A147" s="29" t="s">
        <v>288</v>
      </c>
      <c r="B147" s="40" t="s">
        <v>449</v>
      </c>
      <c r="C147" s="40" t="s">
        <v>280</v>
      </c>
      <c r="D147" s="40" t="s">
        <v>229</v>
      </c>
      <c r="E147" s="40" t="s">
        <v>289</v>
      </c>
      <c r="F147" s="40"/>
      <c r="G147" s="10">
        <f>G148</f>
        <v>0</v>
      </c>
    </row>
    <row r="148" spans="1:7" ht="15.75" hidden="1" x14ac:dyDescent="0.25">
      <c r="A148" s="29" t="s">
        <v>290</v>
      </c>
      <c r="B148" s="40" t="s">
        <v>449</v>
      </c>
      <c r="C148" s="40" t="s">
        <v>280</v>
      </c>
      <c r="D148" s="40" t="s">
        <v>229</v>
      </c>
      <c r="E148" s="40" t="s">
        <v>291</v>
      </c>
      <c r="F148" s="40"/>
      <c r="G148" s="10"/>
    </row>
    <row r="149" spans="1:7" ht="54.75" hidden="1" customHeight="1" x14ac:dyDescent="0.25">
      <c r="A149" s="29" t="s">
        <v>419</v>
      </c>
      <c r="B149" s="40" t="s">
        <v>449</v>
      </c>
      <c r="C149" s="40" t="s">
        <v>280</v>
      </c>
      <c r="D149" s="40" t="s">
        <v>229</v>
      </c>
      <c r="E149" s="40"/>
      <c r="F149" s="40" t="s">
        <v>653</v>
      </c>
      <c r="G149" s="10">
        <f>G146</f>
        <v>0</v>
      </c>
    </row>
    <row r="150" spans="1:7" ht="31.5" hidden="1" x14ac:dyDescent="0.25">
      <c r="A150" s="25" t="s">
        <v>450</v>
      </c>
      <c r="B150" s="20" t="s">
        <v>451</v>
      </c>
      <c r="C150" s="40" t="s">
        <v>280</v>
      </c>
      <c r="D150" s="40" t="s">
        <v>229</v>
      </c>
      <c r="E150" s="40"/>
      <c r="F150" s="40"/>
      <c r="G150" s="10">
        <f>G151</f>
        <v>0</v>
      </c>
    </row>
    <row r="151" spans="1:7" ht="65.25" hidden="1" customHeight="1" x14ac:dyDescent="0.25">
      <c r="A151" s="25" t="s">
        <v>288</v>
      </c>
      <c r="B151" s="20" t="s">
        <v>451</v>
      </c>
      <c r="C151" s="40" t="s">
        <v>280</v>
      </c>
      <c r="D151" s="40" t="s">
        <v>229</v>
      </c>
      <c r="E151" s="40" t="s">
        <v>289</v>
      </c>
      <c r="F151" s="40"/>
      <c r="G151" s="10">
        <f>G152</f>
        <v>0</v>
      </c>
    </row>
    <row r="152" spans="1:7" ht="15.75" hidden="1" x14ac:dyDescent="0.25">
      <c r="A152" s="25" t="s">
        <v>290</v>
      </c>
      <c r="B152" s="20" t="s">
        <v>451</v>
      </c>
      <c r="C152" s="40" t="s">
        <v>280</v>
      </c>
      <c r="D152" s="40" t="s">
        <v>229</v>
      </c>
      <c r="E152" s="40" t="s">
        <v>291</v>
      </c>
      <c r="F152" s="40"/>
      <c r="G152" s="10"/>
    </row>
    <row r="153" spans="1:7" ht="47.25" hidden="1" x14ac:dyDescent="0.25">
      <c r="A153" s="29" t="s">
        <v>419</v>
      </c>
      <c r="B153" s="20" t="s">
        <v>451</v>
      </c>
      <c r="C153" s="40" t="s">
        <v>280</v>
      </c>
      <c r="D153" s="40" t="s">
        <v>229</v>
      </c>
      <c r="E153" s="40"/>
      <c r="F153" s="40" t="s">
        <v>653</v>
      </c>
      <c r="G153" s="10">
        <f>G150</f>
        <v>0</v>
      </c>
    </row>
    <row r="154" spans="1:7" ht="63" hidden="1" x14ac:dyDescent="0.25">
      <c r="A154" s="25" t="s">
        <v>454</v>
      </c>
      <c r="B154" s="20" t="s">
        <v>455</v>
      </c>
      <c r="C154" s="40" t="s">
        <v>280</v>
      </c>
      <c r="D154" s="40" t="s">
        <v>229</v>
      </c>
      <c r="E154" s="40"/>
      <c r="F154" s="40"/>
      <c r="G154" s="10">
        <f>G155</f>
        <v>0</v>
      </c>
    </row>
    <row r="155" spans="1:7" ht="63" hidden="1" x14ac:dyDescent="0.25">
      <c r="A155" s="29" t="s">
        <v>288</v>
      </c>
      <c r="B155" s="20" t="s">
        <v>455</v>
      </c>
      <c r="C155" s="40" t="s">
        <v>280</v>
      </c>
      <c r="D155" s="40" t="s">
        <v>229</v>
      </c>
      <c r="E155" s="40" t="s">
        <v>289</v>
      </c>
      <c r="F155" s="40"/>
      <c r="G155" s="10">
        <f>G156</f>
        <v>0</v>
      </c>
    </row>
    <row r="156" spans="1:7" ht="15.75" hidden="1" x14ac:dyDescent="0.25">
      <c r="A156" s="29" t="s">
        <v>290</v>
      </c>
      <c r="B156" s="20" t="s">
        <v>455</v>
      </c>
      <c r="C156" s="40" t="s">
        <v>280</v>
      </c>
      <c r="D156" s="40" t="s">
        <v>229</v>
      </c>
      <c r="E156" s="40" t="s">
        <v>291</v>
      </c>
      <c r="F156" s="40"/>
      <c r="G156" s="10"/>
    </row>
    <row r="157" spans="1:7" ht="47.25" hidden="1" x14ac:dyDescent="0.25">
      <c r="A157" s="29" t="s">
        <v>419</v>
      </c>
      <c r="B157" s="20" t="s">
        <v>455</v>
      </c>
      <c r="C157" s="40" t="s">
        <v>280</v>
      </c>
      <c r="D157" s="40" t="s">
        <v>229</v>
      </c>
      <c r="E157" s="40"/>
      <c r="F157" s="40" t="s">
        <v>653</v>
      </c>
      <c r="G157" s="10">
        <f>G156</f>
        <v>0</v>
      </c>
    </row>
    <row r="158" spans="1:7" ht="47.25" hidden="1" x14ac:dyDescent="0.25">
      <c r="A158" s="25" t="s">
        <v>620</v>
      </c>
      <c r="B158" s="20" t="s">
        <v>458</v>
      </c>
      <c r="C158" s="40" t="s">
        <v>280</v>
      </c>
      <c r="D158" s="40" t="s">
        <v>229</v>
      </c>
      <c r="E158" s="40"/>
      <c r="F158" s="40"/>
      <c r="G158" s="10">
        <f>G159</f>
        <v>0</v>
      </c>
    </row>
    <row r="159" spans="1:7" ht="63" hidden="1" x14ac:dyDescent="0.25">
      <c r="A159" s="25" t="s">
        <v>288</v>
      </c>
      <c r="B159" s="20" t="s">
        <v>458</v>
      </c>
      <c r="C159" s="40" t="s">
        <v>280</v>
      </c>
      <c r="D159" s="40" t="s">
        <v>229</v>
      </c>
      <c r="E159" s="40" t="s">
        <v>289</v>
      </c>
      <c r="F159" s="40"/>
      <c r="G159" s="10">
        <f>G160</f>
        <v>0</v>
      </c>
    </row>
    <row r="160" spans="1:7" ht="15.75" hidden="1" x14ac:dyDescent="0.25">
      <c r="A160" s="25" t="s">
        <v>290</v>
      </c>
      <c r="B160" s="20" t="s">
        <v>458</v>
      </c>
      <c r="C160" s="40" t="s">
        <v>280</v>
      </c>
      <c r="D160" s="40" t="s">
        <v>229</v>
      </c>
      <c r="E160" s="40" t="s">
        <v>291</v>
      </c>
      <c r="F160" s="40"/>
      <c r="G160" s="10"/>
    </row>
    <row r="161" spans="1:8" ht="47.25" hidden="1" x14ac:dyDescent="0.25">
      <c r="A161" s="29" t="s">
        <v>419</v>
      </c>
      <c r="B161" s="20" t="s">
        <v>458</v>
      </c>
      <c r="C161" s="40" t="s">
        <v>280</v>
      </c>
      <c r="D161" s="40" t="s">
        <v>229</v>
      </c>
      <c r="E161" s="40"/>
      <c r="F161" s="40" t="s">
        <v>653</v>
      </c>
      <c r="G161" s="10">
        <f>G159</f>
        <v>0</v>
      </c>
    </row>
    <row r="162" spans="1:8" ht="15.75" x14ac:dyDescent="0.25">
      <c r="A162" s="29" t="s">
        <v>279</v>
      </c>
      <c r="B162" s="40" t="s">
        <v>447</v>
      </c>
      <c r="C162" s="40" t="s">
        <v>280</v>
      </c>
      <c r="D162" s="40"/>
      <c r="E162" s="40"/>
      <c r="F162" s="40"/>
      <c r="G162" s="10" t="e">
        <f>G163</f>
        <v>#REF!</v>
      </c>
    </row>
    <row r="163" spans="1:8" ht="15.75" x14ac:dyDescent="0.25">
      <c r="A163" s="29" t="s">
        <v>441</v>
      </c>
      <c r="B163" s="40" t="s">
        <v>447</v>
      </c>
      <c r="C163" s="40" t="s">
        <v>280</v>
      </c>
      <c r="D163" s="40" t="s">
        <v>229</v>
      </c>
      <c r="E163" s="40"/>
      <c r="F163" s="40"/>
      <c r="G163" s="10" t="e">
        <f>G164+G167+G173+G170+G176</f>
        <v>#REF!</v>
      </c>
    </row>
    <row r="164" spans="1:8" ht="78.75" x14ac:dyDescent="0.25">
      <c r="A164" s="29" t="s">
        <v>619</v>
      </c>
      <c r="B164" s="20" t="s">
        <v>453</v>
      </c>
      <c r="C164" s="40" t="s">
        <v>280</v>
      </c>
      <c r="D164" s="40" t="s">
        <v>229</v>
      </c>
      <c r="E164" s="40"/>
      <c r="F164" s="40"/>
      <c r="G164" s="10" t="e">
        <f>G165</f>
        <v>#REF!</v>
      </c>
    </row>
    <row r="165" spans="1:8" ht="63" x14ac:dyDescent="0.25">
      <c r="A165" s="29" t="s">
        <v>288</v>
      </c>
      <c r="B165" s="20" t="s">
        <v>453</v>
      </c>
      <c r="C165" s="40" t="s">
        <v>280</v>
      </c>
      <c r="D165" s="40" t="s">
        <v>229</v>
      </c>
      <c r="E165" s="40" t="s">
        <v>289</v>
      </c>
      <c r="F165" s="40"/>
      <c r="G165" s="10" t="e">
        <f>G166</f>
        <v>#REF!</v>
      </c>
    </row>
    <row r="166" spans="1:8" ht="24" customHeight="1" x14ac:dyDescent="0.25">
      <c r="A166" s="29" t="s">
        <v>290</v>
      </c>
      <c r="B166" s="20" t="s">
        <v>453</v>
      </c>
      <c r="C166" s="40" t="s">
        <v>280</v>
      </c>
      <c r="D166" s="40" t="s">
        <v>229</v>
      </c>
      <c r="E166" s="40" t="s">
        <v>291</v>
      </c>
      <c r="F166" s="40"/>
      <c r="G166" s="6" t="e">
        <f>'Пр.4 ведом.20'!#REF!</f>
        <v>#REF!</v>
      </c>
    </row>
    <row r="167" spans="1:8" ht="63" x14ac:dyDescent="0.25">
      <c r="A167" s="25" t="s">
        <v>454</v>
      </c>
      <c r="B167" s="20" t="s">
        <v>455</v>
      </c>
      <c r="C167" s="40" t="s">
        <v>280</v>
      </c>
      <c r="D167" s="40" t="s">
        <v>229</v>
      </c>
      <c r="E167" s="40"/>
      <c r="F167" s="40"/>
      <c r="G167" s="6" t="e">
        <f>G168</f>
        <v>#REF!</v>
      </c>
    </row>
    <row r="168" spans="1:8" ht="63" x14ac:dyDescent="0.25">
      <c r="A168" s="25" t="s">
        <v>288</v>
      </c>
      <c r="B168" s="20" t="s">
        <v>455</v>
      </c>
      <c r="C168" s="40" t="s">
        <v>280</v>
      </c>
      <c r="D168" s="40" t="s">
        <v>229</v>
      </c>
      <c r="E168" s="40" t="s">
        <v>289</v>
      </c>
      <c r="F168" s="40"/>
      <c r="G168" s="6" t="e">
        <f>G169</f>
        <v>#REF!</v>
      </c>
    </row>
    <row r="169" spans="1:8" ht="15.75" x14ac:dyDescent="0.25">
      <c r="A169" s="25" t="s">
        <v>290</v>
      </c>
      <c r="B169" s="20" t="s">
        <v>455</v>
      </c>
      <c r="C169" s="40" t="s">
        <v>280</v>
      </c>
      <c r="D169" s="40" t="s">
        <v>229</v>
      </c>
      <c r="E169" s="40" t="s">
        <v>291</v>
      </c>
      <c r="F169" s="40"/>
      <c r="G169" s="6" t="e">
        <f>'Пр.4 ведом.20'!#REF!</f>
        <v>#REF!</v>
      </c>
    </row>
    <row r="170" spans="1:8" ht="47.25" x14ac:dyDescent="0.25">
      <c r="A170" s="25" t="s">
        <v>294</v>
      </c>
      <c r="B170" s="40" t="s">
        <v>458</v>
      </c>
      <c r="C170" s="40" t="s">
        <v>280</v>
      </c>
      <c r="D170" s="40" t="s">
        <v>229</v>
      </c>
      <c r="E170" s="40"/>
      <c r="F170" s="40"/>
      <c r="G170" s="6" t="e">
        <f>G171</f>
        <v>#REF!</v>
      </c>
    </row>
    <row r="171" spans="1:8" ht="63" x14ac:dyDescent="0.25">
      <c r="A171" s="25" t="s">
        <v>288</v>
      </c>
      <c r="B171" s="40" t="s">
        <v>458</v>
      </c>
      <c r="C171" s="40" t="s">
        <v>280</v>
      </c>
      <c r="D171" s="40" t="s">
        <v>229</v>
      </c>
      <c r="E171" s="40" t="s">
        <v>289</v>
      </c>
      <c r="F171" s="40"/>
      <c r="G171" s="6" t="e">
        <f>G172</f>
        <v>#REF!</v>
      </c>
    </row>
    <row r="172" spans="1:8" ht="15.75" x14ac:dyDescent="0.25">
      <c r="A172" s="25" t="s">
        <v>290</v>
      </c>
      <c r="B172" s="40" t="s">
        <v>458</v>
      </c>
      <c r="C172" s="40" t="s">
        <v>280</v>
      </c>
      <c r="D172" s="40" t="s">
        <v>229</v>
      </c>
      <c r="E172" s="40" t="s">
        <v>291</v>
      </c>
      <c r="F172" s="40"/>
      <c r="G172" s="6" t="e">
        <f>'Пр.4 ведом.20'!#REF!</f>
        <v>#REF!</v>
      </c>
      <c r="H172" s="113"/>
    </row>
    <row r="173" spans="1:8" ht="47.25" x14ac:dyDescent="0.25">
      <c r="A173" s="29" t="s">
        <v>298</v>
      </c>
      <c r="B173" s="40" t="s">
        <v>460</v>
      </c>
      <c r="C173" s="40" t="s">
        <v>280</v>
      </c>
      <c r="D173" s="40" t="s">
        <v>229</v>
      </c>
      <c r="E173" s="40"/>
      <c r="F173" s="40"/>
      <c r="G173" s="10" t="e">
        <f>G174</f>
        <v>#REF!</v>
      </c>
    </row>
    <row r="174" spans="1:8" ht="63" x14ac:dyDescent="0.25">
      <c r="A174" s="29" t="s">
        <v>288</v>
      </c>
      <c r="B174" s="40" t="s">
        <v>460</v>
      </c>
      <c r="C174" s="40" t="s">
        <v>280</v>
      </c>
      <c r="D174" s="40" t="s">
        <v>229</v>
      </c>
      <c r="E174" s="40" t="s">
        <v>289</v>
      </c>
      <c r="F174" s="40"/>
      <c r="G174" s="10" t="e">
        <f>G175</f>
        <v>#REF!</v>
      </c>
    </row>
    <row r="175" spans="1:8" ht="26.45" customHeight="1" x14ac:dyDescent="0.25">
      <c r="A175" s="29" t="s">
        <v>290</v>
      </c>
      <c r="B175" s="40" t="s">
        <v>460</v>
      </c>
      <c r="C175" s="40" t="s">
        <v>280</v>
      </c>
      <c r="D175" s="40" t="s">
        <v>229</v>
      </c>
      <c r="E175" s="40" t="s">
        <v>291</v>
      </c>
      <c r="F175" s="40"/>
      <c r="G175" s="10" t="e">
        <f>'Пр.4 ведом.20'!#REF!</f>
        <v>#REF!</v>
      </c>
    </row>
    <row r="176" spans="1:8" ht="31.5" x14ac:dyDescent="0.25">
      <c r="A176" s="29" t="s">
        <v>300</v>
      </c>
      <c r="B176" s="40" t="s">
        <v>461</v>
      </c>
      <c r="C176" s="40" t="s">
        <v>280</v>
      </c>
      <c r="D176" s="40" t="s">
        <v>229</v>
      </c>
      <c r="E176" s="40"/>
      <c r="F176" s="40"/>
      <c r="G176" s="10" t="e">
        <f>G177</f>
        <v>#REF!</v>
      </c>
    </row>
    <row r="177" spans="1:7" ht="63" x14ac:dyDescent="0.25">
      <c r="A177" s="29" t="s">
        <v>288</v>
      </c>
      <c r="B177" s="40" t="s">
        <v>461</v>
      </c>
      <c r="C177" s="40" t="s">
        <v>280</v>
      </c>
      <c r="D177" s="40" t="s">
        <v>229</v>
      </c>
      <c r="E177" s="40" t="s">
        <v>289</v>
      </c>
      <c r="F177" s="40"/>
      <c r="G177" s="10" t="e">
        <f>G178</f>
        <v>#REF!</v>
      </c>
    </row>
    <row r="178" spans="1:7" ht="26.45" customHeight="1" x14ac:dyDescent="0.25">
      <c r="A178" s="29" t="s">
        <v>290</v>
      </c>
      <c r="B178" s="40" t="s">
        <v>461</v>
      </c>
      <c r="C178" s="40" t="s">
        <v>280</v>
      </c>
      <c r="D178" s="40" t="s">
        <v>229</v>
      </c>
      <c r="E178" s="40" t="s">
        <v>291</v>
      </c>
      <c r="F178" s="40"/>
      <c r="G178" s="10" t="e">
        <f>'Пр.4 ведом.20'!#REF!</f>
        <v>#REF!</v>
      </c>
    </row>
    <row r="179" spans="1:7" ht="47.25" x14ac:dyDescent="0.25">
      <c r="A179" s="29" t="s">
        <v>419</v>
      </c>
      <c r="B179" s="40" t="s">
        <v>447</v>
      </c>
      <c r="C179" s="40" t="s">
        <v>280</v>
      </c>
      <c r="D179" s="40" t="s">
        <v>229</v>
      </c>
      <c r="E179" s="40"/>
      <c r="F179" s="40" t="s">
        <v>653</v>
      </c>
      <c r="G179" s="10" t="e">
        <f>G141</f>
        <v>#REF!</v>
      </c>
    </row>
    <row r="180" spans="1:7" ht="31.5" hidden="1" x14ac:dyDescent="0.25">
      <c r="A180" s="29" t="s">
        <v>300</v>
      </c>
      <c r="B180" s="40" t="s">
        <v>621</v>
      </c>
      <c r="C180" s="40" t="s">
        <v>280</v>
      </c>
      <c r="D180" s="40" t="s">
        <v>229</v>
      </c>
      <c r="E180" s="40"/>
      <c r="F180" s="40"/>
      <c r="G180" s="10">
        <f>G181</f>
        <v>0</v>
      </c>
    </row>
    <row r="181" spans="1:7" ht="63" hidden="1" x14ac:dyDescent="0.25">
      <c r="A181" s="29" t="s">
        <v>288</v>
      </c>
      <c r="B181" s="40" t="s">
        <v>621</v>
      </c>
      <c r="C181" s="40" t="s">
        <v>280</v>
      </c>
      <c r="D181" s="40" t="s">
        <v>229</v>
      </c>
      <c r="E181" s="40" t="s">
        <v>289</v>
      </c>
      <c r="F181" s="40"/>
      <c r="G181" s="10">
        <f>G182</f>
        <v>0</v>
      </c>
    </row>
    <row r="182" spans="1:7" ht="15.75" hidden="1" x14ac:dyDescent="0.25">
      <c r="A182" s="29" t="s">
        <v>290</v>
      </c>
      <c r="B182" s="40" t="s">
        <v>621</v>
      </c>
      <c r="C182" s="40" t="s">
        <v>280</v>
      </c>
      <c r="D182" s="40" t="s">
        <v>229</v>
      </c>
      <c r="E182" s="40" t="s">
        <v>291</v>
      </c>
      <c r="F182" s="40"/>
      <c r="G182" s="10"/>
    </row>
    <row r="183" spans="1:7" ht="47.25" hidden="1" x14ac:dyDescent="0.25">
      <c r="A183" s="29" t="s">
        <v>419</v>
      </c>
      <c r="B183" s="40" t="s">
        <v>621</v>
      </c>
      <c r="C183" s="40" t="s">
        <v>280</v>
      </c>
      <c r="D183" s="40" t="s">
        <v>229</v>
      </c>
      <c r="E183" s="40"/>
      <c r="F183" s="40" t="s">
        <v>653</v>
      </c>
      <c r="G183" s="10">
        <v>0</v>
      </c>
    </row>
    <row r="184" spans="1:7" ht="47.25" hidden="1" x14ac:dyDescent="0.25">
      <c r="A184" s="29" t="s">
        <v>654</v>
      </c>
      <c r="B184" s="40" t="s">
        <v>622</v>
      </c>
      <c r="C184" s="40" t="s">
        <v>280</v>
      </c>
      <c r="D184" s="40" t="s">
        <v>229</v>
      </c>
      <c r="E184" s="40"/>
      <c r="F184" s="40"/>
      <c r="G184" s="10">
        <f>G185</f>
        <v>0</v>
      </c>
    </row>
    <row r="185" spans="1:7" ht="63" hidden="1" x14ac:dyDescent="0.25">
      <c r="A185" s="29" t="s">
        <v>288</v>
      </c>
      <c r="B185" s="40" t="s">
        <v>622</v>
      </c>
      <c r="C185" s="40" t="s">
        <v>280</v>
      </c>
      <c r="D185" s="40" t="s">
        <v>229</v>
      </c>
      <c r="E185" s="40" t="s">
        <v>289</v>
      </c>
      <c r="F185" s="40"/>
      <c r="G185" s="10">
        <f>G186</f>
        <v>0</v>
      </c>
    </row>
    <row r="186" spans="1:7" ht="15.75" hidden="1" x14ac:dyDescent="0.25">
      <c r="A186" s="29" t="s">
        <v>290</v>
      </c>
      <c r="B186" s="40" t="s">
        <v>622</v>
      </c>
      <c r="C186" s="40" t="s">
        <v>280</v>
      </c>
      <c r="D186" s="40" t="s">
        <v>229</v>
      </c>
      <c r="E186" s="40" t="s">
        <v>291</v>
      </c>
      <c r="F186" s="40"/>
      <c r="G186" s="10"/>
    </row>
    <row r="187" spans="1:7" ht="47.25" hidden="1" x14ac:dyDescent="0.25">
      <c r="A187" s="29" t="s">
        <v>419</v>
      </c>
      <c r="B187" s="40" t="s">
        <v>622</v>
      </c>
      <c r="C187" s="40" t="s">
        <v>280</v>
      </c>
      <c r="D187" s="40" t="s">
        <v>229</v>
      </c>
      <c r="E187" s="40"/>
      <c r="F187" s="40" t="s">
        <v>653</v>
      </c>
      <c r="G187" s="10">
        <v>0</v>
      </c>
    </row>
    <row r="188" spans="1:7" ht="45.75" customHeight="1" x14ac:dyDescent="0.25">
      <c r="A188" s="41" t="s">
        <v>462</v>
      </c>
      <c r="B188" s="7" t="s">
        <v>463</v>
      </c>
      <c r="C188" s="7"/>
      <c r="D188" s="7"/>
      <c r="E188" s="7"/>
      <c r="F188" s="7"/>
      <c r="G188" s="59" t="e">
        <f>G189</f>
        <v>#REF!</v>
      </c>
    </row>
    <row r="189" spans="1:7" ht="21.2" customHeight="1" x14ac:dyDescent="0.25">
      <c r="A189" s="29" t="s">
        <v>279</v>
      </c>
      <c r="B189" s="40" t="s">
        <v>463</v>
      </c>
      <c r="C189" s="40" t="s">
        <v>280</v>
      </c>
      <c r="D189" s="40"/>
      <c r="E189" s="40"/>
      <c r="F189" s="40"/>
      <c r="G189" s="10" t="e">
        <f>G190</f>
        <v>#REF!</v>
      </c>
    </row>
    <row r="190" spans="1:7" ht="22.7" customHeight="1" x14ac:dyDescent="0.25">
      <c r="A190" s="29" t="s">
        <v>281</v>
      </c>
      <c r="B190" s="40" t="s">
        <v>463</v>
      </c>
      <c r="C190" s="40" t="s">
        <v>280</v>
      </c>
      <c r="D190" s="40" t="s">
        <v>231</v>
      </c>
      <c r="E190" s="40"/>
      <c r="F190" s="40"/>
      <c r="G190" s="10" t="e">
        <f>G191</f>
        <v>#REF!</v>
      </c>
    </row>
    <row r="191" spans="1:7" ht="31.5" x14ac:dyDescent="0.25">
      <c r="A191" s="45" t="s">
        <v>722</v>
      </c>
      <c r="B191" s="20" t="s">
        <v>723</v>
      </c>
      <c r="C191" s="40" t="s">
        <v>280</v>
      </c>
      <c r="D191" s="40" t="s">
        <v>231</v>
      </c>
      <c r="E191" s="40"/>
      <c r="F191" s="40"/>
      <c r="G191" s="10" t="e">
        <f>G192</f>
        <v>#REF!</v>
      </c>
    </row>
    <row r="192" spans="1:7" ht="63" x14ac:dyDescent="0.25">
      <c r="A192" s="29" t="s">
        <v>288</v>
      </c>
      <c r="B192" s="20" t="s">
        <v>723</v>
      </c>
      <c r="C192" s="40" t="s">
        <v>280</v>
      </c>
      <c r="D192" s="40" t="s">
        <v>231</v>
      </c>
      <c r="E192" s="40" t="s">
        <v>289</v>
      </c>
      <c r="F192" s="40"/>
      <c r="G192" s="10" t="e">
        <f>G193</f>
        <v>#REF!</v>
      </c>
    </row>
    <row r="193" spans="1:8" ht="15.75" x14ac:dyDescent="0.25">
      <c r="A193" s="29" t="s">
        <v>290</v>
      </c>
      <c r="B193" s="20" t="s">
        <v>723</v>
      </c>
      <c r="C193" s="40" t="s">
        <v>280</v>
      </c>
      <c r="D193" s="40" t="s">
        <v>231</v>
      </c>
      <c r="E193" s="40" t="s">
        <v>291</v>
      </c>
      <c r="F193" s="40"/>
      <c r="G193" s="10" t="e">
        <f>'Пр.4 ведом.20'!#REF!</f>
        <v>#REF!</v>
      </c>
      <c r="H193" s="113"/>
    </row>
    <row r="194" spans="1:8" ht="47.25" x14ac:dyDescent="0.25">
      <c r="A194" s="29" t="s">
        <v>419</v>
      </c>
      <c r="B194" s="20" t="s">
        <v>723</v>
      </c>
      <c r="C194" s="40" t="s">
        <v>280</v>
      </c>
      <c r="D194" s="40" t="s">
        <v>231</v>
      </c>
      <c r="E194" s="40"/>
      <c r="F194" s="40" t="s">
        <v>653</v>
      </c>
      <c r="G194" s="10" t="e">
        <f>G189</f>
        <v>#REF!</v>
      </c>
    </row>
    <row r="195" spans="1:8" ht="47.25" hidden="1" x14ac:dyDescent="0.25">
      <c r="A195" s="29" t="s">
        <v>655</v>
      </c>
      <c r="B195" s="40" t="s">
        <v>623</v>
      </c>
      <c r="C195" s="40" t="s">
        <v>280</v>
      </c>
      <c r="D195" s="40" t="s">
        <v>229</v>
      </c>
      <c r="E195" s="40"/>
      <c r="F195" s="40"/>
      <c r="G195" s="10">
        <f>G199</f>
        <v>0</v>
      </c>
    </row>
    <row r="196" spans="1:8" ht="63" hidden="1" x14ac:dyDescent="0.25">
      <c r="A196" s="29" t="s">
        <v>288</v>
      </c>
      <c r="B196" s="40" t="s">
        <v>623</v>
      </c>
      <c r="C196" s="40" t="s">
        <v>484</v>
      </c>
      <c r="D196" s="40" t="s">
        <v>656</v>
      </c>
      <c r="E196" s="40" t="s">
        <v>289</v>
      </c>
      <c r="F196" s="40"/>
      <c r="G196" s="10">
        <f>G197</f>
        <v>0</v>
      </c>
    </row>
    <row r="197" spans="1:8" ht="15.75" hidden="1" x14ac:dyDescent="0.25">
      <c r="A197" s="29" t="s">
        <v>290</v>
      </c>
      <c r="B197" s="40" t="s">
        <v>623</v>
      </c>
      <c r="C197" s="40" t="s">
        <v>484</v>
      </c>
      <c r="D197" s="40" t="s">
        <v>656</v>
      </c>
      <c r="E197" s="40" t="s">
        <v>291</v>
      </c>
      <c r="F197" s="40"/>
      <c r="G197" s="10">
        <f>G198</f>
        <v>0</v>
      </c>
    </row>
    <row r="198" spans="1:8" ht="31.5" hidden="1" x14ac:dyDescent="0.25">
      <c r="A198" s="29" t="s">
        <v>615</v>
      </c>
      <c r="B198" s="40" t="s">
        <v>623</v>
      </c>
      <c r="C198" s="40" t="s">
        <v>484</v>
      </c>
      <c r="D198" s="40" t="s">
        <v>656</v>
      </c>
      <c r="E198" s="40" t="s">
        <v>616</v>
      </c>
      <c r="F198" s="40"/>
      <c r="G198" s="10">
        <f>G199</f>
        <v>0</v>
      </c>
    </row>
    <row r="199" spans="1:8" ht="47.25" hidden="1" x14ac:dyDescent="0.25">
      <c r="A199" s="29" t="s">
        <v>419</v>
      </c>
      <c r="B199" s="40" t="s">
        <v>623</v>
      </c>
      <c r="C199" s="40" t="s">
        <v>280</v>
      </c>
      <c r="D199" s="40" t="s">
        <v>229</v>
      </c>
      <c r="E199" s="40"/>
      <c r="F199" s="40" t="s">
        <v>653</v>
      </c>
      <c r="G199" s="10"/>
    </row>
    <row r="200" spans="1:8" ht="47.25" hidden="1" x14ac:dyDescent="0.25">
      <c r="A200" s="29" t="s">
        <v>657</v>
      </c>
      <c r="B200" s="20" t="s">
        <v>464</v>
      </c>
      <c r="C200" s="40" t="s">
        <v>280</v>
      </c>
      <c r="D200" s="40" t="s">
        <v>229</v>
      </c>
      <c r="E200" s="40"/>
      <c r="F200" s="40"/>
      <c r="G200" s="10">
        <f>G201</f>
        <v>0</v>
      </c>
    </row>
    <row r="201" spans="1:8" ht="31.5" hidden="1" x14ac:dyDescent="0.25">
      <c r="A201" s="29" t="s">
        <v>296</v>
      </c>
      <c r="B201" s="20" t="s">
        <v>464</v>
      </c>
      <c r="C201" s="40" t="s">
        <v>280</v>
      </c>
      <c r="D201" s="40" t="s">
        <v>229</v>
      </c>
      <c r="E201" s="40" t="s">
        <v>289</v>
      </c>
      <c r="F201" s="40"/>
      <c r="G201" s="10">
        <f>G202</f>
        <v>0</v>
      </c>
    </row>
    <row r="202" spans="1:8" ht="15.75" hidden="1" x14ac:dyDescent="0.25">
      <c r="A202" s="29" t="s">
        <v>290</v>
      </c>
      <c r="B202" s="20" t="s">
        <v>464</v>
      </c>
      <c r="C202" s="40" t="s">
        <v>280</v>
      </c>
      <c r="D202" s="40" t="s">
        <v>229</v>
      </c>
      <c r="E202" s="40" t="s">
        <v>291</v>
      </c>
      <c r="F202" s="40"/>
      <c r="G202" s="10"/>
    </row>
    <row r="203" spans="1:8" ht="31.5" hidden="1" x14ac:dyDescent="0.25">
      <c r="A203" s="29" t="s">
        <v>615</v>
      </c>
      <c r="B203" s="20" t="s">
        <v>464</v>
      </c>
      <c r="C203" s="40" t="s">
        <v>280</v>
      </c>
      <c r="D203" s="40" t="s">
        <v>229</v>
      </c>
      <c r="E203" s="40" t="s">
        <v>616</v>
      </c>
      <c r="F203" s="40"/>
      <c r="G203" s="10"/>
    </row>
    <row r="204" spans="1:8" ht="47.25" hidden="1" x14ac:dyDescent="0.25">
      <c r="A204" s="29" t="s">
        <v>419</v>
      </c>
      <c r="B204" s="20" t="s">
        <v>464</v>
      </c>
      <c r="C204" s="40" t="s">
        <v>280</v>
      </c>
      <c r="D204" s="40" t="s">
        <v>229</v>
      </c>
      <c r="E204" s="40"/>
      <c r="F204" s="40" t="s">
        <v>653</v>
      </c>
      <c r="G204" s="6">
        <f>G200</f>
        <v>0</v>
      </c>
    </row>
    <row r="205" spans="1:8" ht="47.25" hidden="1" x14ac:dyDescent="0.25">
      <c r="A205" s="29" t="s">
        <v>620</v>
      </c>
      <c r="B205" s="40" t="s">
        <v>465</v>
      </c>
      <c r="C205" s="40" t="s">
        <v>280</v>
      </c>
      <c r="D205" s="40" t="s">
        <v>229</v>
      </c>
      <c r="E205" s="40"/>
      <c r="F205" s="40"/>
      <c r="G205" s="10">
        <f>G206</f>
        <v>0</v>
      </c>
    </row>
    <row r="206" spans="1:8" ht="63" hidden="1" x14ac:dyDescent="0.25">
      <c r="A206" s="29" t="s">
        <v>288</v>
      </c>
      <c r="B206" s="40" t="s">
        <v>465</v>
      </c>
      <c r="C206" s="40" t="s">
        <v>280</v>
      </c>
      <c r="D206" s="40" t="s">
        <v>229</v>
      </c>
      <c r="E206" s="40" t="s">
        <v>289</v>
      </c>
      <c r="F206" s="40"/>
      <c r="G206" s="10">
        <f>G207</f>
        <v>0</v>
      </c>
    </row>
    <row r="207" spans="1:8" ht="15.75" hidden="1" x14ac:dyDescent="0.25">
      <c r="A207" s="29" t="s">
        <v>290</v>
      </c>
      <c r="B207" s="40" t="s">
        <v>465</v>
      </c>
      <c r="C207" s="40" t="s">
        <v>280</v>
      </c>
      <c r="D207" s="40" t="s">
        <v>229</v>
      </c>
      <c r="E207" s="40" t="s">
        <v>291</v>
      </c>
      <c r="F207" s="40" t="s">
        <v>653</v>
      </c>
      <c r="G207" s="10"/>
    </row>
    <row r="208" spans="1:8" ht="15.75" hidden="1" x14ac:dyDescent="0.25">
      <c r="A208" s="29"/>
      <c r="B208" s="40"/>
      <c r="C208" s="40"/>
      <c r="D208" s="40"/>
      <c r="E208" s="40"/>
      <c r="F208" s="40"/>
      <c r="G208" s="10"/>
    </row>
    <row r="209" spans="1:7" ht="15.75" hidden="1" x14ac:dyDescent="0.25">
      <c r="A209" s="29"/>
      <c r="B209" s="40"/>
      <c r="C209" s="40"/>
      <c r="D209" s="40"/>
      <c r="E209" s="40"/>
      <c r="F209" s="40"/>
      <c r="G209" s="10"/>
    </row>
    <row r="210" spans="1:7" ht="47.25" x14ac:dyDescent="0.25">
      <c r="A210" s="41" t="s">
        <v>483</v>
      </c>
      <c r="B210" s="7" t="s">
        <v>485</v>
      </c>
      <c r="C210" s="7"/>
      <c r="D210" s="7"/>
      <c r="E210" s="7"/>
      <c r="F210" s="7"/>
      <c r="G210" s="59" t="e">
        <f>G211</f>
        <v>#REF!</v>
      </c>
    </row>
    <row r="211" spans="1:7" ht="15.75" x14ac:dyDescent="0.25">
      <c r="A211" s="29" t="s">
        <v>279</v>
      </c>
      <c r="B211" s="40" t="s">
        <v>485</v>
      </c>
      <c r="C211" s="40" t="s">
        <v>280</v>
      </c>
      <c r="D211" s="40"/>
      <c r="E211" s="40"/>
      <c r="F211" s="40"/>
      <c r="G211" s="10" t="e">
        <f>G212</f>
        <v>#REF!</v>
      </c>
    </row>
    <row r="212" spans="1:7" ht="31.5" x14ac:dyDescent="0.25">
      <c r="A212" s="29" t="s">
        <v>482</v>
      </c>
      <c r="B212" s="40" t="s">
        <v>485</v>
      </c>
      <c r="C212" s="40" t="s">
        <v>280</v>
      </c>
      <c r="D212" s="40" t="s">
        <v>280</v>
      </c>
      <c r="E212" s="40"/>
      <c r="F212" s="40"/>
      <c r="G212" s="10" t="e">
        <f>G213</f>
        <v>#REF!</v>
      </c>
    </row>
    <row r="213" spans="1:7" ht="47.25" x14ac:dyDescent="0.25">
      <c r="A213" s="25" t="s">
        <v>626</v>
      </c>
      <c r="B213" s="20" t="s">
        <v>487</v>
      </c>
      <c r="C213" s="40" t="s">
        <v>280</v>
      </c>
      <c r="D213" s="40" t="s">
        <v>280</v>
      </c>
      <c r="E213" s="40"/>
      <c r="F213" s="40"/>
      <c r="G213" s="10" t="e">
        <f>G214</f>
        <v>#REF!</v>
      </c>
    </row>
    <row r="214" spans="1:7" ht="63" x14ac:dyDescent="0.25">
      <c r="A214" s="29" t="s">
        <v>288</v>
      </c>
      <c r="B214" s="20" t="s">
        <v>487</v>
      </c>
      <c r="C214" s="40" t="s">
        <v>280</v>
      </c>
      <c r="D214" s="40" t="s">
        <v>280</v>
      </c>
      <c r="E214" s="40" t="s">
        <v>289</v>
      </c>
      <c r="F214" s="40"/>
      <c r="G214" s="10" t="e">
        <f>G215</f>
        <v>#REF!</v>
      </c>
    </row>
    <row r="215" spans="1:7" ht="15.75" x14ac:dyDescent="0.25">
      <c r="A215" s="29" t="s">
        <v>290</v>
      </c>
      <c r="B215" s="20" t="s">
        <v>487</v>
      </c>
      <c r="C215" s="40" t="s">
        <v>280</v>
      </c>
      <c r="D215" s="40" t="s">
        <v>280</v>
      </c>
      <c r="E215" s="40" t="s">
        <v>291</v>
      </c>
      <c r="F215" s="40"/>
      <c r="G215" s="10" t="e">
        <f>'Пр.4 ведом.20'!#REF!</f>
        <v>#REF!</v>
      </c>
    </row>
    <row r="216" spans="1:7" ht="47.25" x14ac:dyDescent="0.25">
      <c r="A216" s="29" t="s">
        <v>419</v>
      </c>
      <c r="B216" s="20" t="s">
        <v>485</v>
      </c>
      <c r="C216" s="40" t="s">
        <v>280</v>
      </c>
      <c r="D216" s="40" t="s">
        <v>280</v>
      </c>
      <c r="E216" s="40"/>
      <c r="F216" s="40" t="s">
        <v>653</v>
      </c>
      <c r="G216" s="10" t="e">
        <f>G210</f>
        <v>#REF!</v>
      </c>
    </row>
    <row r="217" spans="1:7" ht="78.75" x14ac:dyDescent="0.25">
      <c r="A217" s="58" t="s">
        <v>171</v>
      </c>
      <c r="B217" s="176" t="s">
        <v>172</v>
      </c>
      <c r="C217" s="7"/>
      <c r="D217" s="176"/>
      <c r="E217" s="176"/>
      <c r="F217" s="176"/>
      <c r="G217" s="59" t="e">
        <f>G220</f>
        <v>#REF!</v>
      </c>
    </row>
    <row r="218" spans="1:7" ht="15.75" x14ac:dyDescent="0.25">
      <c r="A218" s="45" t="s">
        <v>133</v>
      </c>
      <c r="B218" s="5" t="s">
        <v>172</v>
      </c>
      <c r="C218" s="40" t="s">
        <v>134</v>
      </c>
      <c r="D218" s="5"/>
      <c r="E218" s="5"/>
      <c r="F218" s="5"/>
      <c r="G218" s="10" t="e">
        <f>G219</f>
        <v>#REF!</v>
      </c>
    </row>
    <row r="219" spans="1:7" ht="31.5" x14ac:dyDescent="0.25">
      <c r="A219" s="67" t="s">
        <v>155</v>
      </c>
      <c r="B219" s="66" t="s">
        <v>172</v>
      </c>
      <c r="C219" s="40" t="s">
        <v>134</v>
      </c>
      <c r="D219" s="66">
        <v>13</v>
      </c>
      <c r="E219" s="66"/>
      <c r="F219" s="66"/>
      <c r="G219" s="10" t="e">
        <f>G220</f>
        <v>#REF!</v>
      </c>
    </row>
    <row r="220" spans="1:7" ht="47.25" x14ac:dyDescent="0.25">
      <c r="A220" s="29" t="s">
        <v>173</v>
      </c>
      <c r="B220" s="66" t="s">
        <v>174</v>
      </c>
      <c r="C220" s="40" t="s">
        <v>134</v>
      </c>
      <c r="D220" s="40" t="s">
        <v>156</v>
      </c>
      <c r="E220" s="40"/>
      <c r="F220" s="40"/>
      <c r="G220" s="10" t="e">
        <f>G221</f>
        <v>#REF!</v>
      </c>
    </row>
    <row r="221" spans="1:7" ht="47.25" x14ac:dyDescent="0.25">
      <c r="A221" s="29" t="s">
        <v>147</v>
      </c>
      <c r="B221" s="66" t="s">
        <v>174</v>
      </c>
      <c r="C221" s="40" t="s">
        <v>134</v>
      </c>
      <c r="D221" s="40" t="s">
        <v>156</v>
      </c>
      <c r="E221" s="40" t="s">
        <v>161</v>
      </c>
      <c r="F221" s="40"/>
      <c r="G221" s="10" t="e">
        <f>G222</f>
        <v>#REF!</v>
      </c>
    </row>
    <row r="222" spans="1:7" ht="78.75" x14ac:dyDescent="0.25">
      <c r="A222" s="29" t="s">
        <v>200</v>
      </c>
      <c r="B222" s="66" t="s">
        <v>174</v>
      </c>
      <c r="C222" s="40" t="s">
        <v>134</v>
      </c>
      <c r="D222" s="40" t="s">
        <v>156</v>
      </c>
      <c r="E222" s="40" t="s">
        <v>176</v>
      </c>
      <c r="F222" s="40"/>
      <c r="G222" s="10" t="e">
        <f>'Пр.4 ведом.20'!#REF!</f>
        <v>#REF!</v>
      </c>
    </row>
    <row r="223" spans="1:7" ht="31.5" x14ac:dyDescent="0.25">
      <c r="A223" s="29" t="s">
        <v>164</v>
      </c>
      <c r="B223" s="66" t="s">
        <v>172</v>
      </c>
      <c r="C223" s="40" t="s">
        <v>134</v>
      </c>
      <c r="D223" s="40" t="s">
        <v>156</v>
      </c>
      <c r="E223" s="40"/>
      <c r="F223" s="40" t="s">
        <v>658</v>
      </c>
      <c r="G223" s="10" t="e">
        <f>G217</f>
        <v>#REF!</v>
      </c>
    </row>
    <row r="224" spans="1:7" ht="73.5" customHeight="1" x14ac:dyDescent="0.25">
      <c r="A224" s="41" t="s">
        <v>177</v>
      </c>
      <c r="B224" s="176" t="s">
        <v>178</v>
      </c>
      <c r="C224" s="7"/>
      <c r="D224" s="7"/>
      <c r="E224" s="7"/>
      <c r="F224" s="7"/>
      <c r="G224" s="59" t="e">
        <f>G225</f>
        <v>#REF!</v>
      </c>
    </row>
    <row r="225" spans="1:7" ht="15.75" x14ac:dyDescent="0.25">
      <c r="A225" s="45" t="s">
        <v>133</v>
      </c>
      <c r="B225" s="5" t="s">
        <v>178</v>
      </c>
      <c r="C225" s="40" t="s">
        <v>134</v>
      </c>
      <c r="D225" s="5"/>
      <c r="E225" s="5"/>
      <c r="F225" s="40"/>
      <c r="G225" s="10" t="e">
        <f>G226</f>
        <v>#REF!</v>
      </c>
    </row>
    <row r="226" spans="1:7" ht="31.5" x14ac:dyDescent="0.25">
      <c r="A226" s="67" t="s">
        <v>155</v>
      </c>
      <c r="B226" s="66" t="s">
        <v>178</v>
      </c>
      <c r="C226" s="40" t="s">
        <v>134</v>
      </c>
      <c r="D226" s="66">
        <v>13</v>
      </c>
      <c r="E226" s="66"/>
      <c r="F226" s="40"/>
      <c r="G226" s="10" t="e">
        <f>G227+G230+G235+G238</f>
        <v>#REF!</v>
      </c>
    </row>
    <row r="227" spans="1:7" ht="31.5" x14ac:dyDescent="0.25">
      <c r="A227" s="29" t="s">
        <v>179</v>
      </c>
      <c r="B227" s="40" t="s">
        <v>180</v>
      </c>
      <c r="C227" s="40" t="s">
        <v>134</v>
      </c>
      <c r="D227" s="40" t="s">
        <v>156</v>
      </c>
      <c r="E227" s="40"/>
      <c r="F227" s="40"/>
      <c r="G227" s="10" t="e">
        <f>G228</f>
        <v>#REF!</v>
      </c>
    </row>
    <row r="228" spans="1:7" ht="47.25" x14ac:dyDescent="0.25">
      <c r="A228" s="29" t="s">
        <v>147</v>
      </c>
      <c r="B228" s="40" t="s">
        <v>180</v>
      </c>
      <c r="C228" s="40" t="s">
        <v>134</v>
      </c>
      <c r="D228" s="40" t="s">
        <v>156</v>
      </c>
      <c r="E228" s="40" t="s">
        <v>148</v>
      </c>
      <c r="F228" s="40"/>
      <c r="G228" s="10" t="e">
        <f>G229</f>
        <v>#REF!</v>
      </c>
    </row>
    <row r="229" spans="1:7" ht="47.25" x14ac:dyDescent="0.25">
      <c r="A229" s="29" t="s">
        <v>149</v>
      </c>
      <c r="B229" s="40" t="s">
        <v>180</v>
      </c>
      <c r="C229" s="40" t="s">
        <v>134</v>
      </c>
      <c r="D229" s="40" t="s">
        <v>156</v>
      </c>
      <c r="E229" s="40" t="s">
        <v>150</v>
      </c>
      <c r="F229" s="40"/>
      <c r="G229" s="10" t="e">
        <f>'Пр.4 ведом.20'!#REF!</f>
        <v>#REF!</v>
      </c>
    </row>
    <row r="230" spans="1:7" ht="78.75" x14ac:dyDescent="0.25">
      <c r="A230" s="98" t="s">
        <v>181</v>
      </c>
      <c r="B230" s="40" t="s">
        <v>182</v>
      </c>
      <c r="C230" s="40" t="s">
        <v>134</v>
      </c>
      <c r="D230" s="40" t="s">
        <v>156</v>
      </c>
      <c r="E230" s="40"/>
      <c r="F230" s="40"/>
      <c r="G230" s="10" t="e">
        <f>G231+G233</f>
        <v>#REF!</v>
      </c>
    </row>
    <row r="231" spans="1:7" ht="110.25" x14ac:dyDescent="0.25">
      <c r="A231" s="29" t="s">
        <v>143</v>
      </c>
      <c r="B231" s="40" t="s">
        <v>182</v>
      </c>
      <c r="C231" s="40" t="s">
        <v>134</v>
      </c>
      <c r="D231" s="40" t="s">
        <v>156</v>
      </c>
      <c r="E231" s="40" t="s">
        <v>144</v>
      </c>
      <c r="F231" s="40"/>
      <c r="G231" s="10" t="e">
        <f>G232</f>
        <v>#REF!</v>
      </c>
    </row>
    <row r="232" spans="1:7" ht="47.25" x14ac:dyDescent="0.25">
      <c r="A232" s="29" t="s">
        <v>145</v>
      </c>
      <c r="B232" s="40" t="s">
        <v>182</v>
      </c>
      <c r="C232" s="40" t="s">
        <v>134</v>
      </c>
      <c r="D232" s="40" t="s">
        <v>156</v>
      </c>
      <c r="E232" s="40" t="s">
        <v>146</v>
      </c>
      <c r="F232" s="40"/>
      <c r="G232" s="10" t="e">
        <f>'Пр.4 ведом.20'!#REF!</f>
        <v>#REF!</v>
      </c>
    </row>
    <row r="233" spans="1:7" ht="47.25" x14ac:dyDescent="0.25">
      <c r="A233" s="29" t="s">
        <v>147</v>
      </c>
      <c r="B233" s="40" t="s">
        <v>182</v>
      </c>
      <c r="C233" s="40" t="s">
        <v>134</v>
      </c>
      <c r="D233" s="40" t="s">
        <v>156</v>
      </c>
      <c r="E233" s="40" t="s">
        <v>148</v>
      </c>
      <c r="F233" s="40"/>
      <c r="G233" s="10" t="e">
        <f>G234</f>
        <v>#REF!</v>
      </c>
    </row>
    <row r="234" spans="1:7" ht="47.25" x14ac:dyDescent="0.25">
      <c r="A234" s="29" t="s">
        <v>149</v>
      </c>
      <c r="B234" s="40" t="s">
        <v>182</v>
      </c>
      <c r="C234" s="40" t="s">
        <v>134</v>
      </c>
      <c r="D234" s="40" t="s">
        <v>156</v>
      </c>
      <c r="E234" s="40" t="s">
        <v>150</v>
      </c>
      <c r="F234" s="40"/>
      <c r="G234" s="10" t="e">
        <f>'Пр.4 ведом.20'!#REF!</f>
        <v>#REF!</v>
      </c>
    </row>
    <row r="235" spans="1:7" ht="63" x14ac:dyDescent="0.25">
      <c r="A235" s="31" t="s">
        <v>712</v>
      </c>
      <c r="B235" s="40" t="s">
        <v>713</v>
      </c>
      <c r="C235" s="40" t="s">
        <v>134</v>
      </c>
      <c r="D235" s="40" t="s">
        <v>156</v>
      </c>
      <c r="E235" s="40"/>
      <c r="F235" s="40"/>
      <c r="G235" s="10" t="e">
        <f>G236</f>
        <v>#REF!</v>
      </c>
    </row>
    <row r="236" spans="1:7" ht="47.25" x14ac:dyDescent="0.25">
      <c r="A236" s="25" t="s">
        <v>147</v>
      </c>
      <c r="B236" s="40" t="s">
        <v>713</v>
      </c>
      <c r="C236" s="40" t="s">
        <v>134</v>
      </c>
      <c r="D236" s="40" t="s">
        <v>156</v>
      </c>
      <c r="E236" s="40" t="s">
        <v>148</v>
      </c>
      <c r="F236" s="40"/>
      <c r="G236" s="10" t="e">
        <f>G237</f>
        <v>#REF!</v>
      </c>
    </row>
    <row r="237" spans="1:7" ht="47.25" x14ac:dyDescent="0.25">
      <c r="A237" s="25" t="s">
        <v>149</v>
      </c>
      <c r="B237" s="40" t="s">
        <v>713</v>
      </c>
      <c r="C237" s="40" t="s">
        <v>134</v>
      </c>
      <c r="D237" s="40" t="s">
        <v>156</v>
      </c>
      <c r="E237" s="40" t="s">
        <v>150</v>
      </c>
      <c r="F237" s="40"/>
      <c r="G237" s="10" t="e">
        <f>'Пр.4 ведом.20'!#REF!</f>
        <v>#REF!</v>
      </c>
    </row>
    <row r="238" spans="1:7" ht="63" x14ac:dyDescent="0.25">
      <c r="A238" s="33" t="s">
        <v>207</v>
      </c>
      <c r="B238" s="40" t="s">
        <v>699</v>
      </c>
      <c r="C238" s="40" t="s">
        <v>134</v>
      </c>
      <c r="D238" s="40" t="s">
        <v>156</v>
      </c>
      <c r="E238" s="40"/>
      <c r="F238" s="40"/>
      <c r="G238" s="10" t="e">
        <f>G239</f>
        <v>#REF!</v>
      </c>
    </row>
    <row r="239" spans="1:7" ht="47.25" x14ac:dyDescent="0.25">
      <c r="A239" s="25" t="s">
        <v>147</v>
      </c>
      <c r="B239" s="40" t="s">
        <v>699</v>
      </c>
      <c r="C239" s="40" t="s">
        <v>134</v>
      </c>
      <c r="D239" s="40" t="s">
        <v>156</v>
      </c>
      <c r="E239" s="40" t="s">
        <v>148</v>
      </c>
      <c r="F239" s="40"/>
      <c r="G239" s="10" t="e">
        <f>G240</f>
        <v>#REF!</v>
      </c>
    </row>
    <row r="240" spans="1:7" ht="47.25" x14ac:dyDescent="0.25">
      <c r="A240" s="25" t="s">
        <v>149</v>
      </c>
      <c r="B240" s="40" t="s">
        <v>699</v>
      </c>
      <c r="C240" s="40" t="s">
        <v>134</v>
      </c>
      <c r="D240" s="40" t="s">
        <v>156</v>
      </c>
      <c r="E240" s="40" t="s">
        <v>150</v>
      </c>
      <c r="F240" s="40"/>
      <c r="G240" s="10" t="e">
        <f>'Пр.4 ведом.20'!#REF!</f>
        <v>#REF!</v>
      </c>
    </row>
    <row r="241" spans="1:7" ht="31.5" x14ac:dyDescent="0.25">
      <c r="A241" s="29" t="s">
        <v>164</v>
      </c>
      <c r="B241" s="40" t="s">
        <v>178</v>
      </c>
      <c r="C241" s="40" t="s">
        <v>134</v>
      </c>
      <c r="D241" s="40" t="s">
        <v>156</v>
      </c>
      <c r="E241" s="40"/>
      <c r="F241" s="40" t="s">
        <v>658</v>
      </c>
      <c r="G241" s="10" t="e">
        <f>G224</f>
        <v>#REF!</v>
      </c>
    </row>
    <row r="242" spans="1:7" ht="94.5" x14ac:dyDescent="0.25">
      <c r="A242" s="41" t="s">
        <v>269</v>
      </c>
      <c r="B242" s="176" t="s">
        <v>270</v>
      </c>
      <c r="C242" s="40"/>
      <c r="D242" s="40"/>
      <c r="E242" s="40"/>
      <c r="F242" s="40"/>
      <c r="G242" s="59" t="e">
        <f>G243</f>
        <v>#REF!</v>
      </c>
    </row>
    <row r="243" spans="1:7" ht="15.75" x14ac:dyDescent="0.25">
      <c r="A243" s="29" t="s">
        <v>259</v>
      </c>
      <c r="B243" s="5" t="s">
        <v>270</v>
      </c>
      <c r="C243" s="40" t="s">
        <v>260</v>
      </c>
      <c r="D243" s="40"/>
      <c r="E243" s="40"/>
      <c r="F243" s="40"/>
      <c r="G243" s="10" t="e">
        <f>G244</f>
        <v>#REF!</v>
      </c>
    </row>
    <row r="244" spans="1:7" ht="22.7" customHeight="1" x14ac:dyDescent="0.25">
      <c r="A244" s="29" t="s">
        <v>268</v>
      </c>
      <c r="B244" s="5" t="s">
        <v>270</v>
      </c>
      <c r="C244" s="40" t="s">
        <v>260</v>
      </c>
      <c r="D244" s="40" t="s">
        <v>231</v>
      </c>
      <c r="E244" s="40"/>
      <c r="F244" s="40"/>
      <c r="G244" s="10" t="e">
        <f>G245</f>
        <v>#REF!</v>
      </c>
    </row>
    <row r="245" spans="1:7" ht="47.25" x14ac:dyDescent="0.25">
      <c r="A245" s="29" t="s">
        <v>173</v>
      </c>
      <c r="B245" s="66" t="s">
        <v>271</v>
      </c>
      <c r="C245" s="40" t="s">
        <v>260</v>
      </c>
      <c r="D245" s="40" t="s">
        <v>231</v>
      </c>
      <c r="E245" s="40"/>
      <c r="F245" s="40"/>
      <c r="G245" s="10" t="e">
        <f>G246</f>
        <v>#REF!</v>
      </c>
    </row>
    <row r="246" spans="1:7" ht="38.25" customHeight="1" x14ac:dyDescent="0.25">
      <c r="A246" s="29" t="s">
        <v>264</v>
      </c>
      <c r="B246" s="66" t="s">
        <v>271</v>
      </c>
      <c r="C246" s="40" t="s">
        <v>260</v>
      </c>
      <c r="D246" s="40" t="s">
        <v>231</v>
      </c>
      <c r="E246" s="40" t="s">
        <v>265</v>
      </c>
      <c r="F246" s="40"/>
      <c r="G246" s="10" t="e">
        <f>G247</f>
        <v>#REF!</v>
      </c>
    </row>
    <row r="247" spans="1:7" ht="47.25" x14ac:dyDescent="0.25">
      <c r="A247" s="29" t="s">
        <v>266</v>
      </c>
      <c r="B247" s="66" t="s">
        <v>271</v>
      </c>
      <c r="C247" s="40" t="s">
        <v>260</v>
      </c>
      <c r="D247" s="40" t="s">
        <v>231</v>
      </c>
      <c r="E247" s="40" t="s">
        <v>267</v>
      </c>
      <c r="F247" s="40"/>
      <c r="G247" s="10" t="e">
        <f>'Пр.4 ведом.20'!#REF!</f>
        <v>#REF!</v>
      </c>
    </row>
    <row r="248" spans="1:7" ht="31.5" x14ac:dyDescent="0.25">
      <c r="A248" s="45" t="s">
        <v>164</v>
      </c>
      <c r="B248" s="66" t="s">
        <v>270</v>
      </c>
      <c r="C248" s="40" t="s">
        <v>260</v>
      </c>
      <c r="D248" s="40" t="s">
        <v>231</v>
      </c>
      <c r="E248" s="40"/>
      <c r="F248" s="40" t="s">
        <v>658</v>
      </c>
      <c r="G248" s="10" t="e">
        <f>G242</f>
        <v>#REF!</v>
      </c>
    </row>
    <row r="249" spans="1:7" ht="141.75" x14ac:dyDescent="0.25">
      <c r="A249" s="41" t="s">
        <v>610</v>
      </c>
      <c r="B249" s="176" t="s">
        <v>184</v>
      </c>
      <c r="C249" s="7"/>
      <c r="D249" s="7"/>
      <c r="E249" s="7"/>
      <c r="F249" s="7"/>
      <c r="G249" s="59" t="e">
        <f>G250+G257+G264</f>
        <v>#REF!</v>
      </c>
    </row>
    <row r="250" spans="1:7" ht="110.25" x14ac:dyDescent="0.25">
      <c r="A250" s="41" t="s">
        <v>185</v>
      </c>
      <c r="B250" s="176" t="s">
        <v>186</v>
      </c>
      <c r="C250" s="7"/>
      <c r="D250" s="7"/>
      <c r="E250" s="7"/>
      <c r="F250" s="7"/>
      <c r="G250" s="59" t="e">
        <f>G251</f>
        <v>#REF!</v>
      </c>
    </row>
    <row r="251" spans="1:7" ht="15.75" x14ac:dyDescent="0.25">
      <c r="A251" s="45" t="s">
        <v>133</v>
      </c>
      <c r="B251" s="5" t="s">
        <v>186</v>
      </c>
      <c r="C251" s="40" t="s">
        <v>134</v>
      </c>
      <c r="D251" s="40"/>
      <c r="E251" s="40"/>
      <c r="F251" s="40"/>
      <c r="G251" s="10" t="e">
        <f>G252</f>
        <v>#REF!</v>
      </c>
    </row>
    <row r="252" spans="1:7" ht="33.75" customHeight="1" x14ac:dyDescent="0.25">
      <c r="A252" s="67" t="s">
        <v>155</v>
      </c>
      <c r="B252" s="5" t="s">
        <v>186</v>
      </c>
      <c r="C252" s="40" t="s">
        <v>134</v>
      </c>
      <c r="D252" s="40" t="s">
        <v>156</v>
      </c>
      <c r="E252" s="40"/>
      <c r="F252" s="40"/>
      <c r="G252" s="10" t="e">
        <f>G253</f>
        <v>#REF!</v>
      </c>
    </row>
    <row r="253" spans="1:7" ht="47.25" x14ac:dyDescent="0.25">
      <c r="A253" s="98" t="s">
        <v>187</v>
      </c>
      <c r="B253" s="5" t="s">
        <v>188</v>
      </c>
      <c r="C253" s="40" t="s">
        <v>134</v>
      </c>
      <c r="D253" s="40" t="s">
        <v>156</v>
      </c>
      <c r="E253" s="40"/>
      <c r="F253" s="40"/>
      <c r="G253" s="10" t="e">
        <f>G254</f>
        <v>#REF!</v>
      </c>
    </row>
    <row r="254" spans="1:7" ht="47.25" x14ac:dyDescent="0.25">
      <c r="A254" s="29" t="s">
        <v>147</v>
      </c>
      <c r="B254" s="5" t="s">
        <v>188</v>
      </c>
      <c r="C254" s="40" t="s">
        <v>134</v>
      </c>
      <c r="D254" s="40" t="s">
        <v>156</v>
      </c>
      <c r="E254" s="40" t="s">
        <v>148</v>
      </c>
      <c r="F254" s="40"/>
      <c r="G254" s="10" t="e">
        <f>G255</f>
        <v>#REF!</v>
      </c>
    </row>
    <row r="255" spans="1:7" ht="47.25" x14ac:dyDescent="0.25">
      <c r="A255" s="29" t="s">
        <v>149</v>
      </c>
      <c r="B255" s="5" t="s">
        <v>188</v>
      </c>
      <c r="C255" s="40" t="s">
        <v>134</v>
      </c>
      <c r="D255" s="40" t="s">
        <v>156</v>
      </c>
      <c r="E255" s="40" t="s">
        <v>150</v>
      </c>
      <c r="F255" s="40"/>
      <c r="G255" s="10" t="e">
        <f>'Пр.4 ведом.20'!#REF!</f>
        <v>#REF!</v>
      </c>
    </row>
    <row r="256" spans="1:7" ht="31.5" x14ac:dyDescent="0.25">
      <c r="A256" s="29" t="s">
        <v>164</v>
      </c>
      <c r="B256" s="5" t="s">
        <v>186</v>
      </c>
      <c r="C256" s="40" t="s">
        <v>134</v>
      </c>
      <c r="D256" s="40" t="s">
        <v>156</v>
      </c>
      <c r="E256" s="40"/>
      <c r="F256" s="40" t="s">
        <v>658</v>
      </c>
      <c r="G256" s="6" t="e">
        <f>G250</f>
        <v>#REF!</v>
      </c>
    </row>
    <row r="257" spans="1:7" ht="94.5" x14ac:dyDescent="0.25">
      <c r="A257" s="41" t="s">
        <v>189</v>
      </c>
      <c r="B257" s="176" t="s">
        <v>190</v>
      </c>
      <c r="C257" s="7"/>
      <c r="D257" s="7"/>
      <c r="E257" s="7"/>
      <c r="F257" s="7"/>
      <c r="G257" s="59" t="e">
        <f>G258</f>
        <v>#REF!</v>
      </c>
    </row>
    <row r="258" spans="1:7" ht="15.75" x14ac:dyDescent="0.25">
      <c r="A258" s="45" t="s">
        <v>133</v>
      </c>
      <c r="B258" s="5" t="s">
        <v>190</v>
      </c>
      <c r="C258" s="40" t="s">
        <v>134</v>
      </c>
      <c r="D258" s="40"/>
      <c r="E258" s="40"/>
      <c r="F258" s="40"/>
      <c r="G258" s="6" t="e">
        <f>G259</f>
        <v>#REF!</v>
      </c>
    </row>
    <row r="259" spans="1:7" ht="31.5" x14ac:dyDescent="0.25">
      <c r="A259" s="67" t="s">
        <v>155</v>
      </c>
      <c r="B259" s="5" t="s">
        <v>190</v>
      </c>
      <c r="C259" s="40" t="s">
        <v>134</v>
      </c>
      <c r="D259" s="40" t="s">
        <v>156</v>
      </c>
      <c r="E259" s="40"/>
      <c r="F259" s="40"/>
      <c r="G259" s="6" t="e">
        <f>G260</f>
        <v>#REF!</v>
      </c>
    </row>
    <row r="260" spans="1:7" ht="31.5" x14ac:dyDescent="0.25">
      <c r="A260" s="45" t="s">
        <v>191</v>
      </c>
      <c r="B260" s="5" t="s">
        <v>192</v>
      </c>
      <c r="C260" s="9" t="s">
        <v>134</v>
      </c>
      <c r="D260" s="9" t="s">
        <v>156</v>
      </c>
      <c r="E260" s="9"/>
      <c r="F260" s="26"/>
      <c r="G260" s="26" t="e">
        <f>G261</f>
        <v>#REF!</v>
      </c>
    </row>
    <row r="261" spans="1:7" ht="47.25" x14ac:dyDescent="0.25">
      <c r="A261" s="25" t="s">
        <v>147</v>
      </c>
      <c r="B261" s="5" t="s">
        <v>192</v>
      </c>
      <c r="C261" s="9" t="s">
        <v>134</v>
      </c>
      <c r="D261" s="9" t="s">
        <v>156</v>
      </c>
      <c r="E261" s="9" t="s">
        <v>148</v>
      </c>
      <c r="F261" s="26"/>
      <c r="G261" s="26" t="e">
        <f>G262</f>
        <v>#REF!</v>
      </c>
    </row>
    <row r="262" spans="1:7" ht="47.25" x14ac:dyDescent="0.25">
      <c r="A262" s="25" t="s">
        <v>149</v>
      </c>
      <c r="B262" s="5" t="s">
        <v>192</v>
      </c>
      <c r="C262" s="9" t="s">
        <v>134</v>
      </c>
      <c r="D262" s="9" t="s">
        <v>156</v>
      </c>
      <c r="E262" s="9" t="s">
        <v>150</v>
      </c>
      <c r="F262" s="26"/>
      <c r="G262" s="26" t="e">
        <f>'Пр.4 ведом.20'!#REF!</f>
        <v>#REF!</v>
      </c>
    </row>
    <row r="263" spans="1:7" ht="31.5" x14ac:dyDescent="0.25">
      <c r="A263" s="29" t="s">
        <v>164</v>
      </c>
      <c r="B263" s="5" t="s">
        <v>190</v>
      </c>
      <c r="C263" s="40" t="s">
        <v>134</v>
      </c>
      <c r="D263" s="40" t="s">
        <v>156</v>
      </c>
      <c r="E263" s="40"/>
      <c r="F263" s="40" t="s">
        <v>658</v>
      </c>
      <c r="G263" s="6" t="e">
        <f>G257</f>
        <v>#REF!</v>
      </c>
    </row>
    <row r="264" spans="1:7" ht="63" x14ac:dyDescent="0.25">
      <c r="A264" s="23" t="s">
        <v>193</v>
      </c>
      <c r="B264" s="176" t="s">
        <v>194</v>
      </c>
      <c r="C264" s="7"/>
      <c r="D264" s="7"/>
      <c r="E264" s="7"/>
      <c r="F264" s="7"/>
      <c r="G264" s="59" t="e">
        <f>G265</f>
        <v>#REF!</v>
      </c>
    </row>
    <row r="265" spans="1:7" ht="15.75" x14ac:dyDescent="0.25">
      <c r="A265" s="45" t="s">
        <v>133</v>
      </c>
      <c r="B265" s="5" t="s">
        <v>194</v>
      </c>
      <c r="C265" s="40" t="s">
        <v>134</v>
      </c>
      <c r="D265" s="40"/>
      <c r="E265" s="40"/>
      <c r="F265" s="40"/>
      <c r="G265" s="10" t="e">
        <f>G266</f>
        <v>#REF!</v>
      </c>
    </row>
    <row r="266" spans="1:7" ht="31.5" x14ac:dyDescent="0.25">
      <c r="A266" s="67" t="s">
        <v>155</v>
      </c>
      <c r="B266" s="5" t="s">
        <v>194</v>
      </c>
      <c r="C266" s="40" t="s">
        <v>134</v>
      </c>
      <c r="D266" s="40" t="s">
        <v>156</v>
      </c>
      <c r="E266" s="40"/>
      <c r="F266" s="40"/>
      <c r="G266" s="10" t="e">
        <f>G267</f>
        <v>#REF!</v>
      </c>
    </row>
    <row r="267" spans="1:7" ht="32.25" customHeight="1" x14ac:dyDescent="0.25">
      <c r="A267" s="45" t="s">
        <v>195</v>
      </c>
      <c r="B267" s="5" t="s">
        <v>196</v>
      </c>
      <c r="C267" s="40" t="s">
        <v>134</v>
      </c>
      <c r="D267" s="40" t="s">
        <v>156</v>
      </c>
      <c r="E267" s="40"/>
      <c r="F267" s="40"/>
      <c r="G267" s="10" t="e">
        <f>G268</f>
        <v>#REF!</v>
      </c>
    </row>
    <row r="268" spans="1:7" ht="47.25" x14ac:dyDescent="0.25">
      <c r="A268" s="29" t="s">
        <v>147</v>
      </c>
      <c r="B268" s="5" t="s">
        <v>196</v>
      </c>
      <c r="C268" s="40" t="s">
        <v>134</v>
      </c>
      <c r="D268" s="40" t="s">
        <v>156</v>
      </c>
      <c r="E268" s="40" t="s">
        <v>148</v>
      </c>
      <c r="F268" s="40"/>
      <c r="G268" s="10" t="e">
        <f>G269</f>
        <v>#REF!</v>
      </c>
    </row>
    <row r="269" spans="1:7" ht="47.25" x14ac:dyDescent="0.25">
      <c r="A269" s="29" t="s">
        <v>149</v>
      </c>
      <c r="B269" s="5" t="s">
        <v>196</v>
      </c>
      <c r="C269" s="40" t="s">
        <v>134</v>
      </c>
      <c r="D269" s="40" t="s">
        <v>156</v>
      </c>
      <c r="E269" s="40" t="s">
        <v>150</v>
      </c>
      <c r="F269" s="40"/>
      <c r="G269" s="10" t="e">
        <f>'Пр.4 ведом.20'!#REF!</f>
        <v>#REF!</v>
      </c>
    </row>
    <row r="270" spans="1:7" ht="31.5" x14ac:dyDescent="0.25">
      <c r="A270" s="29" t="s">
        <v>164</v>
      </c>
      <c r="B270" s="5" t="s">
        <v>194</v>
      </c>
      <c r="C270" s="40" t="s">
        <v>134</v>
      </c>
      <c r="D270" s="40" t="s">
        <v>156</v>
      </c>
      <c r="E270" s="40"/>
      <c r="F270" s="40" t="s">
        <v>658</v>
      </c>
      <c r="G270" s="10" t="e">
        <f>G264</f>
        <v>#REF!</v>
      </c>
    </row>
    <row r="271" spans="1:7" ht="69" customHeight="1" x14ac:dyDescent="0.25">
      <c r="A271" s="41" t="s">
        <v>497</v>
      </c>
      <c r="B271" s="3" t="s">
        <v>498</v>
      </c>
      <c r="C271" s="68"/>
      <c r="D271" s="68"/>
      <c r="E271" s="68"/>
      <c r="F271" s="68"/>
      <c r="G271" s="4" t="e">
        <f>G273+G294+G317</f>
        <v>#REF!</v>
      </c>
    </row>
    <row r="272" spans="1:7" ht="94.5" x14ac:dyDescent="0.25">
      <c r="A272" s="41" t="s">
        <v>659</v>
      </c>
      <c r="B272" s="3" t="s">
        <v>500</v>
      </c>
      <c r="C272" s="69"/>
      <c r="D272" s="69"/>
      <c r="E272" s="69"/>
      <c r="F272" s="69"/>
      <c r="G272" s="59" t="e">
        <f>G273</f>
        <v>#REF!</v>
      </c>
    </row>
    <row r="273" spans="1:7" ht="15.75" x14ac:dyDescent="0.25">
      <c r="A273" s="29" t="s">
        <v>279</v>
      </c>
      <c r="B273" s="40" t="s">
        <v>500</v>
      </c>
      <c r="C273" s="40" t="s">
        <v>280</v>
      </c>
      <c r="D273" s="68"/>
      <c r="E273" s="68"/>
      <c r="F273" s="68"/>
      <c r="G273" s="10" t="e">
        <f>G274</f>
        <v>#REF!</v>
      </c>
    </row>
    <row r="274" spans="1:7" ht="15.75" x14ac:dyDescent="0.25">
      <c r="A274" s="29" t="s">
        <v>281</v>
      </c>
      <c r="B274" s="40" t="s">
        <v>500</v>
      </c>
      <c r="C274" s="40" t="s">
        <v>280</v>
      </c>
      <c r="D274" s="40" t="s">
        <v>231</v>
      </c>
      <c r="E274" s="68"/>
      <c r="F274" s="68"/>
      <c r="G274" s="10" t="e">
        <f>G275+G290</f>
        <v>#REF!</v>
      </c>
    </row>
    <row r="275" spans="1:7" ht="63" x14ac:dyDescent="0.25">
      <c r="A275" s="29" t="s">
        <v>286</v>
      </c>
      <c r="B275" s="40" t="s">
        <v>501</v>
      </c>
      <c r="C275" s="40" t="s">
        <v>280</v>
      </c>
      <c r="D275" s="40" t="s">
        <v>231</v>
      </c>
      <c r="E275" s="68"/>
      <c r="F275" s="68"/>
      <c r="G275" s="10" t="e">
        <f>G276</f>
        <v>#REF!</v>
      </c>
    </row>
    <row r="276" spans="1:7" ht="63" x14ac:dyDescent="0.25">
      <c r="A276" s="29" t="s">
        <v>288</v>
      </c>
      <c r="B276" s="40" t="s">
        <v>501</v>
      </c>
      <c r="C276" s="40" t="s">
        <v>280</v>
      </c>
      <c r="D276" s="40" t="s">
        <v>231</v>
      </c>
      <c r="E276" s="40" t="s">
        <v>289</v>
      </c>
      <c r="F276" s="68"/>
      <c r="G276" s="10" t="e">
        <f>G277</f>
        <v>#REF!</v>
      </c>
    </row>
    <row r="277" spans="1:7" ht="15.75" x14ac:dyDescent="0.25">
      <c r="A277" s="29" t="s">
        <v>290</v>
      </c>
      <c r="B277" s="40" t="s">
        <v>501</v>
      </c>
      <c r="C277" s="40" t="s">
        <v>280</v>
      </c>
      <c r="D277" s="40" t="s">
        <v>231</v>
      </c>
      <c r="E277" s="40" t="s">
        <v>291</v>
      </c>
      <c r="F277" s="68"/>
      <c r="G277" s="10" t="e">
        <f>'Пр.4 ведом.20'!#REF!</f>
        <v>#REF!</v>
      </c>
    </row>
    <row r="278" spans="1:7" ht="78.75" hidden="1" customHeight="1" x14ac:dyDescent="0.25">
      <c r="A278" s="29" t="s">
        <v>612</v>
      </c>
      <c r="B278" s="40" t="s">
        <v>660</v>
      </c>
      <c r="C278" s="40" t="s">
        <v>280</v>
      </c>
      <c r="D278" s="40" t="s">
        <v>231</v>
      </c>
      <c r="E278" s="40"/>
      <c r="F278" s="68"/>
      <c r="G278" s="10">
        <f>G279</f>
        <v>0</v>
      </c>
    </row>
    <row r="279" spans="1:7" ht="63" hidden="1" x14ac:dyDescent="0.25">
      <c r="A279" s="29" t="s">
        <v>288</v>
      </c>
      <c r="B279" s="40" t="s">
        <v>660</v>
      </c>
      <c r="C279" s="40" t="s">
        <v>280</v>
      </c>
      <c r="D279" s="40" t="s">
        <v>231</v>
      </c>
      <c r="E279" s="40" t="s">
        <v>289</v>
      </c>
      <c r="F279" s="68"/>
      <c r="G279" s="10">
        <f>G280</f>
        <v>0</v>
      </c>
    </row>
    <row r="280" spans="1:7" ht="15.75" hidden="1" x14ac:dyDescent="0.25">
      <c r="A280" s="29" t="s">
        <v>290</v>
      </c>
      <c r="B280" s="40" t="s">
        <v>660</v>
      </c>
      <c r="C280" s="40" t="s">
        <v>280</v>
      </c>
      <c r="D280" s="40" t="s">
        <v>231</v>
      </c>
      <c r="E280" s="40" t="s">
        <v>291</v>
      </c>
      <c r="F280" s="68"/>
      <c r="G280" s="10">
        <f>G281</f>
        <v>0</v>
      </c>
    </row>
    <row r="281" spans="1:7" ht="47.25" hidden="1" x14ac:dyDescent="0.25">
      <c r="A281" s="46" t="s">
        <v>496</v>
      </c>
      <c r="B281" s="40" t="s">
        <v>660</v>
      </c>
      <c r="C281" s="40" t="s">
        <v>280</v>
      </c>
      <c r="D281" s="40" t="s">
        <v>231</v>
      </c>
      <c r="E281" s="40"/>
      <c r="F281" s="2">
        <v>907</v>
      </c>
      <c r="G281" s="10">
        <f>1500-1500</f>
        <v>0</v>
      </c>
    </row>
    <row r="282" spans="1:7" ht="47.25" hidden="1" x14ac:dyDescent="0.25">
      <c r="A282" s="29" t="s">
        <v>294</v>
      </c>
      <c r="B282" s="40" t="s">
        <v>661</v>
      </c>
      <c r="C282" s="40" t="s">
        <v>280</v>
      </c>
      <c r="D282" s="40" t="s">
        <v>231</v>
      </c>
      <c r="E282" s="40"/>
      <c r="F282" s="68"/>
      <c r="G282" s="10">
        <f>G283</f>
        <v>0</v>
      </c>
    </row>
    <row r="283" spans="1:7" ht="63" hidden="1" x14ac:dyDescent="0.25">
      <c r="A283" s="29" t="s">
        <v>288</v>
      </c>
      <c r="B283" s="40" t="s">
        <v>661</v>
      </c>
      <c r="C283" s="40" t="s">
        <v>280</v>
      </c>
      <c r="D283" s="40" t="s">
        <v>231</v>
      </c>
      <c r="E283" s="40" t="s">
        <v>289</v>
      </c>
      <c r="F283" s="68"/>
      <c r="G283" s="10">
        <f>G284</f>
        <v>0</v>
      </c>
    </row>
    <row r="284" spans="1:7" ht="15.75" hidden="1" x14ac:dyDescent="0.25">
      <c r="A284" s="29" t="s">
        <v>290</v>
      </c>
      <c r="B284" s="40" t="s">
        <v>661</v>
      </c>
      <c r="C284" s="40" t="s">
        <v>280</v>
      </c>
      <c r="D284" s="40" t="s">
        <v>231</v>
      </c>
      <c r="E284" s="40" t="s">
        <v>291</v>
      </c>
      <c r="F284" s="68"/>
      <c r="G284" s="10"/>
    </row>
    <row r="285" spans="1:7" ht="47.25" hidden="1" x14ac:dyDescent="0.25">
      <c r="A285" s="46" t="s">
        <v>496</v>
      </c>
      <c r="B285" s="40" t="s">
        <v>661</v>
      </c>
      <c r="C285" s="40" t="s">
        <v>280</v>
      </c>
      <c r="D285" s="40" t="s">
        <v>231</v>
      </c>
      <c r="E285" s="40"/>
      <c r="F285" s="2">
        <v>907</v>
      </c>
      <c r="G285" s="10">
        <v>0</v>
      </c>
    </row>
    <row r="286" spans="1:7" ht="31.5" hidden="1" x14ac:dyDescent="0.25">
      <c r="A286" s="29" t="s">
        <v>296</v>
      </c>
      <c r="B286" s="40" t="s">
        <v>662</v>
      </c>
      <c r="C286" s="40" t="s">
        <v>280</v>
      </c>
      <c r="D286" s="40" t="s">
        <v>231</v>
      </c>
      <c r="E286" s="40"/>
      <c r="F286" s="68"/>
      <c r="G286" s="10">
        <f>G287</f>
        <v>0</v>
      </c>
    </row>
    <row r="287" spans="1:7" ht="63" hidden="1" x14ac:dyDescent="0.25">
      <c r="A287" s="29" t="s">
        <v>288</v>
      </c>
      <c r="B287" s="40" t="s">
        <v>662</v>
      </c>
      <c r="C287" s="40" t="s">
        <v>280</v>
      </c>
      <c r="D287" s="40" t="s">
        <v>231</v>
      </c>
      <c r="E287" s="40" t="s">
        <v>289</v>
      </c>
      <c r="F287" s="68"/>
      <c r="G287" s="10">
        <f>G288</f>
        <v>0</v>
      </c>
    </row>
    <row r="288" spans="1:7" ht="15.75" hidden="1" x14ac:dyDescent="0.25">
      <c r="A288" s="29" t="s">
        <v>290</v>
      </c>
      <c r="B288" s="40" t="s">
        <v>662</v>
      </c>
      <c r="C288" s="40" t="s">
        <v>280</v>
      </c>
      <c r="D288" s="40" t="s">
        <v>231</v>
      </c>
      <c r="E288" s="40" t="s">
        <v>291</v>
      </c>
      <c r="F288" s="68"/>
      <c r="G288" s="10"/>
    </row>
    <row r="289" spans="1:7" ht="47.25" hidden="1" x14ac:dyDescent="0.25">
      <c r="A289" s="46" t="s">
        <v>496</v>
      </c>
      <c r="B289" s="40" t="s">
        <v>662</v>
      </c>
      <c r="C289" s="40" t="s">
        <v>280</v>
      </c>
      <c r="D289" s="40" t="s">
        <v>231</v>
      </c>
      <c r="E289" s="40"/>
      <c r="F289" s="2">
        <v>907</v>
      </c>
      <c r="G289" s="10">
        <v>0</v>
      </c>
    </row>
    <row r="290" spans="1:7" ht="47.25" x14ac:dyDescent="0.25">
      <c r="A290" s="29" t="s">
        <v>298</v>
      </c>
      <c r="B290" s="40" t="s">
        <v>504</v>
      </c>
      <c r="C290" s="40" t="s">
        <v>280</v>
      </c>
      <c r="D290" s="40" t="s">
        <v>231</v>
      </c>
      <c r="E290" s="40"/>
      <c r="F290" s="68"/>
      <c r="G290" s="10" t="e">
        <f>G291</f>
        <v>#REF!</v>
      </c>
    </row>
    <row r="291" spans="1:7" ht="63" x14ac:dyDescent="0.25">
      <c r="A291" s="29" t="s">
        <v>288</v>
      </c>
      <c r="B291" s="40" t="s">
        <v>504</v>
      </c>
      <c r="C291" s="40" t="s">
        <v>280</v>
      </c>
      <c r="D291" s="40" t="s">
        <v>231</v>
      </c>
      <c r="E291" s="40" t="s">
        <v>289</v>
      </c>
      <c r="F291" s="68"/>
      <c r="G291" s="10" t="e">
        <f>G292</f>
        <v>#REF!</v>
      </c>
    </row>
    <row r="292" spans="1:7" ht="15.75" x14ac:dyDescent="0.25">
      <c r="A292" s="29" t="s">
        <v>290</v>
      </c>
      <c r="B292" s="40" t="s">
        <v>504</v>
      </c>
      <c r="C292" s="40" t="s">
        <v>280</v>
      </c>
      <c r="D292" s="40" t="s">
        <v>231</v>
      </c>
      <c r="E292" s="40" t="s">
        <v>291</v>
      </c>
      <c r="F292" s="68"/>
      <c r="G292" s="10" t="e">
        <f>'Пр.4 ведом.20'!#REF!</f>
        <v>#REF!</v>
      </c>
    </row>
    <row r="293" spans="1:7" ht="58.7" customHeight="1" x14ac:dyDescent="0.25">
      <c r="A293" s="70" t="s">
        <v>496</v>
      </c>
      <c r="B293" s="40" t="s">
        <v>500</v>
      </c>
      <c r="C293" s="40" t="s">
        <v>280</v>
      </c>
      <c r="D293" s="40" t="s">
        <v>231</v>
      </c>
      <c r="E293" s="40"/>
      <c r="F293" s="2">
        <v>907</v>
      </c>
      <c r="G293" s="10" t="e">
        <f>G272</f>
        <v>#REF!</v>
      </c>
    </row>
    <row r="294" spans="1:7" ht="63" x14ac:dyDescent="0.25">
      <c r="A294" s="58" t="s">
        <v>509</v>
      </c>
      <c r="B294" s="7" t="s">
        <v>510</v>
      </c>
      <c r="C294" s="7"/>
      <c r="D294" s="7"/>
      <c r="E294" s="7"/>
      <c r="F294" s="3"/>
      <c r="G294" s="59" t="e">
        <f>G295</f>
        <v>#REF!</v>
      </c>
    </row>
    <row r="295" spans="1:7" ht="15.75" x14ac:dyDescent="0.25">
      <c r="A295" s="29" t="s">
        <v>506</v>
      </c>
      <c r="B295" s="40" t="s">
        <v>510</v>
      </c>
      <c r="C295" s="2">
        <v>11</v>
      </c>
      <c r="D295" s="68"/>
      <c r="E295" s="68"/>
      <c r="F295" s="68"/>
      <c r="G295" s="10" t="e">
        <f>G296</f>
        <v>#REF!</v>
      </c>
    </row>
    <row r="296" spans="1:7" ht="20.25" customHeight="1" x14ac:dyDescent="0.25">
      <c r="A296" s="29" t="s">
        <v>508</v>
      </c>
      <c r="B296" s="40" t="s">
        <v>510</v>
      </c>
      <c r="C296" s="40" t="s">
        <v>507</v>
      </c>
      <c r="D296" s="40" t="s">
        <v>134</v>
      </c>
      <c r="E296" s="71"/>
      <c r="F296" s="5"/>
      <c r="G296" s="10" t="e">
        <f>G297+G301+G305+G309+G313</f>
        <v>#REF!</v>
      </c>
    </row>
    <row r="297" spans="1:7" ht="47.25" x14ac:dyDescent="0.25">
      <c r="A297" s="29" t="s">
        <v>511</v>
      </c>
      <c r="B297" s="40" t="s">
        <v>512</v>
      </c>
      <c r="C297" s="40" t="s">
        <v>507</v>
      </c>
      <c r="D297" s="40" t="s">
        <v>134</v>
      </c>
      <c r="E297" s="71"/>
      <c r="F297" s="5"/>
      <c r="G297" s="10" t="e">
        <f>G298</f>
        <v>#REF!</v>
      </c>
    </row>
    <row r="298" spans="1:7" ht="65.25" customHeight="1" x14ac:dyDescent="0.25">
      <c r="A298" s="29" t="s">
        <v>288</v>
      </c>
      <c r="B298" s="40" t="s">
        <v>512</v>
      </c>
      <c r="C298" s="40" t="s">
        <v>507</v>
      </c>
      <c r="D298" s="40" t="s">
        <v>134</v>
      </c>
      <c r="E298" s="40" t="s">
        <v>289</v>
      </c>
      <c r="F298" s="5"/>
      <c r="G298" s="10" t="e">
        <f>G299</f>
        <v>#REF!</v>
      </c>
    </row>
    <row r="299" spans="1:7" ht="15.75" x14ac:dyDescent="0.25">
      <c r="A299" s="29" t="s">
        <v>290</v>
      </c>
      <c r="B299" s="40" t="s">
        <v>512</v>
      </c>
      <c r="C299" s="40" t="s">
        <v>507</v>
      </c>
      <c r="D299" s="40" t="s">
        <v>134</v>
      </c>
      <c r="E299" s="40" t="s">
        <v>291</v>
      </c>
      <c r="F299" s="5"/>
      <c r="G299" s="10" t="e">
        <f>'Пр.4 ведом.20'!#REF!</f>
        <v>#REF!</v>
      </c>
    </row>
    <row r="300" spans="1:7" ht="47.25" hidden="1" x14ac:dyDescent="0.25">
      <c r="A300" s="46" t="s">
        <v>496</v>
      </c>
      <c r="B300" s="40" t="s">
        <v>510</v>
      </c>
      <c r="C300" s="40" t="s">
        <v>507</v>
      </c>
      <c r="D300" s="40" t="s">
        <v>134</v>
      </c>
      <c r="E300" s="40"/>
      <c r="F300" s="5">
        <v>907</v>
      </c>
      <c r="G300" s="10" t="e">
        <f>G294</f>
        <v>#REF!</v>
      </c>
    </row>
    <row r="301" spans="1:7" ht="63" hidden="1" x14ac:dyDescent="0.25">
      <c r="A301" s="29" t="s">
        <v>612</v>
      </c>
      <c r="B301" s="40" t="s">
        <v>663</v>
      </c>
      <c r="C301" s="40" t="s">
        <v>507</v>
      </c>
      <c r="D301" s="40" t="s">
        <v>134</v>
      </c>
      <c r="E301" s="40"/>
      <c r="F301" s="5"/>
      <c r="G301" s="10">
        <f>G302</f>
        <v>0</v>
      </c>
    </row>
    <row r="302" spans="1:7" ht="63" hidden="1" x14ac:dyDescent="0.25">
      <c r="A302" s="29" t="s">
        <v>288</v>
      </c>
      <c r="B302" s="40" t="s">
        <v>663</v>
      </c>
      <c r="C302" s="40" t="s">
        <v>507</v>
      </c>
      <c r="D302" s="40" t="s">
        <v>134</v>
      </c>
      <c r="E302" s="40" t="s">
        <v>289</v>
      </c>
      <c r="F302" s="5"/>
      <c r="G302" s="10">
        <f>G303</f>
        <v>0</v>
      </c>
    </row>
    <row r="303" spans="1:7" ht="15.75" hidden="1" x14ac:dyDescent="0.25">
      <c r="A303" s="29" t="s">
        <v>290</v>
      </c>
      <c r="B303" s="40" t="s">
        <v>663</v>
      </c>
      <c r="C303" s="40" t="s">
        <v>507</v>
      </c>
      <c r="D303" s="40" t="s">
        <v>134</v>
      </c>
      <c r="E303" s="40" t="s">
        <v>291</v>
      </c>
      <c r="F303" s="5"/>
      <c r="G303" s="10">
        <f>G304</f>
        <v>0</v>
      </c>
    </row>
    <row r="304" spans="1:7" ht="47.25" hidden="1" x14ac:dyDescent="0.25">
      <c r="A304" s="70" t="s">
        <v>496</v>
      </c>
      <c r="B304" s="40" t="s">
        <v>663</v>
      </c>
      <c r="C304" s="40" t="s">
        <v>507</v>
      </c>
      <c r="D304" s="40" t="s">
        <v>134</v>
      </c>
      <c r="E304" s="40"/>
      <c r="F304" s="5">
        <v>907</v>
      </c>
      <c r="G304" s="10">
        <f>1500-1500</f>
        <v>0</v>
      </c>
    </row>
    <row r="305" spans="1:8" ht="47.25" x14ac:dyDescent="0.25">
      <c r="A305" s="29" t="s">
        <v>294</v>
      </c>
      <c r="B305" s="40" t="s">
        <v>513</v>
      </c>
      <c r="C305" s="40" t="s">
        <v>507</v>
      </c>
      <c r="D305" s="40" t="s">
        <v>134</v>
      </c>
      <c r="E305" s="40"/>
      <c r="F305" s="5"/>
      <c r="G305" s="10" t="e">
        <f>G306</f>
        <v>#REF!</v>
      </c>
    </row>
    <row r="306" spans="1:8" ht="63" x14ac:dyDescent="0.25">
      <c r="A306" s="29" t="s">
        <v>288</v>
      </c>
      <c r="B306" s="40" t="s">
        <v>513</v>
      </c>
      <c r="C306" s="40" t="s">
        <v>507</v>
      </c>
      <c r="D306" s="40" t="s">
        <v>134</v>
      </c>
      <c r="E306" s="40" t="s">
        <v>289</v>
      </c>
      <c r="F306" s="5"/>
      <c r="G306" s="10" t="e">
        <f>G307</f>
        <v>#REF!</v>
      </c>
    </row>
    <row r="307" spans="1:8" ht="15.75" x14ac:dyDescent="0.25">
      <c r="A307" s="29" t="s">
        <v>290</v>
      </c>
      <c r="B307" s="40" t="s">
        <v>513</v>
      </c>
      <c r="C307" s="40" t="s">
        <v>507</v>
      </c>
      <c r="D307" s="40" t="s">
        <v>134</v>
      </c>
      <c r="E307" s="40" t="s">
        <v>291</v>
      </c>
      <c r="F307" s="5"/>
      <c r="G307" s="160" t="e">
        <f>'Пр.4 ведом.20'!#REF!</f>
        <v>#REF!</v>
      </c>
      <c r="H307" s="161" t="s">
        <v>754</v>
      </c>
    </row>
    <row r="308" spans="1:8" ht="47.25" x14ac:dyDescent="0.25">
      <c r="A308" s="46" t="s">
        <v>496</v>
      </c>
      <c r="B308" s="40" t="s">
        <v>510</v>
      </c>
      <c r="C308" s="40" t="s">
        <v>507</v>
      </c>
      <c r="D308" s="40" t="s">
        <v>134</v>
      </c>
      <c r="E308" s="40"/>
      <c r="F308" s="5">
        <v>907</v>
      </c>
      <c r="G308" s="10" t="e">
        <f>G299+G307</f>
        <v>#REF!</v>
      </c>
    </row>
    <row r="309" spans="1:8" ht="31.5" hidden="1" x14ac:dyDescent="0.25">
      <c r="A309" s="29" t="s">
        <v>296</v>
      </c>
      <c r="B309" s="40" t="s">
        <v>664</v>
      </c>
      <c r="C309" s="40" t="s">
        <v>507</v>
      </c>
      <c r="D309" s="40" t="s">
        <v>134</v>
      </c>
      <c r="E309" s="40"/>
      <c r="F309" s="5"/>
      <c r="G309" s="10">
        <f>G310</f>
        <v>0</v>
      </c>
    </row>
    <row r="310" spans="1:8" ht="63" hidden="1" x14ac:dyDescent="0.25">
      <c r="A310" s="29" t="s">
        <v>288</v>
      </c>
      <c r="B310" s="40" t="s">
        <v>664</v>
      </c>
      <c r="C310" s="40" t="s">
        <v>507</v>
      </c>
      <c r="D310" s="40" t="s">
        <v>134</v>
      </c>
      <c r="E310" s="40" t="s">
        <v>289</v>
      </c>
      <c r="F310" s="5"/>
      <c r="G310" s="10">
        <f>G311</f>
        <v>0</v>
      </c>
    </row>
    <row r="311" spans="1:8" ht="15.75" hidden="1" x14ac:dyDescent="0.25">
      <c r="A311" s="29" t="s">
        <v>290</v>
      </c>
      <c r="B311" s="40" t="s">
        <v>664</v>
      </c>
      <c r="C311" s="40" t="s">
        <v>507</v>
      </c>
      <c r="D311" s="40" t="s">
        <v>134</v>
      </c>
      <c r="E311" s="40" t="s">
        <v>291</v>
      </c>
      <c r="F311" s="5"/>
      <c r="G311" s="10"/>
    </row>
    <row r="312" spans="1:8" ht="47.25" hidden="1" x14ac:dyDescent="0.25">
      <c r="A312" s="46" t="s">
        <v>496</v>
      </c>
      <c r="B312" s="40" t="s">
        <v>664</v>
      </c>
      <c r="C312" s="40" t="s">
        <v>507</v>
      </c>
      <c r="D312" s="40" t="s">
        <v>134</v>
      </c>
      <c r="E312" s="40"/>
      <c r="F312" s="5">
        <v>907</v>
      </c>
      <c r="G312" s="10">
        <v>0</v>
      </c>
    </row>
    <row r="313" spans="1:8" ht="71.45" hidden="1" customHeight="1" x14ac:dyDescent="0.25">
      <c r="A313" s="29" t="s">
        <v>300</v>
      </c>
      <c r="B313" s="40" t="s">
        <v>665</v>
      </c>
      <c r="C313" s="40" t="s">
        <v>507</v>
      </c>
      <c r="D313" s="40" t="s">
        <v>134</v>
      </c>
      <c r="E313" s="40"/>
      <c r="F313" s="5"/>
      <c r="G313" s="10">
        <f>G314</f>
        <v>0</v>
      </c>
    </row>
    <row r="314" spans="1:8" ht="63" hidden="1" x14ac:dyDescent="0.25">
      <c r="A314" s="29" t="s">
        <v>288</v>
      </c>
      <c r="B314" s="40" t="s">
        <v>665</v>
      </c>
      <c r="C314" s="40" t="s">
        <v>507</v>
      </c>
      <c r="D314" s="40" t="s">
        <v>134</v>
      </c>
      <c r="E314" s="40" t="s">
        <v>289</v>
      </c>
      <c r="F314" s="5"/>
      <c r="G314" s="10">
        <f>G315</f>
        <v>0</v>
      </c>
    </row>
    <row r="315" spans="1:8" ht="15.75" hidden="1" x14ac:dyDescent="0.25">
      <c r="A315" s="29" t="s">
        <v>290</v>
      </c>
      <c r="B315" s="40" t="s">
        <v>665</v>
      </c>
      <c r="C315" s="40" t="s">
        <v>507</v>
      </c>
      <c r="D315" s="40" t="s">
        <v>134</v>
      </c>
      <c r="E315" s="40" t="s">
        <v>291</v>
      </c>
      <c r="F315" s="5"/>
      <c r="G315" s="10"/>
    </row>
    <row r="316" spans="1:8" ht="47.25" hidden="1" x14ac:dyDescent="0.25">
      <c r="A316" s="46" t="s">
        <v>496</v>
      </c>
      <c r="B316" s="40" t="s">
        <v>665</v>
      </c>
      <c r="C316" s="40" t="s">
        <v>507</v>
      </c>
      <c r="D316" s="40" t="s">
        <v>134</v>
      </c>
      <c r="E316" s="40"/>
      <c r="F316" s="5">
        <v>907</v>
      </c>
      <c r="G316" s="10">
        <v>0</v>
      </c>
    </row>
    <row r="317" spans="1:8" ht="63" x14ac:dyDescent="0.25">
      <c r="A317" s="58" t="s">
        <v>517</v>
      </c>
      <c r="B317" s="7" t="s">
        <v>518</v>
      </c>
      <c r="C317" s="7"/>
      <c r="D317" s="7"/>
      <c r="E317" s="7"/>
      <c r="F317" s="176"/>
      <c r="G317" s="4" t="e">
        <f>G318</f>
        <v>#REF!</v>
      </c>
    </row>
    <row r="318" spans="1:8" ht="15.75" x14ac:dyDescent="0.25">
      <c r="A318" s="29" t="s">
        <v>506</v>
      </c>
      <c r="B318" s="40" t="s">
        <v>518</v>
      </c>
      <c r="C318" s="2">
        <v>11</v>
      </c>
      <c r="D318" s="40"/>
      <c r="E318" s="40"/>
      <c r="F318" s="5"/>
      <c r="G318" s="6" t="e">
        <f>G319</f>
        <v>#REF!</v>
      </c>
    </row>
    <row r="319" spans="1:8" ht="31.5" x14ac:dyDescent="0.25">
      <c r="A319" s="25" t="s">
        <v>516</v>
      </c>
      <c r="B319" s="40" t="s">
        <v>518</v>
      </c>
      <c r="C319" s="40" t="s">
        <v>507</v>
      </c>
      <c r="D319" s="40" t="s">
        <v>250</v>
      </c>
      <c r="E319" s="40"/>
      <c r="F319" s="5"/>
      <c r="G319" s="6" t="e">
        <f>G320</f>
        <v>#REF!</v>
      </c>
    </row>
    <row r="320" spans="1:8" ht="47.25" x14ac:dyDescent="0.25">
      <c r="A320" s="29" t="s">
        <v>173</v>
      </c>
      <c r="B320" s="40" t="s">
        <v>519</v>
      </c>
      <c r="C320" s="40" t="s">
        <v>507</v>
      </c>
      <c r="D320" s="40" t="s">
        <v>250</v>
      </c>
      <c r="E320" s="40"/>
      <c r="F320" s="5"/>
      <c r="G320" s="6" t="e">
        <f>G323+G321</f>
        <v>#REF!</v>
      </c>
    </row>
    <row r="321" spans="1:7" ht="110.25" x14ac:dyDescent="0.25">
      <c r="A321" s="25" t="s">
        <v>143</v>
      </c>
      <c r="B321" s="40" t="s">
        <v>519</v>
      </c>
      <c r="C321" s="40" t="s">
        <v>507</v>
      </c>
      <c r="D321" s="40" t="s">
        <v>250</v>
      </c>
      <c r="E321" s="40" t="s">
        <v>144</v>
      </c>
      <c r="F321" s="5"/>
      <c r="G321" s="6" t="e">
        <f>G322</f>
        <v>#REF!</v>
      </c>
    </row>
    <row r="322" spans="1:7" ht="55.5" customHeight="1" x14ac:dyDescent="0.25">
      <c r="A322" s="25" t="s">
        <v>145</v>
      </c>
      <c r="B322" s="40" t="s">
        <v>519</v>
      </c>
      <c r="C322" s="40" t="s">
        <v>507</v>
      </c>
      <c r="D322" s="40" t="s">
        <v>250</v>
      </c>
      <c r="E322" s="40" t="s">
        <v>146</v>
      </c>
      <c r="F322" s="5"/>
      <c r="G322" s="6" t="e">
        <f>'Пр.4 ведом.20'!#REF!</f>
        <v>#REF!</v>
      </c>
    </row>
    <row r="323" spans="1:7" ht="47.25" x14ac:dyDescent="0.25">
      <c r="A323" s="29" t="s">
        <v>147</v>
      </c>
      <c r="B323" s="40" t="s">
        <v>519</v>
      </c>
      <c r="C323" s="40" t="s">
        <v>507</v>
      </c>
      <c r="D323" s="40" t="s">
        <v>250</v>
      </c>
      <c r="E323" s="40" t="s">
        <v>148</v>
      </c>
      <c r="F323" s="5"/>
      <c r="G323" s="6" t="e">
        <f>G324</f>
        <v>#REF!</v>
      </c>
    </row>
    <row r="324" spans="1:7" ht="47.25" x14ac:dyDescent="0.25">
      <c r="A324" s="29" t="s">
        <v>149</v>
      </c>
      <c r="B324" s="40" t="s">
        <v>519</v>
      </c>
      <c r="C324" s="40" t="s">
        <v>507</v>
      </c>
      <c r="D324" s="40" t="s">
        <v>250</v>
      </c>
      <c r="E324" s="40" t="s">
        <v>150</v>
      </c>
      <c r="F324" s="5"/>
      <c r="G324" s="6" t="e">
        <f>'Пр.4 ведом.20'!#REF!</f>
        <v>#REF!</v>
      </c>
    </row>
    <row r="325" spans="1:7" ht="47.25" x14ac:dyDescent="0.25">
      <c r="A325" s="70" t="s">
        <v>496</v>
      </c>
      <c r="B325" s="40" t="s">
        <v>518</v>
      </c>
      <c r="C325" s="40" t="s">
        <v>507</v>
      </c>
      <c r="D325" s="40" t="s">
        <v>250</v>
      </c>
      <c r="E325" s="40"/>
      <c r="F325" s="5">
        <v>907</v>
      </c>
      <c r="G325" s="10" t="e">
        <f>G317</f>
        <v>#REF!</v>
      </c>
    </row>
    <row r="326" spans="1:7" ht="63" x14ac:dyDescent="0.25">
      <c r="A326" s="41" t="s">
        <v>282</v>
      </c>
      <c r="B326" s="7" t="s">
        <v>283</v>
      </c>
      <c r="C326" s="72"/>
      <c r="D326" s="72"/>
      <c r="E326" s="72"/>
      <c r="F326" s="3"/>
      <c r="G326" s="59" t="e">
        <f>G327+G353+G374</f>
        <v>#REF!</v>
      </c>
    </row>
    <row r="327" spans="1:7" ht="78.75" x14ac:dyDescent="0.25">
      <c r="A327" s="41" t="s">
        <v>284</v>
      </c>
      <c r="B327" s="7" t="s">
        <v>285</v>
      </c>
      <c r="C327" s="72"/>
      <c r="D327" s="72"/>
      <c r="E327" s="72"/>
      <c r="F327" s="3"/>
      <c r="G327" s="59" t="e">
        <f>G328</f>
        <v>#REF!</v>
      </c>
    </row>
    <row r="328" spans="1:7" ht="15.75" x14ac:dyDescent="0.25">
      <c r="A328" s="29" t="s">
        <v>279</v>
      </c>
      <c r="B328" s="40" t="s">
        <v>285</v>
      </c>
      <c r="C328" s="40" t="s">
        <v>280</v>
      </c>
      <c r="D328" s="72"/>
      <c r="E328" s="72"/>
      <c r="F328" s="3"/>
      <c r="G328" s="10" t="e">
        <f>G329</f>
        <v>#REF!</v>
      </c>
    </row>
    <row r="329" spans="1:7" ht="15.75" x14ac:dyDescent="0.25">
      <c r="A329" s="29" t="s">
        <v>441</v>
      </c>
      <c r="B329" s="40" t="s">
        <v>285</v>
      </c>
      <c r="C329" s="40" t="s">
        <v>280</v>
      </c>
      <c r="D329" s="40" t="s">
        <v>231</v>
      </c>
      <c r="E329" s="72"/>
      <c r="F329" s="3"/>
      <c r="G329" s="10" t="e">
        <f>G330+G345</f>
        <v>#REF!</v>
      </c>
    </row>
    <row r="330" spans="1:7" ht="63" x14ac:dyDescent="0.25">
      <c r="A330" s="29" t="s">
        <v>286</v>
      </c>
      <c r="B330" s="40" t="s">
        <v>287</v>
      </c>
      <c r="C330" s="40" t="s">
        <v>280</v>
      </c>
      <c r="D330" s="40" t="s">
        <v>231</v>
      </c>
      <c r="E330" s="72"/>
      <c r="F330" s="3"/>
      <c r="G330" s="10" t="e">
        <f>G331</f>
        <v>#REF!</v>
      </c>
    </row>
    <row r="331" spans="1:7" ht="63" x14ac:dyDescent="0.25">
      <c r="A331" s="29" t="s">
        <v>288</v>
      </c>
      <c r="B331" s="40" t="s">
        <v>287</v>
      </c>
      <c r="C331" s="40" t="s">
        <v>280</v>
      </c>
      <c r="D331" s="40" t="s">
        <v>231</v>
      </c>
      <c r="E331" s="40" t="s">
        <v>289</v>
      </c>
      <c r="F331" s="3"/>
      <c r="G331" s="10" t="e">
        <f>G332</f>
        <v>#REF!</v>
      </c>
    </row>
    <row r="332" spans="1:7" ht="15.75" x14ac:dyDescent="0.25">
      <c r="A332" s="29" t="s">
        <v>290</v>
      </c>
      <c r="B332" s="40" t="s">
        <v>287</v>
      </c>
      <c r="C332" s="40" t="s">
        <v>280</v>
      </c>
      <c r="D332" s="40" t="s">
        <v>231</v>
      </c>
      <c r="E332" s="40" t="s">
        <v>291</v>
      </c>
      <c r="F332" s="3"/>
      <c r="G332" s="6" t="e">
        <f>'Пр.4 ведом.20'!#REF!</f>
        <v>#REF!</v>
      </c>
    </row>
    <row r="333" spans="1:7" ht="63" hidden="1" x14ac:dyDescent="0.25">
      <c r="A333" s="29" t="s">
        <v>292</v>
      </c>
      <c r="B333" s="40" t="s">
        <v>666</v>
      </c>
      <c r="C333" s="40" t="s">
        <v>280</v>
      </c>
      <c r="D333" s="40" t="s">
        <v>231</v>
      </c>
      <c r="E333" s="40"/>
      <c r="F333" s="3"/>
      <c r="G333" s="10">
        <f>G334</f>
        <v>0</v>
      </c>
    </row>
    <row r="334" spans="1:7" ht="63" hidden="1" x14ac:dyDescent="0.25">
      <c r="A334" s="29" t="s">
        <v>288</v>
      </c>
      <c r="B334" s="40" t="s">
        <v>666</v>
      </c>
      <c r="C334" s="40" t="s">
        <v>280</v>
      </c>
      <c r="D334" s="40" t="s">
        <v>231</v>
      </c>
      <c r="E334" s="40" t="s">
        <v>289</v>
      </c>
      <c r="F334" s="3"/>
      <c r="G334" s="10">
        <f>G335</f>
        <v>0</v>
      </c>
    </row>
    <row r="335" spans="1:7" ht="15.75" hidden="1" x14ac:dyDescent="0.25">
      <c r="A335" s="29" t="s">
        <v>290</v>
      </c>
      <c r="B335" s="40" t="s">
        <v>666</v>
      </c>
      <c r="C335" s="40" t="s">
        <v>280</v>
      </c>
      <c r="D335" s="40" t="s">
        <v>231</v>
      </c>
      <c r="E335" s="40" t="s">
        <v>291</v>
      </c>
      <c r="F335" s="3"/>
      <c r="G335" s="10"/>
    </row>
    <row r="336" spans="1:7" ht="63" hidden="1" x14ac:dyDescent="0.25">
      <c r="A336" s="45" t="s">
        <v>277</v>
      </c>
      <c r="B336" s="40" t="s">
        <v>666</v>
      </c>
      <c r="C336" s="40" t="s">
        <v>280</v>
      </c>
      <c r="D336" s="40" t="s">
        <v>231</v>
      </c>
      <c r="E336" s="40"/>
      <c r="F336" s="2">
        <v>903</v>
      </c>
      <c r="G336" s="10">
        <v>0</v>
      </c>
    </row>
    <row r="337" spans="1:7" ht="47.25" hidden="1" x14ac:dyDescent="0.25">
      <c r="A337" s="29" t="s">
        <v>294</v>
      </c>
      <c r="B337" s="40" t="s">
        <v>667</v>
      </c>
      <c r="C337" s="40" t="s">
        <v>280</v>
      </c>
      <c r="D337" s="40" t="s">
        <v>231</v>
      </c>
      <c r="E337" s="40"/>
      <c r="F337" s="3"/>
      <c r="G337" s="10">
        <f>G338</f>
        <v>0</v>
      </c>
    </row>
    <row r="338" spans="1:7" ht="63" hidden="1" x14ac:dyDescent="0.25">
      <c r="A338" s="29" t="s">
        <v>288</v>
      </c>
      <c r="B338" s="40" t="s">
        <v>667</v>
      </c>
      <c r="C338" s="40" t="s">
        <v>280</v>
      </c>
      <c r="D338" s="40" t="s">
        <v>231</v>
      </c>
      <c r="E338" s="40" t="s">
        <v>289</v>
      </c>
      <c r="F338" s="3"/>
      <c r="G338" s="10">
        <f>G339</f>
        <v>0</v>
      </c>
    </row>
    <row r="339" spans="1:7" ht="15.75" hidden="1" x14ac:dyDescent="0.25">
      <c r="A339" s="29" t="s">
        <v>290</v>
      </c>
      <c r="B339" s="40" t="s">
        <v>667</v>
      </c>
      <c r="C339" s="40" t="s">
        <v>280</v>
      </c>
      <c r="D339" s="40" t="s">
        <v>231</v>
      </c>
      <c r="E339" s="40" t="s">
        <v>291</v>
      </c>
      <c r="F339" s="3"/>
      <c r="G339" s="10"/>
    </row>
    <row r="340" spans="1:7" ht="63" hidden="1" x14ac:dyDescent="0.25">
      <c r="A340" s="45" t="s">
        <v>277</v>
      </c>
      <c r="B340" s="40" t="s">
        <v>667</v>
      </c>
      <c r="C340" s="40" t="s">
        <v>280</v>
      </c>
      <c r="D340" s="40" t="s">
        <v>231</v>
      </c>
      <c r="E340" s="40"/>
      <c r="F340" s="2">
        <v>903</v>
      </c>
      <c r="G340" s="10">
        <v>0</v>
      </c>
    </row>
    <row r="341" spans="1:7" ht="31.5" hidden="1" x14ac:dyDescent="0.25">
      <c r="A341" s="29" t="s">
        <v>296</v>
      </c>
      <c r="B341" s="40" t="s">
        <v>668</v>
      </c>
      <c r="C341" s="40" t="s">
        <v>280</v>
      </c>
      <c r="D341" s="40" t="s">
        <v>231</v>
      </c>
      <c r="E341" s="40"/>
      <c r="F341" s="3"/>
      <c r="G341" s="10">
        <f>G342</f>
        <v>0</v>
      </c>
    </row>
    <row r="342" spans="1:7" ht="69" hidden="1" customHeight="1" x14ac:dyDescent="0.25">
      <c r="A342" s="29" t="s">
        <v>288</v>
      </c>
      <c r="B342" s="40" t="s">
        <v>668</v>
      </c>
      <c r="C342" s="40" t="s">
        <v>280</v>
      </c>
      <c r="D342" s="40" t="s">
        <v>231</v>
      </c>
      <c r="E342" s="40" t="s">
        <v>289</v>
      </c>
      <c r="F342" s="3"/>
      <c r="G342" s="10">
        <f>G343</f>
        <v>0</v>
      </c>
    </row>
    <row r="343" spans="1:7" ht="15.75" hidden="1" x14ac:dyDescent="0.25">
      <c r="A343" s="29" t="s">
        <v>290</v>
      </c>
      <c r="B343" s="40" t="s">
        <v>668</v>
      </c>
      <c r="C343" s="40" t="s">
        <v>280</v>
      </c>
      <c r="D343" s="40" t="s">
        <v>231</v>
      </c>
      <c r="E343" s="40" t="s">
        <v>291</v>
      </c>
      <c r="F343" s="3"/>
      <c r="G343" s="10"/>
    </row>
    <row r="344" spans="1:7" ht="63" hidden="1" x14ac:dyDescent="0.25">
      <c r="A344" s="45" t="s">
        <v>277</v>
      </c>
      <c r="B344" s="40" t="s">
        <v>668</v>
      </c>
      <c r="C344" s="40" t="s">
        <v>280</v>
      </c>
      <c r="D344" s="40" t="s">
        <v>231</v>
      </c>
      <c r="E344" s="40"/>
      <c r="F344" s="2">
        <v>903</v>
      </c>
      <c r="G344" s="10">
        <v>0</v>
      </c>
    </row>
    <row r="345" spans="1:7" ht="47.25" x14ac:dyDescent="0.25">
      <c r="A345" s="29" t="s">
        <v>298</v>
      </c>
      <c r="B345" s="40" t="s">
        <v>299</v>
      </c>
      <c r="C345" s="40" t="s">
        <v>280</v>
      </c>
      <c r="D345" s="40" t="s">
        <v>231</v>
      </c>
      <c r="E345" s="40"/>
      <c r="F345" s="3"/>
      <c r="G345" s="10" t="e">
        <f>G346</f>
        <v>#REF!</v>
      </c>
    </row>
    <row r="346" spans="1:7" ht="63" x14ac:dyDescent="0.25">
      <c r="A346" s="29" t="s">
        <v>288</v>
      </c>
      <c r="B346" s="40" t="s">
        <v>299</v>
      </c>
      <c r="C346" s="40" t="s">
        <v>280</v>
      </c>
      <c r="D346" s="40" t="s">
        <v>231</v>
      </c>
      <c r="E346" s="40" t="s">
        <v>289</v>
      </c>
      <c r="F346" s="3"/>
      <c r="G346" s="10" t="e">
        <f>G347</f>
        <v>#REF!</v>
      </c>
    </row>
    <row r="347" spans="1:7" ht="15.75" x14ac:dyDescent="0.25">
      <c r="A347" s="29" t="s">
        <v>290</v>
      </c>
      <c r="B347" s="40" t="s">
        <v>299</v>
      </c>
      <c r="C347" s="40" t="s">
        <v>280</v>
      </c>
      <c r="D347" s="40" t="s">
        <v>231</v>
      </c>
      <c r="E347" s="40" t="s">
        <v>291</v>
      </c>
      <c r="F347" s="3"/>
      <c r="G347" s="6" t="e">
        <f>'Пр.4 ведом.20'!#REF!</f>
        <v>#REF!</v>
      </c>
    </row>
    <row r="348" spans="1:7" ht="63" x14ac:dyDescent="0.25">
      <c r="A348" s="45" t="s">
        <v>277</v>
      </c>
      <c r="B348" s="40" t="s">
        <v>285</v>
      </c>
      <c r="C348" s="40" t="s">
        <v>280</v>
      </c>
      <c r="D348" s="40" t="s">
        <v>231</v>
      </c>
      <c r="E348" s="40"/>
      <c r="F348" s="2">
        <v>903</v>
      </c>
      <c r="G348" s="10" t="e">
        <f>G327</f>
        <v>#REF!</v>
      </c>
    </row>
    <row r="349" spans="1:7" ht="47.25" hidden="1" x14ac:dyDescent="0.25">
      <c r="A349" s="29" t="s">
        <v>624</v>
      </c>
      <c r="B349" s="40" t="s">
        <v>625</v>
      </c>
      <c r="C349" s="40" t="s">
        <v>280</v>
      </c>
      <c r="D349" s="40" t="s">
        <v>229</v>
      </c>
      <c r="E349" s="40"/>
      <c r="F349" s="3"/>
      <c r="G349" s="10">
        <f>G350</f>
        <v>0</v>
      </c>
    </row>
    <row r="350" spans="1:7" ht="63" hidden="1" x14ac:dyDescent="0.25">
      <c r="A350" s="29" t="s">
        <v>288</v>
      </c>
      <c r="B350" s="40" t="s">
        <v>625</v>
      </c>
      <c r="C350" s="40" t="s">
        <v>280</v>
      </c>
      <c r="D350" s="40" t="s">
        <v>229</v>
      </c>
      <c r="E350" s="40" t="s">
        <v>289</v>
      </c>
      <c r="F350" s="3"/>
      <c r="G350" s="10">
        <f>G351</f>
        <v>0</v>
      </c>
    </row>
    <row r="351" spans="1:7" ht="15.75" hidden="1" x14ac:dyDescent="0.25">
      <c r="A351" s="29" t="s">
        <v>290</v>
      </c>
      <c r="B351" s="40" t="s">
        <v>625</v>
      </c>
      <c r="C351" s="40" t="s">
        <v>280</v>
      </c>
      <c r="D351" s="40" t="s">
        <v>229</v>
      </c>
      <c r="E351" s="40" t="s">
        <v>291</v>
      </c>
      <c r="F351" s="3"/>
      <c r="G351" s="10"/>
    </row>
    <row r="352" spans="1:7" ht="63" hidden="1" x14ac:dyDescent="0.25">
      <c r="A352" s="45" t="s">
        <v>277</v>
      </c>
      <c r="B352" s="40" t="s">
        <v>625</v>
      </c>
      <c r="C352" s="40" t="s">
        <v>280</v>
      </c>
      <c r="D352" s="40" t="s">
        <v>229</v>
      </c>
      <c r="E352" s="72"/>
      <c r="F352" s="2">
        <v>903</v>
      </c>
      <c r="G352" s="10">
        <v>0</v>
      </c>
    </row>
    <row r="353" spans="1:7" ht="79.5" customHeight="1" x14ac:dyDescent="0.25">
      <c r="A353" s="41" t="s">
        <v>317</v>
      </c>
      <c r="B353" s="7" t="s">
        <v>318</v>
      </c>
      <c r="C353" s="7"/>
      <c r="D353" s="7"/>
      <c r="E353" s="72"/>
      <c r="F353" s="3"/>
      <c r="G353" s="59" t="e">
        <f>G354</f>
        <v>#REF!</v>
      </c>
    </row>
    <row r="354" spans="1:7" ht="15.75" x14ac:dyDescent="0.25">
      <c r="A354" s="73" t="s">
        <v>314</v>
      </c>
      <c r="B354" s="40" t="s">
        <v>318</v>
      </c>
      <c r="C354" s="40" t="s">
        <v>315</v>
      </c>
      <c r="D354" s="73"/>
      <c r="E354" s="73"/>
      <c r="F354" s="2"/>
      <c r="G354" s="10" t="e">
        <f>G355</f>
        <v>#REF!</v>
      </c>
    </row>
    <row r="355" spans="1:7" ht="15.75" x14ac:dyDescent="0.25">
      <c r="A355" s="73" t="s">
        <v>316</v>
      </c>
      <c r="B355" s="40" t="s">
        <v>318</v>
      </c>
      <c r="C355" s="40" t="s">
        <v>315</v>
      </c>
      <c r="D355" s="40" t="s">
        <v>134</v>
      </c>
      <c r="E355" s="73"/>
      <c r="F355" s="2"/>
      <c r="G355" s="10" t="e">
        <f>G356+G363+G366</f>
        <v>#REF!</v>
      </c>
    </row>
    <row r="356" spans="1:7" ht="63" x14ac:dyDescent="0.25">
      <c r="A356" s="29" t="s">
        <v>319</v>
      </c>
      <c r="B356" s="40" t="s">
        <v>320</v>
      </c>
      <c r="C356" s="40" t="s">
        <v>315</v>
      </c>
      <c r="D356" s="40" t="s">
        <v>134</v>
      </c>
      <c r="E356" s="73"/>
      <c r="F356" s="2"/>
      <c r="G356" s="10" t="e">
        <f>G357</f>
        <v>#REF!</v>
      </c>
    </row>
    <row r="357" spans="1:7" ht="63" x14ac:dyDescent="0.25">
      <c r="A357" s="29" t="s">
        <v>288</v>
      </c>
      <c r="B357" s="40" t="s">
        <v>320</v>
      </c>
      <c r="C357" s="40" t="s">
        <v>315</v>
      </c>
      <c r="D357" s="40" t="s">
        <v>134</v>
      </c>
      <c r="E357" s="40" t="s">
        <v>289</v>
      </c>
      <c r="F357" s="2"/>
      <c r="G357" s="10" t="e">
        <f>G358</f>
        <v>#REF!</v>
      </c>
    </row>
    <row r="358" spans="1:7" ht="15.75" x14ac:dyDescent="0.25">
      <c r="A358" s="29" t="s">
        <v>290</v>
      </c>
      <c r="B358" s="40" t="s">
        <v>320</v>
      </c>
      <c r="C358" s="40" t="s">
        <v>315</v>
      </c>
      <c r="D358" s="40" t="s">
        <v>134</v>
      </c>
      <c r="E358" s="40" t="s">
        <v>291</v>
      </c>
      <c r="F358" s="2"/>
      <c r="G358" s="10" t="e">
        <f>'Пр.4 ведом.20'!#REF!</f>
        <v>#REF!</v>
      </c>
    </row>
    <row r="359" spans="1:7" ht="63" hidden="1" x14ac:dyDescent="0.25">
      <c r="A359" s="29" t="s">
        <v>292</v>
      </c>
      <c r="B359" s="40" t="s">
        <v>627</v>
      </c>
      <c r="C359" s="40" t="s">
        <v>315</v>
      </c>
      <c r="D359" s="40" t="s">
        <v>134</v>
      </c>
      <c r="E359" s="40"/>
      <c r="F359" s="2"/>
      <c r="G359" s="10">
        <f>G360</f>
        <v>0</v>
      </c>
    </row>
    <row r="360" spans="1:7" ht="63" hidden="1" x14ac:dyDescent="0.25">
      <c r="A360" s="29" t="s">
        <v>288</v>
      </c>
      <c r="B360" s="40" t="s">
        <v>627</v>
      </c>
      <c r="C360" s="40" t="s">
        <v>315</v>
      </c>
      <c r="D360" s="40" t="s">
        <v>134</v>
      </c>
      <c r="E360" s="40" t="s">
        <v>289</v>
      </c>
      <c r="F360" s="2"/>
      <c r="G360" s="10">
        <f>G361</f>
        <v>0</v>
      </c>
    </row>
    <row r="361" spans="1:7" ht="15.75" hidden="1" x14ac:dyDescent="0.25">
      <c r="A361" s="29" t="s">
        <v>290</v>
      </c>
      <c r="B361" s="40" t="s">
        <v>627</v>
      </c>
      <c r="C361" s="40" t="s">
        <v>315</v>
      </c>
      <c r="D361" s="40" t="s">
        <v>134</v>
      </c>
      <c r="E361" s="40" t="s">
        <v>291</v>
      </c>
      <c r="F361" s="2"/>
      <c r="G361" s="10"/>
    </row>
    <row r="362" spans="1:7" ht="63" hidden="1" x14ac:dyDescent="0.25">
      <c r="A362" s="45" t="s">
        <v>277</v>
      </c>
      <c r="B362" s="40" t="s">
        <v>627</v>
      </c>
      <c r="C362" s="40" t="s">
        <v>315</v>
      </c>
      <c r="D362" s="40" t="s">
        <v>134</v>
      </c>
      <c r="E362" s="40"/>
      <c r="F362" s="2">
        <v>903</v>
      </c>
      <c r="G362" s="10">
        <v>0</v>
      </c>
    </row>
    <row r="363" spans="1:7" ht="31.5" x14ac:dyDescent="0.25">
      <c r="A363" s="29" t="s">
        <v>629</v>
      </c>
      <c r="B363" s="40" t="s">
        <v>322</v>
      </c>
      <c r="C363" s="40" t="s">
        <v>315</v>
      </c>
      <c r="D363" s="40" t="s">
        <v>134</v>
      </c>
      <c r="E363" s="40"/>
      <c r="F363" s="2"/>
      <c r="G363" s="10" t="e">
        <f>G364</f>
        <v>#REF!</v>
      </c>
    </row>
    <row r="364" spans="1:7" ht="71.45" customHeight="1" x14ac:dyDescent="0.25">
      <c r="A364" s="29" t="s">
        <v>288</v>
      </c>
      <c r="B364" s="40" t="s">
        <v>322</v>
      </c>
      <c r="C364" s="40" t="s">
        <v>315</v>
      </c>
      <c r="D364" s="40" t="s">
        <v>134</v>
      </c>
      <c r="E364" s="40" t="s">
        <v>289</v>
      </c>
      <c r="F364" s="2"/>
      <c r="G364" s="10" t="e">
        <f>G365</f>
        <v>#REF!</v>
      </c>
    </row>
    <row r="365" spans="1:7" ht="15.75" x14ac:dyDescent="0.25">
      <c r="A365" s="29" t="s">
        <v>290</v>
      </c>
      <c r="B365" s="40" t="s">
        <v>322</v>
      </c>
      <c r="C365" s="40" t="s">
        <v>315</v>
      </c>
      <c r="D365" s="40" t="s">
        <v>134</v>
      </c>
      <c r="E365" s="40" t="s">
        <v>291</v>
      </c>
      <c r="F365" s="2"/>
      <c r="G365" s="10" t="e">
        <f>'Пр.4 ведом.20'!#REF!</f>
        <v>#REF!</v>
      </c>
    </row>
    <row r="366" spans="1:7" ht="31.5" x14ac:dyDescent="0.25">
      <c r="A366" s="29" t="s">
        <v>323</v>
      </c>
      <c r="B366" s="40" t="s">
        <v>324</v>
      </c>
      <c r="C366" s="40" t="s">
        <v>315</v>
      </c>
      <c r="D366" s="40" t="s">
        <v>134</v>
      </c>
      <c r="E366" s="40"/>
      <c r="F366" s="2"/>
      <c r="G366" s="10" t="e">
        <f>G367</f>
        <v>#REF!</v>
      </c>
    </row>
    <row r="367" spans="1:7" ht="63" x14ac:dyDescent="0.25">
      <c r="A367" s="29" t="s">
        <v>288</v>
      </c>
      <c r="B367" s="40" t="s">
        <v>324</v>
      </c>
      <c r="C367" s="40" t="s">
        <v>315</v>
      </c>
      <c r="D367" s="40" t="s">
        <v>134</v>
      </c>
      <c r="E367" s="40" t="s">
        <v>289</v>
      </c>
      <c r="F367" s="2"/>
      <c r="G367" s="10" t="e">
        <f>G368</f>
        <v>#REF!</v>
      </c>
    </row>
    <row r="368" spans="1:7" ht="15.75" x14ac:dyDescent="0.25">
      <c r="A368" s="29" t="s">
        <v>290</v>
      </c>
      <c r="B368" s="40" t="s">
        <v>324</v>
      </c>
      <c r="C368" s="40" t="s">
        <v>315</v>
      </c>
      <c r="D368" s="40" t="s">
        <v>134</v>
      </c>
      <c r="E368" s="40" t="s">
        <v>291</v>
      </c>
      <c r="F368" s="2"/>
      <c r="G368" s="10" t="e">
        <f>'Пр.4 ведом.20'!#REF!</f>
        <v>#REF!</v>
      </c>
    </row>
    <row r="369" spans="1:7" ht="63" x14ac:dyDescent="0.25">
      <c r="A369" s="45" t="s">
        <v>277</v>
      </c>
      <c r="B369" s="40" t="s">
        <v>318</v>
      </c>
      <c r="C369" s="40" t="s">
        <v>315</v>
      </c>
      <c r="D369" s="40" t="s">
        <v>134</v>
      </c>
      <c r="E369" s="40"/>
      <c r="F369" s="2">
        <v>903</v>
      </c>
      <c r="G369" s="10" t="e">
        <f>G353</f>
        <v>#REF!</v>
      </c>
    </row>
    <row r="370" spans="1:7" ht="31.5" hidden="1" x14ac:dyDescent="0.25">
      <c r="A370" s="29" t="s">
        <v>300</v>
      </c>
      <c r="B370" s="40" t="s">
        <v>628</v>
      </c>
      <c r="C370" s="40" t="s">
        <v>315</v>
      </c>
      <c r="D370" s="40" t="s">
        <v>134</v>
      </c>
      <c r="E370" s="40"/>
      <c r="F370" s="2"/>
      <c r="G370" s="10">
        <f>G371</f>
        <v>0</v>
      </c>
    </row>
    <row r="371" spans="1:7" ht="63" hidden="1" x14ac:dyDescent="0.25">
      <c r="A371" s="29" t="s">
        <v>288</v>
      </c>
      <c r="B371" s="40" t="s">
        <v>628</v>
      </c>
      <c r="C371" s="40" t="s">
        <v>315</v>
      </c>
      <c r="D371" s="40" t="s">
        <v>134</v>
      </c>
      <c r="E371" s="40" t="s">
        <v>289</v>
      </c>
      <c r="F371" s="2"/>
      <c r="G371" s="10">
        <f>G372</f>
        <v>0</v>
      </c>
    </row>
    <row r="372" spans="1:7" ht="15.75" hidden="1" x14ac:dyDescent="0.25">
      <c r="A372" s="29" t="s">
        <v>290</v>
      </c>
      <c r="B372" s="40" t="s">
        <v>628</v>
      </c>
      <c r="C372" s="40" t="s">
        <v>315</v>
      </c>
      <c r="D372" s="40" t="s">
        <v>134</v>
      </c>
      <c r="E372" s="40" t="s">
        <v>291</v>
      </c>
      <c r="F372" s="2"/>
      <c r="G372" s="10"/>
    </row>
    <row r="373" spans="1:7" ht="63" hidden="1" x14ac:dyDescent="0.25">
      <c r="A373" s="45" t="s">
        <v>277</v>
      </c>
      <c r="B373" s="40" t="s">
        <v>628</v>
      </c>
      <c r="C373" s="40" t="s">
        <v>315</v>
      </c>
      <c r="D373" s="40" t="s">
        <v>134</v>
      </c>
      <c r="E373" s="40"/>
      <c r="F373" s="2">
        <v>903</v>
      </c>
      <c r="G373" s="10">
        <v>0</v>
      </c>
    </row>
    <row r="374" spans="1:7" ht="63" x14ac:dyDescent="0.25">
      <c r="A374" s="41" t="s">
        <v>328</v>
      </c>
      <c r="B374" s="7" t="s">
        <v>329</v>
      </c>
      <c r="C374" s="7"/>
      <c r="D374" s="7"/>
      <c r="E374" s="7"/>
      <c r="F374" s="75"/>
      <c r="G374" s="59" t="e">
        <f>G375</f>
        <v>#REF!</v>
      </c>
    </row>
    <row r="375" spans="1:7" ht="15.75" x14ac:dyDescent="0.25">
      <c r="A375" s="73" t="s">
        <v>314</v>
      </c>
      <c r="B375" s="40" t="s">
        <v>329</v>
      </c>
      <c r="C375" s="40" t="s">
        <v>315</v>
      </c>
      <c r="D375" s="40"/>
      <c r="E375" s="7"/>
      <c r="F375" s="75"/>
      <c r="G375" s="10" t="e">
        <f>G376</f>
        <v>#REF!</v>
      </c>
    </row>
    <row r="376" spans="1:7" ht="15.75" x14ac:dyDescent="0.25">
      <c r="A376" s="73" t="s">
        <v>316</v>
      </c>
      <c r="B376" s="40" t="s">
        <v>329</v>
      </c>
      <c r="C376" s="40" t="s">
        <v>315</v>
      </c>
      <c r="D376" s="40" t="s">
        <v>134</v>
      </c>
      <c r="E376" s="7"/>
      <c r="F376" s="75"/>
      <c r="G376" s="10" t="e">
        <f>G377+G396+G401+G380</f>
        <v>#REF!</v>
      </c>
    </row>
    <row r="377" spans="1:7" ht="63" x14ac:dyDescent="0.25">
      <c r="A377" s="29" t="s">
        <v>319</v>
      </c>
      <c r="B377" s="40" t="s">
        <v>330</v>
      </c>
      <c r="C377" s="40" t="s">
        <v>315</v>
      </c>
      <c r="D377" s="40" t="s">
        <v>134</v>
      </c>
      <c r="E377" s="40"/>
      <c r="F377" s="74"/>
      <c r="G377" s="10" t="e">
        <f>G378</f>
        <v>#REF!</v>
      </c>
    </row>
    <row r="378" spans="1:7" ht="63" x14ac:dyDescent="0.25">
      <c r="A378" s="29" t="s">
        <v>288</v>
      </c>
      <c r="B378" s="40" t="s">
        <v>330</v>
      </c>
      <c r="C378" s="40" t="s">
        <v>315</v>
      </c>
      <c r="D378" s="40" t="s">
        <v>134</v>
      </c>
      <c r="E378" s="40" t="s">
        <v>289</v>
      </c>
      <c r="F378" s="74"/>
      <c r="G378" s="10" t="e">
        <f>G379</f>
        <v>#REF!</v>
      </c>
    </row>
    <row r="379" spans="1:7" ht="15.75" x14ac:dyDescent="0.25">
      <c r="A379" s="29" t="s">
        <v>290</v>
      </c>
      <c r="B379" s="40" t="s">
        <v>330</v>
      </c>
      <c r="C379" s="40" t="s">
        <v>315</v>
      </c>
      <c r="D379" s="40" t="s">
        <v>134</v>
      </c>
      <c r="E379" s="40" t="s">
        <v>291</v>
      </c>
      <c r="F379" s="74"/>
      <c r="G379" s="6" t="e">
        <f>'Пр.4 ведом.20'!#REF!</f>
        <v>#REF!</v>
      </c>
    </row>
    <row r="380" spans="1:7" ht="63" x14ac:dyDescent="0.25">
      <c r="A380" s="29" t="s">
        <v>292</v>
      </c>
      <c r="B380" s="40" t="s">
        <v>333</v>
      </c>
      <c r="C380" s="40" t="s">
        <v>315</v>
      </c>
      <c r="D380" s="40" t="s">
        <v>134</v>
      </c>
      <c r="E380" s="40"/>
      <c r="F380" s="74"/>
      <c r="G380" s="10" t="e">
        <f>G381</f>
        <v>#REF!</v>
      </c>
    </row>
    <row r="381" spans="1:7" ht="63" x14ac:dyDescent="0.25">
      <c r="A381" s="29" t="s">
        <v>288</v>
      </c>
      <c r="B381" s="40" t="s">
        <v>333</v>
      </c>
      <c r="C381" s="40" t="s">
        <v>315</v>
      </c>
      <c r="D381" s="40" t="s">
        <v>134</v>
      </c>
      <c r="E381" s="40" t="s">
        <v>289</v>
      </c>
      <c r="F381" s="74"/>
      <c r="G381" s="10" t="e">
        <f>G382</f>
        <v>#REF!</v>
      </c>
    </row>
    <row r="382" spans="1:7" ht="15.75" x14ac:dyDescent="0.25">
      <c r="A382" s="29" t="s">
        <v>290</v>
      </c>
      <c r="B382" s="40" t="s">
        <v>333</v>
      </c>
      <c r="C382" s="40" t="s">
        <v>315</v>
      </c>
      <c r="D382" s="40" t="s">
        <v>134</v>
      </c>
      <c r="E382" s="40" t="s">
        <v>291</v>
      </c>
      <c r="F382" s="74"/>
      <c r="G382" s="10" t="e">
        <f>'Пр.4 ведом.20'!#REF!</f>
        <v>#REF!</v>
      </c>
    </row>
    <row r="383" spans="1:7" ht="63" hidden="1" x14ac:dyDescent="0.25">
      <c r="A383" s="45" t="s">
        <v>277</v>
      </c>
      <c r="B383" s="40" t="s">
        <v>669</v>
      </c>
      <c r="C383" s="40" t="s">
        <v>315</v>
      </c>
      <c r="D383" s="40" t="s">
        <v>134</v>
      </c>
      <c r="E383" s="40"/>
      <c r="F383" s="2">
        <v>903</v>
      </c>
      <c r="G383" s="10" t="e">
        <f>G380</f>
        <v>#REF!</v>
      </c>
    </row>
    <row r="384" spans="1:7" ht="47.25" hidden="1" x14ac:dyDescent="0.25">
      <c r="A384" s="25" t="s">
        <v>294</v>
      </c>
      <c r="B384" s="40" t="s">
        <v>334</v>
      </c>
      <c r="C384" s="40" t="s">
        <v>315</v>
      </c>
      <c r="D384" s="40" t="s">
        <v>134</v>
      </c>
      <c r="E384" s="40"/>
      <c r="F384" s="74"/>
      <c r="G384" s="10">
        <f>G385</f>
        <v>0</v>
      </c>
    </row>
    <row r="385" spans="1:7" ht="63" hidden="1" x14ac:dyDescent="0.25">
      <c r="A385" s="29" t="s">
        <v>288</v>
      </c>
      <c r="B385" s="40" t="s">
        <v>334</v>
      </c>
      <c r="C385" s="40" t="s">
        <v>315</v>
      </c>
      <c r="D385" s="40" t="s">
        <v>134</v>
      </c>
      <c r="E385" s="40" t="s">
        <v>289</v>
      </c>
      <c r="F385" s="74"/>
      <c r="G385" s="10">
        <f>G386</f>
        <v>0</v>
      </c>
    </row>
    <row r="386" spans="1:7" ht="35.450000000000003" hidden="1" customHeight="1" x14ac:dyDescent="0.25">
      <c r="A386" s="29" t="s">
        <v>290</v>
      </c>
      <c r="B386" s="40" t="s">
        <v>334</v>
      </c>
      <c r="C386" s="40" t="s">
        <v>315</v>
      </c>
      <c r="D386" s="40" t="s">
        <v>134</v>
      </c>
      <c r="E386" s="40" t="s">
        <v>291</v>
      </c>
      <c r="F386" s="74"/>
      <c r="G386" s="10"/>
    </row>
    <row r="387" spans="1:7" ht="63" hidden="1" x14ac:dyDescent="0.25">
      <c r="A387" s="45" t="s">
        <v>277</v>
      </c>
      <c r="B387" s="40" t="s">
        <v>334</v>
      </c>
      <c r="C387" s="40" t="s">
        <v>315</v>
      </c>
      <c r="D387" s="40" t="s">
        <v>134</v>
      </c>
      <c r="E387" s="40"/>
      <c r="F387" s="2">
        <v>903</v>
      </c>
      <c r="G387" s="10">
        <f>G384</f>
        <v>0</v>
      </c>
    </row>
    <row r="388" spans="1:7" ht="31.5" hidden="1" x14ac:dyDescent="0.25">
      <c r="A388" s="29" t="s">
        <v>670</v>
      </c>
      <c r="B388" s="40" t="s">
        <v>335</v>
      </c>
      <c r="C388" s="40" t="s">
        <v>315</v>
      </c>
      <c r="D388" s="40" t="s">
        <v>134</v>
      </c>
      <c r="E388" s="40"/>
      <c r="F388" s="74"/>
      <c r="G388" s="10">
        <f>G389</f>
        <v>0</v>
      </c>
    </row>
    <row r="389" spans="1:7" ht="63" hidden="1" x14ac:dyDescent="0.25">
      <c r="A389" s="29" t="s">
        <v>288</v>
      </c>
      <c r="B389" s="40" t="s">
        <v>335</v>
      </c>
      <c r="C389" s="40" t="s">
        <v>315</v>
      </c>
      <c r="D389" s="40" t="s">
        <v>134</v>
      </c>
      <c r="E389" s="40" t="s">
        <v>289</v>
      </c>
      <c r="F389" s="74"/>
      <c r="G389" s="10">
        <f>G390</f>
        <v>0</v>
      </c>
    </row>
    <row r="390" spans="1:7" ht="15.75" hidden="1" x14ac:dyDescent="0.25">
      <c r="A390" s="29" t="s">
        <v>290</v>
      </c>
      <c r="B390" s="40" t="s">
        <v>335</v>
      </c>
      <c r="C390" s="40" t="s">
        <v>315</v>
      </c>
      <c r="D390" s="40" t="s">
        <v>134</v>
      </c>
      <c r="E390" s="40" t="s">
        <v>291</v>
      </c>
      <c r="F390" s="74"/>
      <c r="G390" s="10"/>
    </row>
    <row r="391" spans="1:7" ht="63" hidden="1" x14ac:dyDescent="0.25">
      <c r="A391" s="45" t="s">
        <v>277</v>
      </c>
      <c r="B391" s="40" t="s">
        <v>335</v>
      </c>
      <c r="C391" s="40" t="s">
        <v>315</v>
      </c>
      <c r="D391" s="40" t="s">
        <v>134</v>
      </c>
      <c r="E391" s="40"/>
      <c r="F391" s="2">
        <v>903</v>
      </c>
      <c r="G391" s="10">
        <f>G388</f>
        <v>0</v>
      </c>
    </row>
    <row r="392" spans="1:7" ht="31.5" hidden="1" x14ac:dyDescent="0.25">
      <c r="A392" s="29" t="s">
        <v>300</v>
      </c>
      <c r="B392" s="40" t="s">
        <v>630</v>
      </c>
      <c r="C392" s="40" t="s">
        <v>315</v>
      </c>
      <c r="D392" s="40" t="s">
        <v>134</v>
      </c>
      <c r="E392" s="40"/>
      <c r="F392" s="74"/>
      <c r="G392" s="10">
        <f>G393</f>
        <v>0</v>
      </c>
    </row>
    <row r="393" spans="1:7" ht="63" hidden="1" x14ac:dyDescent="0.25">
      <c r="A393" s="29" t="s">
        <v>288</v>
      </c>
      <c r="B393" s="40" t="s">
        <v>630</v>
      </c>
      <c r="C393" s="40" t="s">
        <v>315</v>
      </c>
      <c r="D393" s="40" t="s">
        <v>134</v>
      </c>
      <c r="E393" s="40" t="s">
        <v>289</v>
      </c>
      <c r="F393" s="74"/>
      <c r="G393" s="10">
        <f>G394</f>
        <v>0</v>
      </c>
    </row>
    <row r="394" spans="1:7" ht="15.75" hidden="1" x14ac:dyDescent="0.25">
      <c r="A394" s="29" t="s">
        <v>290</v>
      </c>
      <c r="B394" s="40" t="s">
        <v>630</v>
      </c>
      <c r="C394" s="40" t="s">
        <v>315</v>
      </c>
      <c r="D394" s="40" t="s">
        <v>134</v>
      </c>
      <c r="E394" s="40" t="s">
        <v>291</v>
      </c>
      <c r="F394" s="74"/>
      <c r="G394" s="10"/>
    </row>
    <row r="395" spans="1:7" ht="63" hidden="1" x14ac:dyDescent="0.25">
      <c r="A395" s="45" t="s">
        <v>277</v>
      </c>
      <c r="B395" s="40" t="s">
        <v>630</v>
      </c>
      <c r="C395" s="40" t="s">
        <v>315</v>
      </c>
      <c r="D395" s="40" t="s">
        <v>134</v>
      </c>
      <c r="E395" s="40"/>
      <c r="F395" s="2">
        <v>903</v>
      </c>
      <c r="G395" s="10">
        <f>G392</f>
        <v>0</v>
      </c>
    </row>
    <row r="396" spans="1:7" ht="31.5" x14ac:dyDescent="0.25">
      <c r="A396" s="76" t="s">
        <v>671</v>
      </c>
      <c r="B396" s="40" t="s">
        <v>332</v>
      </c>
      <c r="C396" s="40" t="s">
        <v>315</v>
      </c>
      <c r="D396" s="40" t="s">
        <v>134</v>
      </c>
      <c r="E396" s="40"/>
      <c r="F396" s="2"/>
      <c r="G396" s="10" t="e">
        <f>G397+G399</f>
        <v>#REF!</v>
      </c>
    </row>
    <row r="397" spans="1:7" ht="47.25" hidden="1" x14ac:dyDescent="0.25">
      <c r="A397" s="29" t="s">
        <v>147</v>
      </c>
      <c r="B397" s="40" t="s">
        <v>332</v>
      </c>
      <c r="C397" s="40" t="s">
        <v>315</v>
      </c>
      <c r="D397" s="40" t="s">
        <v>134</v>
      </c>
      <c r="E397" s="40" t="s">
        <v>148</v>
      </c>
      <c r="F397" s="2"/>
      <c r="G397" s="10">
        <f>G398</f>
        <v>0</v>
      </c>
    </row>
    <row r="398" spans="1:7" ht="47.25" hidden="1" x14ac:dyDescent="0.25">
      <c r="A398" s="29" t="s">
        <v>149</v>
      </c>
      <c r="B398" s="40" t="s">
        <v>332</v>
      </c>
      <c r="C398" s="40" t="s">
        <v>315</v>
      </c>
      <c r="D398" s="40" t="s">
        <v>134</v>
      </c>
      <c r="E398" s="40" t="s">
        <v>150</v>
      </c>
      <c r="F398" s="2"/>
      <c r="G398" s="10">
        <v>0</v>
      </c>
    </row>
    <row r="399" spans="1:7" ht="62.45" customHeight="1" x14ac:dyDescent="0.25">
      <c r="A399" s="29" t="s">
        <v>288</v>
      </c>
      <c r="B399" s="40" t="s">
        <v>332</v>
      </c>
      <c r="C399" s="40" t="s">
        <v>315</v>
      </c>
      <c r="D399" s="40" t="s">
        <v>134</v>
      </c>
      <c r="E399" s="40" t="s">
        <v>289</v>
      </c>
      <c r="F399" s="2"/>
      <c r="G399" s="10" t="e">
        <f>G400</f>
        <v>#REF!</v>
      </c>
    </row>
    <row r="400" spans="1:7" ht="15.75" x14ac:dyDescent="0.25">
      <c r="A400" s="29" t="s">
        <v>290</v>
      </c>
      <c r="B400" s="40" t="s">
        <v>332</v>
      </c>
      <c r="C400" s="40" t="s">
        <v>315</v>
      </c>
      <c r="D400" s="40" t="s">
        <v>134</v>
      </c>
      <c r="E400" s="40" t="s">
        <v>291</v>
      </c>
      <c r="F400" s="2"/>
      <c r="G400" s="10" t="e">
        <f>'Пр.4 ведом.20'!#REF!</f>
        <v>#REF!</v>
      </c>
    </row>
    <row r="401" spans="1:7" ht="15.75" x14ac:dyDescent="0.25">
      <c r="A401" s="25" t="s">
        <v>700</v>
      </c>
      <c r="B401" s="20" t="s">
        <v>701</v>
      </c>
      <c r="C401" s="40" t="s">
        <v>315</v>
      </c>
      <c r="D401" s="40" t="s">
        <v>134</v>
      </c>
      <c r="E401" s="40"/>
      <c r="F401" s="2"/>
      <c r="G401" s="10" t="e">
        <f>G402</f>
        <v>#REF!</v>
      </c>
    </row>
    <row r="402" spans="1:7" ht="63" x14ac:dyDescent="0.25">
      <c r="A402" s="25" t="s">
        <v>288</v>
      </c>
      <c r="B402" s="20" t="s">
        <v>701</v>
      </c>
      <c r="C402" s="40" t="s">
        <v>315</v>
      </c>
      <c r="D402" s="40" t="s">
        <v>134</v>
      </c>
      <c r="E402" s="40" t="s">
        <v>289</v>
      </c>
      <c r="F402" s="2"/>
      <c r="G402" s="10" t="e">
        <f>G403</f>
        <v>#REF!</v>
      </c>
    </row>
    <row r="403" spans="1:7" ht="15.75" x14ac:dyDescent="0.25">
      <c r="A403" s="25" t="s">
        <v>290</v>
      </c>
      <c r="B403" s="20" t="s">
        <v>701</v>
      </c>
      <c r="C403" s="40" t="s">
        <v>315</v>
      </c>
      <c r="D403" s="40" t="s">
        <v>134</v>
      </c>
      <c r="E403" s="40" t="s">
        <v>291</v>
      </c>
      <c r="F403" s="2"/>
      <c r="G403" s="10" t="e">
        <f>'Пр.4 ведом.20'!#REF!</f>
        <v>#REF!</v>
      </c>
    </row>
    <row r="404" spans="1:7" ht="63" x14ac:dyDescent="0.25">
      <c r="A404" s="45" t="s">
        <v>277</v>
      </c>
      <c r="B404" s="40" t="s">
        <v>329</v>
      </c>
      <c r="C404" s="40" t="s">
        <v>315</v>
      </c>
      <c r="D404" s="40" t="s">
        <v>134</v>
      </c>
      <c r="E404" s="40"/>
      <c r="F404" s="2">
        <v>903</v>
      </c>
      <c r="G404" s="10" t="e">
        <f>G374</f>
        <v>#REF!</v>
      </c>
    </row>
    <row r="405" spans="1:7" ht="47.25" hidden="1" x14ac:dyDescent="0.25">
      <c r="A405" s="60" t="s">
        <v>337</v>
      </c>
      <c r="B405" s="40" t="s">
        <v>338</v>
      </c>
      <c r="C405" s="40" t="s">
        <v>315</v>
      </c>
      <c r="D405" s="40" t="s">
        <v>134</v>
      </c>
      <c r="E405" s="40"/>
      <c r="F405" s="2"/>
      <c r="G405" s="10">
        <f>G406</f>
        <v>0</v>
      </c>
    </row>
    <row r="406" spans="1:7" ht="63" hidden="1" x14ac:dyDescent="0.25">
      <c r="A406" s="29" t="s">
        <v>288</v>
      </c>
      <c r="B406" s="40" t="s">
        <v>338</v>
      </c>
      <c r="C406" s="40" t="s">
        <v>315</v>
      </c>
      <c r="D406" s="40" t="s">
        <v>134</v>
      </c>
      <c r="E406" s="40" t="s">
        <v>289</v>
      </c>
      <c r="F406" s="2"/>
      <c r="G406" s="10"/>
    </row>
    <row r="407" spans="1:7" ht="15.75" hidden="1" x14ac:dyDescent="0.25">
      <c r="A407" s="29" t="s">
        <v>290</v>
      </c>
      <c r="B407" s="40" t="s">
        <v>338</v>
      </c>
      <c r="C407" s="40" t="s">
        <v>315</v>
      </c>
      <c r="D407" s="40" t="s">
        <v>134</v>
      </c>
      <c r="E407" s="40" t="s">
        <v>291</v>
      </c>
      <c r="F407" s="2"/>
      <c r="G407" s="10"/>
    </row>
    <row r="408" spans="1:7" ht="63" hidden="1" x14ac:dyDescent="0.25">
      <c r="A408" s="45" t="s">
        <v>277</v>
      </c>
      <c r="B408" s="40" t="s">
        <v>338</v>
      </c>
      <c r="C408" s="40" t="s">
        <v>315</v>
      </c>
      <c r="D408" s="40" t="s">
        <v>134</v>
      </c>
      <c r="E408" s="40"/>
      <c r="F408" s="2">
        <v>903</v>
      </c>
      <c r="G408" s="10">
        <f>G407</f>
        <v>0</v>
      </c>
    </row>
    <row r="409" spans="1:7" ht="78.75" x14ac:dyDescent="0.25">
      <c r="A409" s="41" t="s">
        <v>339</v>
      </c>
      <c r="B409" s="7" t="s">
        <v>340</v>
      </c>
      <c r="C409" s="72"/>
      <c r="D409" s="72"/>
      <c r="E409" s="72"/>
      <c r="F409" s="72"/>
      <c r="G409" s="59" t="e">
        <f>G410</f>
        <v>#REF!</v>
      </c>
    </row>
    <row r="410" spans="1:7" ht="15.75" x14ac:dyDescent="0.25">
      <c r="A410" s="73" t="s">
        <v>314</v>
      </c>
      <c r="B410" s="40" t="s">
        <v>340</v>
      </c>
      <c r="C410" s="40" t="s">
        <v>315</v>
      </c>
      <c r="D410" s="73"/>
      <c r="E410" s="73"/>
      <c r="F410" s="73"/>
      <c r="G410" s="10" t="e">
        <f>G411</f>
        <v>#REF!</v>
      </c>
    </row>
    <row r="411" spans="1:7" ht="15.75" x14ac:dyDescent="0.25">
      <c r="A411" s="73" t="s">
        <v>316</v>
      </c>
      <c r="B411" s="40" t="s">
        <v>340</v>
      </c>
      <c r="C411" s="40" t="s">
        <v>315</v>
      </c>
      <c r="D411" s="40" t="s">
        <v>134</v>
      </c>
      <c r="E411" s="73"/>
      <c r="F411" s="73"/>
      <c r="G411" s="10" t="e">
        <f>G412</f>
        <v>#REF!</v>
      </c>
    </row>
    <row r="412" spans="1:7" ht="63" x14ac:dyDescent="0.25">
      <c r="A412" s="29" t="s">
        <v>341</v>
      </c>
      <c r="B412" s="40" t="s">
        <v>342</v>
      </c>
      <c r="C412" s="40" t="s">
        <v>315</v>
      </c>
      <c r="D412" s="40" t="s">
        <v>134</v>
      </c>
      <c r="E412" s="73"/>
      <c r="F412" s="73"/>
      <c r="G412" s="10" t="e">
        <f>G413</f>
        <v>#REF!</v>
      </c>
    </row>
    <row r="413" spans="1:7" ht="63" x14ac:dyDescent="0.25">
      <c r="A413" s="25" t="s">
        <v>288</v>
      </c>
      <c r="B413" s="40" t="s">
        <v>342</v>
      </c>
      <c r="C413" s="40" t="s">
        <v>315</v>
      </c>
      <c r="D413" s="40" t="s">
        <v>134</v>
      </c>
      <c r="E413" s="40" t="s">
        <v>289</v>
      </c>
      <c r="F413" s="73"/>
      <c r="G413" s="10" t="e">
        <f>G414</f>
        <v>#REF!</v>
      </c>
    </row>
    <row r="414" spans="1:7" ht="15.75" x14ac:dyDescent="0.25">
      <c r="A414" s="25" t="s">
        <v>290</v>
      </c>
      <c r="B414" s="40" t="s">
        <v>342</v>
      </c>
      <c r="C414" s="40" t="s">
        <v>315</v>
      </c>
      <c r="D414" s="40" t="s">
        <v>134</v>
      </c>
      <c r="E414" s="40" t="s">
        <v>291</v>
      </c>
      <c r="F414" s="73"/>
      <c r="G414" s="10" t="e">
        <f>'Пр.4 ведом.20'!#REF!</f>
        <v>#REF!</v>
      </c>
    </row>
    <row r="415" spans="1:7" ht="63" hidden="1" x14ac:dyDescent="0.25">
      <c r="A415" s="45" t="s">
        <v>672</v>
      </c>
      <c r="B415" s="40" t="s">
        <v>342</v>
      </c>
      <c r="C415" s="40" t="s">
        <v>315</v>
      </c>
      <c r="D415" s="40" t="s">
        <v>134</v>
      </c>
      <c r="E415" s="40"/>
      <c r="F415" s="73"/>
      <c r="G415" s="10">
        <f>G416</f>
        <v>0</v>
      </c>
    </row>
    <row r="416" spans="1:7" ht="63" hidden="1" x14ac:dyDescent="0.25">
      <c r="A416" s="29" t="s">
        <v>288</v>
      </c>
      <c r="B416" s="40" t="s">
        <v>342</v>
      </c>
      <c r="C416" s="40" t="s">
        <v>315</v>
      </c>
      <c r="D416" s="40" t="s">
        <v>134</v>
      </c>
      <c r="E416" s="40" t="s">
        <v>289</v>
      </c>
      <c r="F416" s="73"/>
      <c r="G416" s="10">
        <f>G417</f>
        <v>0</v>
      </c>
    </row>
    <row r="417" spans="1:7" ht="15.75" hidden="1" x14ac:dyDescent="0.25">
      <c r="A417" s="29" t="s">
        <v>290</v>
      </c>
      <c r="B417" s="40" t="s">
        <v>342</v>
      </c>
      <c r="C417" s="40" t="s">
        <v>315</v>
      </c>
      <c r="D417" s="40" t="s">
        <v>134</v>
      </c>
      <c r="E417" s="40" t="s">
        <v>291</v>
      </c>
      <c r="F417" s="73"/>
      <c r="G417" s="10"/>
    </row>
    <row r="418" spans="1:7" ht="63" x14ac:dyDescent="0.25">
      <c r="A418" s="45" t="s">
        <v>277</v>
      </c>
      <c r="B418" s="40" t="s">
        <v>340</v>
      </c>
      <c r="C418" s="40" t="s">
        <v>315</v>
      </c>
      <c r="D418" s="40" t="s">
        <v>134</v>
      </c>
      <c r="E418" s="73"/>
      <c r="F418" s="2">
        <v>903</v>
      </c>
      <c r="G418" s="10" t="e">
        <f>G409</f>
        <v>#REF!</v>
      </c>
    </row>
    <row r="419" spans="1:7" ht="63" x14ac:dyDescent="0.25">
      <c r="A419" s="41" t="s">
        <v>558</v>
      </c>
      <c r="B419" s="7" t="s">
        <v>559</v>
      </c>
      <c r="C419" s="2"/>
      <c r="D419" s="2"/>
      <c r="E419" s="2"/>
      <c r="F419" s="2"/>
      <c r="G419" s="59" t="e">
        <f>G420+G433</f>
        <v>#REF!</v>
      </c>
    </row>
    <row r="420" spans="1:7" ht="78.75" x14ac:dyDescent="0.25">
      <c r="A420" s="41" t="s">
        <v>560</v>
      </c>
      <c r="B420" s="7" t="s">
        <v>561</v>
      </c>
      <c r="C420" s="7"/>
      <c r="D420" s="7"/>
      <c r="E420" s="3"/>
      <c r="F420" s="3"/>
      <c r="G420" s="59" t="e">
        <f>G421</f>
        <v>#REF!</v>
      </c>
    </row>
    <row r="421" spans="1:7" ht="15.75" x14ac:dyDescent="0.25">
      <c r="A421" s="73" t="s">
        <v>406</v>
      </c>
      <c r="B421" s="40" t="s">
        <v>561</v>
      </c>
      <c r="C421" s="40" t="s">
        <v>250</v>
      </c>
      <c r="D421" s="40"/>
      <c r="E421" s="2"/>
      <c r="F421" s="2"/>
      <c r="G421" s="10" t="e">
        <f>G422</f>
        <v>#REF!</v>
      </c>
    </row>
    <row r="422" spans="1:7" ht="15.75" x14ac:dyDescent="0.25">
      <c r="A422" s="73" t="s">
        <v>557</v>
      </c>
      <c r="B422" s="40" t="s">
        <v>561</v>
      </c>
      <c r="C422" s="40" t="s">
        <v>250</v>
      </c>
      <c r="D422" s="40" t="s">
        <v>231</v>
      </c>
      <c r="E422" s="2"/>
      <c r="F422" s="2"/>
      <c r="G422" s="10" t="e">
        <f>G423+G426+G429</f>
        <v>#REF!</v>
      </c>
    </row>
    <row r="423" spans="1:7" ht="31.5" x14ac:dyDescent="0.25">
      <c r="A423" s="25" t="s">
        <v>562</v>
      </c>
      <c r="B423" s="20" t="s">
        <v>563</v>
      </c>
      <c r="C423" s="40" t="s">
        <v>250</v>
      </c>
      <c r="D423" s="40" t="s">
        <v>231</v>
      </c>
      <c r="E423" s="2"/>
      <c r="F423" s="2"/>
      <c r="G423" s="10" t="e">
        <f>G424</f>
        <v>#REF!</v>
      </c>
    </row>
    <row r="424" spans="1:7" ht="51" customHeight="1" x14ac:dyDescent="0.25">
      <c r="A424" s="25" t="s">
        <v>147</v>
      </c>
      <c r="B424" s="20" t="s">
        <v>563</v>
      </c>
      <c r="C424" s="40" t="s">
        <v>250</v>
      </c>
      <c r="D424" s="40" t="s">
        <v>231</v>
      </c>
      <c r="E424" s="2">
        <v>200</v>
      </c>
      <c r="F424" s="2"/>
      <c r="G424" s="10" t="e">
        <f>G425</f>
        <v>#REF!</v>
      </c>
    </row>
    <row r="425" spans="1:7" ht="47.25" x14ac:dyDescent="0.25">
      <c r="A425" s="25" t="s">
        <v>149</v>
      </c>
      <c r="B425" s="20" t="s">
        <v>563</v>
      </c>
      <c r="C425" s="40" t="s">
        <v>250</v>
      </c>
      <c r="D425" s="40" t="s">
        <v>231</v>
      </c>
      <c r="E425" s="2">
        <v>240</v>
      </c>
      <c r="F425" s="2"/>
      <c r="G425" s="10" t="e">
        <f>'Пр.4 ведом.20'!#REF!</f>
        <v>#REF!</v>
      </c>
    </row>
    <row r="426" spans="1:7" ht="31.7" customHeight="1" x14ac:dyDescent="0.25">
      <c r="A426" s="25" t="s">
        <v>564</v>
      </c>
      <c r="B426" s="20" t="s">
        <v>565</v>
      </c>
      <c r="C426" s="40" t="s">
        <v>250</v>
      </c>
      <c r="D426" s="40" t="s">
        <v>231</v>
      </c>
      <c r="E426" s="2"/>
      <c r="F426" s="2"/>
      <c r="G426" s="10" t="e">
        <f>G427</f>
        <v>#REF!</v>
      </c>
    </row>
    <row r="427" spans="1:7" ht="47.25" x14ac:dyDescent="0.25">
      <c r="A427" s="25" t="s">
        <v>147</v>
      </c>
      <c r="B427" s="20" t="s">
        <v>565</v>
      </c>
      <c r="C427" s="40" t="s">
        <v>250</v>
      </c>
      <c r="D427" s="40" t="s">
        <v>231</v>
      </c>
      <c r="E427" s="2">
        <v>200</v>
      </c>
      <c r="F427" s="2"/>
      <c r="G427" s="10" t="e">
        <f>G428</f>
        <v>#REF!</v>
      </c>
    </row>
    <row r="428" spans="1:7" ht="47.25" x14ac:dyDescent="0.25">
      <c r="A428" s="25" t="s">
        <v>149</v>
      </c>
      <c r="B428" s="20" t="s">
        <v>565</v>
      </c>
      <c r="C428" s="40" t="s">
        <v>250</v>
      </c>
      <c r="D428" s="40" t="s">
        <v>231</v>
      </c>
      <c r="E428" s="2">
        <v>240</v>
      </c>
      <c r="F428" s="2"/>
      <c r="G428" s="10" t="e">
        <f>'Пр.4 ведом.20'!#REF!</f>
        <v>#REF!</v>
      </c>
    </row>
    <row r="429" spans="1:7" ht="31.5" x14ac:dyDescent="0.25">
      <c r="A429" s="25" t="s">
        <v>566</v>
      </c>
      <c r="B429" s="20" t="s">
        <v>567</v>
      </c>
      <c r="C429" s="40" t="s">
        <v>250</v>
      </c>
      <c r="D429" s="40" t="s">
        <v>231</v>
      </c>
      <c r="E429" s="2"/>
      <c r="F429" s="2"/>
      <c r="G429" s="10" t="e">
        <f>G430</f>
        <v>#REF!</v>
      </c>
    </row>
    <row r="430" spans="1:7" ht="47.25" x14ac:dyDescent="0.25">
      <c r="A430" s="25" t="s">
        <v>147</v>
      </c>
      <c r="B430" s="20" t="s">
        <v>567</v>
      </c>
      <c r="C430" s="40" t="s">
        <v>250</v>
      </c>
      <c r="D430" s="40" t="s">
        <v>231</v>
      </c>
      <c r="E430" s="2">
        <v>200</v>
      </c>
      <c r="F430" s="2"/>
      <c r="G430" s="10" t="e">
        <f>G431</f>
        <v>#REF!</v>
      </c>
    </row>
    <row r="431" spans="1:7" ht="47.25" x14ac:dyDescent="0.25">
      <c r="A431" s="25" t="s">
        <v>149</v>
      </c>
      <c r="B431" s="20" t="s">
        <v>567</v>
      </c>
      <c r="C431" s="40" t="s">
        <v>250</v>
      </c>
      <c r="D431" s="40" t="s">
        <v>231</v>
      </c>
      <c r="E431" s="2">
        <v>240</v>
      </c>
      <c r="F431" s="2"/>
      <c r="G431" s="10" t="e">
        <f>'Пр.4 ведом.20'!#REF!</f>
        <v>#REF!</v>
      </c>
    </row>
    <row r="432" spans="1:7" ht="47.25" x14ac:dyDescent="0.25">
      <c r="A432" s="45" t="s">
        <v>640</v>
      </c>
      <c r="B432" s="40" t="s">
        <v>561</v>
      </c>
      <c r="C432" s="40" t="s">
        <v>250</v>
      </c>
      <c r="D432" s="40" t="s">
        <v>231</v>
      </c>
      <c r="E432" s="2"/>
      <c r="F432" s="2">
        <v>908</v>
      </c>
      <c r="G432" s="10" t="e">
        <f>G420</f>
        <v>#REF!</v>
      </c>
    </row>
    <row r="433" spans="1:7" ht="63" x14ac:dyDescent="0.25">
      <c r="A433" s="23" t="s">
        <v>568</v>
      </c>
      <c r="B433" s="7" t="s">
        <v>569</v>
      </c>
      <c r="C433" s="7"/>
      <c r="D433" s="7"/>
      <c r="E433" s="3"/>
      <c r="F433" s="3"/>
      <c r="G433" s="59" t="e">
        <f>G434</f>
        <v>#REF!</v>
      </c>
    </row>
    <row r="434" spans="1:7" ht="15.75" x14ac:dyDescent="0.25">
      <c r="A434" s="73" t="s">
        <v>406</v>
      </c>
      <c r="B434" s="40" t="s">
        <v>569</v>
      </c>
      <c r="C434" s="40" t="s">
        <v>250</v>
      </c>
      <c r="D434" s="40"/>
      <c r="E434" s="2"/>
      <c r="F434" s="2"/>
      <c r="G434" s="10" t="e">
        <f>G435</f>
        <v>#REF!</v>
      </c>
    </row>
    <row r="435" spans="1:7" ht="15.75" x14ac:dyDescent="0.25">
      <c r="A435" s="73" t="s">
        <v>557</v>
      </c>
      <c r="B435" s="40" t="s">
        <v>569</v>
      </c>
      <c r="C435" s="40" t="s">
        <v>250</v>
      </c>
      <c r="D435" s="40" t="s">
        <v>231</v>
      </c>
      <c r="E435" s="2"/>
      <c r="F435" s="2"/>
      <c r="G435" s="10" t="e">
        <f>G436+G441+G444+G447</f>
        <v>#REF!</v>
      </c>
    </row>
    <row r="436" spans="1:7" ht="31.5" x14ac:dyDescent="0.25">
      <c r="A436" s="25" t="s">
        <v>566</v>
      </c>
      <c r="B436" s="20" t="s">
        <v>570</v>
      </c>
      <c r="C436" s="40" t="s">
        <v>250</v>
      </c>
      <c r="D436" s="40" t="s">
        <v>231</v>
      </c>
      <c r="E436" s="2"/>
      <c r="F436" s="2"/>
      <c r="G436" s="10" t="e">
        <f>G437+G439</f>
        <v>#REF!</v>
      </c>
    </row>
    <row r="437" spans="1:7" ht="110.25" x14ac:dyDescent="0.25">
      <c r="A437" s="25" t="s">
        <v>143</v>
      </c>
      <c r="B437" s="20" t="s">
        <v>570</v>
      </c>
      <c r="C437" s="40" t="s">
        <v>250</v>
      </c>
      <c r="D437" s="40" t="s">
        <v>231</v>
      </c>
      <c r="E437" s="2">
        <v>100</v>
      </c>
      <c r="F437" s="2"/>
      <c r="G437" s="10" t="e">
        <f>G438</f>
        <v>#REF!</v>
      </c>
    </row>
    <row r="438" spans="1:7" ht="31.5" x14ac:dyDescent="0.25">
      <c r="A438" s="46" t="s">
        <v>358</v>
      </c>
      <c r="B438" s="20" t="s">
        <v>570</v>
      </c>
      <c r="C438" s="40" t="s">
        <v>250</v>
      </c>
      <c r="D438" s="40" t="s">
        <v>231</v>
      </c>
      <c r="E438" s="2">
        <v>110</v>
      </c>
      <c r="F438" s="2"/>
      <c r="G438" s="10" t="e">
        <f>'Пр.4 ведом.20'!#REF!</f>
        <v>#REF!</v>
      </c>
    </row>
    <row r="439" spans="1:7" ht="47.25" x14ac:dyDescent="0.25">
      <c r="A439" s="25" t="s">
        <v>147</v>
      </c>
      <c r="B439" s="20" t="s">
        <v>570</v>
      </c>
      <c r="C439" s="40" t="s">
        <v>250</v>
      </c>
      <c r="D439" s="40" t="s">
        <v>231</v>
      </c>
      <c r="E439" s="2">
        <v>200</v>
      </c>
      <c r="F439" s="2"/>
      <c r="G439" s="10" t="e">
        <f>G440</f>
        <v>#REF!</v>
      </c>
    </row>
    <row r="440" spans="1:7" ht="47.25" x14ac:dyDescent="0.25">
      <c r="A440" s="25" t="s">
        <v>149</v>
      </c>
      <c r="B440" s="20" t="s">
        <v>570</v>
      </c>
      <c r="C440" s="40" t="s">
        <v>250</v>
      </c>
      <c r="D440" s="40" t="s">
        <v>231</v>
      </c>
      <c r="E440" s="2">
        <v>240</v>
      </c>
      <c r="F440" s="2"/>
      <c r="G440" s="10" t="e">
        <f>'Пр.4 ведом.20'!#REF!</f>
        <v>#REF!</v>
      </c>
    </row>
    <row r="441" spans="1:7" ht="15.75" x14ac:dyDescent="0.25">
      <c r="A441" s="25" t="s">
        <v>571</v>
      </c>
      <c r="B441" s="20" t="s">
        <v>572</v>
      </c>
      <c r="C441" s="40" t="s">
        <v>250</v>
      </c>
      <c r="D441" s="40" t="s">
        <v>231</v>
      </c>
      <c r="E441" s="2"/>
      <c r="F441" s="2"/>
      <c r="G441" s="10" t="e">
        <f>G442</f>
        <v>#REF!</v>
      </c>
    </row>
    <row r="442" spans="1:7" ht="47.25" x14ac:dyDescent="0.25">
      <c r="A442" s="25" t="s">
        <v>147</v>
      </c>
      <c r="B442" s="20" t="s">
        <v>572</v>
      </c>
      <c r="C442" s="40" t="s">
        <v>250</v>
      </c>
      <c r="D442" s="40" t="s">
        <v>231</v>
      </c>
      <c r="E442" s="2">
        <v>200</v>
      </c>
      <c r="F442" s="2"/>
      <c r="G442" s="10" t="e">
        <f>G443</f>
        <v>#REF!</v>
      </c>
    </row>
    <row r="443" spans="1:7" ht="47.25" x14ac:dyDescent="0.25">
      <c r="A443" s="25" t="s">
        <v>149</v>
      </c>
      <c r="B443" s="20" t="s">
        <v>572</v>
      </c>
      <c r="C443" s="40" t="s">
        <v>250</v>
      </c>
      <c r="D443" s="40" t="s">
        <v>231</v>
      </c>
      <c r="E443" s="2">
        <v>240</v>
      </c>
      <c r="F443" s="2"/>
      <c r="G443" s="10" t="e">
        <f>'Пр.4 ведом.20'!#REF!</f>
        <v>#REF!</v>
      </c>
    </row>
    <row r="444" spans="1:7" ht="63" x14ac:dyDescent="0.25">
      <c r="A444" s="99" t="s">
        <v>573</v>
      </c>
      <c r="B444" s="20" t="s">
        <v>574</v>
      </c>
      <c r="C444" s="40" t="s">
        <v>250</v>
      </c>
      <c r="D444" s="40" t="s">
        <v>231</v>
      </c>
      <c r="E444" s="2"/>
      <c r="F444" s="2"/>
      <c r="G444" s="10" t="e">
        <f>G445</f>
        <v>#REF!</v>
      </c>
    </row>
    <row r="445" spans="1:7" ht="47.25" x14ac:dyDescent="0.25">
      <c r="A445" s="25" t="s">
        <v>147</v>
      </c>
      <c r="B445" s="20" t="s">
        <v>574</v>
      </c>
      <c r="C445" s="40" t="s">
        <v>250</v>
      </c>
      <c r="D445" s="40" t="s">
        <v>231</v>
      </c>
      <c r="E445" s="2">
        <v>200</v>
      </c>
      <c r="F445" s="2"/>
      <c r="G445" s="10" t="e">
        <f>G446</f>
        <v>#REF!</v>
      </c>
    </row>
    <row r="446" spans="1:7" ht="47.25" x14ac:dyDescent="0.25">
      <c r="A446" s="25" t="s">
        <v>149</v>
      </c>
      <c r="B446" s="20" t="s">
        <v>574</v>
      </c>
      <c r="C446" s="40" t="s">
        <v>250</v>
      </c>
      <c r="D446" s="40" t="s">
        <v>231</v>
      </c>
      <c r="E446" s="2">
        <v>240</v>
      </c>
      <c r="F446" s="2"/>
      <c r="G446" s="10" t="e">
        <f>'Пр.4 ведом.20'!#REF!</f>
        <v>#REF!</v>
      </c>
    </row>
    <row r="447" spans="1:7" ht="31.5" x14ac:dyDescent="0.25">
      <c r="A447" s="99" t="s">
        <v>575</v>
      </c>
      <c r="B447" s="20" t="s">
        <v>576</v>
      </c>
      <c r="C447" s="40" t="s">
        <v>250</v>
      </c>
      <c r="D447" s="40" t="s">
        <v>231</v>
      </c>
      <c r="E447" s="2"/>
      <c r="F447" s="2"/>
      <c r="G447" s="10" t="e">
        <f>G448</f>
        <v>#REF!</v>
      </c>
    </row>
    <row r="448" spans="1:7" ht="47.25" x14ac:dyDescent="0.25">
      <c r="A448" s="25" t="s">
        <v>147</v>
      </c>
      <c r="B448" s="20" t="s">
        <v>576</v>
      </c>
      <c r="C448" s="40" t="s">
        <v>250</v>
      </c>
      <c r="D448" s="40" t="s">
        <v>231</v>
      </c>
      <c r="E448" s="2">
        <v>200</v>
      </c>
      <c r="F448" s="2"/>
      <c r="G448" s="10" t="e">
        <f>G449</f>
        <v>#REF!</v>
      </c>
    </row>
    <row r="449" spans="1:7" ht="47.25" x14ac:dyDescent="0.25">
      <c r="A449" s="25" t="s">
        <v>149</v>
      </c>
      <c r="B449" s="20" t="s">
        <v>576</v>
      </c>
      <c r="C449" s="40" t="s">
        <v>250</v>
      </c>
      <c r="D449" s="40" t="s">
        <v>231</v>
      </c>
      <c r="E449" s="2">
        <v>240</v>
      </c>
      <c r="F449" s="2"/>
      <c r="G449" s="10" t="e">
        <f>'Пр.4 ведом.20'!#REF!</f>
        <v>#REF!</v>
      </c>
    </row>
    <row r="450" spans="1:7" ht="47.25" x14ac:dyDescent="0.25">
      <c r="A450" s="45" t="s">
        <v>640</v>
      </c>
      <c r="B450" s="20" t="s">
        <v>569</v>
      </c>
      <c r="C450" s="40" t="s">
        <v>250</v>
      </c>
      <c r="D450" s="40" t="s">
        <v>231</v>
      </c>
      <c r="E450" s="2"/>
      <c r="F450" s="2">
        <v>908</v>
      </c>
      <c r="G450" s="10" t="e">
        <f>G433</f>
        <v>#REF!</v>
      </c>
    </row>
    <row r="451" spans="1:7" ht="78.75" x14ac:dyDescent="0.25">
      <c r="A451" s="34" t="s">
        <v>197</v>
      </c>
      <c r="B451" s="176" t="s">
        <v>198</v>
      </c>
      <c r="C451" s="7"/>
      <c r="D451" s="7"/>
      <c r="E451" s="7"/>
      <c r="F451" s="3"/>
      <c r="G451" s="59" t="e">
        <f>G452</f>
        <v>#REF!</v>
      </c>
    </row>
    <row r="452" spans="1:7" ht="15.75" x14ac:dyDescent="0.25">
      <c r="A452" s="25" t="s">
        <v>133</v>
      </c>
      <c r="B452" s="5" t="s">
        <v>198</v>
      </c>
      <c r="C452" s="40" t="s">
        <v>134</v>
      </c>
      <c r="D452" s="40"/>
      <c r="E452" s="40"/>
      <c r="F452" s="2"/>
      <c r="G452" s="10" t="e">
        <f>G453</f>
        <v>#REF!</v>
      </c>
    </row>
    <row r="453" spans="1:7" ht="31.5" x14ac:dyDescent="0.25">
      <c r="A453" s="25" t="s">
        <v>155</v>
      </c>
      <c r="B453" s="30" t="s">
        <v>198</v>
      </c>
      <c r="C453" s="40" t="s">
        <v>134</v>
      </c>
      <c r="D453" s="40" t="s">
        <v>156</v>
      </c>
      <c r="E453" s="40"/>
      <c r="F453" s="2"/>
      <c r="G453" s="10" t="e">
        <f>G454</f>
        <v>#REF!</v>
      </c>
    </row>
    <row r="454" spans="1:7" ht="47.25" x14ac:dyDescent="0.25">
      <c r="A454" s="29" t="s">
        <v>173</v>
      </c>
      <c r="B454" s="20" t="s">
        <v>199</v>
      </c>
      <c r="C454" s="40" t="s">
        <v>134</v>
      </c>
      <c r="D454" s="40" t="s">
        <v>156</v>
      </c>
      <c r="E454" s="40"/>
      <c r="F454" s="2"/>
      <c r="G454" s="10" t="e">
        <f>G455</f>
        <v>#REF!</v>
      </c>
    </row>
    <row r="455" spans="1:7" ht="47.25" x14ac:dyDescent="0.25">
      <c r="A455" s="29" t="s">
        <v>147</v>
      </c>
      <c r="B455" s="20" t="s">
        <v>199</v>
      </c>
      <c r="C455" s="40" t="s">
        <v>134</v>
      </c>
      <c r="D455" s="40" t="s">
        <v>156</v>
      </c>
      <c r="E455" s="40" t="s">
        <v>161</v>
      </c>
      <c r="F455" s="2"/>
      <c r="G455" s="10" t="e">
        <f>G456</f>
        <v>#REF!</v>
      </c>
    </row>
    <row r="456" spans="1:7" ht="78.75" x14ac:dyDescent="0.25">
      <c r="A456" s="29" t="s">
        <v>200</v>
      </c>
      <c r="B456" s="20" t="s">
        <v>199</v>
      </c>
      <c r="C456" s="40" t="s">
        <v>134</v>
      </c>
      <c r="D456" s="40" t="s">
        <v>156</v>
      </c>
      <c r="E456" s="40" t="s">
        <v>176</v>
      </c>
      <c r="F456" s="2"/>
      <c r="G456" s="10" t="e">
        <f>'Пр.4 ведом.20'!#REF!</f>
        <v>#REF!</v>
      </c>
    </row>
    <row r="457" spans="1:7" ht="31.5" x14ac:dyDescent="0.25">
      <c r="A457" s="29" t="s">
        <v>164</v>
      </c>
      <c r="B457" s="30" t="s">
        <v>198</v>
      </c>
      <c r="C457" s="40" t="s">
        <v>134</v>
      </c>
      <c r="D457" s="40" t="s">
        <v>156</v>
      </c>
      <c r="E457" s="40"/>
      <c r="F457" s="2">
        <v>902</v>
      </c>
      <c r="G457" s="10" t="e">
        <f>G451</f>
        <v>#REF!</v>
      </c>
    </row>
    <row r="458" spans="1:7" ht="94.5" x14ac:dyDescent="0.25">
      <c r="A458" s="41" t="s">
        <v>673</v>
      </c>
      <c r="B458" s="7" t="s">
        <v>534</v>
      </c>
      <c r="C458" s="7"/>
      <c r="D458" s="7"/>
      <c r="E458" s="72"/>
      <c r="F458" s="3"/>
      <c r="G458" s="59" t="e">
        <f>G459</f>
        <v>#REF!</v>
      </c>
    </row>
    <row r="459" spans="1:7" ht="15.75" x14ac:dyDescent="0.25">
      <c r="A459" s="29" t="s">
        <v>406</v>
      </c>
      <c r="B459" s="40" t="s">
        <v>534</v>
      </c>
      <c r="C459" s="40" t="s">
        <v>250</v>
      </c>
      <c r="D459" s="40"/>
      <c r="E459" s="73"/>
      <c r="F459" s="2"/>
      <c r="G459" s="10" t="e">
        <f>G460</f>
        <v>#REF!</v>
      </c>
    </row>
    <row r="460" spans="1:7" ht="15.75" x14ac:dyDescent="0.25">
      <c r="A460" s="29" t="s">
        <v>533</v>
      </c>
      <c r="B460" s="40" t="s">
        <v>534</v>
      </c>
      <c r="C460" s="40" t="s">
        <v>250</v>
      </c>
      <c r="D460" s="40" t="s">
        <v>229</v>
      </c>
      <c r="E460" s="73"/>
      <c r="F460" s="2"/>
      <c r="G460" s="10" t="e">
        <f>G465+G468+G471+G474+G477+G480+G483</f>
        <v>#REF!</v>
      </c>
    </row>
    <row r="461" spans="1:7" ht="63" hidden="1" x14ac:dyDescent="0.25">
      <c r="A461" s="35" t="s">
        <v>535</v>
      </c>
      <c r="B461" s="20" t="s">
        <v>536</v>
      </c>
      <c r="C461" s="40" t="s">
        <v>250</v>
      </c>
      <c r="D461" s="40" t="s">
        <v>229</v>
      </c>
      <c r="E461" s="73"/>
      <c r="F461" s="2"/>
      <c r="G461" s="10">
        <f>G462</f>
        <v>0</v>
      </c>
    </row>
    <row r="462" spans="1:7" ht="47.25" hidden="1" x14ac:dyDescent="0.25">
      <c r="A462" s="29" t="s">
        <v>147</v>
      </c>
      <c r="B462" s="20" t="s">
        <v>536</v>
      </c>
      <c r="C462" s="40" t="s">
        <v>250</v>
      </c>
      <c r="D462" s="40" t="s">
        <v>229</v>
      </c>
      <c r="E462" s="40" t="s">
        <v>148</v>
      </c>
      <c r="F462" s="2"/>
      <c r="G462" s="10">
        <f>G463</f>
        <v>0</v>
      </c>
    </row>
    <row r="463" spans="1:7" ht="47.25" hidden="1" x14ac:dyDescent="0.25">
      <c r="A463" s="29" t="s">
        <v>149</v>
      </c>
      <c r="B463" s="20" t="s">
        <v>536</v>
      </c>
      <c r="C463" s="40" t="s">
        <v>250</v>
      </c>
      <c r="D463" s="40" t="s">
        <v>229</v>
      </c>
      <c r="E463" s="40" t="s">
        <v>150</v>
      </c>
      <c r="F463" s="2"/>
      <c r="G463" s="10"/>
    </row>
    <row r="464" spans="1:7" ht="47.25" hidden="1" x14ac:dyDescent="0.25">
      <c r="A464" s="45" t="s">
        <v>640</v>
      </c>
      <c r="B464" s="20" t="s">
        <v>536</v>
      </c>
      <c r="C464" s="40"/>
      <c r="D464" s="40"/>
      <c r="E464" s="40"/>
      <c r="F464" s="2">
        <v>908</v>
      </c>
      <c r="G464" s="10">
        <f>G461</f>
        <v>0</v>
      </c>
    </row>
    <row r="465" spans="1:7" ht="15.75" x14ac:dyDescent="0.25">
      <c r="A465" s="99" t="s">
        <v>537</v>
      </c>
      <c r="B465" s="20" t="s">
        <v>538</v>
      </c>
      <c r="C465" s="40" t="s">
        <v>250</v>
      </c>
      <c r="D465" s="40" t="s">
        <v>229</v>
      </c>
      <c r="E465" s="40"/>
      <c r="F465" s="2"/>
      <c r="G465" s="10" t="e">
        <f>G466</f>
        <v>#REF!</v>
      </c>
    </row>
    <row r="466" spans="1:7" ht="47.25" x14ac:dyDescent="0.25">
      <c r="A466" s="31" t="s">
        <v>147</v>
      </c>
      <c r="B466" s="20" t="s">
        <v>538</v>
      </c>
      <c r="C466" s="40" t="s">
        <v>250</v>
      </c>
      <c r="D466" s="40" t="s">
        <v>229</v>
      </c>
      <c r="E466" s="40" t="s">
        <v>148</v>
      </c>
      <c r="F466" s="2"/>
      <c r="G466" s="10" t="e">
        <f>G467</f>
        <v>#REF!</v>
      </c>
    </row>
    <row r="467" spans="1:7" ht="47.25" x14ac:dyDescent="0.25">
      <c r="A467" s="31" t="s">
        <v>149</v>
      </c>
      <c r="B467" s="20" t="s">
        <v>538</v>
      </c>
      <c r="C467" s="40" t="s">
        <v>250</v>
      </c>
      <c r="D467" s="40" t="s">
        <v>229</v>
      </c>
      <c r="E467" s="40" t="s">
        <v>150</v>
      </c>
      <c r="F467" s="2"/>
      <c r="G467" s="10" t="e">
        <f>'Пр.4 ведом.20'!#REF!</f>
        <v>#REF!</v>
      </c>
    </row>
    <row r="468" spans="1:7" ht="15.75" x14ac:dyDescent="0.25">
      <c r="A468" s="99" t="s">
        <v>539</v>
      </c>
      <c r="B468" s="20" t="s">
        <v>540</v>
      </c>
      <c r="C468" s="40" t="s">
        <v>250</v>
      </c>
      <c r="D468" s="40" t="s">
        <v>229</v>
      </c>
      <c r="E468" s="40"/>
      <c r="F468" s="2"/>
      <c r="G468" s="10" t="e">
        <f>G469</f>
        <v>#REF!</v>
      </c>
    </row>
    <row r="469" spans="1:7" ht="47.25" x14ac:dyDescent="0.25">
      <c r="A469" s="31" t="s">
        <v>147</v>
      </c>
      <c r="B469" s="20" t="s">
        <v>540</v>
      </c>
      <c r="C469" s="40" t="s">
        <v>250</v>
      </c>
      <c r="D469" s="40" t="s">
        <v>229</v>
      </c>
      <c r="E469" s="40" t="s">
        <v>148</v>
      </c>
      <c r="F469" s="2"/>
      <c r="G469" s="10" t="e">
        <f>G470</f>
        <v>#REF!</v>
      </c>
    </row>
    <row r="470" spans="1:7" ht="47.25" x14ac:dyDescent="0.25">
      <c r="A470" s="31" t="s">
        <v>149</v>
      </c>
      <c r="B470" s="20" t="s">
        <v>540</v>
      </c>
      <c r="C470" s="40" t="s">
        <v>250</v>
      </c>
      <c r="D470" s="40" t="s">
        <v>229</v>
      </c>
      <c r="E470" s="40" t="s">
        <v>150</v>
      </c>
      <c r="F470" s="2"/>
      <c r="G470" s="10" t="e">
        <f>'Пр.4 ведом.20'!#REF!</f>
        <v>#REF!</v>
      </c>
    </row>
    <row r="471" spans="1:7" ht="15.75" x14ac:dyDescent="0.25">
      <c r="A471" s="99" t="s">
        <v>541</v>
      </c>
      <c r="B471" s="20" t="s">
        <v>542</v>
      </c>
      <c r="C471" s="40" t="s">
        <v>250</v>
      </c>
      <c r="D471" s="40" t="s">
        <v>229</v>
      </c>
      <c r="E471" s="40"/>
      <c r="F471" s="2"/>
      <c r="G471" s="10" t="e">
        <f>G472</f>
        <v>#REF!</v>
      </c>
    </row>
    <row r="472" spans="1:7" ht="47.25" x14ac:dyDescent="0.25">
      <c r="A472" s="31" t="s">
        <v>147</v>
      </c>
      <c r="B472" s="20" t="s">
        <v>542</v>
      </c>
      <c r="C472" s="40" t="s">
        <v>250</v>
      </c>
      <c r="D472" s="40" t="s">
        <v>229</v>
      </c>
      <c r="E472" s="40" t="s">
        <v>148</v>
      </c>
      <c r="F472" s="2"/>
      <c r="G472" s="10" t="e">
        <f>G473</f>
        <v>#REF!</v>
      </c>
    </row>
    <row r="473" spans="1:7" ht="47.25" x14ac:dyDescent="0.25">
      <c r="A473" s="31" t="s">
        <v>149</v>
      </c>
      <c r="B473" s="20" t="s">
        <v>542</v>
      </c>
      <c r="C473" s="40" t="s">
        <v>250</v>
      </c>
      <c r="D473" s="40" t="s">
        <v>229</v>
      </c>
      <c r="E473" s="40" t="s">
        <v>150</v>
      </c>
      <c r="F473" s="2"/>
      <c r="G473" s="10" t="e">
        <f>'Пр.4 ведом.20'!#REF!</f>
        <v>#REF!</v>
      </c>
    </row>
    <row r="474" spans="1:7" ht="31.5" x14ac:dyDescent="0.25">
      <c r="A474" s="99" t="s">
        <v>543</v>
      </c>
      <c r="B474" s="20" t="s">
        <v>544</v>
      </c>
      <c r="C474" s="40" t="s">
        <v>250</v>
      </c>
      <c r="D474" s="40" t="s">
        <v>229</v>
      </c>
      <c r="E474" s="40"/>
      <c r="F474" s="2"/>
      <c r="G474" s="10" t="e">
        <f>G475</f>
        <v>#REF!</v>
      </c>
    </row>
    <row r="475" spans="1:7" ht="47.25" x14ac:dyDescent="0.25">
      <c r="A475" s="31" t="s">
        <v>147</v>
      </c>
      <c r="B475" s="20" t="s">
        <v>544</v>
      </c>
      <c r="C475" s="40" t="s">
        <v>250</v>
      </c>
      <c r="D475" s="40" t="s">
        <v>229</v>
      </c>
      <c r="E475" s="40" t="s">
        <v>148</v>
      </c>
      <c r="F475" s="2"/>
      <c r="G475" s="10" t="e">
        <f>G476</f>
        <v>#REF!</v>
      </c>
    </row>
    <row r="476" spans="1:7" ht="47.25" x14ac:dyDescent="0.25">
      <c r="A476" s="31" t="s">
        <v>149</v>
      </c>
      <c r="B476" s="20" t="s">
        <v>544</v>
      </c>
      <c r="C476" s="40" t="s">
        <v>250</v>
      </c>
      <c r="D476" s="40" t="s">
        <v>229</v>
      </c>
      <c r="E476" s="40" t="s">
        <v>150</v>
      </c>
      <c r="F476" s="2"/>
      <c r="G476" s="10" t="e">
        <f>'Пр.4 ведом.20'!#REF!</f>
        <v>#REF!</v>
      </c>
    </row>
    <row r="477" spans="1:7" ht="15.75" x14ac:dyDescent="0.25">
      <c r="A477" s="99" t="s">
        <v>545</v>
      </c>
      <c r="B477" s="20" t="s">
        <v>546</v>
      </c>
      <c r="C477" s="40" t="s">
        <v>250</v>
      </c>
      <c r="D477" s="40" t="s">
        <v>229</v>
      </c>
      <c r="E477" s="40"/>
      <c r="F477" s="2"/>
      <c r="G477" s="10" t="e">
        <f>G478</f>
        <v>#REF!</v>
      </c>
    </row>
    <row r="478" spans="1:7" ht="47.25" x14ac:dyDescent="0.25">
      <c r="A478" s="31" t="s">
        <v>147</v>
      </c>
      <c r="B478" s="20" t="s">
        <v>546</v>
      </c>
      <c r="C478" s="40" t="s">
        <v>250</v>
      </c>
      <c r="D478" s="40" t="s">
        <v>229</v>
      </c>
      <c r="E478" s="40" t="s">
        <v>148</v>
      </c>
      <c r="F478" s="2"/>
      <c r="G478" s="10" t="e">
        <f>G479</f>
        <v>#REF!</v>
      </c>
    </row>
    <row r="479" spans="1:7" ht="47.25" x14ac:dyDescent="0.25">
      <c r="A479" s="31" t="s">
        <v>149</v>
      </c>
      <c r="B479" s="20" t="s">
        <v>546</v>
      </c>
      <c r="C479" s="40" t="s">
        <v>250</v>
      </c>
      <c r="D479" s="40" t="s">
        <v>229</v>
      </c>
      <c r="E479" s="40" t="s">
        <v>150</v>
      </c>
      <c r="F479" s="2"/>
      <c r="G479" s="10" t="e">
        <f>'Пр.4 ведом.20'!#REF!</f>
        <v>#REF!</v>
      </c>
    </row>
    <row r="480" spans="1:7" ht="31.5" hidden="1" x14ac:dyDescent="0.25">
      <c r="A480" s="98" t="s">
        <v>547</v>
      </c>
      <c r="B480" s="20" t="s">
        <v>548</v>
      </c>
      <c r="C480" s="40" t="s">
        <v>250</v>
      </c>
      <c r="D480" s="40" t="s">
        <v>229</v>
      </c>
      <c r="E480" s="40"/>
      <c r="F480" s="2"/>
      <c r="G480" s="10">
        <f>G481</f>
        <v>0</v>
      </c>
    </row>
    <row r="481" spans="1:7" ht="47.25" hidden="1" x14ac:dyDescent="0.25">
      <c r="A481" s="31" t="s">
        <v>147</v>
      </c>
      <c r="B481" s="20" t="s">
        <v>548</v>
      </c>
      <c r="C481" s="40" t="s">
        <v>250</v>
      </c>
      <c r="D481" s="40" t="s">
        <v>229</v>
      </c>
      <c r="E481" s="40"/>
      <c r="F481" s="2"/>
      <c r="G481" s="10">
        <f>G482</f>
        <v>0</v>
      </c>
    </row>
    <row r="482" spans="1:7" ht="47.25" hidden="1" x14ac:dyDescent="0.25">
      <c r="A482" s="31" t="s">
        <v>149</v>
      </c>
      <c r="B482" s="20" t="s">
        <v>548</v>
      </c>
      <c r="C482" s="40" t="s">
        <v>250</v>
      </c>
      <c r="D482" s="40" t="s">
        <v>229</v>
      </c>
      <c r="E482" s="40"/>
      <c r="F482" s="2"/>
      <c r="G482" s="10"/>
    </row>
    <row r="483" spans="1:7" ht="31.5" x14ac:dyDescent="0.25">
      <c r="A483" s="98" t="s">
        <v>549</v>
      </c>
      <c r="B483" s="20" t="s">
        <v>550</v>
      </c>
      <c r="C483" s="40" t="s">
        <v>250</v>
      </c>
      <c r="D483" s="40" t="s">
        <v>229</v>
      </c>
      <c r="E483" s="40"/>
      <c r="F483" s="2"/>
      <c r="G483" s="10" t="e">
        <f>G484</f>
        <v>#REF!</v>
      </c>
    </row>
    <row r="484" spans="1:7" ht="47.25" x14ac:dyDescent="0.3">
      <c r="A484" s="25" t="s">
        <v>147</v>
      </c>
      <c r="B484" s="20" t="s">
        <v>550</v>
      </c>
      <c r="C484" s="40" t="s">
        <v>250</v>
      </c>
      <c r="D484" s="40" t="s">
        <v>229</v>
      </c>
      <c r="E484" s="2">
        <v>200</v>
      </c>
      <c r="F484" s="77"/>
      <c r="G484" s="6" t="e">
        <f>G485</f>
        <v>#REF!</v>
      </c>
    </row>
    <row r="485" spans="1:7" ht="47.25" x14ac:dyDescent="0.3">
      <c r="A485" s="25" t="s">
        <v>149</v>
      </c>
      <c r="B485" s="20" t="s">
        <v>550</v>
      </c>
      <c r="C485" s="40" t="s">
        <v>250</v>
      </c>
      <c r="D485" s="40" t="s">
        <v>229</v>
      </c>
      <c r="E485" s="2">
        <v>240</v>
      </c>
      <c r="F485" s="77"/>
      <c r="G485" s="6" t="e">
        <f>'Пр.4 ведом.20'!#REF!</f>
        <v>#REF!</v>
      </c>
    </row>
    <row r="486" spans="1:7" ht="47.25" x14ac:dyDescent="0.25">
      <c r="A486" s="45" t="s">
        <v>640</v>
      </c>
      <c r="B486" s="20" t="s">
        <v>534</v>
      </c>
      <c r="C486" s="40"/>
      <c r="D486" s="40"/>
      <c r="E486" s="2"/>
      <c r="F486" s="2">
        <v>908</v>
      </c>
      <c r="G486" s="6" t="e">
        <f>G458</f>
        <v>#REF!</v>
      </c>
    </row>
    <row r="487" spans="1:7" ht="63" x14ac:dyDescent="0.25">
      <c r="A487" s="23" t="s">
        <v>350</v>
      </c>
      <c r="B487" s="24" t="s">
        <v>351</v>
      </c>
      <c r="C487" s="7"/>
      <c r="D487" s="7"/>
      <c r="E487" s="3"/>
      <c r="F487" s="3"/>
      <c r="G487" s="4" t="e">
        <f>G488+G499</f>
        <v>#REF!</v>
      </c>
    </row>
    <row r="488" spans="1:7" ht="15.75" x14ac:dyDescent="0.25">
      <c r="A488" s="25" t="s">
        <v>279</v>
      </c>
      <c r="B488" s="20" t="s">
        <v>351</v>
      </c>
      <c r="C488" s="40" t="s">
        <v>280</v>
      </c>
      <c r="D488" s="40"/>
      <c r="E488" s="2"/>
      <c r="F488" s="2"/>
      <c r="G488" s="6" t="e">
        <f>G489</f>
        <v>#REF!</v>
      </c>
    </row>
    <row r="489" spans="1:7" ht="31.5" x14ac:dyDescent="0.25">
      <c r="A489" s="25" t="s">
        <v>311</v>
      </c>
      <c r="B489" s="20" t="s">
        <v>351</v>
      </c>
      <c r="C489" s="40" t="s">
        <v>280</v>
      </c>
      <c r="D489" s="40" t="s">
        <v>235</v>
      </c>
      <c r="E489" s="2"/>
      <c r="F489" s="2"/>
      <c r="G489" s="6" t="e">
        <f>G490+G493</f>
        <v>#REF!</v>
      </c>
    </row>
    <row r="490" spans="1:7" ht="47.25" x14ac:dyDescent="0.25">
      <c r="A490" s="25" t="s">
        <v>352</v>
      </c>
      <c r="B490" s="20" t="s">
        <v>353</v>
      </c>
      <c r="C490" s="40" t="s">
        <v>280</v>
      </c>
      <c r="D490" s="40" t="s">
        <v>235</v>
      </c>
      <c r="E490" s="2"/>
      <c r="F490" s="2"/>
      <c r="G490" s="6" t="e">
        <f>G491</f>
        <v>#REF!</v>
      </c>
    </row>
    <row r="491" spans="1:7" ht="47.25" x14ac:dyDescent="0.25">
      <c r="A491" s="25" t="s">
        <v>147</v>
      </c>
      <c r="B491" s="20" t="s">
        <v>353</v>
      </c>
      <c r="C491" s="40" t="s">
        <v>280</v>
      </c>
      <c r="D491" s="40" t="s">
        <v>235</v>
      </c>
      <c r="E491" s="2">
        <v>200</v>
      </c>
      <c r="F491" s="2"/>
      <c r="G491" s="6" t="e">
        <f>G492</f>
        <v>#REF!</v>
      </c>
    </row>
    <row r="492" spans="1:7" ht="47.25" x14ac:dyDescent="0.25">
      <c r="A492" s="25" t="s">
        <v>149</v>
      </c>
      <c r="B492" s="20" t="s">
        <v>353</v>
      </c>
      <c r="C492" s="40" t="s">
        <v>280</v>
      </c>
      <c r="D492" s="40" t="s">
        <v>235</v>
      </c>
      <c r="E492" s="2">
        <v>240</v>
      </c>
      <c r="F492" s="2"/>
      <c r="G492" s="6" t="e">
        <f>'Пр.4 ведом.20'!#REF!</f>
        <v>#REF!</v>
      </c>
    </row>
    <row r="493" spans="1:7" ht="78.75" x14ac:dyDescent="0.25">
      <c r="A493" s="25" t="s">
        <v>492</v>
      </c>
      <c r="B493" s="20" t="s">
        <v>493</v>
      </c>
      <c r="C493" s="40" t="s">
        <v>280</v>
      </c>
      <c r="D493" s="40" t="s">
        <v>235</v>
      </c>
      <c r="E493" s="2"/>
      <c r="F493" s="2"/>
      <c r="G493" s="6" t="e">
        <f>G494+G496</f>
        <v>#REF!</v>
      </c>
    </row>
    <row r="494" spans="1:7" ht="110.25" x14ac:dyDescent="0.25">
      <c r="A494" s="25" t="s">
        <v>143</v>
      </c>
      <c r="B494" s="20" t="s">
        <v>493</v>
      </c>
      <c r="C494" s="40" t="s">
        <v>280</v>
      </c>
      <c r="D494" s="40" t="s">
        <v>235</v>
      </c>
      <c r="E494" s="2">
        <v>100</v>
      </c>
      <c r="F494" s="2"/>
      <c r="G494" s="6" t="e">
        <f>G495</f>
        <v>#REF!</v>
      </c>
    </row>
    <row r="495" spans="1:7" ht="31.5" x14ac:dyDescent="0.25">
      <c r="A495" s="25" t="s">
        <v>358</v>
      </c>
      <c r="B495" s="20" t="s">
        <v>493</v>
      </c>
      <c r="C495" s="40" t="s">
        <v>280</v>
      </c>
      <c r="D495" s="40" t="s">
        <v>235</v>
      </c>
      <c r="E495" s="2">
        <v>110</v>
      </c>
      <c r="F495" s="2"/>
      <c r="G495" s="6" t="e">
        <f>'Пр.4 ведом.20'!#REF!</f>
        <v>#REF!</v>
      </c>
    </row>
    <row r="496" spans="1:7" ht="47.25" x14ac:dyDescent="0.25">
      <c r="A496" s="25" t="s">
        <v>147</v>
      </c>
      <c r="B496" s="20" t="s">
        <v>493</v>
      </c>
      <c r="C496" s="40" t="s">
        <v>280</v>
      </c>
      <c r="D496" s="40" t="s">
        <v>235</v>
      </c>
      <c r="E496" s="2">
        <v>200</v>
      </c>
      <c r="F496" s="2"/>
      <c r="G496" s="6" t="e">
        <f>G497</f>
        <v>#REF!</v>
      </c>
    </row>
    <row r="497" spans="1:9" ht="47.25" x14ac:dyDescent="0.25">
      <c r="A497" s="25" t="s">
        <v>149</v>
      </c>
      <c r="B497" s="20" t="s">
        <v>493</v>
      </c>
      <c r="C497" s="40" t="s">
        <v>280</v>
      </c>
      <c r="D497" s="40" t="s">
        <v>235</v>
      </c>
      <c r="E497" s="2">
        <v>240</v>
      </c>
      <c r="F497" s="2"/>
      <c r="G497" s="6" t="e">
        <f>'Пр.4 ведом.20'!#REF!</f>
        <v>#REF!</v>
      </c>
    </row>
    <row r="498" spans="1:9" ht="47.25" x14ac:dyDescent="0.25">
      <c r="A498" s="29" t="s">
        <v>419</v>
      </c>
      <c r="B498" s="20" t="s">
        <v>351</v>
      </c>
      <c r="C498" s="40" t="s">
        <v>280</v>
      </c>
      <c r="D498" s="40" t="s">
        <v>235</v>
      </c>
      <c r="E498" s="2"/>
      <c r="F498" s="2">
        <v>906</v>
      </c>
      <c r="G498" s="6" t="e">
        <f>G490+G493</f>
        <v>#REF!</v>
      </c>
    </row>
    <row r="499" spans="1:9" ht="15.75" x14ac:dyDescent="0.25">
      <c r="A499" s="73" t="s">
        <v>314</v>
      </c>
      <c r="B499" s="20" t="s">
        <v>351</v>
      </c>
      <c r="C499" s="40" t="s">
        <v>315</v>
      </c>
      <c r="D499" s="40"/>
      <c r="E499" s="2"/>
      <c r="F499" s="2"/>
      <c r="G499" s="6" t="e">
        <f>G500</f>
        <v>#REF!</v>
      </c>
    </row>
    <row r="500" spans="1:9" ht="31.5" x14ac:dyDescent="0.25">
      <c r="A500" s="25" t="s">
        <v>349</v>
      </c>
      <c r="B500" s="20" t="s">
        <v>351</v>
      </c>
      <c r="C500" s="40" t="s">
        <v>315</v>
      </c>
      <c r="D500" s="40" t="s">
        <v>166</v>
      </c>
      <c r="E500" s="2"/>
      <c r="F500" s="2"/>
      <c r="G500" s="6" t="e">
        <f>G501+G504+G507</f>
        <v>#REF!</v>
      </c>
    </row>
    <row r="501" spans="1:9" ht="47.25" hidden="1" x14ac:dyDescent="0.25">
      <c r="A501" s="25" t="s">
        <v>352</v>
      </c>
      <c r="B501" s="20" t="s">
        <v>353</v>
      </c>
      <c r="C501" s="40" t="s">
        <v>315</v>
      </c>
      <c r="D501" s="40" t="s">
        <v>166</v>
      </c>
      <c r="E501" s="2"/>
      <c r="F501" s="2"/>
      <c r="G501" s="6" t="e">
        <f>G502</f>
        <v>#REF!</v>
      </c>
    </row>
    <row r="502" spans="1:9" ht="47.25" hidden="1" x14ac:dyDescent="0.25">
      <c r="A502" s="25" t="s">
        <v>147</v>
      </c>
      <c r="B502" s="20" t="s">
        <v>353</v>
      </c>
      <c r="C502" s="40" t="s">
        <v>315</v>
      </c>
      <c r="D502" s="40" t="s">
        <v>166</v>
      </c>
      <c r="E502" s="2">
        <v>200</v>
      </c>
      <c r="F502" s="2"/>
      <c r="G502" s="6" t="e">
        <f>G503</f>
        <v>#REF!</v>
      </c>
    </row>
    <row r="503" spans="1:9" ht="47.25" hidden="1" x14ac:dyDescent="0.25">
      <c r="A503" s="25" t="s">
        <v>149</v>
      </c>
      <c r="B503" s="20" t="s">
        <v>353</v>
      </c>
      <c r="C503" s="40" t="s">
        <v>315</v>
      </c>
      <c r="D503" s="40" t="s">
        <v>166</v>
      </c>
      <c r="E503" s="2">
        <v>240</v>
      </c>
      <c r="F503" s="2"/>
      <c r="G503" s="6" t="e">
        <f>'Пр.4 ведом.20'!#REF!</f>
        <v>#REF!</v>
      </c>
    </row>
    <row r="504" spans="1:9" ht="31.5" x14ac:dyDescent="0.25">
      <c r="A504" s="25" t="s">
        <v>354</v>
      </c>
      <c r="B504" s="20" t="s">
        <v>355</v>
      </c>
      <c r="C504" s="40" t="s">
        <v>315</v>
      </c>
      <c r="D504" s="40" t="s">
        <v>166</v>
      </c>
      <c r="E504" s="2"/>
      <c r="F504" s="2"/>
      <c r="G504" s="6" t="e">
        <f>G505</f>
        <v>#REF!</v>
      </c>
    </row>
    <row r="505" spans="1:9" ht="47.25" x14ac:dyDescent="0.25">
      <c r="A505" s="25" t="s">
        <v>147</v>
      </c>
      <c r="B505" s="20" t="s">
        <v>355</v>
      </c>
      <c r="C505" s="40" t="s">
        <v>315</v>
      </c>
      <c r="D505" s="40" t="s">
        <v>166</v>
      </c>
      <c r="E505" s="2">
        <v>200</v>
      </c>
      <c r="F505" s="2"/>
      <c r="G505" s="6" t="e">
        <f>G506</f>
        <v>#REF!</v>
      </c>
    </row>
    <row r="506" spans="1:9" ht="47.25" x14ac:dyDescent="0.25">
      <c r="A506" s="25" t="s">
        <v>149</v>
      </c>
      <c r="B506" s="20" t="s">
        <v>355</v>
      </c>
      <c r="C506" s="40" t="s">
        <v>315</v>
      </c>
      <c r="D506" s="40" t="s">
        <v>166</v>
      </c>
      <c r="E506" s="2">
        <v>240</v>
      </c>
      <c r="F506" s="2"/>
      <c r="G506" s="6" t="e">
        <f>'Пр.4 ведом.20'!#REF!</f>
        <v>#REF!</v>
      </c>
    </row>
    <row r="507" spans="1:9" ht="47.25" x14ac:dyDescent="0.25">
      <c r="A507" s="25" t="s">
        <v>696</v>
      </c>
      <c r="B507" s="20" t="s">
        <v>697</v>
      </c>
      <c r="C507" s="40" t="s">
        <v>315</v>
      </c>
      <c r="D507" s="40" t="s">
        <v>166</v>
      </c>
      <c r="E507" s="2"/>
      <c r="F507" s="2"/>
      <c r="G507" s="6" t="e">
        <f>G508</f>
        <v>#REF!</v>
      </c>
    </row>
    <row r="508" spans="1:9" ht="47.25" x14ac:dyDescent="0.25">
      <c r="A508" s="25" t="s">
        <v>147</v>
      </c>
      <c r="B508" s="20" t="s">
        <v>697</v>
      </c>
      <c r="C508" s="40" t="s">
        <v>315</v>
      </c>
      <c r="D508" s="40" t="s">
        <v>166</v>
      </c>
      <c r="E508" s="2">
        <v>200</v>
      </c>
      <c r="F508" s="2"/>
      <c r="G508" s="6" t="e">
        <f>G509</f>
        <v>#REF!</v>
      </c>
    </row>
    <row r="509" spans="1:9" ht="47.25" x14ac:dyDescent="0.25">
      <c r="A509" s="25" t="s">
        <v>149</v>
      </c>
      <c r="B509" s="20" t="s">
        <v>697</v>
      </c>
      <c r="C509" s="40" t="s">
        <v>315</v>
      </c>
      <c r="D509" s="40" t="s">
        <v>166</v>
      </c>
      <c r="E509" s="2">
        <v>240</v>
      </c>
      <c r="F509" s="2"/>
      <c r="G509" s="6" t="e">
        <f>'Пр.4 ведом.20'!#REF!</f>
        <v>#REF!</v>
      </c>
    </row>
    <row r="510" spans="1:9" ht="63" x14ac:dyDescent="0.25">
      <c r="A510" s="45" t="s">
        <v>277</v>
      </c>
      <c r="B510" s="20" t="s">
        <v>351</v>
      </c>
      <c r="C510" s="40" t="s">
        <v>315</v>
      </c>
      <c r="D510" s="40" t="s">
        <v>166</v>
      </c>
      <c r="E510" s="2"/>
      <c r="F510" s="2">
        <v>903</v>
      </c>
      <c r="G510" s="6" t="e">
        <f>G499</f>
        <v>#REF!</v>
      </c>
    </row>
    <row r="511" spans="1:9" ht="78.75" x14ac:dyDescent="0.25">
      <c r="A511" s="41" t="s">
        <v>730</v>
      </c>
      <c r="B511" s="24" t="s">
        <v>728</v>
      </c>
      <c r="C511" s="7"/>
      <c r="D511" s="7"/>
      <c r="E511" s="3"/>
      <c r="F511" s="3"/>
      <c r="G511" s="4" t="e">
        <f>G512+G521</f>
        <v>#REF!</v>
      </c>
    </row>
    <row r="512" spans="1:9" s="122" customFormat="1" ht="15.75" x14ac:dyDescent="0.25">
      <c r="A512" s="29" t="s">
        <v>133</v>
      </c>
      <c r="B512" s="20" t="s">
        <v>728</v>
      </c>
      <c r="C512" s="40" t="s">
        <v>134</v>
      </c>
      <c r="D512" s="40"/>
      <c r="E512" s="2"/>
      <c r="F512" s="2"/>
      <c r="G512" s="6" t="e">
        <f>G513</f>
        <v>#REF!</v>
      </c>
      <c r="I512" s="123"/>
    </row>
    <row r="513" spans="1:9" s="122" customFormat="1" ht="31.5" x14ac:dyDescent="0.25">
      <c r="A513" s="29" t="s">
        <v>155</v>
      </c>
      <c r="B513" s="20" t="s">
        <v>728</v>
      </c>
      <c r="C513" s="40" t="s">
        <v>134</v>
      </c>
      <c r="D513" s="40" t="s">
        <v>156</v>
      </c>
      <c r="E513" s="2"/>
      <c r="F513" s="2"/>
      <c r="G513" s="6" t="e">
        <f>G514+G517</f>
        <v>#REF!</v>
      </c>
      <c r="I513" s="123"/>
    </row>
    <row r="514" spans="1:9" ht="47.25" x14ac:dyDescent="0.25">
      <c r="A514" s="31" t="s">
        <v>173</v>
      </c>
      <c r="B514" s="20" t="s">
        <v>736</v>
      </c>
      <c r="C514" s="40" t="s">
        <v>134</v>
      </c>
      <c r="D514" s="40" t="s">
        <v>156</v>
      </c>
      <c r="E514" s="2"/>
      <c r="F514" s="2"/>
      <c r="G514" s="6" t="e">
        <f>G515</f>
        <v>#REF!</v>
      </c>
    </row>
    <row r="515" spans="1:9" ht="47.25" x14ac:dyDescent="0.25">
      <c r="A515" s="25" t="s">
        <v>147</v>
      </c>
      <c r="B515" s="20" t="s">
        <v>736</v>
      </c>
      <c r="C515" s="40" t="s">
        <v>134</v>
      </c>
      <c r="D515" s="40" t="s">
        <v>156</v>
      </c>
      <c r="E515" s="2">
        <v>200</v>
      </c>
      <c r="F515" s="2"/>
      <c r="G515" s="6" t="e">
        <f>G516</f>
        <v>#REF!</v>
      </c>
    </row>
    <row r="516" spans="1:9" ht="47.25" x14ac:dyDescent="0.25">
      <c r="A516" s="25" t="s">
        <v>149</v>
      </c>
      <c r="B516" s="20" t="s">
        <v>736</v>
      </c>
      <c r="C516" s="40" t="s">
        <v>134</v>
      </c>
      <c r="D516" s="40" t="s">
        <v>156</v>
      </c>
      <c r="E516" s="2">
        <v>240</v>
      </c>
      <c r="F516" s="2"/>
      <c r="G516" s="6" t="e">
        <f>'Пр.4 ведом.20'!#REF!</f>
        <v>#REF!</v>
      </c>
    </row>
    <row r="517" spans="1:9" ht="66.2" hidden="1" customHeight="1" x14ac:dyDescent="0.25">
      <c r="A517" s="29"/>
      <c r="B517" s="20" t="s">
        <v>729</v>
      </c>
      <c r="C517" s="40" t="s">
        <v>134</v>
      </c>
      <c r="D517" s="40" t="s">
        <v>156</v>
      </c>
      <c r="E517" s="2"/>
      <c r="F517" s="2"/>
      <c r="G517" s="6" t="e">
        <f>G518</f>
        <v>#REF!</v>
      </c>
    </row>
    <row r="518" spans="1:9" ht="47.25" hidden="1" x14ac:dyDescent="0.25">
      <c r="A518" s="25" t="s">
        <v>147</v>
      </c>
      <c r="B518" s="20" t="s">
        <v>729</v>
      </c>
      <c r="C518" s="40" t="s">
        <v>134</v>
      </c>
      <c r="D518" s="40" t="s">
        <v>156</v>
      </c>
      <c r="E518" s="2">
        <v>200</v>
      </c>
      <c r="F518" s="2"/>
      <c r="G518" s="6" t="e">
        <f>G519</f>
        <v>#REF!</v>
      </c>
    </row>
    <row r="519" spans="1:9" ht="47.25" hidden="1" x14ac:dyDescent="0.25">
      <c r="A519" s="25" t="s">
        <v>149</v>
      </c>
      <c r="B519" s="20" t="s">
        <v>729</v>
      </c>
      <c r="C519" s="40" t="s">
        <v>134</v>
      </c>
      <c r="D519" s="40" t="s">
        <v>156</v>
      </c>
      <c r="E519" s="2">
        <v>240</v>
      </c>
      <c r="F519" s="2"/>
      <c r="G519" s="6" t="e">
        <f>'Пр.4 ведом.20'!#REF!</f>
        <v>#REF!</v>
      </c>
    </row>
    <row r="520" spans="1:9" ht="31.5" x14ac:dyDescent="0.25">
      <c r="A520" s="29" t="s">
        <v>164</v>
      </c>
      <c r="B520" s="20" t="s">
        <v>728</v>
      </c>
      <c r="C520" s="40" t="s">
        <v>134</v>
      </c>
      <c r="D520" s="40" t="s">
        <v>156</v>
      </c>
      <c r="E520" s="2"/>
      <c r="F520" s="2">
        <v>902</v>
      </c>
      <c r="G520" s="6" t="e">
        <f>G511</f>
        <v>#REF!</v>
      </c>
    </row>
    <row r="521" spans="1:9" s="122" customFormat="1" ht="15.75" x14ac:dyDescent="0.25">
      <c r="A521" s="25" t="s">
        <v>314</v>
      </c>
      <c r="B521" s="20" t="s">
        <v>728</v>
      </c>
      <c r="C521" s="40" t="s">
        <v>315</v>
      </c>
      <c r="D521" s="40"/>
      <c r="E521" s="2"/>
      <c r="F521" s="2"/>
      <c r="G521" s="6" t="e">
        <f>G522</f>
        <v>#REF!</v>
      </c>
      <c r="I521" s="123"/>
    </row>
    <row r="522" spans="1:9" ht="31.5" x14ac:dyDescent="0.25">
      <c r="A522" s="41" t="s">
        <v>349</v>
      </c>
      <c r="B522" s="20" t="s">
        <v>728</v>
      </c>
      <c r="C522" s="40" t="s">
        <v>315</v>
      </c>
      <c r="D522" s="40" t="s">
        <v>166</v>
      </c>
      <c r="E522" s="2"/>
      <c r="F522" s="2"/>
      <c r="G522" s="6" t="e">
        <f>G523</f>
        <v>#REF!</v>
      </c>
    </row>
    <row r="523" spans="1:9" ht="47.25" x14ac:dyDescent="0.25">
      <c r="A523" s="31" t="s">
        <v>173</v>
      </c>
      <c r="B523" s="20" t="s">
        <v>736</v>
      </c>
      <c r="C523" s="40" t="s">
        <v>315</v>
      </c>
      <c r="D523" s="40" t="s">
        <v>166</v>
      </c>
      <c r="E523" s="2"/>
      <c r="F523" s="2"/>
      <c r="G523" s="6" t="e">
        <f>G524</f>
        <v>#REF!</v>
      </c>
    </row>
    <row r="524" spans="1:9" ht="47.25" x14ac:dyDescent="0.25">
      <c r="A524" s="25" t="s">
        <v>147</v>
      </c>
      <c r="B524" s="20" t="s">
        <v>736</v>
      </c>
      <c r="C524" s="40" t="s">
        <v>315</v>
      </c>
      <c r="D524" s="40" t="s">
        <v>166</v>
      </c>
      <c r="E524" s="2">
        <v>200</v>
      </c>
      <c r="F524" s="2"/>
      <c r="G524" s="6" t="e">
        <f>G525</f>
        <v>#REF!</v>
      </c>
    </row>
    <row r="525" spans="1:9" ht="47.25" x14ac:dyDescent="0.25">
      <c r="A525" s="25" t="s">
        <v>149</v>
      </c>
      <c r="B525" s="20" t="s">
        <v>736</v>
      </c>
      <c r="C525" s="40" t="s">
        <v>315</v>
      </c>
      <c r="D525" s="40" t="s">
        <v>166</v>
      </c>
      <c r="E525" s="2">
        <v>240</v>
      </c>
      <c r="F525" s="2"/>
      <c r="G525" s="6" t="e">
        <f>'Пр.4 ведом.20'!#REF!</f>
        <v>#REF!</v>
      </c>
    </row>
    <row r="526" spans="1:9" ht="63" x14ac:dyDescent="0.25">
      <c r="A526" s="45" t="s">
        <v>277</v>
      </c>
      <c r="B526" s="20" t="s">
        <v>728</v>
      </c>
      <c r="C526" s="40" t="s">
        <v>315</v>
      </c>
      <c r="D526" s="40" t="s">
        <v>166</v>
      </c>
      <c r="E526" s="2"/>
      <c r="F526" s="2">
        <v>903</v>
      </c>
      <c r="G526" s="6" t="e">
        <f>G522</f>
        <v>#REF!</v>
      </c>
    </row>
    <row r="527" spans="1:9" ht="78.75" x14ac:dyDescent="0.25">
      <c r="A527" s="23" t="s">
        <v>732</v>
      </c>
      <c r="B527" s="24" t="s">
        <v>734</v>
      </c>
      <c r="C527" s="7"/>
      <c r="D527" s="7"/>
      <c r="E527" s="3"/>
      <c r="F527" s="3"/>
      <c r="G527" s="4" t="e">
        <f>G528</f>
        <v>#REF!</v>
      </c>
    </row>
    <row r="528" spans="1:9" ht="15.75" x14ac:dyDescent="0.25">
      <c r="A528" s="25" t="s">
        <v>406</v>
      </c>
      <c r="B528" s="20" t="s">
        <v>734</v>
      </c>
      <c r="C528" s="40" t="s">
        <v>250</v>
      </c>
      <c r="D528" s="40"/>
      <c r="E528" s="2"/>
      <c r="F528" s="2"/>
      <c r="G528" s="6" t="e">
        <f>G529</f>
        <v>#REF!</v>
      </c>
    </row>
    <row r="529" spans="1:7" ht="15.75" x14ac:dyDescent="0.25">
      <c r="A529" s="25" t="s">
        <v>557</v>
      </c>
      <c r="B529" s="20" t="s">
        <v>734</v>
      </c>
      <c r="C529" s="40" t="s">
        <v>250</v>
      </c>
      <c r="D529" s="40" t="s">
        <v>231</v>
      </c>
      <c r="E529" s="2"/>
      <c r="F529" s="2"/>
      <c r="G529" s="6" t="e">
        <f>G530</f>
        <v>#REF!</v>
      </c>
    </row>
    <row r="530" spans="1:7" ht="31.5" x14ac:dyDescent="0.25">
      <c r="A530" s="127" t="s">
        <v>733</v>
      </c>
      <c r="B530" s="20" t="s">
        <v>735</v>
      </c>
      <c r="C530" s="40" t="s">
        <v>250</v>
      </c>
      <c r="D530" s="40" t="s">
        <v>231</v>
      </c>
      <c r="E530" s="2"/>
      <c r="F530" s="2"/>
      <c r="G530" s="6" t="e">
        <f>G531</f>
        <v>#REF!</v>
      </c>
    </row>
    <row r="531" spans="1:7" ht="47.25" x14ac:dyDescent="0.25">
      <c r="A531" s="25" t="s">
        <v>147</v>
      </c>
      <c r="B531" s="20" t="s">
        <v>735</v>
      </c>
      <c r="C531" s="40" t="s">
        <v>250</v>
      </c>
      <c r="D531" s="40" t="s">
        <v>231</v>
      </c>
      <c r="E531" s="2">
        <v>200</v>
      </c>
      <c r="F531" s="2"/>
      <c r="G531" s="6" t="e">
        <f>G532</f>
        <v>#REF!</v>
      </c>
    </row>
    <row r="532" spans="1:7" ht="47.25" x14ac:dyDescent="0.25">
      <c r="A532" s="25" t="s">
        <v>149</v>
      </c>
      <c r="B532" s="20" t="s">
        <v>735</v>
      </c>
      <c r="C532" s="40" t="s">
        <v>250</v>
      </c>
      <c r="D532" s="40" t="s">
        <v>231</v>
      </c>
      <c r="E532" s="2">
        <v>240</v>
      </c>
      <c r="F532" s="2"/>
      <c r="G532" s="6" t="e">
        <f>'Пр.4 ведом.20'!#REF!</f>
        <v>#REF!</v>
      </c>
    </row>
    <row r="533" spans="1:7" ht="47.25" x14ac:dyDescent="0.25">
      <c r="A533" s="45" t="s">
        <v>640</v>
      </c>
      <c r="B533" s="20" t="s">
        <v>734</v>
      </c>
      <c r="C533" s="40" t="s">
        <v>250</v>
      </c>
      <c r="D533" s="40" t="s">
        <v>231</v>
      </c>
      <c r="E533" s="2"/>
      <c r="F533" s="2">
        <v>908</v>
      </c>
      <c r="G533" s="6" t="e">
        <f>G527</f>
        <v>#REF!</v>
      </c>
    </row>
    <row r="534" spans="1:7" ht="15.75" x14ac:dyDescent="0.25">
      <c r="A534" s="72" t="s">
        <v>674</v>
      </c>
      <c r="B534" s="72"/>
      <c r="C534" s="72"/>
      <c r="D534" s="78"/>
      <c r="E534" s="78"/>
      <c r="F534" s="78"/>
      <c r="G534" s="121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1"/>
  <sheetViews>
    <sheetView view="pageBreakPreview" zoomScaleNormal="100" zoomScaleSheetLayoutView="100" workbookViewId="0">
      <selection activeCell="H5" sqref="H5"/>
    </sheetView>
  </sheetViews>
  <sheetFormatPr defaultColWidth="9.140625" defaultRowHeight="15" x14ac:dyDescent="0.25"/>
  <cols>
    <col min="1" max="1" width="62.28515625" style="325" customWidth="1"/>
    <col min="2" max="2" width="7" style="325" customWidth="1"/>
    <col min="3" max="3" width="4.28515625" style="325" customWidth="1"/>
    <col min="4" max="4" width="4.85546875" style="325" customWidth="1"/>
    <col min="5" max="5" width="15.42578125" style="325" customWidth="1"/>
    <col min="6" max="6" width="5.7109375" style="325" customWidth="1"/>
    <col min="7" max="7" width="13.7109375" style="325" customWidth="1"/>
    <col min="8" max="8" width="17.42578125" style="325" customWidth="1"/>
    <col min="9" max="9" width="12.140625" style="325" customWidth="1"/>
    <col min="10" max="11" width="10" style="325" customWidth="1"/>
    <col min="12" max="13" width="9.140625" style="325" customWidth="1"/>
    <col min="14" max="14" width="10.5703125" style="325" customWidth="1"/>
    <col min="15" max="15" width="9.140625" style="1"/>
    <col min="16" max="16" width="9.5703125" style="1" bestFit="1" customWidth="1"/>
    <col min="17" max="16384" width="9.140625" style="1"/>
  </cols>
  <sheetData>
    <row r="1" spans="1:14" ht="15.75" x14ac:dyDescent="0.25">
      <c r="A1" s="63"/>
      <c r="B1" s="63"/>
      <c r="C1" s="63"/>
      <c r="D1" s="63"/>
      <c r="G1" s="130"/>
      <c r="H1" s="374" t="s">
        <v>607</v>
      </c>
      <c r="I1" s="130"/>
    </row>
    <row r="2" spans="1:14" ht="15.75" x14ac:dyDescent="0.25">
      <c r="A2" s="63"/>
      <c r="B2" s="63"/>
      <c r="C2" s="63"/>
      <c r="D2" s="63"/>
      <c r="G2" s="130"/>
      <c r="H2" s="374" t="s">
        <v>1585</v>
      </c>
      <c r="I2" s="130"/>
    </row>
    <row r="3" spans="1:14" ht="15.75" x14ac:dyDescent="0.25">
      <c r="A3" s="131"/>
      <c r="B3" s="131"/>
      <c r="C3" s="131"/>
      <c r="D3" s="131"/>
      <c r="E3" s="131"/>
      <c r="F3" s="131"/>
      <c r="G3" s="130"/>
      <c r="H3" s="375" t="s">
        <v>1586</v>
      </c>
      <c r="I3" s="130"/>
    </row>
    <row r="4" spans="1:14" s="214" customFormat="1" ht="15.75" x14ac:dyDescent="0.25">
      <c r="A4" s="371"/>
      <c r="B4" s="371"/>
      <c r="C4" s="371"/>
      <c r="D4" s="371"/>
      <c r="E4" s="371"/>
      <c r="F4" s="371"/>
      <c r="G4" s="130"/>
      <c r="H4" s="375" t="s">
        <v>1587</v>
      </c>
      <c r="I4" s="130"/>
      <c r="J4" s="325"/>
      <c r="K4" s="325"/>
      <c r="L4" s="325"/>
      <c r="M4" s="325"/>
      <c r="N4" s="325"/>
    </row>
    <row r="5" spans="1:14" s="325" customFormat="1" ht="15.75" x14ac:dyDescent="0.25">
      <c r="A5" s="371"/>
      <c r="B5" s="371"/>
      <c r="C5" s="371"/>
      <c r="D5" s="371"/>
      <c r="E5" s="371"/>
      <c r="F5" s="371"/>
      <c r="G5" s="130"/>
      <c r="H5" s="375" t="s">
        <v>1625</v>
      </c>
      <c r="I5" s="130"/>
    </row>
    <row r="6" spans="1:14" s="325" customFormat="1" ht="15.75" x14ac:dyDescent="0.25">
      <c r="A6" s="371"/>
      <c r="B6" s="371"/>
      <c r="C6" s="371"/>
      <c r="D6" s="371"/>
      <c r="E6" s="371"/>
      <c r="F6" s="371"/>
      <c r="G6" s="130"/>
      <c r="H6" s="130"/>
      <c r="I6" s="130"/>
    </row>
    <row r="7" spans="1:14" ht="15.75" customHeight="1" x14ac:dyDescent="0.25">
      <c r="A7" s="405" t="s">
        <v>1593</v>
      </c>
      <c r="B7" s="405"/>
      <c r="C7" s="405"/>
      <c r="D7" s="405"/>
      <c r="E7" s="405"/>
      <c r="F7" s="405"/>
      <c r="G7" s="405"/>
      <c r="H7" s="405"/>
      <c r="I7" s="405"/>
    </row>
    <row r="8" spans="1:14" ht="15.75" x14ac:dyDescent="0.25">
      <c r="A8" s="13"/>
      <c r="B8" s="13"/>
      <c r="C8" s="13"/>
      <c r="D8" s="13"/>
      <c r="E8" s="13"/>
      <c r="F8" s="13"/>
      <c r="G8" s="194"/>
      <c r="H8" s="194"/>
      <c r="I8" s="194"/>
    </row>
    <row r="9" spans="1:14" ht="60" x14ac:dyDescent="0.25">
      <c r="A9" s="366" t="s">
        <v>126</v>
      </c>
      <c r="B9" s="366" t="s">
        <v>127</v>
      </c>
      <c r="C9" s="15" t="s">
        <v>128</v>
      </c>
      <c r="D9" s="15" t="s">
        <v>129</v>
      </c>
      <c r="E9" s="15" t="s">
        <v>130</v>
      </c>
      <c r="F9" s="15" t="s">
        <v>131</v>
      </c>
      <c r="G9" s="180" t="s">
        <v>1584</v>
      </c>
      <c r="H9" s="180" t="s">
        <v>1582</v>
      </c>
      <c r="I9" s="180" t="s">
        <v>1583</v>
      </c>
    </row>
    <row r="10" spans="1:14" ht="31.5" x14ac:dyDescent="0.25">
      <c r="A10" s="330" t="s">
        <v>132</v>
      </c>
      <c r="B10" s="330">
        <v>901</v>
      </c>
      <c r="C10" s="360"/>
      <c r="D10" s="360"/>
      <c r="E10" s="360"/>
      <c r="F10" s="360"/>
      <c r="G10" s="332">
        <f>G11</f>
        <v>13492.1</v>
      </c>
      <c r="H10" s="332">
        <f t="shared" ref="H10:H13" si="0">H11</f>
        <v>8876.7000000000007</v>
      </c>
      <c r="I10" s="332">
        <f>H10/G10*100</f>
        <v>65.791833739743993</v>
      </c>
    </row>
    <row r="11" spans="1:14" ht="15.75" x14ac:dyDescent="0.25">
      <c r="A11" s="333" t="s">
        <v>133</v>
      </c>
      <c r="B11" s="330">
        <v>901</v>
      </c>
      <c r="C11" s="334" t="s">
        <v>134</v>
      </c>
      <c r="D11" s="360"/>
      <c r="E11" s="360"/>
      <c r="F11" s="360"/>
      <c r="G11" s="332">
        <f>G12</f>
        <v>13492.1</v>
      </c>
      <c r="H11" s="332">
        <f t="shared" si="0"/>
        <v>8876.7000000000007</v>
      </c>
      <c r="I11" s="332">
        <f t="shared" ref="I11:I74" si="1">H11/G11*100</f>
        <v>65.791833739743993</v>
      </c>
    </row>
    <row r="12" spans="1:14" ht="47.25" x14ac:dyDescent="0.25">
      <c r="A12" s="333" t="s">
        <v>135</v>
      </c>
      <c r="B12" s="330">
        <v>901</v>
      </c>
      <c r="C12" s="334" t="s">
        <v>134</v>
      </c>
      <c r="D12" s="334" t="s">
        <v>136</v>
      </c>
      <c r="E12" s="334"/>
      <c r="F12" s="334"/>
      <c r="G12" s="332">
        <f>G13</f>
        <v>13492.1</v>
      </c>
      <c r="H12" s="332">
        <f t="shared" si="0"/>
        <v>8876.7000000000007</v>
      </c>
      <c r="I12" s="332">
        <f t="shared" si="1"/>
        <v>65.791833739743993</v>
      </c>
    </row>
    <row r="13" spans="1:14" ht="31.5" x14ac:dyDescent="0.25">
      <c r="A13" s="333" t="s">
        <v>990</v>
      </c>
      <c r="B13" s="330">
        <v>901</v>
      </c>
      <c r="C13" s="334" t="s">
        <v>134</v>
      </c>
      <c r="D13" s="334" t="s">
        <v>136</v>
      </c>
      <c r="E13" s="334" t="s">
        <v>904</v>
      </c>
      <c r="F13" s="334"/>
      <c r="G13" s="332">
        <f>G14</f>
        <v>13492.1</v>
      </c>
      <c r="H13" s="332">
        <f t="shared" si="0"/>
        <v>8876.7000000000007</v>
      </c>
      <c r="I13" s="332">
        <f t="shared" si="1"/>
        <v>65.791833739743993</v>
      </c>
    </row>
    <row r="14" spans="1:14" ht="15.75" x14ac:dyDescent="0.25">
      <c r="A14" s="333" t="s">
        <v>991</v>
      </c>
      <c r="B14" s="330">
        <v>901</v>
      </c>
      <c r="C14" s="334" t="s">
        <v>134</v>
      </c>
      <c r="D14" s="334" t="s">
        <v>136</v>
      </c>
      <c r="E14" s="334" t="s">
        <v>905</v>
      </c>
      <c r="F14" s="334"/>
      <c r="G14" s="332">
        <f>G15+G22</f>
        <v>13492.1</v>
      </c>
      <c r="H14" s="332">
        <f t="shared" ref="H14" si="2">H15+H22</f>
        <v>8876.7000000000007</v>
      </c>
      <c r="I14" s="332">
        <f t="shared" si="1"/>
        <v>65.791833739743993</v>
      </c>
    </row>
    <row r="15" spans="1:14" ht="31.5" x14ac:dyDescent="0.25">
      <c r="A15" s="361" t="s">
        <v>967</v>
      </c>
      <c r="B15" s="359">
        <v>901</v>
      </c>
      <c r="C15" s="360" t="s">
        <v>134</v>
      </c>
      <c r="D15" s="360" t="s">
        <v>136</v>
      </c>
      <c r="E15" s="360" t="s">
        <v>906</v>
      </c>
      <c r="F15" s="360"/>
      <c r="G15" s="336">
        <f>G16+G18+G20</f>
        <v>13198.1</v>
      </c>
      <c r="H15" s="336">
        <f t="shared" ref="H15" si="3">H16+H18+H20</f>
        <v>8713</v>
      </c>
      <c r="I15" s="336">
        <f t="shared" si="1"/>
        <v>66.017078215803792</v>
      </c>
    </row>
    <row r="16" spans="1:14" ht="63" x14ac:dyDescent="0.25">
      <c r="A16" s="361" t="s">
        <v>143</v>
      </c>
      <c r="B16" s="359">
        <v>901</v>
      </c>
      <c r="C16" s="360" t="s">
        <v>134</v>
      </c>
      <c r="D16" s="360" t="s">
        <v>136</v>
      </c>
      <c r="E16" s="360" t="s">
        <v>906</v>
      </c>
      <c r="F16" s="360" t="s">
        <v>144</v>
      </c>
      <c r="G16" s="336">
        <f>G17</f>
        <v>12193.1</v>
      </c>
      <c r="H16" s="336">
        <f t="shared" ref="H16" si="4">H17</f>
        <v>8360</v>
      </c>
      <c r="I16" s="336">
        <f t="shared" si="1"/>
        <v>68.563367806382288</v>
      </c>
    </row>
    <row r="17" spans="1:14" ht="31.5" x14ac:dyDescent="0.25">
      <c r="A17" s="361" t="s">
        <v>145</v>
      </c>
      <c r="B17" s="359">
        <v>901</v>
      </c>
      <c r="C17" s="360" t="s">
        <v>134</v>
      </c>
      <c r="D17" s="360" t="s">
        <v>136</v>
      </c>
      <c r="E17" s="360" t="s">
        <v>906</v>
      </c>
      <c r="F17" s="360" t="s">
        <v>146</v>
      </c>
      <c r="G17" s="362">
        <f>11575+588+30.1</f>
        <v>12193.1</v>
      </c>
      <c r="H17" s="362">
        <v>8360</v>
      </c>
      <c r="I17" s="336">
        <f t="shared" si="1"/>
        <v>68.563367806382288</v>
      </c>
    </row>
    <row r="18" spans="1:14" ht="31.5" x14ac:dyDescent="0.25">
      <c r="A18" s="361" t="s">
        <v>147</v>
      </c>
      <c r="B18" s="359">
        <v>901</v>
      </c>
      <c r="C18" s="360" t="s">
        <v>134</v>
      </c>
      <c r="D18" s="360" t="s">
        <v>136</v>
      </c>
      <c r="E18" s="360" t="s">
        <v>906</v>
      </c>
      <c r="F18" s="360" t="s">
        <v>148</v>
      </c>
      <c r="G18" s="336">
        <f>G19</f>
        <v>977</v>
      </c>
      <c r="H18" s="336">
        <f t="shared" ref="H18" si="5">H19</f>
        <v>353</v>
      </c>
      <c r="I18" s="336">
        <f t="shared" si="1"/>
        <v>36.131013306038895</v>
      </c>
    </row>
    <row r="19" spans="1:14" ht="31.5" x14ac:dyDescent="0.25">
      <c r="A19" s="361" t="s">
        <v>149</v>
      </c>
      <c r="B19" s="359">
        <v>901</v>
      </c>
      <c r="C19" s="360" t="s">
        <v>134</v>
      </c>
      <c r="D19" s="360" t="s">
        <v>136</v>
      </c>
      <c r="E19" s="360" t="s">
        <v>906</v>
      </c>
      <c r="F19" s="360" t="s">
        <v>150</v>
      </c>
      <c r="G19" s="362">
        <f>1177.8-0.8-200</f>
        <v>977</v>
      </c>
      <c r="H19" s="362">
        <v>353</v>
      </c>
      <c r="I19" s="336">
        <f t="shared" si="1"/>
        <v>36.131013306038895</v>
      </c>
    </row>
    <row r="20" spans="1:14" ht="15.75" x14ac:dyDescent="0.25">
      <c r="A20" s="361" t="s">
        <v>151</v>
      </c>
      <c r="B20" s="359">
        <v>901</v>
      </c>
      <c r="C20" s="360" t="s">
        <v>134</v>
      </c>
      <c r="D20" s="360" t="s">
        <v>136</v>
      </c>
      <c r="E20" s="360" t="s">
        <v>906</v>
      </c>
      <c r="F20" s="360" t="s">
        <v>152</v>
      </c>
      <c r="G20" s="336">
        <f>G21</f>
        <v>28</v>
      </c>
      <c r="H20" s="336">
        <f t="shared" ref="H20" si="6">H21</f>
        <v>0</v>
      </c>
      <c r="I20" s="336">
        <f t="shared" si="1"/>
        <v>0</v>
      </c>
    </row>
    <row r="21" spans="1:14" ht="15.75" x14ac:dyDescent="0.25">
      <c r="A21" s="361" t="s">
        <v>584</v>
      </c>
      <c r="B21" s="359">
        <v>901</v>
      </c>
      <c r="C21" s="360" t="s">
        <v>134</v>
      </c>
      <c r="D21" s="360" t="s">
        <v>136</v>
      </c>
      <c r="E21" s="360" t="s">
        <v>906</v>
      </c>
      <c r="F21" s="360" t="s">
        <v>154</v>
      </c>
      <c r="G21" s="336">
        <v>28</v>
      </c>
      <c r="H21" s="336">
        <v>0</v>
      </c>
      <c r="I21" s="336">
        <f t="shared" si="1"/>
        <v>0</v>
      </c>
    </row>
    <row r="22" spans="1:14" s="214" customFormat="1" ht="31.5" x14ac:dyDescent="0.25">
      <c r="A22" s="361" t="s">
        <v>885</v>
      </c>
      <c r="B22" s="359">
        <v>901</v>
      </c>
      <c r="C22" s="360" t="s">
        <v>134</v>
      </c>
      <c r="D22" s="360" t="s">
        <v>136</v>
      </c>
      <c r="E22" s="360" t="s">
        <v>908</v>
      </c>
      <c r="F22" s="360"/>
      <c r="G22" s="336">
        <f>G23</f>
        <v>294</v>
      </c>
      <c r="H22" s="336">
        <f t="shared" ref="H22:H23" si="7">H23</f>
        <v>163.69999999999999</v>
      </c>
      <c r="I22" s="336">
        <f t="shared" si="1"/>
        <v>55.680272108843532</v>
      </c>
      <c r="J22" s="325"/>
      <c r="K22" s="325"/>
      <c r="L22" s="325"/>
      <c r="M22" s="325"/>
      <c r="N22" s="325"/>
    </row>
    <row r="23" spans="1:14" s="214" customFormat="1" ht="63" x14ac:dyDescent="0.25">
      <c r="A23" s="361" t="s">
        <v>143</v>
      </c>
      <c r="B23" s="359">
        <v>901</v>
      </c>
      <c r="C23" s="360" t="s">
        <v>134</v>
      </c>
      <c r="D23" s="360" t="s">
        <v>136</v>
      </c>
      <c r="E23" s="360" t="s">
        <v>908</v>
      </c>
      <c r="F23" s="360" t="s">
        <v>144</v>
      </c>
      <c r="G23" s="336">
        <f>G24</f>
        <v>294</v>
      </c>
      <c r="H23" s="336">
        <f t="shared" si="7"/>
        <v>163.69999999999999</v>
      </c>
      <c r="I23" s="336">
        <f t="shared" si="1"/>
        <v>55.680272108843532</v>
      </c>
      <c r="J23" s="325"/>
      <c r="K23" s="325"/>
      <c r="L23" s="325"/>
      <c r="M23" s="325"/>
      <c r="N23" s="325"/>
    </row>
    <row r="24" spans="1:14" s="214" customFormat="1" ht="31.5" x14ac:dyDescent="0.25">
      <c r="A24" s="361" t="s">
        <v>145</v>
      </c>
      <c r="B24" s="359">
        <v>901</v>
      </c>
      <c r="C24" s="360" t="s">
        <v>134</v>
      </c>
      <c r="D24" s="360" t="s">
        <v>136</v>
      </c>
      <c r="E24" s="360" t="s">
        <v>908</v>
      </c>
      <c r="F24" s="360" t="s">
        <v>146</v>
      </c>
      <c r="G24" s="336">
        <v>294</v>
      </c>
      <c r="H24" s="336">
        <v>163.69999999999999</v>
      </c>
      <c r="I24" s="336">
        <f t="shared" si="1"/>
        <v>55.680272108843532</v>
      </c>
      <c r="J24" s="325"/>
      <c r="K24" s="325"/>
      <c r="L24" s="325"/>
      <c r="M24" s="325"/>
      <c r="N24" s="325"/>
    </row>
    <row r="25" spans="1:14" ht="15.75" x14ac:dyDescent="0.25">
      <c r="A25" s="330" t="s">
        <v>164</v>
      </c>
      <c r="B25" s="330">
        <v>902</v>
      </c>
      <c r="C25" s="360"/>
      <c r="D25" s="360"/>
      <c r="E25" s="360"/>
      <c r="F25" s="360"/>
      <c r="G25" s="332">
        <f>G26+G144+G163+G193+G137</f>
        <v>84524.7</v>
      </c>
      <c r="H25" s="332">
        <f t="shared" ref="H25" si="8">H26+H144+H163+H193+H137</f>
        <v>59327.46</v>
      </c>
      <c r="I25" s="332">
        <f t="shared" si="1"/>
        <v>70.189494905039595</v>
      </c>
    </row>
    <row r="26" spans="1:14" ht="15.75" x14ac:dyDescent="0.25">
      <c r="A26" s="333" t="s">
        <v>133</v>
      </c>
      <c r="B26" s="330">
        <v>902</v>
      </c>
      <c r="C26" s="334" t="s">
        <v>134</v>
      </c>
      <c r="D26" s="360"/>
      <c r="E26" s="360"/>
      <c r="F26" s="360"/>
      <c r="G26" s="332">
        <f>G27+G87+G107+G96</f>
        <v>62934.6</v>
      </c>
      <c r="H26" s="332">
        <f t="shared" ref="H26" si="9">H27+H87+H107+H96</f>
        <v>45100.11</v>
      </c>
      <c r="I26" s="332">
        <f t="shared" si="1"/>
        <v>71.661868034435756</v>
      </c>
    </row>
    <row r="27" spans="1:14" ht="63" x14ac:dyDescent="0.25">
      <c r="A27" s="333" t="s">
        <v>165</v>
      </c>
      <c r="B27" s="330">
        <v>902</v>
      </c>
      <c r="C27" s="334" t="s">
        <v>134</v>
      </c>
      <c r="D27" s="334" t="s">
        <v>166</v>
      </c>
      <c r="E27" s="334"/>
      <c r="F27" s="334"/>
      <c r="G27" s="332">
        <f>G28+G69</f>
        <v>54630.7</v>
      </c>
      <c r="H27" s="332">
        <f t="shared" ref="H27" si="10">H28+H69</f>
        <v>39488.620000000003</v>
      </c>
      <c r="I27" s="332">
        <f t="shared" si="1"/>
        <v>72.282837305763977</v>
      </c>
    </row>
    <row r="28" spans="1:14" ht="31.5" x14ac:dyDescent="0.25">
      <c r="A28" s="333" t="s">
        <v>990</v>
      </c>
      <c r="B28" s="330">
        <v>902</v>
      </c>
      <c r="C28" s="334" t="s">
        <v>134</v>
      </c>
      <c r="D28" s="334" t="s">
        <v>166</v>
      </c>
      <c r="E28" s="334" t="s">
        <v>904</v>
      </c>
      <c r="F28" s="334"/>
      <c r="G28" s="44">
        <f>G29+G45</f>
        <v>54107.7</v>
      </c>
      <c r="H28" s="44">
        <f t="shared" ref="H28" si="11">H29+H45</f>
        <v>39121.47</v>
      </c>
      <c r="I28" s="332">
        <f t="shared" si="1"/>
        <v>72.30296242494137</v>
      </c>
    </row>
    <row r="29" spans="1:14" s="214" customFormat="1" ht="15.75" x14ac:dyDescent="0.25">
      <c r="A29" s="333" t="s">
        <v>991</v>
      </c>
      <c r="B29" s="330">
        <v>902</v>
      </c>
      <c r="C29" s="334" t="s">
        <v>134</v>
      </c>
      <c r="D29" s="334" t="s">
        <v>166</v>
      </c>
      <c r="E29" s="334" t="s">
        <v>905</v>
      </c>
      <c r="F29" s="334"/>
      <c r="G29" s="44">
        <f>G30+G39+G42</f>
        <v>50855.1</v>
      </c>
      <c r="H29" s="44">
        <f t="shared" ref="H29" si="12">H30+H39+H42</f>
        <v>37429.910000000003</v>
      </c>
      <c r="I29" s="332">
        <f t="shared" si="1"/>
        <v>73.601094088891784</v>
      </c>
      <c r="J29" s="325"/>
      <c r="K29" s="325"/>
      <c r="L29" s="325"/>
      <c r="M29" s="325"/>
      <c r="N29" s="325"/>
    </row>
    <row r="30" spans="1:14" ht="31.5" x14ac:dyDescent="0.25">
      <c r="A30" s="361" t="s">
        <v>967</v>
      </c>
      <c r="B30" s="359">
        <v>902</v>
      </c>
      <c r="C30" s="360" t="s">
        <v>134</v>
      </c>
      <c r="D30" s="360" t="s">
        <v>166</v>
      </c>
      <c r="E30" s="360" t="s">
        <v>906</v>
      </c>
      <c r="F30" s="360"/>
      <c r="G30" s="336">
        <f>G31+G33+G37+G35</f>
        <v>46776.9</v>
      </c>
      <c r="H30" s="336">
        <f t="shared" ref="H30" si="13">H31+H33+H37+H35</f>
        <v>34683.620000000003</v>
      </c>
      <c r="I30" s="336">
        <f t="shared" si="1"/>
        <v>74.146897293322127</v>
      </c>
    </row>
    <row r="31" spans="1:14" ht="63" x14ac:dyDescent="0.25">
      <c r="A31" s="361" t="s">
        <v>143</v>
      </c>
      <c r="B31" s="359">
        <v>902</v>
      </c>
      <c r="C31" s="360" t="s">
        <v>134</v>
      </c>
      <c r="D31" s="360" t="s">
        <v>166</v>
      </c>
      <c r="E31" s="360" t="s">
        <v>906</v>
      </c>
      <c r="F31" s="360" t="s">
        <v>144</v>
      </c>
      <c r="G31" s="336">
        <f>G32</f>
        <v>39664.9</v>
      </c>
      <c r="H31" s="336">
        <f t="shared" ref="H31" si="14">H32</f>
        <v>31129.52</v>
      </c>
      <c r="I31" s="336">
        <f t="shared" si="1"/>
        <v>78.481276897206342</v>
      </c>
    </row>
    <row r="32" spans="1:14" ht="31.5" x14ac:dyDescent="0.25">
      <c r="A32" s="361" t="s">
        <v>145</v>
      </c>
      <c r="B32" s="359">
        <v>902</v>
      </c>
      <c r="C32" s="360" t="s">
        <v>134</v>
      </c>
      <c r="D32" s="360" t="s">
        <v>166</v>
      </c>
      <c r="E32" s="360" t="s">
        <v>906</v>
      </c>
      <c r="F32" s="360" t="s">
        <v>146</v>
      </c>
      <c r="G32" s="362">
        <f>37513+1908+243.9</f>
        <v>39664.9</v>
      </c>
      <c r="H32" s="362">
        <v>31129.52</v>
      </c>
      <c r="I32" s="336">
        <f t="shared" si="1"/>
        <v>78.481276897206342</v>
      </c>
    </row>
    <row r="33" spans="1:14" ht="31.5" x14ac:dyDescent="0.25">
      <c r="A33" s="361" t="s">
        <v>147</v>
      </c>
      <c r="B33" s="359">
        <v>902</v>
      </c>
      <c r="C33" s="360" t="s">
        <v>134</v>
      </c>
      <c r="D33" s="360" t="s">
        <v>166</v>
      </c>
      <c r="E33" s="360" t="s">
        <v>906</v>
      </c>
      <c r="F33" s="360" t="s">
        <v>148</v>
      </c>
      <c r="G33" s="336">
        <f>G34</f>
        <v>6972.9</v>
      </c>
      <c r="H33" s="336">
        <f t="shared" ref="H33" si="15">H34</f>
        <v>3415.03</v>
      </c>
      <c r="I33" s="336">
        <f t="shared" si="1"/>
        <v>48.975748971016372</v>
      </c>
    </row>
    <row r="34" spans="1:14" ht="33.75" customHeight="1" x14ac:dyDescent="0.25">
      <c r="A34" s="361" t="s">
        <v>149</v>
      </c>
      <c r="B34" s="359">
        <v>902</v>
      </c>
      <c r="C34" s="360" t="s">
        <v>134</v>
      </c>
      <c r="D34" s="360" t="s">
        <v>166</v>
      </c>
      <c r="E34" s="360" t="s">
        <v>906</v>
      </c>
      <c r="F34" s="360" t="s">
        <v>150</v>
      </c>
      <c r="G34" s="362">
        <f>6647+615-1000-1200+500+350+794+180+151-64.1</f>
        <v>6972.9</v>
      </c>
      <c r="H34" s="362">
        <v>3415.03</v>
      </c>
      <c r="I34" s="336">
        <f t="shared" si="1"/>
        <v>48.975748971016372</v>
      </c>
    </row>
    <row r="35" spans="1:14" s="214" customFormat="1" ht="15.75" hidden="1" x14ac:dyDescent="0.25">
      <c r="A35" s="361" t="s">
        <v>264</v>
      </c>
      <c r="B35" s="359">
        <v>902</v>
      </c>
      <c r="C35" s="360" t="s">
        <v>134</v>
      </c>
      <c r="D35" s="360" t="s">
        <v>166</v>
      </c>
      <c r="E35" s="360" t="s">
        <v>906</v>
      </c>
      <c r="F35" s="360" t="s">
        <v>265</v>
      </c>
      <c r="G35" s="362">
        <f>G36</f>
        <v>0</v>
      </c>
      <c r="H35" s="362">
        <f t="shared" ref="H35" si="16">H36</f>
        <v>0</v>
      </c>
      <c r="I35" s="336" t="e">
        <f t="shared" si="1"/>
        <v>#DIV/0!</v>
      </c>
      <c r="J35" s="325"/>
      <c r="K35" s="325"/>
      <c r="L35" s="325"/>
      <c r="M35" s="325"/>
      <c r="N35" s="325"/>
    </row>
    <row r="36" spans="1:14" s="214" customFormat="1" ht="31.5" hidden="1" x14ac:dyDescent="0.25">
      <c r="A36" s="361" t="s">
        <v>266</v>
      </c>
      <c r="B36" s="359">
        <v>902</v>
      </c>
      <c r="C36" s="360" t="s">
        <v>134</v>
      </c>
      <c r="D36" s="360" t="s">
        <v>166</v>
      </c>
      <c r="E36" s="360" t="s">
        <v>906</v>
      </c>
      <c r="F36" s="360" t="s">
        <v>267</v>
      </c>
      <c r="G36" s="362">
        <f>755-755</f>
        <v>0</v>
      </c>
      <c r="H36" s="362">
        <f t="shared" ref="H36" si="17">755-755</f>
        <v>0</v>
      </c>
      <c r="I36" s="336" t="e">
        <f t="shared" si="1"/>
        <v>#DIV/0!</v>
      </c>
      <c r="J36" s="325"/>
      <c r="K36" s="325"/>
      <c r="L36" s="325"/>
      <c r="M36" s="325"/>
      <c r="N36" s="325"/>
    </row>
    <row r="37" spans="1:14" ht="15.75" x14ac:dyDescent="0.25">
      <c r="A37" s="361" t="s">
        <v>151</v>
      </c>
      <c r="B37" s="359">
        <v>902</v>
      </c>
      <c r="C37" s="360" t="s">
        <v>134</v>
      </c>
      <c r="D37" s="360" t="s">
        <v>166</v>
      </c>
      <c r="E37" s="360" t="s">
        <v>906</v>
      </c>
      <c r="F37" s="360" t="s">
        <v>161</v>
      </c>
      <c r="G37" s="336">
        <f>G38</f>
        <v>139.10000000000002</v>
      </c>
      <c r="H37" s="336">
        <f t="shared" ref="H37" si="18">H38</f>
        <v>139.07</v>
      </c>
      <c r="I37" s="336">
        <f t="shared" si="1"/>
        <v>99.978432782171083</v>
      </c>
    </row>
    <row r="38" spans="1:14" ht="15.75" x14ac:dyDescent="0.25">
      <c r="A38" s="361" t="s">
        <v>584</v>
      </c>
      <c r="B38" s="359">
        <v>902</v>
      </c>
      <c r="C38" s="360" t="s">
        <v>134</v>
      </c>
      <c r="D38" s="360" t="s">
        <v>166</v>
      </c>
      <c r="E38" s="360" t="s">
        <v>906</v>
      </c>
      <c r="F38" s="360" t="s">
        <v>154</v>
      </c>
      <c r="G38" s="362">
        <f>219.3-144-0.3+64.1</f>
        <v>139.10000000000002</v>
      </c>
      <c r="H38" s="362">
        <v>139.07</v>
      </c>
      <c r="I38" s="336">
        <f t="shared" si="1"/>
        <v>99.978432782171083</v>
      </c>
    </row>
    <row r="39" spans="1:14" s="214" customFormat="1" ht="31.5" x14ac:dyDescent="0.25">
      <c r="A39" s="361" t="s">
        <v>886</v>
      </c>
      <c r="B39" s="359">
        <v>902</v>
      </c>
      <c r="C39" s="360" t="s">
        <v>134</v>
      </c>
      <c r="D39" s="360" t="s">
        <v>166</v>
      </c>
      <c r="E39" s="360" t="s">
        <v>907</v>
      </c>
      <c r="F39" s="360"/>
      <c r="G39" s="362">
        <f>G40</f>
        <v>2524.1999999999998</v>
      </c>
      <c r="H39" s="362">
        <f t="shared" ref="H39:H40" si="19">H40</f>
        <v>1856.25</v>
      </c>
      <c r="I39" s="336">
        <f t="shared" si="1"/>
        <v>73.538150701212274</v>
      </c>
      <c r="J39" s="325"/>
      <c r="K39" s="325"/>
      <c r="L39" s="325"/>
      <c r="M39" s="325"/>
      <c r="N39" s="325"/>
    </row>
    <row r="40" spans="1:14" s="214" customFormat="1" ht="63" x14ac:dyDescent="0.25">
      <c r="A40" s="361" t="s">
        <v>143</v>
      </c>
      <c r="B40" s="359">
        <v>902</v>
      </c>
      <c r="C40" s="360" t="s">
        <v>134</v>
      </c>
      <c r="D40" s="360" t="s">
        <v>166</v>
      </c>
      <c r="E40" s="360" t="s">
        <v>907</v>
      </c>
      <c r="F40" s="360" t="s">
        <v>144</v>
      </c>
      <c r="G40" s="362">
        <f>G41</f>
        <v>2524.1999999999998</v>
      </c>
      <c r="H40" s="362">
        <f t="shared" si="19"/>
        <v>1856.25</v>
      </c>
      <c r="I40" s="336">
        <f t="shared" si="1"/>
        <v>73.538150701212274</v>
      </c>
      <c r="J40" s="325"/>
      <c r="K40" s="325"/>
      <c r="L40" s="325"/>
      <c r="M40" s="325"/>
      <c r="N40" s="325"/>
    </row>
    <row r="41" spans="1:14" s="214" customFormat="1" ht="31.5" x14ac:dyDescent="0.25">
      <c r="A41" s="361" t="s">
        <v>145</v>
      </c>
      <c r="B41" s="359">
        <v>902</v>
      </c>
      <c r="C41" s="360" t="s">
        <v>134</v>
      </c>
      <c r="D41" s="360" t="s">
        <v>166</v>
      </c>
      <c r="E41" s="360" t="s">
        <v>907</v>
      </c>
      <c r="F41" s="360" t="s">
        <v>146</v>
      </c>
      <c r="G41" s="362">
        <f>2962+42.2-480</f>
        <v>2524.1999999999998</v>
      </c>
      <c r="H41" s="362">
        <v>1856.25</v>
      </c>
      <c r="I41" s="336">
        <f t="shared" si="1"/>
        <v>73.538150701212274</v>
      </c>
      <c r="J41" s="325"/>
      <c r="K41" s="325"/>
      <c r="L41" s="325"/>
      <c r="M41" s="325"/>
      <c r="N41" s="325"/>
    </row>
    <row r="42" spans="1:14" s="214" customFormat="1" ht="31.5" x14ac:dyDescent="0.25">
      <c r="A42" s="361" t="s">
        <v>885</v>
      </c>
      <c r="B42" s="359">
        <v>902</v>
      </c>
      <c r="C42" s="360" t="s">
        <v>134</v>
      </c>
      <c r="D42" s="360" t="s">
        <v>166</v>
      </c>
      <c r="E42" s="360" t="s">
        <v>908</v>
      </c>
      <c r="F42" s="360"/>
      <c r="G42" s="336">
        <f>G43</f>
        <v>1554</v>
      </c>
      <c r="H42" s="336">
        <f t="shared" ref="H42:H43" si="20">H43</f>
        <v>890.04</v>
      </c>
      <c r="I42" s="336">
        <f t="shared" si="1"/>
        <v>57.274131274131271</v>
      </c>
      <c r="J42" s="325"/>
      <c r="K42" s="325"/>
      <c r="L42" s="325"/>
      <c r="M42" s="325"/>
      <c r="N42" s="325"/>
    </row>
    <row r="43" spans="1:14" s="214" customFormat="1" ht="63" x14ac:dyDescent="0.25">
      <c r="A43" s="361" t="s">
        <v>143</v>
      </c>
      <c r="B43" s="359">
        <v>902</v>
      </c>
      <c r="C43" s="360" t="s">
        <v>134</v>
      </c>
      <c r="D43" s="360" t="s">
        <v>166</v>
      </c>
      <c r="E43" s="360" t="s">
        <v>908</v>
      </c>
      <c r="F43" s="360" t="s">
        <v>144</v>
      </c>
      <c r="G43" s="336">
        <f>G44</f>
        <v>1554</v>
      </c>
      <c r="H43" s="336">
        <f t="shared" si="20"/>
        <v>890.04</v>
      </c>
      <c r="I43" s="336">
        <f t="shared" si="1"/>
        <v>57.274131274131271</v>
      </c>
      <c r="J43" s="325"/>
      <c r="K43" s="325"/>
      <c r="L43" s="325"/>
      <c r="M43" s="325"/>
      <c r="N43" s="325"/>
    </row>
    <row r="44" spans="1:14" s="214" customFormat="1" ht="31.5" x14ac:dyDescent="0.25">
      <c r="A44" s="361" t="s">
        <v>145</v>
      </c>
      <c r="B44" s="359">
        <v>902</v>
      </c>
      <c r="C44" s="360" t="s">
        <v>134</v>
      </c>
      <c r="D44" s="360" t="s">
        <v>166</v>
      </c>
      <c r="E44" s="360" t="s">
        <v>908</v>
      </c>
      <c r="F44" s="360" t="s">
        <v>146</v>
      </c>
      <c r="G44" s="336">
        <v>1554</v>
      </c>
      <c r="H44" s="336">
        <v>890.04</v>
      </c>
      <c r="I44" s="336">
        <f t="shared" si="1"/>
        <v>57.274131274131271</v>
      </c>
      <c r="J44" s="325"/>
      <c r="K44" s="325"/>
      <c r="L44" s="325"/>
      <c r="M44" s="325"/>
      <c r="N44" s="325"/>
    </row>
    <row r="45" spans="1:14" s="214" customFormat="1" ht="31.5" x14ac:dyDescent="0.25">
      <c r="A45" s="333" t="s">
        <v>932</v>
      </c>
      <c r="B45" s="330">
        <v>902</v>
      </c>
      <c r="C45" s="334" t="s">
        <v>134</v>
      </c>
      <c r="D45" s="334" t="s">
        <v>166</v>
      </c>
      <c r="E45" s="334" t="s">
        <v>909</v>
      </c>
      <c r="F45" s="334"/>
      <c r="G45" s="332">
        <f>G46+G54+G59+G64+G49</f>
        <v>3252.6</v>
      </c>
      <c r="H45" s="332">
        <f t="shared" ref="H45" si="21">H46+H54+H59+H64+H49</f>
        <v>1691.56</v>
      </c>
      <c r="I45" s="332">
        <f t="shared" si="1"/>
        <v>52.006394884092721</v>
      </c>
      <c r="J45" s="325"/>
      <c r="K45" s="325"/>
      <c r="L45" s="325"/>
      <c r="M45" s="325"/>
      <c r="N45" s="325"/>
    </row>
    <row r="46" spans="1:14" s="214" customFormat="1" ht="35.450000000000003" customHeight="1" x14ac:dyDescent="0.25">
      <c r="A46" s="361" t="s">
        <v>802</v>
      </c>
      <c r="B46" s="359">
        <v>902</v>
      </c>
      <c r="C46" s="360" t="s">
        <v>134</v>
      </c>
      <c r="D46" s="360" t="s">
        <v>166</v>
      </c>
      <c r="E46" s="360" t="s">
        <v>992</v>
      </c>
      <c r="F46" s="334"/>
      <c r="G46" s="336">
        <f>G47</f>
        <v>6</v>
      </c>
      <c r="H46" s="336">
        <f t="shared" ref="H46:H47" si="22">H47</f>
        <v>0</v>
      </c>
      <c r="I46" s="336">
        <f t="shared" si="1"/>
        <v>0</v>
      </c>
      <c r="J46" s="325"/>
      <c r="K46" s="325"/>
      <c r="L46" s="325"/>
      <c r="M46" s="325"/>
      <c r="N46" s="325"/>
    </row>
    <row r="47" spans="1:14" s="214" customFormat="1" ht="31.5" x14ac:dyDescent="0.25">
      <c r="A47" s="361" t="s">
        <v>147</v>
      </c>
      <c r="B47" s="359">
        <v>902</v>
      </c>
      <c r="C47" s="360" t="s">
        <v>134</v>
      </c>
      <c r="D47" s="360" t="s">
        <v>166</v>
      </c>
      <c r="E47" s="360" t="s">
        <v>992</v>
      </c>
      <c r="F47" s="360" t="s">
        <v>148</v>
      </c>
      <c r="G47" s="336">
        <f>G48</f>
        <v>6</v>
      </c>
      <c r="H47" s="336">
        <f t="shared" si="22"/>
        <v>0</v>
      </c>
      <c r="I47" s="336">
        <f t="shared" si="1"/>
        <v>0</v>
      </c>
      <c r="J47" s="325"/>
      <c r="K47" s="325"/>
      <c r="L47" s="325"/>
      <c r="M47" s="325"/>
      <c r="N47" s="325"/>
    </row>
    <row r="48" spans="1:14" s="214" customFormat="1" ht="31.5" x14ac:dyDescent="0.25">
      <c r="A48" s="361" t="s">
        <v>149</v>
      </c>
      <c r="B48" s="359">
        <v>902</v>
      </c>
      <c r="C48" s="360" t="s">
        <v>134</v>
      </c>
      <c r="D48" s="360" t="s">
        <v>166</v>
      </c>
      <c r="E48" s="360" t="s">
        <v>992</v>
      </c>
      <c r="F48" s="360" t="s">
        <v>150</v>
      </c>
      <c r="G48" s="336">
        <v>6</v>
      </c>
      <c r="H48" s="336">
        <v>0</v>
      </c>
      <c r="I48" s="336">
        <f t="shared" si="1"/>
        <v>0</v>
      </c>
      <c r="J48" s="325"/>
      <c r="K48" s="325"/>
      <c r="L48" s="325"/>
      <c r="M48" s="325"/>
      <c r="N48" s="325"/>
    </row>
    <row r="49" spans="1:14" s="214" customFormat="1" ht="47.25" x14ac:dyDescent="0.25">
      <c r="A49" s="31" t="s">
        <v>1415</v>
      </c>
      <c r="B49" s="359">
        <v>902</v>
      </c>
      <c r="C49" s="360" t="s">
        <v>134</v>
      </c>
      <c r="D49" s="360" t="s">
        <v>166</v>
      </c>
      <c r="E49" s="360" t="s">
        <v>1414</v>
      </c>
      <c r="F49" s="360"/>
      <c r="G49" s="336">
        <f>G50+G52</f>
        <v>92.6</v>
      </c>
      <c r="H49" s="336">
        <f t="shared" ref="H49" si="23">H50+H52</f>
        <v>0</v>
      </c>
      <c r="I49" s="336">
        <f t="shared" si="1"/>
        <v>0</v>
      </c>
      <c r="J49" s="325"/>
      <c r="K49" s="325"/>
      <c r="L49" s="325"/>
      <c r="M49" s="325"/>
      <c r="N49" s="325"/>
    </row>
    <row r="50" spans="1:14" s="214" customFormat="1" ht="63" hidden="1" x14ac:dyDescent="0.25">
      <c r="A50" s="361" t="s">
        <v>143</v>
      </c>
      <c r="B50" s="359">
        <v>902</v>
      </c>
      <c r="C50" s="360" t="s">
        <v>134</v>
      </c>
      <c r="D50" s="360" t="s">
        <v>166</v>
      </c>
      <c r="E50" s="360" t="s">
        <v>1414</v>
      </c>
      <c r="F50" s="360" t="s">
        <v>144</v>
      </c>
      <c r="G50" s="336">
        <f>G51</f>
        <v>0</v>
      </c>
      <c r="H50" s="336">
        <f t="shared" ref="H50" si="24">H51</f>
        <v>0</v>
      </c>
      <c r="I50" s="336" t="e">
        <f t="shared" si="1"/>
        <v>#DIV/0!</v>
      </c>
      <c r="J50" s="325"/>
      <c r="K50" s="325"/>
      <c r="L50" s="325"/>
      <c r="M50" s="325"/>
      <c r="N50" s="325"/>
    </row>
    <row r="51" spans="1:14" s="214" customFormat="1" ht="31.5" hidden="1" x14ac:dyDescent="0.25">
      <c r="A51" s="361" t="s">
        <v>145</v>
      </c>
      <c r="B51" s="359">
        <v>902</v>
      </c>
      <c r="C51" s="360" t="s">
        <v>134</v>
      </c>
      <c r="D51" s="360" t="s">
        <v>166</v>
      </c>
      <c r="E51" s="360" t="s">
        <v>1414</v>
      </c>
      <c r="F51" s="360" t="s">
        <v>146</v>
      </c>
      <c r="G51" s="336">
        <f>92.6-92.6</f>
        <v>0</v>
      </c>
      <c r="H51" s="336">
        <f t="shared" ref="H51" si="25">92.6-92.6</f>
        <v>0</v>
      </c>
      <c r="I51" s="336" t="e">
        <f t="shared" si="1"/>
        <v>#DIV/0!</v>
      </c>
      <c r="J51" s="325"/>
      <c r="K51" s="325"/>
      <c r="L51" s="325"/>
      <c r="M51" s="325"/>
      <c r="N51" s="325"/>
    </row>
    <row r="52" spans="1:14" s="325" customFormat="1" ht="31.5" x14ac:dyDescent="0.25">
      <c r="A52" s="361" t="s">
        <v>147</v>
      </c>
      <c r="B52" s="359">
        <v>902</v>
      </c>
      <c r="C52" s="360" t="s">
        <v>134</v>
      </c>
      <c r="D52" s="360" t="s">
        <v>166</v>
      </c>
      <c r="E52" s="360" t="s">
        <v>1414</v>
      </c>
      <c r="F52" s="360" t="s">
        <v>148</v>
      </c>
      <c r="G52" s="336">
        <f>G53</f>
        <v>92.6</v>
      </c>
      <c r="H52" s="336">
        <f t="shared" ref="H52" si="26">H53</f>
        <v>0</v>
      </c>
      <c r="I52" s="336">
        <f t="shared" si="1"/>
        <v>0</v>
      </c>
    </row>
    <row r="53" spans="1:14" s="325" customFormat="1" ht="31.5" x14ac:dyDescent="0.25">
      <c r="A53" s="361" t="s">
        <v>149</v>
      </c>
      <c r="B53" s="359">
        <v>902</v>
      </c>
      <c r="C53" s="360" t="s">
        <v>134</v>
      </c>
      <c r="D53" s="360" t="s">
        <v>166</v>
      </c>
      <c r="E53" s="360" t="s">
        <v>1414</v>
      </c>
      <c r="F53" s="360" t="s">
        <v>150</v>
      </c>
      <c r="G53" s="336">
        <v>92.6</v>
      </c>
      <c r="H53" s="336">
        <v>0</v>
      </c>
      <c r="I53" s="336">
        <f t="shared" si="1"/>
        <v>0</v>
      </c>
    </row>
    <row r="54" spans="1:14" s="214" customFormat="1" ht="47.25" x14ac:dyDescent="0.25">
      <c r="A54" s="31" t="s">
        <v>205</v>
      </c>
      <c r="B54" s="359">
        <v>902</v>
      </c>
      <c r="C54" s="360" t="s">
        <v>134</v>
      </c>
      <c r="D54" s="360" t="s">
        <v>166</v>
      </c>
      <c r="E54" s="360" t="s">
        <v>993</v>
      </c>
      <c r="F54" s="360"/>
      <c r="G54" s="336">
        <f>G55+G57</f>
        <v>604.80000000000007</v>
      </c>
      <c r="H54" s="336">
        <f t="shared" ref="H54" si="27">H55+H57</f>
        <v>404.27</v>
      </c>
      <c r="I54" s="336">
        <f t="shared" si="1"/>
        <v>66.843584656084644</v>
      </c>
      <c r="J54" s="325"/>
      <c r="K54" s="325"/>
      <c r="L54" s="325"/>
      <c r="M54" s="325"/>
      <c r="N54" s="325"/>
    </row>
    <row r="55" spans="1:14" s="214" customFormat="1" ht="63" x14ac:dyDescent="0.25">
      <c r="A55" s="361" t="s">
        <v>143</v>
      </c>
      <c r="B55" s="359">
        <v>902</v>
      </c>
      <c r="C55" s="360" t="s">
        <v>134</v>
      </c>
      <c r="D55" s="360" t="s">
        <v>166</v>
      </c>
      <c r="E55" s="360" t="s">
        <v>993</v>
      </c>
      <c r="F55" s="360" t="s">
        <v>144</v>
      </c>
      <c r="G55" s="336">
        <f>G56</f>
        <v>604.80000000000007</v>
      </c>
      <c r="H55" s="336">
        <f t="shared" ref="H55" si="28">H56</f>
        <v>404.27</v>
      </c>
      <c r="I55" s="336">
        <f t="shared" si="1"/>
        <v>66.843584656084644</v>
      </c>
      <c r="J55" s="325"/>
      <c r="K55" s="325"/>
      <c r="L55" s="325"/>
      <c r="M55" s="325"/>
      <c r="N55" s="325"/>
    </row>
    <row r="56" spans="1:14" s="214" customFormat="1" ht="31.5" x14ac:dyDescent="0.25">
      <c r="A56" s="361" t="s">
        <v>145</v>
      </c>
      <c r="B56" s="359">
        <v>902</v>
      </c>
      <c r="C56" s="360" t="s">
        <v>134</v>
      </c>
      <c r="D56" s="360" t="s">
        <v>166</v>
      </c>
      <c r="E56" s="360" t="s">
        <v>993</v>
      </c>
      <c r="F56" s="360" t="s">
        <v>146</v>
      </c>
      <c r="G56" s="336">
        <f>715.9-223+10.3+25.5+76.1</f>
        <v>604.80000000000007</v>
      </c>
      <c r="H56" s="336">
        <v>404.27</v>
      </c>
      <c r="I56" s="336">
        <f t="shared" si="1"/>
        <v>66.843584656084644</v>
      </c>
      <c r="J56" s="325"/>
      <c r="K56" s="325"/>
      <c r="L56" s="325"/>
      <c r="M56" s="325"/>
      <c r="N56" s="325"/>
    </row>
    <row r="57" spans="1:14" s="214" customFormat="1" ht="31.5" hidden="1" x14ac:dyDescent="0.25">
      <c r="A57" s="361" t="s">
        <v>147</v>
      </c>
      <c r="B57" s="359">
        <v>902</v>
      </c>
      <c r="C57" s="360" t="s">
        <v>134</v>
      </c>
      <c r="D57" s="360" t="s">
        <v>166</v>
      </c>
      <c r="E57" s="360" t="s">
        <v>993</v>
      </c>
      <c r="F57" s="360" t="s">
        <v>148</v>
      </c>
      <c r="G57" s="336">
        <f>G58</f>
        <v>0</v>
      </c>
      <c r="H57" s="336">
        <f t="shared" ref="H57" si="29">H58</f>
        <v>0</v>
      </c>
      <c r="I57" s="336" t="e">
        <f t="shared" si="1"/>
        <v>#DIV/0!</v>
      </c>
      <c r="J57" s="325"/>
      <c r="K57" s="325"/>
      <c r="L57" s="325"/>
      <c r="M57" s="325"/>
      <c r="N57" s="325"/>
    </row>
    <row r="58" spans="1:14" s="214" customFormat="1" ht="31.5" hidden="1" x14ac:dyDescent="0.25">
      <c r="A58" s="361" t="s">
        <v>149</v>
      </c>
      <c r="B58" s="359">
        <v>902</v>
      </c>
      <c r="C58" s="360" t="s">
        <v>134</v>
      </c>
      <c r="D58" s="360" t="s">
        <v>166</v>
      </c>
      <c r="E58" s="360" t="s">
        <v>993</v>
      </c>
      <c r="F58" s="360" t="s">
        <v>150</v>
      </c>
      <c r="G58" s="336">
        <f>76.1-76.1</f>
        <v>0</v>
      </c>
      <c r="H58" s="336">
        <f t="shared" ref="H58" si="30">76.1-76.1</f>
        <v>0</v>
      </c>
      <c r="I58" s="336" t="e">
        <f t="shared" si="1"/>
        <v>#DIV/0!</v>
      </c>
      <c r="J58" s="325"/>
      <c r="K58" s="325"/>
      <c r="L58" s="325"/>
      <c r="M58" s="325"/>
      <c r="N58" s="325"/>
    </row>
    <row r="59" spans="1:14" s="214" customFormat="1" ht="47.25" x14ac:dyDescent="0.25">
      <c r="A59" s="31" t="s">
        <v>210</v>
      </c>
      <c r="B59" s="359">
        <v>902</v>
      </c>
      <c r="C59" s="360" t="s">
        <v>134</v>
      </c>
      <c r="D59" s="360" t="s">
        <v>166</v>
      </c>
      <c r="E59" s="360" t="s">
        <v>1195</v>
      </c>
      <c r="F59" s="360"/>
      <c r="G59" s="336">
        <f>G60+G62</f>
        <v>1433.3</v>
      </c>
      <c r="H59" s="336">
        <f t="shared" ref="H59" si="31">H60+H62</f>
        <v>849.99</v>
      </c>
      <c r="I59" s="336">
        <f t="shared" si="1"/>
        <v>59.303007046675503</v>
      </c>
      <c r="J59" s="325"/>
      <c r="K59" s="325"/>
      <c r="L59" s="325"/>
      <c r="M59" s="325"/>
      <c r="N59" s="325"/>
    </row>
    <row r="60" spans="1:14" s="214" customFormat="1" ht="63" x14ac:dyDescent="0.25">
      <c r="A60" s="361" t="s">
        <v>143</v>
      </c>
      <c r="B60" s="359">
        <v>902</v>
      </c>
      <c r="C60" s="360" t="s">
        <v>134</v>
      </c>
      <c r="D60" s="360" t="s">
        <v>166</v>
      </c>
      <c r="E60" s="360" t="s">
        <v>1195</v>
      </c>
      <c r="F60" s="360" t="s">
        <v>144</v>
      </c>
      <c r="G60" s="336">
        <f>G61</f>
        <v>1372.1</v>
      </c>
      <c r="H60" s="336">
        <f t="shared" ref="H60" si="32">H61</f>
        <v>830.41</v>
      </c>
      <c r="I60" s="336">
        <f t="shared" si="1"/>
        <v>60.521099045259099</v>
      </c>
      <c r="J60" s="325"/>
      <c r="K60" s="325"/>
      <c r="L60" s="325"/>
      <c r="M60" s="325"/>
      <c r="N60" s="325"/>
    </row>
    <row r="61" spans="1:14" s="214" customFormat="1" ht="31.5" x14ac:dyDescent="0.25">
      <c r="A61" s="361" t="s">
        <v>145</v>
      </c>
      <c r="B61" s="359">
        <v>902</v>
      </c>
      <c r="C61" s="360" t="s">
        <v>134</v>
      </c>
      <c r="D61" s="360" t="s">
        <v>166</v>
      </c>
      <c r="E61" s="360" t="s">
        <v>1195</v>
      </c>
      <c r="F61" s="360" t="s">
        <v>146</v>
      </c>
      <c r="G61" s="336">
        <f>1333.1-39.7-21.5+100.2</f>
        <v>1372.1</v>
      </c>
      <c r="H61" s="336">
        <v>830.41</v>
      </c>
      <c r="I61" s="336">
        <f t="shared" si="1"/>
        <v>60.521099045259099</v>
      </c>
      <c r="J61" s="325"/>
      <c r="K61" s="325"/>
      <c r="L61" s="325"/>
      <c r="M61" s="325"/>
      <c r="N61" s="325"/>
    </row>
    <row r="62" spans="1:14" s="214" customFormat="1" ht="31.5" x14ac:dyDescent="0.25">
      <c r="A62" s="361" t="s">
        <v>147</v>
      </c>
      <c r="B62" s="359">
        <v>902</v>
      </c>
      <c r="C62" s="360" t="s">
        <v>134</v>
      </c>
      <c r="D62" s="360" t="s">
        <v>166</v>
      </c>
      <c r="E62" s="360" t="s">
        <v>1195</v>
      </c>
      <c r="F62" s="360" t="s">
        <v>148</v>
      </c>
      <c r="G62" s="336">
        <f>G63</f>
        <v>61.2</v>
      </c>
      <c r="H62" s="336">
        <f t="shared" ref="H62" si="33">H63</f>
        <v>19.579999999999998</v>
      </c>
      <c r="I62" s="336">
        <f t="shared" si="1"/>
        <v>31.993464052287578</v>
      </c>
      <c r="J62" s="325"/>
      <c r="K62" s="325"/>
      <c r="L62" s="325"/>
      <c r="M62" s="325"/>
      <c r="N62" s="325"/>
    </row>
    <row r="63" spans="1:14" s="214" customFormat="1" ht="31.5" x14ac:dyDescent="0.25">
      <c r="A63" s="361" t="s">
        <v>149</v>
      </c>
      <c r="B63" s="359">
        <v>902</v>
      </c>
      <c r="C63" s="360" t="s">
        <v>134</v>
      </c>
      <c r="D63" s="360" t="s">
        <v>166</v>
      </c>
      <c r="E63" s="360" t="s">
        <v>1195</v>
      </c>
      <c r="F63" s="360" t="s">
        <v>150</v>
      </c>
      <c r="G63" s="336">
        <f>156.9-116.5-0.7+21.5</f>
        <v>61.2</v>
      </c>
      <c r="H63" s="336">
        <v>19.579999999999998</v>
      </c>
      <c r="I63" s="336">
        <f t="shared" si="1"/>
        <v>31.993464052287578</v>
      </c>
      <c r="J63" s="325"/>
      <c r="K63" s="325"/>
      <c r="L63" s="325"/>
      <c r="M63" s="325"/>
      <c r="N63" s="325"/>
    </row>
    <row r="64" spans="1:14" s="214" customFormat="1" ht="31.5" x14ac:dyDescent="0.25">
      <c r="A64" s="31" t="s">
        <v>212</v>
      </c>
      <c r="B64" s="359">
        <v>902</v>
      </c>
      <c r="C64" s="360" t="s">
        <v>134</v>
      </c>
      <c r="D64" s="360" t="s">
        <v>166</v>
      </c>
      <c r="E64" s="360" t="s">
        <v>994</v>
      </c>
      <c r="F64" s="360"/>
      <c r="G64" s="336">
        <f>G65+G67</f>
        <v>1115.9000000000001</v>
      </c>
      <c r="H64" s="336">
        <f t="shared" ref="H64" si="34">H65+H67</f>
        <v>437.3</v>
      </c>
      <c r="I64" s="336">
        <f t="shared" si="1"/>
        <v>39.188099292051263</v>
      </c>
      <c r="J64" s="325"/>
      <c r="K64" s="325"/>
      <c r="L64" s="325"/>
      <c r="M64" s="325"/>
      <c r="N64" s="325"/>
    </row>
    <row r="65" spans="1:14" s="214" customFormat="1" ht="63" x14ac:dyDescent="0.25">
      <c r="A65" s="361" t="s">
        <v>143</v>
      </c>
      <c r="B65" s="359">
        <v>902</v>
      </c>
      <c r="C65" s="360" t="s">
        <v>134</v>
      </c>
      <c r="D65" s="360" t="s">
        <v>166</v>
      </c>
      <c r="E65" s="360" t="s">
        <v>994</v>
      </c>
      <c r="F65" s="360" t="s">
        <v>144</v>
      </c>
      <c r="G65" s="336">
        <f>G66</f>
        <v>1081.9000000000001</v>
      </c>
      <c r="H65" s="336">
        <f t="shared" ref="H65" si="35">H66</f>
        <v>432.3</v>
      </c>
      <c r="I65" s="336">
        <f t="shared" si="1"/>
        <v>39.957482207228026</v>
      </c>
      <c r="J65" s="325"/>
      <c r="K65" s="325"/>
      <c r="L65" s="325"/>
      <c r="M65" s="325"/>
      <c r="N65" s="325"/>
    </row>
    <row r="66" spans="1:14" s="214" customFormat="1" ht="31.5" x14ac:dyDescent="0.25">
      <c r="A66" s="361" t="s">
        <v>145</v>
      </c>
      <c r="B66" s="359">
        <v>902</v>
      </c>
      <c r="C66" s="360" t="s">
        <v>134</v>
      </c>
      <c r="D66" s="360" t="s">
        <v>166</v>
      </c>
      <c r="E66" s="360" t="s">
        <v>994</v>
      </c>
      <c r="F66" s="360" t="s">
        <v>146</v>
      </c>
      <c r="G66" s="336">
        <f>1026.5+55.4</f>
        <v>1081.9000000000001</v>
      </c>
      <c r="H66" s="336">
        <v>432.3</v>
      </c>
      <c r="I66" s="336">
        <f t="shared" si="1"/>
        <v>39.957482207228026</v>
      </c>
      <c r="J66" s="325"/>
      <c r="K66" s="325"/>
      <c r="L66" s="325"/>
      <c r="M66" s="325"/>
      <c r="N66" s="325"/>
    </row>
    <row r="67" spans="1:14" s="214" customFormat="1" ht="31.5" x14ac:dyDescent="0.25">
      <c r="A67" s="361" t="s">
        <v>214</v>
      </c>
      <c r="B67" s="359">
        <v>902</v>
      </c>
      <c r="C67" s="360" t="s">
        <v>134</v>
      </c>
      <c r="D67" s="360" t="s">
        <v>166</v>
      </c>
      <c r="E67" s="360" t="s">
        <v>994</v>
      </c>
      <c r="F67" s="360" t="s">
        <v>148</v>
      </c>
      <c r="G67" s="336">
        <f>G68</f>
        <v>34.000000000000007</v>
      </c>
      <c r="H67" s="336">
        <f t="shared" ref="H67" si="36">H68</f>
        <v>5</v>
      </c>
      <c r="I67" s="336">
        <f t="shared" si="1"/>
        <v>14.705882352941174</v>
      </c>
      <c r="J67" s="325"/>
      <c r="K67" s="325"/>
      <c r="L67" s="325"/>
      <c r="M67" s="325"/>
      <c r="N67" s="325"/>
    </row>
    <row r="68" spans="1:14" s="214" customFormat="1" ht="31.5" x14ac:dyDescent="0.25">
      <c r="A68" s="361" t="s">
        <v>149</v>
      </c>
      <c r="B68" s="359">
        <v>902</v>
      </c>
      <c r="C68" s="360" t="s">
        <v>134</v>
      </c>
      <c r="D68" s="360" t="s">
        <v>166</v>
      </c>
      <c r="E68" s="360" t="s">
        <v>994</v>
      </c>
      <c r="F68" s="360" t="s">
        <v>150</v>
      </c>
      <c r="G68" s="336">
        <f>89.4-55.4</f>
        <v>34.000000000000007</v>
      </c>
      <c r="H68" s="336">
        <v>5</v>
      </c>
      <c r="I68" s="336">
        <f t="shared" si="1"/>
        <v>14.705882352941174</v>
      </c>
      <c r="J68" s="325"/>
      <c r="K68" s="325"/>
      <c r="L68" s="325"/>
      <c r="M68" s="325"/>
      <c r="N68" s="325"/>
    </row>
    <row r="69" spans="1:14" s="214" customFormat="1" ht="47.25" x14ac:dyDescent="0.25">
      <c r="A69" s="333" t="s">
        <v>820</v>
      </c>
      <c r="B69" s="330">
        <v>902</v>
      </c>
      <c r="C69" s="334" t="s">
        <v>134</v>
      </c>
      <c r="D69" s="334" t="s">
        <v>166</v>
      </c>
      <c r="E69" s="334" t="s">
        <v>178</v>
      </c>
      <c r="F69" s="334"/>
      <c r="G69" s="332">
        <f>G70+G74+G80</f>
        <v>523</v>
      </c>
      <c r="H69" s="332">
        <f t="shared" ref="H69" si="37">H70+H74+H80</f>
        <v>367.15</v>
      </c>
      <c r="I69" s="332">
        <f t="shared" si="1"/>
        <v>70.200764818355637</v>
      </c>
      <c r="J69" s="325"/>
      <c r="K69" s="325"/>
      <c r="L69" s="325"/>
      <c r="M69" s="325"/>
      <c r="N69" s="325"/>
    </row>
    <row r="70" spans="1:14" s="214" customFormat="1" ht="47.25" x14ac:dyDescent="0.25">
      <c r="A70" s="229" t="s">
        <v>1155</v>
      </c>
      <c r="B70" s="330">
        <v>902</v>
      </c>
      <c r="C70" s="334" t="s">
        <v>134</v>
      </c>
      <c r="D70" s="334" t="s">
        <v>166</v>
      </c>
      <c r="E70" s="327" t="s">
        <v>895</v>
      </c>
      <c r="F70" s="334"/>
      <c r="G70" s="332">
        <f>G71</f>
        <v>446</v>
      </c>
      <c r="H70" s="332">
        <f t="shared" ref="H70:H72" si="38">H71</f>
        <v>348.9</v>
      </c>
      <c r="I70" s="332">
        <f t="shared" si="1"/>
        <v>78.228699551569505</v>
      </c>
      <c r="J70" s="325"/>
      <c r="K70" s="325"/>
      <c r="L70" s="325"/>
      <c r="M70" s="325"/>
      <c r="N70" s="325"/>
    </row>
    <row r="71" spans="1:14" s="214" customFormat="1" ht="31.5" x14ac:dyDescent="0.25">
      <c r="A71" s="338" t="s">
        <v>1154</v>
      </c>
      <c r="B71" s="359">
        <v>902</v>
      </c>
      <c r="C71" s="360" t="s">
        <v>134</v>
      </c>
      <c r="D71" s="360" t="s">
        <v>166</v>
      </c>
      <c r="E71" s="339" t="s">
        <v>887</v>
      </c>
      <c r="F71" s="360"/>
      <c r="G71" s="336">
        <f>G72</f>
        <v>446</v>
      </c>
      <c r="H71" s="336">
        <f t="shared" si="38"/>
        <v>348.9</v>
      </c>
      <c r="I71" s="336">
        <f t="shared" si="1"/>
        <v>78.228699551569505</v>
      </c>
      <c r="J71" s="325"/>
      <c r="K71" s="325"/>
      <c r="L71" s="325"/>
      <c r="M71" s="325"/>
      <c r="N71" s="325"/>
    </row>
    <row r="72" spans="1:14" s="214" customFormat="1" ht="31.5" x14ac:dyDescent="0.25">
      <c r="A72" s="361" t="s">
        <v>147</v>
      </c>
      <c r="B72" s="359">
        <v>902</v>
      </c>
      <c r="C72" s="360" t="s">
        <v>134</v>
      </c>
      <c r="D72" s="360" t="s">
        <v>166</v>
      </c>
      <c r="E72" s="339" t="s">
        <v>887</v>
      </c>
      <c r="F72" s="360" t="s">
        <v>148</v>
      </c>
      <c r="G72" s="336">
        <f>G73</f>
        <v>446</v>
      </c>
      <c r="H72" s="336">
        <f t="shared" si="38"/>
        <v>348.9</v>
      </c>
      <c r="I72" s="336">
        <f t="shared" si="1"/>
        <v>78.228699551569505</v>
      </c>
      <c r="J72" s="325"/>
      <c r="K72" s="325"/>
      <c r="L72" s="325"/>
      <c r="M72" s="325"/>
      <c r="N72" s="325"/>
    </row>
    <row r="73" spans="1:14" s="214" customFormat="1" ht="31.5" x14ac:dyDescent="0.25">
      <c r="A73" s="361" t="s">
        <v>149</v>
      </c>
      <c r="B73" s="359">
        <v>902</v>
      </c>
      <c r="C73" s="360" t="s">
        <v>134</v>
      </c>
      <c r="D73" s="360" t="s">
        <v>166</v>
      </c>
      <c r="E73" s="339" t="s">
        <v>887</v>
      </c>
      <c r="F73" s="360" t="s">
        <v>150</v>
      </c>
      <c r="G73" s="336">
        <v>446</v>
      </c>
      <c r="H73" s="336">
        <v>348.9</v>
      </c>
      <c r="I73" s="336">
        <f t="shared" si="1"/>
        <v>78.228699551569505</v>
      </c>
      <c r="J73" s="325"/>
      <c r="K73" s="325"/>
      <c r="L73" s="325"/>
      <c r="M73" s="325"/>
      <c r="N73" s="325"/>
    </row>
    <row r="74" spans="1:14" s="214" customFormat="1" ht="63" x14ac:dyDescent="0.25">
      <c r="A74" s="228" t="s">
        <v>889</v>
      </c>
      <c r="B74" s="330">
        <v>902</v>
      </c>
      <c r="C74" s="334" t="s">
        <v>134</v>
      </c>
      <c r="D74" s="334" t="s">
        <v>166</v>
      </c>
      <c r="E74" s="327" t="s">
        <v>896</v>
      </c>
      <c r="F74" s="334"/>
      <c r="G74" s="332">
        <f>G75</f>
        <v>76.5</v>
      </c>
      <c r="H74" s="332">
        <f t="shared" ref="H74" si="39">H75</f>
        <v>18.25</v>
      </c>
      <c r="I74" s="332">
        <f t="shared" si="1"/>
        <v>23.856209150326798</v>
      </c>
      <c r="J74" s="325"/>
      <c r="K74" s="325"/>
      <c r="L74" s="325"/>
      <c r="M74" s="325"/>
      <c r="N74" s="325"/>
    </row>
    <row r="75" spans="1:14" s="214" customFormat="1" ht="47.25" x14ac:dyDescent="0.25">
      <c r="A75" s="178" t="s">
        <v>181</v>
      </c>
      <c r="B75" s="359">
        <v>902</v>
      </c>
      <c r="C75" s="360" t="s">
        <v>134</v>
      </c>
      <c r="D75" s="360" t="s">
        <v>166</v>
      </c>
      <c r="E75" s="339" t="s">
        <v>888</v>
      </c>
      <c r="F75" s="360"/>
      <c r="G75" s="336">
        <f>G76+G78</f>
        <v>76.5</v>
      </c>
      <c r="H75" s="336">
        <f t="shared" ref="H75" si="40">H76+H78</f>
        <v>18.25</v>
      </c>
      <c r="I75" s="336">
        <f t="shared" ref="I75:I138" si="41">H75/G75*100</f>
        <v>23.856209150326798</v>
      </c>
      <c r="J75" s="325"/>
      <c r="K75" s="325"/>
      <c r="L75" s="325"/>
      <c r="M75" s="325"/>
      <c r="N75" s="325"/>
    </row>
    <row r="76" spans="1:14" s="214" customFormat="1" ht="63" x14ac:dyDescent="0.25">
      <c r="A76" s="361" t="s">
        <v>143</v>
      </c>
      <c r="B76" s="359">
        <v>902</v>
      </c>
      <c r="C76" s="360" t="s">
        <v>134</v>
      </c>
      <c r="D76" s="360" t="s">
        <v>166</v>
      </c>
      <c r="E76" s="339" t="s">
        <v>888</v>
      </c>
      <c r="F76" s="360" t="s">
        <v>144</v>
      </c>
      <c r="G76" s="336">
        <f>G77</f>
        <v>37</v>
      </c>
      <c r="H76" s="336">
        <f t="shared" ref="H76" si="42">H77</f>
        <v>0</v>
      </c>
      <c r="I76" s="336">
        <f t="shared" si="41"/>
        <v>0</v>
      </c>
      <c r="J76" s="325"/>
      <c r="K76" s="325"/>
      <c r="L76" s="325"/>
      <c r="M76" s="325"/>
      <c r="N76" s="325"/>
    </row>
    <row r="77" spans="1:14" s="214" customFormat="1" ht="31.5" x14ac:dyDescent="0.25">
      <c r="A77" s="361" t="s">
        <v>145</v>
      </c>
      <c r="B77" s="359">
        <v>902</v>
      </c>
      <c r="C77" s="360" t="s">
        <v>134</v>
      </c>
      <c r="D77" s="360" t="s">
        <v>166</v>
      </c>
      <c r="E77" s="339" t="s">
        <v>888</v>
      </c>
      <c r="F77" s="360" t="s">
        <v>146</v>
      </c>
      <c r="G77" s="336">
        <v>37</v>
      </c>
      <c r="H77" s="336">
        <v>0</v>
      </c>
      <c r="I77" s="336">
        <f t="shared" si="41"/>
        <v>0</v>
      </c>
      <c r="J77" s="325"/>
      <c r="K77" s="325"/>
      <c r="L77" s="325"/>
      <c r="M77" s="325"/>
      <c r="N77" s="325"/>
    </row>
    <row r="78" spans="1:14" s="214" customFormat="1" ht="31.5" x14ac:dyDescent="0.25">
      <c r="A78" s="361" t="s">
        <v>147</v>
      </c>
      <c r="B78" s="359">
        <v>902</v>
      </c>
      <c r="C78" s="360" t="s">
        <v>134</v>
      </c>
      <c r="D78" s="360" t="s">
        <v>166</v>
      </c>
      <c r="E78" s="339" t="s">
        <v>888</v>
      </c>
      <c r="F78" s="360" t="s">
        <v>148</v>
      </c>
      <c r="G78" s="336">
        <f>G79</f>
        <v>39.5</v>
      </c>
      <c r="H78" s="336">
        <f t="shared" ref="H78" si="43">H79</f>
        <v>18.25</v>
      </c>
      <c r="I78" s="336">
        <f t="shared" si="41"/>
        <v>46.202531645569621</v>
      </c>
      <c r="J78" s="325"/>
      <c r="K78" s="325"/>
      <c r="L78" s="325"/>
      <c r="M78" s="325"/>
      <c r="N78" s="325"/>
    </row>
    <row r="79" spans="1:14" s="214" customFormat="1" ht="31.5" x14ac:dyDescent="0.25">
      <c r="A79" s="361" t="s">
        <v>149</v>
      </c>
      <c r="B79" s="359">
        <v>902</v>
      </c>
      <c r="C79" s="360" t="s">
        <v>134</v>
      </c>
      <c r="D79" s="360" t="s">
        <v>166</v>
      </c>
      <c r="E79" s="339" t="s">
        <v>888</v>
      </c>
      <c r="F79" s="360" t="s">
        <v>150</v>
      </c>
      <c r="G79" s="336">
        <f>40-0.5</f>
        <v>39.5</v>
      </c>
      <c r="H79" s="336">
        <v>18.25</v>
      </c>
      <c r="I79" s="336">
        <f t="shared" si="41"/>
        <v>46.202531645569621</v>
      </c>
      <c r="J79" s="325"/>
      <c r="K79" s="325"/>
      <c r="L79" s="325"/>
      <c r="M79" s="325"/>
      <c r="N79" s="325"/>
    </row>
    <row r="80" spans="1:14" s="214" customFormat="1" ht="51" customHeight="1" x14ac:dyDescent="0.25">
      <c r="A80" s="230" t="s">
        <v>1156</v>
      </c>
      <c r="B80" s="330">
        <v>902</v>
      </c>
      <c r="C80" s="334" t="s">
        <v>134</v>
      </c>
      <c r="D80" s="334" t="s">
        <v>166</v>
      </c>
      <c r="E80" s="327" t="s">
        <v>897</v>
      </c>
      <c r="F80" s="334"/>
      <c r="G80" s="332">
        <f>G81+G84</f>
        <v>0.5</v>
      </c>
      <c r="H80" s="332">
        <f t="shared" ref="H80" si="44">H81+H84</f>
        <v>0</v>
      </c>
      <c r="I80" s="332">
        <f t="shared" si="41"/>
        <v>0</v>
      </c>
      <c r="J80" s="325"/>
      <c r="K80" s="325"/>
      <c r="L80" s="325"/>
      <c r="M80" s="325"/>
      <c r="N80" s="325"/>
    </row>
    <row r="81" spans="1:14" s="214" customFormat="1" ht="31.5" x14ac:dyDescent="0.25">
      <c r="A81" s="33" t="s">
        <v>1296</v>
      </c>
      <c r="B81" s="359">
        <v>902</v>
      </c>
      <c r="C81" s="360" t="s">
        <v>134</v>
      </c>
      <c r="D81" s="360" t="s">
        <v>166</v>
      </c>
      <c r="E81" s="339" t="s">
        <v>890</v>
      </c>
      <c r="F81" s="360"/>
      <c r="G81" s="336">
        <f>G82</f>
        <v>0.5</v>
      </c>
      <c r="H81" s="336">
        <f t="shared" ref="H81:H82" si="45">H82</f>
        <v>0</v>
      </c>
      <c r="I81" s="336">
        <f t="shared" si="41"/>
        <v>0</v>
      </c>
      <c r="J81" s="325"/>
      <c r="K81" s="325"/>
      <c r="L81" s="325"/>
      <c r="M81" s="325"/>
      <c r="N81" s="325"/>
    </row>
    <row r="82" spans="1:14" s="214" customFormat="1" ht="31.5" x14ac:dyDescent="0.25">
      <c r="A82" s="361" t="s">
        <v>147</v>
      </c>
      <c r="B82" s="359">
        <v>902</v>
      </c>
      <c r="C82" s="360" t="s">
        <v>134</v>
      </c>
      <c r="D82" s="360" t="s">
        <v>166</v>
      </c>
      <c r="E82" s="339" t="s">
        <v>890</v>
      </c>
      <c r="F82" s="360" t="s">
        <v>148</v>
      </c>
      <c r="G82" s="336">
        <f>G83</f>
        <v>0.5</v>
      </c>
      <c r="H82" s="336">
        <f t="shared" si="45"/>
        <v>0</v>
      </c>
      <c r="I82" s="336">
        <f t="shared" si="41"/>
        <v>0</v>
      </c>
      <c r="J82" s="325"/>
      <c r="K82" s="325"/>
      <c r="L82" s="325"/>
      <c r="M82" s="325"/>
      <c r="N82" s="325"/>
    </row>
    <row r="83" spans="1:14" s="214" customFormat="1" ht="31.5" x14ac:dyDescent="0.25">
      <c r="A83" s="361" t="s">
        <v>149</v>
      </c>
      <c r="B83" s="359">
        <v>902</v>
      </c>
      <c r="C83" s="360" t="s">
        <v>134</v>
      </c>
      <c r="D83" s="360" t="s">
        <v>166</v>
      </c>
      <c r="E83" s="339" t="s">
        <v>890</v>
      </c>
      <c r="F83" s="360" t="s">
        <v>150</v>
      </c>
      <c r="G83" s="336">
        <v>0.5</v>
      </c>
      <c r="H83" s="336"/>
      <c r="I83" s="336">
        <f t="shared" si="41"/>
        <v>0</v>
      </c>
      <c r="J83" s="325"/>
      <c r="K83" s="325"/>
      <c r="L83" s="325"/>
      <c r="M83" s="325"/>
      <c r="N83" s="325"/>
    </row>
    <row r="84" spans="1:14" s="214" customFormat="1" ht="31.5" hidden="1" x14ac:dyDescent="0.25">
      <c r="A84" s="33" t="s">
        <v>207</v>
      </c>
      <c r="B84" s="359">
        <v>902</v>
      </c>
      <c r="C84" s="360" t="s">
        <v>134</v>
      </c>
      <c r="D84" s="360" t="s">
        <v>166</v>
      </c>
      <c r="E84" s="360" t="s">
        <v>891</v>
      </c>
      <c r="F84" s="360"/>
      <c r="G84" s="336">
        <f>G85</f>
        <v>0</v>
      </c>
      <c r="H84" s="336">
        <f t="shared" ref="H84:H85" si="46">H85</f>
        <v>0</v>
      </c>
      <c r="I84" s="336" t="e">
        <f t="shared" si="41"/>
        <v>#DIV/0!</v>
      </c>
      <c r="J84" s="325"/>
      <c r="K84" s="325"/>
      <c r="L84" s="325"/>
      <c r="M84" s="325"/>
      <c r="N84" s="325"/>
    </row>
    <row r="85" spans="1:14" s="214" customFormat="1" ht="31.5" hidden="1" x14ac:dyDescent="0.25">
      <c r="A85" s="361" t="s">
        <v>147</v>
      </c>
      <c r="B85" s="359">
        <v>902</v>
      </c>
      <c r="C85" s="360" t="s">
        <v>134</v>
      </c>
      <c r="D85" s="360" t="s">
        <v>166</v>
      </c>
      <c r="E85" s="360" t="s">
        <v>891</v>
      </c>
      <c r="F85" s="360" t="s">
        <v>148</v>
      </c>
      <c r="G85" s="336">
        <f>G86</f>
        <v>0</v>
      </c>
      <c r="H85" s="336">
        <f t="shared" si="46"/>
        <v>0</v>
      </c>
      <c r="I85" s="336" t="e">
        <f t="shared" si="41"/>
        <v>#DIV/0!</v>
      </c>
      <c r="J85" s="325"/>
      <c r="K85" s="325"/>
      <c r="L85" s="325"/>
      <c r="M85" s="325"/>
      <c r="N85" s="325"/>
    </row>
    <row r="86" spans="1:14" s="214" customFormat="1" ht="31.5" hidden="1" x14ac:dyDescent="0.25">
      <c r="A86" s="361" t="s">
        <v>149</v>
      </c>
      <c r="B86" s="359">
        <v>902</v>
      </c>
      <c r="C86" s="360" t="s">
        <v>134</v>
      </c>
      <c r="D86" s="360" t="s">
        <v>166</v>
      </c>
      <c r="E86" s="360" t="s">
        <v>891</v>
      </c>
      <c r="F86" s="360" t="s">
        <v>150</v>
      </c>
      <c r="G86" s="336">
        <v>0</v>
      </c>
      <c r="H86" s="336">
        <v>0</v>
      </c>
      <c r="I86" s="336" t="e">
        <f t="shared" si="41"/>
        <v>#DIV/0!</v>
      </c>
      <c r="J86" s="325"/>
      <c r="K86" s="325"/>
      <c r="L86" s="325"/>
      <c r="M86" s="325"/>
      <c r="N86" s="325"/>
    </row>
    <row r="87" spans="1:14" ht="47.25" x14ac:dyDescent="0.25">
      <c r="A87" s="333" t="s">
        <v>135</v>
      </c>
      <c r="B87" s="330">
        <v>902</v>
      </c>
      <c r="C87" s="334" t="s">
        <v>134</v>
      </c>
      <c r="D87" s="334" t="s">
        <v>136</v>
      </c>
      <c r="E87" s="334"/>
      <c r="F87" s="360"/>
      <c r="G87" s="332">
        <f>G88</f>
        <v>995</v>
      </c>
      <c r="H87" s="332">
        <f t="shared" ref="H87:H88" si="47">H88</f>
        <v>821.18</v>
      </c>
      <c r="I87" s="332">
        <f t="shared" si="41"/>
        <v>82.530653266331655</v>
      </c>
    </row>
    <row r="88" spans="1:14" ht="39.200000000000003" customHeight="1" x14ac:dyDescent="0.25">
      <c r="A88" s="333" t="s">
        <v>990</v>
      </c>
      <c r="B88" s="330">
        <v>902</v>
      </c>
      <c r="C88" s="334" t="s">
        <v>134</v>
      </c>
      <c r="D88" s="334" t="s">
        <v>136</v>
      </c>
      <c r="E88" s="334" t="s">
        <v>904</v>
      </c>
      <c r="F88" s="334"/>
      <c r="G88" s="332">
        <f>G89</f>
        <v>995</v>
      </c>
      <c r="H88" s="332">
        <f t="shared" si="47"/>
        <v>821.18</v>
      </c>
      <c r="I88" s="332">
        <f t="shared" si="41"/>
        <v>82.530653266331655</v>
      </c>
    </row>
    <row r="89" spans="1:14" ht="15.75" x14ac:dyDescent="0.25">
      <c r="A89" s="333" t="s">
        <v>991</v>
      </c>
      <c r="B89" s="330">
        <v>902</v>
      </c>
      <c r="C89" s="334" t="s">
        <v>134</v>
      </c>
      <c r="D89" s="334" t="s">
        <v>136</v>
      </c>
      <c r="E89" s="334" t="s">
        <v>905</v>
      </c>
      <c r="F89" s="334"/>
      <c r="G89" s="332">
        <f>G90+G93</f>
        <v>995</v>
      </c>
      <c r="H89" s="332">
        <f t="shared" ref="H89" si="48">H90+H93</f>
        <v>821.18</v>
      </c>
      <c r="I89" s="332">
        <f t="shared" si="41"/>
        <v>82.530653266331655</v>
      </c>
    </row>
    <row r="90" spans="1:14" ht="31.5" x14ac:dyDescent="0.25">
      <c r="A90" s="361" t="s">
        <v>967</v>
      </c>
      <c r="B90" s="359">
        <v>902</v>
      </c>
      <c r="C90" s="360" t="s">
        <v>134</v>
      </c>
      <c r="D90" s="360" t="s">
        <v>136</v>
      </c>
      <c r="E90" s="360" t="s">
        <v>906</v>
      </c>
      <c r="F90" s="360"/>
      <c r="G90" s="336">
        <f>G91</f>
        <v>954</v>
      </c>
      <c r="H90" s="336">
        <f t="shared" ref="H90:H91" si="49">H91</f>
        <v>821.18</v>
      </c>
      <c r="I90" s="336">
        <f t="shared" si="41"/>
        <v>86.077568134171898</v>
      </c>
    </row>
    <row r="91" spans="1:14" ht="63" x14ac:dyDescent="0.25">
      <c r="A91" s="361" t="s">
        <v>143</v>
      </c>
      <c r="B91" s="359">
        <v>902</v>
      </c>
      <c r="C91" s="360" t="s">
        <v>134</v>
      </c>
      <c r="D91" s="360" t="s">
        <v>136</v>
      </c>
      <c r="E91" s="360" t="s">
        <v>906</v>
      </c>
      <c r="F91" s="360" t="s">
        <v>144</v>
      </c>
      <c r="G91" s="336">
        <f>G92</f>
        <v>954</v>
      </c>
      <c r="H91" s="336">
        <f t="shared" si="49"/>
        <v>821.18</v>
      </c>
      <c r="I91" s="336">
        <f t="shared" si="41"/>
        <v>86.077568134171898</v>
      </c>
    </row>
    <row r="92" spans="1:14" ht="31.5" x14ac:dyDescent="0.25">
      <c r="A92" s="361" t="s">
        <v>145</v>
      </c>
      <c r="B92" s="359">
        <v>902</v>
      </c>
      <c r="C92" s="360" t="s">
        <v>134</v>
      </c>
      <c r="D92" s="360" t="s">
        <v>136</v>
      </c>
      <c r="E92" s="360" t="s">
        <v>906</v>
      </c>
      <c r="F92" s="360" t="s">
        <v>146</v>
      </c>
      <c r="G92" s="362">
        <f>899+55</f>
        <v>954</v>
      </c>
      <c r="H92" s="362">
        <v>821.18</v>
      </c>
      <c r="I92" s="336">
        <f t="shared" si="41"/>
        <v>86.077568134171898</v>
      </c>
    </row>
    <row r="93" spans="1:14" ht="31.7" customHeight="1" x14ac:dyDescent="0.25">
      <c r="A93" s="361" t="s">
        <v>885</v>
      </c>
      <c r="B93" s="359">
        <v>902</v>
      </c>
      <c r="C93" s="360" t="s">
        <v>134</v>
      </c>
      <c r="D93" s="360" t="s">
        <v>136</v>
      </c>
      <c r="E93" s="360" t="s">
        <v>908</v>
      </c>
      <c r="F93" s="360"/>
      <c r="G93" s="336">
        <f>G94</f>
        <v>41</v>
      </c>
      <c r="H93" s="336">
        <f t="shared" ref="H93:H94" si="50">H94</f>
        <v>0</v>
      </c>
      <c r="I93" s="336">
        <f t="shared" si="41"/>
        <v>0</v>
      </c>
    </row>
    <row r="94" spans="1:14" s="214" customFormat="1" ht="31.7" customHeight="1" x14ac:dyDescent="0.25">
      <c r="A94" s="361" t="s">
        <v>143</v>
      </c>
      <c r="B94" s="359">
        <v>902</v>
      </c>
      <c r="C94" s="360" t="s">
        <v>134</v>
      </c>
      <c r="D94" s="360" t="s">
        <v>136</v>
      </c>
      <c r="E94" s="360" t="s">
        <v>908</v>
      </c>
      <c r="F94" s="360" t="s">
        <v>144</v>
      </c>
      <c r="G94" s="336">
        <f>G95</f>
        <v>41</v>
      </c>
      <c r="H94" s="336">
        <f t="shared" si="50"/>
        <v>0</v>
      </c>
      <c r="I94" s="336">
        <f t="shared" si="41"/>
        <v>0</v>
      </c>
      <c r="J94" s="325"/>
      <c r="K94" s="325"/>
      <c r="L94" s="325"/>
      <c r="M94" s="325"/>
      <c r="N94" s="325"/>
    </row>
    <row r="95" spans="1:14" ht="34.5" customHeight="1" x14ac:dyDescent="0.25">
      <c r="A95" s="361" t="s">
        <v>145</v>
      </c>
      <c r="B95" s="359">
        <v>902</v>
      </c>
      <c r="C95" s="360" t="s">
        <v>134</v>
      </c>
      <c r="D95" s="360" t="s">
        <v>136</v>
      </c>
      <c r="E95" s="360" t="s">
        <v>908</v>
      </c>
      <c r="F95" s="360" t="s">
        <v>146</v>
      </c>
      <c r="G95" s="336">
        <v>41</v>
      </c>
      <c r="H95" s="336">
        <v>0</v>
      </c>
      <c r="I95" s="336">
        <f t="shared" si="41"/>
        <v>0</v>
      </c>
    </row>
    <row r="96" spans="1:14" s="214" customFormat="1" ht="17.45" customHeight="1" x14ac:dyDescent="0.25">
      <c r="A96" s="333" t="s">
        <v>1368</v>
      </c>
      <c r="B96" s="330">
        <v>902</v>
      </c>
      <c r="C96" s="334" t="s">
        <v>134</v>
      </c>
      <c r="D96" s="334" t="s">
        <v>280</v>
      </c>
      <c r="E96" s="334"/>
      <c r="F96" s="360"/>
      <c r="G96" s="332">
        <f>G97</f>
        <v>1001.5</v>
      </c>
      <c r="H96" s="332">
        <f t="shared" ref="H96:H97" si="51">H97</f>
        <v>1001.5</v>
      </c>
      <c r="I96" s="332">
        <f t="shared" si="41"/>
        <v>100</v>
      </c>
      <c r="J96" s="325"/>
      <c r="K96" s="325"/>
      <c r="L96" s="325"/>
      <c r="M96" s="325"/>
      <c r="N96" s="325"/>
    </row>
    <row r="97" spans="1:14" s="214" customFormat="1" ht="21.75" customHeight="1" x14ac:dyDescent="0.25">
      <c r="A97" s="333" t="s">
        <v>157</v>
      </c>
      <c r="B97" s="330">
        <v>902</v>
      </c>
      <c r="C97" s="334" t="s">
        <v>134</v>
      </c>
      <c r="D97" s="334" t="s">
        <v>280</v>
      </c>
      <c r="E97" s="334" t="s">
        <v>912</v>
      </c>
      <c r="F97" s="360"/>
      <c r="G97" s="332">
        <f>G98</f>
        <v>1001.5</v>
      </c>
      <c r="H97" s="332">
        <f t="shared" si="51"/>
        <v>1001.5</v>
      </c>
      <c r="I97" s="332">
        <f t="shared" si="41"/>
        <v>100</v>
      </c>
      <c r="J97" s="325"/>
      <c r="K97" s="325"/>
      <c r="L97" s="325"/>
      <c r="M97" s="325"/>
      <c r="N97" s="325"/>
    </row>
    <row r="98" spans="1:14" s="214" customFormat="1" ht="34.5" customHeight="1" x14ac:dyDescent="0.25">
      <c r="A98" s="333" t="s">
        <v>916</v>
      </c>
      <c r="B98" s="330">
        <v>902</v>
      </c>
      <c r="C98" s="334" t="s">
        <v>134</v>
      </c>
      <c r="D98" s="334" t="s">
        <v>280</v>
      </c>
      <c r="E98" s="334" t="s">
        <v>911</v>
      </c>
      <c r="F98" s="360"/>
      <c r="G98" s="332">
        <f>G99+G104</f>
        <v>1001.5</v>
      </c>
      <c r="H98" s="332">
        <f t="shared" ref="H98" si="52">H99+H104</f>
        <v>1001.5</v>
      </c>
      <c r="I98" s="332">
        <f t="shared" si="41"/>
        <v>100</v>
      </c>
      <c r="J98" s="325"/>
      <c r="K98" s="325"/>
      <c r="L98" s="325"/>
      <c r="M98" s="325"/>
      <c r="N98" s="325"/>
    </row>
    <row r="99" spans="1:14" s="214" customFormat="1" ht="18" customHeight="1" x14ac:dyDescent="0.25">
      <c r="A99" s="45" t="s">
        <v>215</v>
      </c>
      <c r="B99" s="359">
        <v>902</v>
      </c>
      <c r="C99" s="360" t="s">
        <v>134</v>
      </c>
      <c r="D99" s="360" t="s">
        <v>280</v>
      </c>
      <c r="E99" s="360" t="s">
        <v>1367</v>
      </c>
      <c r="F99" s="360"/>
      <c r="G99" s="336">
        <f>G100+G102</f>
        <v>701.5</v>
      </c>
      <c r="H99" s="336">
        <f t="shared" ref="H99" si="53">H100+H102</f>
        <v>701.5</v>
      </c>
      <c r="I99" s="336">
        <f t="shared" si="41"/>
        <v>100</v>
      </c>
      <c r="J99" s="325"/>
      <c r="K99" s="325"/>
      <c r="L99" s="325"/>
      <c r="M99" s="325"/>
      <c r="N99" s="325"/>
    </row>
    <row r="100" spans="1:14" s="214" customFormat="1" ht="69.75" hidden="1" customHeight="1" x14ac:dyDescent="0.25">
      <c r="A100" s="361" t="s">
        <v>143</v>
      </c>
      <c r="B100" s="359">
        <v>902</v>
      </c>
      <c r="C100" s="360" t="s">
        <v>134</v>
      </c>
      <c r="D100" s="360" t="s">
        <v>280</v>
      </c>
      <c r="E100" s="360" t="s">
        <v>1367</v>
      </c>
      <c r="F100" s="360" t="s">
        <v>144</v>
      </c>
      <c r="G100" s="336">
        <f>G101</f>
        <v>0</v>
      </c>
      <c r="H100" s="336">
        <f t="shared" ref="H100" si="54">H101</f>
        <v>0</v>
      </c>
      <c r="I100" s="336" t="e">
        <f t="shared" si="41"/>
        <v>#DIV/0!</v>
      </c>
      <c r="J100" s="325"/>
      <c r="K100" s="325"/>
      <c r="L100" s="325"/>
      <c r="M100" s="325"/>
      <c r="N100" s="325"/>
    </row>
    <row r="101" spans="1:14" s="214" customFormat="1" ht="34.5" hidden="1" customHeight="1" x14ac:dyDescent="0.25">
      <c r="A101" s="361" t="s">
        <v>145</v>
      </c>
      <c r="B101" s="359">
        <v>902</v>
      </c>
      <c r="C101" s="360" t="s">
        <v>134</v>
      </c>
      <c r="D101" s="360" t="s">
        <v>280</v>
      </c>
      <c r="E101" s="360" t="s">
        <v>1367</v>
      </c>
      <c r="F101" s="360" t="s">
        <v>146</v>
      </c>
      <c r="G101" s="336">
        <f>158.38-158.38</f>
        <v>0</v>
      </c>
      <c r="H101" s="336">
        <f t="shared" ref="H101" si="55">158.38-158.38</f>
        <v>0</v>
      </c>
      <c r="I101" s="336" t="e">
        <f t="shared" si="41"/>
        <v>#DIV/0!</v>
      </c>
      <c r="J101" s="325"/>
      <c r="K101" s="325"/>
      <c r="L101" s="325"/>
      <c r="M101" s="325"/>
      <c r="N101" s="325"/>
    </row>
    <row r="102" spans="1:14" s="214" customFormat="1" ht="21" customHeight="1" x14ac:dyDescent="0.25">
      <c r="A102" s="361" t="s">
        <v>151</v>
      </c>
      <c r="B102" s="359">
        <v>902</v>
      </c>
      <c r="C102" s="360" t="s">
        <v>134</v>
      </c>
      <c r="D102" s="360" t="s">
        <v>280</v>
      </c>
      <c r="E102" s="360" t="s">
        <v>1367</v>
      </c>
      <c r="F102" s="360" t="s">
        <v>161</v>
      </c>
      <c r="G102" s="336">
        <f>G103</f>
        <v>701.5</v>
      </c>
      <c r="H102" s="336">
        <f t="shared" ref="H102" si="56">H103</f>
        <v>701.5</v>
      </c>
      <c r="I102" s="336">
        <f t="shared" si="41"/>
        <v>100</v>
      </c>
      <c r="J102" s="325"/>
      <c r="K102" s="325"/>
      <c r="L102" s="325"/>
      <c r="M102" s="325"/>
      <c r="N102" s="325"/>
    </row>
    <row r="103" spans="1:14" s="214" customFormat="1" ht="15.75" x14ac:dyDescent="0.25">
      <c r="A103" s="361" t="s">
        <v>1544</v>
      </c>
      <c r="B103" s="359">
        <v>902</v>
      </c>
      <c r="C103" s="360" t="s">
        <v>134</v>
      </c>
      <c r="D103" s="360" t="s">
        <v>280</v>
      </c>
      <c r="E103" s="360" t="s">
        <v>1367</v>
      </c>
      <c r="F103" s="360" t="s">
        <v>1545</v>
      </c>
      <c r="G103" s="336">
        <f>900-198.5</f>
        <v>701.5</v>
      </c>
      <c r="H103" s="336">
        <v>701.5</v>
      </c>
      <c r="I103" s="336">
        <f t="shared" si="41"/>
        <v>100</v>
      </c>
      <c r="J103" s="325"/>
      <c r="K103" s="325"/>
      <c r="L103" s="325"/>
      <c r="M103" s="325"/>
      <c r="N103" s="325"/>
    </row>
    <row r="104" spans="1:14" s="325" customFormat="1" ht="47.25" x14ac:dyDescent="0.25">
      <c r="A104" s="361" t="s">
        <v>1546</v>
      </c>
      <c r="B104" s="359">
        <v>902</v>
      </c>
      <c r="C104" s="360" t="s">
        <v>134</v>
      </c>
      <c r="D104" s="360" t="s">
        <v>280</v>
      </c>
      <c r="E104" s="360" t="s">
        <v>1550</v>
      </c>
      <c r="F104" s="360"/>
      <c r="G104" s="336">
        <f>G105</f>
        <v>300</v>
      </c>
      <c r="H104" s="336">
        <f t="shared" ref="H104:H105" si="57">H105</f>
        <v>300</v>
      </c>
      <c r="I104" s="336">
        <f t="shared" si="41"/>
        <v>100</v>
      </c>
    </row>
    <row r="105" spans="1:14" s="325" customFormat="1" ht="15.75" x14ac:dyDescent="0.25">
      <c r="A105" s="361" t="s">
        <v>151</v>
      </c>
      <c r="B105" s="359">
        <v>902</v>
      </c>
      <c r="C105" s="360" t="s">
        <v>134</v>
      </c>
      <c r="D105" s="360" t="s">
        <v>280</v>
      </c>
      <c r="E105" s="360" t="s">
        <v>1550</v>
      </c>
      <c r="F105" s="360" t="s">
        <v>161</v>
      </c>
      <c r="G105" s="336">
        <f>G106</f>
        <v>300</v>
      </c>
      <c r="H105" s="336">
        <f t="shared" si="57"/>
        <v>300</v>
      </c>
      <c r="I105" s="336">
        <f t="shared" si="41"/>
        <v>100</v>
      </c>
    </row>
    <row r="106" spans="1:14" s="325" customFormat="1" ht="15.75" x14ac:dyDescent="0.25">
      <c r="A106" s="361" t="s">
        <v>1544</v>
      </c>
      <c r="B106" s="359">
        <v>902</v>
      </c>
      <c r="C106" s="360" t="s">
        <v>134</v>
      </c>
      <c r="D106" s="360" t="s">
        <v>280</v>
      </c>
      <c r="E106" s="360" t="s">
        <v>1550</v>
      </c>
      <c r="F106" s="360" t="s">
        <v>1545</v>
      </c>
      <c r="G106" s="336">
        <v>300</v>
      </c>
      <c r="H106" s="336">
        <v>300</v>
      </c>
      <c r="I106" s="336">
        <f t="shared" si="41"/>
        <v>100</v>
      </c>
    </row>
    <row r="107" spans="1:14" ht="15.75" x14ac:dyDescent="0.25">
      <c r="A107" s="333" t="s">
        <v>155</v>
      </c>
      <c r="B107" s="330">
        <v>902</v>
      </c>
      <c r="C107" s="334" t="s">
        <v>134</v>
      </c>
      <c r="D107" s="334" t="s">
        <v>156</v>
      </c>
      <c r="E107" s="334"/>
      <c r="F107" s="334"/>
      <c r="G107" s="332">
        <f>G118+G127+G108+G132</f>
        <v>6307.4000000000005</v>
      </c>
      <c r="H107" s="332">
        <f t="shared" ref="H107" si="58">H118+H127+H108+H132</f>
        <v>3788.81</v>
      </c>
      <c r="I107" s="332">
        <f t="shared" si="41"/>
        <v>60.069283698512855</v>
      </c>
    </row>
    <row r="108" spans="1:14" s="214" customFormat="1" ht="19.5" customHeight="1" x14ac:dyDescent="0.25">
      <c r="A108" s="333" t="s">
        <v>157</v>
      </c>
      <c r="B108" s="330">
        <v>902</v>
      </c>
      <c r="C108" s="334" t="s">
        <v>134</v>
      </c>
      <c r="D108" s="334" t="s">
        <v>156</v>
      </c>
      <c r="E108" s="334" t="s">
        <v>912</v>
      </c>
      <c r="F108" s="334"/>
      <c r="G108" s="332">
        <f>G109</f>
        <v>6154.4000000000005</v>
      </c>
      <c r="H108" s="332">
        <f t="shared" ref="H108" si="59">H109</f>
        <v>3748.81</v>
      </c>
      <c r="I108" s="332">
        <f t="shared" si="41"/>
        <v>60.912680358767702</v>
      </c>
      <c r="J108" s="325"/>
      <c r="K108" s="325"/>
      <c r="L108" s="325"/>
      <c r="M108" s="325"/>
      <c r="N108" s="325"/>
    </row>
    <row r="109" spans="1:14" s="214" customFormat="1" ht="34.5" customHeight="1" x14ac:dyDescent="0.25">
      <c r="A109" s="333" t="s">
        <v>995</v>
      </c>
      <c r="B109" s="330">
        <v>902</v>
      </c>
      <c r="C109" s="334" t="s">
        <v>134</v>
      </c>
      <c r="D109" s="334" t="s">
        <v>156</v>
      </c>
      <c r="E109" s="334" t="s">
        <v>913</v>
      </c>
      <c r="F109" s="334"/>
      <c r="G109" s="332">
        <f>G110+G115</f>
        <v>6154.4000000000005</v>
      </c>
      <c r="H109" s="332">
        <f t="shared" ref="H109" si="60">H110+H115</f>
        <v>3748.81</v>
      </c>
      <c r="I109" s="332">
        <f t="shared" si="41"/>
        <v>60.912680358767702</v>
      </c>
      <c r="J109" s="325"/>
      <c r="K109" s="325"/>
      <c r="L109" s="325"/>
      <c r="M109" s="325"/>
      <c r="N109" s="325"/>
    </row>
    <row r="110" spans="1:14" s="214" customFormat="1" ht="21.75" customHeight="1" x14ac:dyDescent="0.25">
      <c r="A110" s="361" t="s">
        <v>1001</v>
      </c>
      <c r="B110" s="359">
        <v>902</v>
      </c>
      <c r="C110" s="360" t="s">
        <v>134</v>
      </c>
      <c r="D110" s="360" t="s">
        <v>156</v>
      </c>
      <c r="E110" s="360" t="s">
        <v>914</v>
      </c>
      <c r="F110" s="360"/>
      <c r="G110" s="336">
        <f>G111+G113</f>
        <v>6028.4000000000005</v>
      </c>
      <c r="H110" s="336">
        <f t="shared" ref="H110" si="61">H111+H113</f>
        <v>3748.81</v>
      </c>
      <c r="I110" s="336">
        <f t="shared" si="41"/>
        <v>62.185820449870612</v>
      </c>
      <c r="J110" s="325"/>
      <c r="K110" s="325"/>
      <c r="L110" s="325"/>
      <c r="M110" s="325"/>
      <c r="N110" s="325"/>
    </row>
    <row r="111" spans="1:14" s="214" customFormat="1" ht="66.75" customHeight="1" x14ac:dyDescent="0.25">
      <c r="A111" s="361" t="s">
        <v>143</v>
      </c>
      <c r="B111" s="359">
        <v>902</v>
      </c>
      <c r="C111" s="360" t="s">
        <v>134</v>
      </c>
      <c r="D111" s="360" t="s">
        <v>156</v>
      </c>
      <c r="E111" s="360" t="s">
        <v>914</v>
      </c>
      <c r="F111" s="360" t="s">
        <v>144</v>
      </c>
      <c r="G111" s="336">
        <f>G112</f>
        <v>4817.4000000000005</v>
      </c>
      <c r="H111" s="336">
        <f t="shared" ref="H111" si="62">H112</f>
        <v>3032.38</v>
      </c>
      <c r="I111" s="336">
        <f t="shared" si="41"/>
        <v>62.946402623821974</v>
      </c>
      <c r="J111" s="325"/>
      <c r="K111" s="325"/>
      <c r="L111" s="325"/>
      <c r="M111" s="325"/>
      <c r="N111" s="325"/>
    </row>
    <row r="112" spans="1:14" s="214" customFormat="1" ht="20.25" customHeight="1" x14ac:dyDescent="0.25">
      <c r="A112" s="361" t="s">
        <v>224</v>
      </c>
      <c r="B112" s="359">
        <v>902</v>
      </c>
      <c r="C112" s="360" t="s">
        <v>134</v>
      </c>
      <c r="D112" s="360" t="s">
        <v>156</v>
      </c>
      <c r="E112" s="360" t="s">
        <v>914</v>
      </c>
      <c r="F112" s="360" t="s">
        <v>225</v>
      </c>
      <c r="G112" s="362">
        <f>5343+77.1-602.7</f>
        <v>4817.4000000000005</v>
      </c>
      <c r="H112" s="362">
        <v>3032.38</v>
      </c>
      <c r="I112" s="336">
        <f t="shared" si="41"/>
        <v>62.946402623821974</v>
      </c>
      <c r="J112" s="325"/>
      <c r="K112" s="325"/>
      <c r="L112" s="325"/>
      <c r="M112" s="325"/>
      <c r="N112" s="325"/>
    </row>
    <row r="113" spans="1:14" s="214" customFormat="1" ht="39.200000000000003" customHeight="1" x14ac:dyDescent="0.25">
      <c r="A113" s="361" t="s">
        <v>214</v>
      </c>
      <c r="B113" s="359">
        <v>902</v>
      </c>
      <c r="C113" s="360" t="s">
        <v>134</v>
      </c>
      <c r="D113" s="360" t="s">
        <v>156</v>
      </c>
      <c r="E113" s="360" t="s">
        <v>914</v>
      </c>
      <c r="F113" s="360" t="s">
        <v>148</v>
      </c>
      <c r="G113" s="336">
        <f>G114</f>
        <v>1211</v>
      </c>
      <c r="H113" s="336">
        <f t="shared" ref="H113" si="63">H114</f>
        <v>716.43</v>
      </c>
      <c r="I113" s="336">
        <f t="shared" si="41"/>
        <v>59.160198183319565</v>
      </c>
      <c r="J113" s="325"/>
      <c r="K113" s="325"/>
      <c r="L113" s="325"/>
      <c r="M113" s="325"/>
      <c r="N113" s="325"/>
    </row>
    <row r="114" spans="1:14" s="214" customFormat="1" ht="39.200000000000003" customHeight="1" x14ac:dyDescent="0.25">
      <c r="A114" s="361" t="s">
        <v>149</v>
      </c>
      <c r="B114" s="359">
        <v>902</v>
      </c>
      <c r="C114" s="360" t="s">
        <v>134</v>
      </c>
      <c r="D114" s="360" t="s">
        <v>156</v>
      </c>
      <c r="E114" s="360" t="s">
        <v>914</v>
      </c>
      <c r="F114" s="360" t="s">
        <v>150</v>
      </c>
      <c r="G114" s="362">
        <f>1174.7+113.8-77.5</f>
        <v>1211</v>
      </c>
      <c r="H114" s="362">
        <v>716.43</v>
      </c>
      <c r="I114" s="336">
        <f t="shared" si="41"/>
        <v>59.160198183319565</v>
      </c>
      <c r="J114" s="325"/>
      <c r="K114" s="325"/>
      <c r="L114" s="325"/>
      <c r="M114" s="325"/>
      <c r="N114" s="325"/>
    </row>
    <row r="115" spans="1:14" s="214" customFormat="1" ht="28.5" customHeight="1" x14ac:dyDescent="0.25">
      <c r="A115" s="361" t="s">
        <v>885</v>
      </c>
      <c r="B115" s="359">
        <v>902</v>
      </c>
      <c r="C115" s="360" t="s">
        <v>134</v>
      </c>
      <c r="D115" s="360" t="s">
        <v>156</v>
      </c>
      <c r="E115" s="360" t="s">
        <v>915</v>
      </c>
      <c r="F115" s="360"/>
      <c r="G115" s="336">
        <f>G116</f>
        <v>126</v>
      </c>
      <c r="H115" s="336">
        <f t="shared" ref="H115:H116" si="64">H116</f>
        <v>0</v>
      </c>
      <c r="I115" s="336">
        <f t="shared" si="41"/>
        <v>0</v>
      </c>
      <c r="J115" s="325"/>
      <c r="K115" s="325"/>
      <c r="L115" s="325"/>
      <c r="M115" s="325"/>
      <c r="N115" s="325"/>
    </row>
    <row r="116" spans="1:14" s="214" customFormat="1" ht="63" customHeight="1" x14ac:dyDescent="0.25">
      <c r="A116" s="361" t="s">
        <v>143</v>
      </c>
      <c r="B116" s="359">
        <v>902</v>
      </c>
      <c r="C116" s="360" t="s">
        <v>134</v>
      </c>
      <c r="D116" s="360" t="s">
        <v>156</v>
      </c>
      <c r="E116" s="360" t="s">
        <v>915</v>
      </c>
      <c r="F116" s="360" t="s">
        <v>144</v>
      </c>
      <c r="G116" s="336">
        <f>G117</f>
        <v>126</v>
      </c>
      <c r="H116" s="336">
        <f t="shared" si="64"/>
        <v>0</v>
      </c>
      <c r="I116" s="336">
        <f t="shared" si="41"/>
        <v>0</v>
      </c>
      <c r="J116" s="325"/>
      <c r="K116" s="325"/>
      <c r="L116" s="325"/>
      <c r="M116" s="325"/>
      <c r="N116" s="325"/>
    </row>
    <row r="117" spans="1:14" s="214" customFormat="1" ht="23.25" customHeight="1" x14ac:dyDescent="0.25">
      <c r="A117" s="361" t="s">
        <v>224</v>
      </c>
      <c r="B117" s="359">
        <v>902</v>
      </c>
      <c r="C117" s="360" t="s">
        <v>134</v>
      </c>
      <c r="D117" s="360" t="s">
        <v>156</v>
      </c>
      <c r="E117" s="360" t="s">
        <v>915</v>
      </c>
      <c r="F117" s="360" t="s">
        <v>225</v>
      </c>
      <c r="G117" s="336">
        <v>126</v>
      </c>
      <c r="H117" s="336">
        <v>0</v>
      </c>
      <c r="I117" s="336">
        <f t="shared" si="41"/>
        <v>0</v>
      </c>
      <c r="J117" s="325"/>
      <c r="K117" s="325"/>
      <c r="L117" s="325"/>
      <c r="M117" s="325"/>
      <c r="N117" s="325"/>
    </row>
    <row r="118" spans="1:14" ht="47.25" x14ac:dyDescent="0.25">
      <c r="A118" s="41" t="s">
        <v>1185</v>
      </c>
      <c r="B118" s="330">
        <v>902</v>
      </c>
      <c r="C118" s="334" t="s">
        <v>134</v>
      </c>
      <c r="D118" s="334" t="s">
        <v>156</v>
      </c>
      <c r="E118" s="334" t="s">
        <v>728</v>
      </c>
      <c r="F118" s="231"/>
      <c r="G118" s="332">
        <f>G119+G123</f>
        <v>43</v>
      </c>
      <c r="H118" s="332">
        <f t="shared" ref="H118" si="65">H119+H123</f>
        <v>40</v>
      </c>
      <c r="I118" s="332">
        <f t="shared" si="41"/>
        <v>93.023255813953483</v>
      </c>
    </row>
    <row r="119" spans="1:14" s="214" customFormat="1" ht="47.25" customHeight="1" x14ac:dyDescent="0.25">
      <c r="A119" s="219" t="s">
        <v>892</v>
      </c>
      <c r="B119" s="330">
        <v>902</v>
      </c>
      <c r="C119" s="334" t="s">
        <v>134</v>
      </c>
      <c r="D119" s="334" t="s">
        <v>156</v>
      </c>
      <c r="E119" s="334" t="s">
        <v>898</v>
      </c>
      <c r="F119" s="231"/>
      <c r="G119" s="332">
        <f>G120</f>
        <v>28</v>
      </c>
      <c r="H119" s="332">
        <f t="shared" ref="H119:H121" si="66">H120</f>
        <v>25</v>
      </c>
      <c r="I119" s="332">
        <f t="shared" si="41"/>
        <v>89.285714285714292</v>
      </c>
      <c r="J119" s="325"/>
      <c r="K119" s="325"/>
      <c r="L119" s="325"/>
      <c r="M119" s="325"/>
      <c r="N119" s="325"/>
    </row>
    <row r="120" spans="1:14" ht="36.75" customHeight="1" x14ac:dyDescent="0.25">
      <c r="A120" s="99" t="s">
        <v>799</v>
      </c>
      <c r="B120" s="359">
        <v>902</v>
      </c>
      <c r="C120" s="360" t="s">
        <v>134</v>
      </c>
      <c r="D120" s="360" t="s">
        <v>156</v>
      </c>
      <c r="E120" s="360" t="s">
        <v>893</v>
      </c>
      <c r="F120" s="32"/>
      <c r="G120" s="336">
        <f>G121</f>
        <v>28</v>
      </c>
      <c r="H120" s="336">
        <f t="shared" si="66"/>
        <v>25</v>
      </c>
      <c r="I120" s="336">
        <f t="shared" si="41"/>
        <v>89.285714285714292</v>
      </c>
    </row>
    <row r="121" spans="1:14" ht="31.5" x14ac:dyDescent="0.25">
      <c r="A121" s="361" t="s">
        <v>147</v>
      </c>
      <c r="B121" s="359">
        <v>902</v>
      </c>
      <c r="C121" s="360" t="s">
        <v>134</v>
      </c>
      <c r="D121" s="360" t="s">
        <v>156</v>
      </c>
      <c r="E121" s="360" t="s">
        <v>893</v>
      </c>
      <c r="F121" s="32" t="s">
        <v>148</v>
      </c>
      <c r="G121" s="336">
        <f>G122</f>
        <v>28</v>
      </c>
      <c r="H121" s="336">
        <f t="shared" si="66"/>
        <v>25</v>
      </c>
      <c r="I121" s="336">
        <f t="shared" si="41"/>
        <v>89.285714285714292</v>
      </c>
    </row>
    <row r="122" spans="1:14" ht="31.5" x14ac:dyDescent="0.25">
      <c r="A122" s="361" t="s">
        <v>149</v>
      </c>
      <c r="B122" s="359">
        <v>902</v>
      </c>
      <c r="C122" s="360" t="s">
        <v>134</v>
      </c>
      <c r="D122" s="360" t="s">
        <v>156</v>
      </c>
      <c r="E122" s="360" t="s">
        <v>893</v>
      </c>
      <c r="F122" s="32" t="s">
        <v>150</v>
      </c>
      <c r="G122" s="336">
        <v>28</v>
      </c>
      <c r="H122" s="336">
        <v>25</v>
      </c>
      <c r="I122" s="336">
        <f t="shared" si="41"/>
        <v>89.285714285714292</v>
      </c>
    </row>
    <row r="123" spans="1:14" s="214" customFormat="1" ht="34.5" customHeight="1" x14ac:dyDescent="0.25">
      <c r="A123" s="220" t="s">
        <v>1188</v>
      </c>
      <c r="B123" s="330">
        <v>902</v>
      </c>
      <c r="C123" s="334" t="s">
        <v>134</v>
      </c>
      <c r="D123" s="334" t="s">
        <v>156</v>
      </c>
      <c r="E123" s="334" t="s">
        <v>899</v>
      </c>
      <c r="F123" s="231"/>
      <c r="G123" s="332">
        <f>G124</f>
        <v>15</v>
      </c>
      <c r="H123" s="332">
        <f t="shared" ref="H123:H125" si="67">H124</f>
        <v>15</v>
      </c>
      <c r="I123" s="332">
        <f t="shared" si="41"/>
        <v>100</v>
      </c>
      <c r="J123" s="325"/>
      <c r="K123" s="325"/>
      <c r="L123" s="325"/>
      <c r="M123" s="325"/>
      <c r="N123" s="325"/>
    </row>
    <row r="124" spans="1:14" ht="39.200000000000003" customHeight="1" x14ac:dyDescent="0.25">
      <c r="A124" s="99" t="s">
        <v>800</v>
      </c>
      <c r="B124" s="359">
        <v>902</v>
      </c>
      <c r="C124" s="360" t="s">
        <v>134</v>
      </c>
      <c r="D124" s="360" t="s">
        <v>156</v>
      </c>
      <c r="E124" s="360" t="s">
        <v>894</v>
      </c>
      <c r="F124" s="32"/>
      <c r="G124" s="336">
        <f>G125</f>
        <v>15</v>
      </c>
      <c r="H124" s="336">
        <f t="shared" si="67"/>
        <v>15</v>
      </c>
      <c r="I124" s="336">
        <f t="shared" si="41"/>
        <v>100</v>
      </c>
    </row>
    <row r="125" spans="1:14" ht="31.7" customHeight="1" x14ac:dyDescent="0.25">
      <c r="A125" s="361" t="s">
        <v>147</v>
      </c>
      <c r="B125" s="359">
        <v>902</v>
      </c>
      <c r="C125" s="360" t="s">
        <v>134</v>
      </c>
      <c r="D125" s="360" t="s">
        <v>156</v>
      </c>
      <c r="E125" s="360" t="s">
        <v>894</v>
      </c>
      <c r="F125" s="32" t="s">
        <v>148</v>
      </c>
      <c r="G125" s="336">
        <f>G126</f>
        <v>15</v>
      </c>
      <c r="H125" s="336">
        <f t="shared" si="67"/>
        <v>15</v>
      </c>
      <c r="I125" s="336">
        <f t="shared" si="41"/>
        <v>100</v>
      </c>
    </row>
    <row r="126" spans="1:14" ht="32.25" customHeight="1" x14ac:dyDescent="0.25">
      <c r="A126" s="361" t="s">
        <v>149</v>
      </c>
      <c r="B126" s="359">
        <v>902</v>
      </c>
      <c r="C126" s="360" t="s">
        <v>134</v>
      </c>
      <c r="D126" s="360" t="s">
        <v>156</v>
      </c>
      <c r="E126" s="360" t="s">
        <v>894</v>
      </c>
      <c r="F126" s="32" t="s">
        <v>150</v>
      </c>
      <c r="G126" s="336">
        <v>15</v>
      </c>
      <c r="H126" s="336">
        <v>15</v>
      </c>
      <c r="I126" s="336">
        <f t="shared" si="41"/>
        <v>100</v>
      </c>
    </row>
    <row r="127" spans="1:14" ht="68.25" customHeight="1" x14ac:dyDescent="0.25">
      <c r="A127" s="41" t="s">
        <v>1184</v>
      </c>
      <c r="B127" s="330">
        <v>902</v>
      </c>
      <c r="C127" s="8" t="s">
        <v>134</v>
      </c>
      <c r="D127" s="8" t="s">
        <v>156</v>
      </c>
      <c r="E127" s="370" t="s">
        <v>861</v>
      </c>
      <c r="F127" s="8"/>
      <c r="G127" s="332">
        <f>G129</f>
        <v>30</v>
      </c>
      <c r="H127" s="332">
        <f t="shared" ref="H127" si="68">H129</f>
        <v>0</v>
      </c>
      <c r="I127" s="332">
        <f t="shared" si="41"/>
        <v>0</v>
      </c>
    </row>
    <row r="128" spans="1:14" s="214" customFormat="1" ht="35.450000000000003" customHeight="1" x14ac:dyDescent="0.25">
      <c r="A128" s="221" t="s">
        <v>900</v>
      </c>
      <c r="B128" s="330">
        <v>902</v>
      </c>
      <c r="C128" s="8" t="s">
        <v>134</v>
      </c>
      <c r="D128" s="8" t="s">
        <v>156</v>
      </c>
      <c r="E128" s="206" t="s">
        <v>1262</v>
      </c>
      <c r="F128" s="8"/>
      <c r="G128" s="332">
        <f>G129</f>
        <v>30</v>
      </c>
      <c r="H128" s="332">
        <f t="shared" ref="H128:H130" si="69">H129</f>
        <v>0</v>
      </c>
      <c r="I128" s="332">
        <f t="shared" si="41"/>
        <v>0</v>
      </c>
      <c r="J128" s="325"/>
      <c r="K128" s="325"/>
      <c r="L128" s="325"/>
      <c r="M128" s="325"/>
      <c r="N128" s="325"/>
    </row>
    <row r="129" spans="1:14" ht="31.7" customHeight="1" x14ac:dyDescent="0.25">
      <c r="A129" s="98" t="s">
        <v>187</v>
      </c>
      <c r="B129" s="359">
        <v>902</v>
      </c>
      <c r="C129" s="9" t="s">
        <v>134</v>
      </c>
      <c r="D129" s="9" t="s">
        <v>156</v>
      </c>
      <c r="E129" s="326" t="s">
        <v>901</v>
      </c>
      <c r="F129" s="9"/>
      <c r="G129" s="336">
        <f>G130</f>
        <v>30</v>
      </c>
      <c r="H129" s="336">
        <f t="shared" si="69"/>
        <v>0</v>
      </c>
      <c r="I129" s="336">
        <f t="shared" si="41"/>
        <v>0</v>
      </c>
    </row>
    <row r="130" spans="1:14" ht="35.450000000000003" customHeight="1" x14ac:dyDescent="0.25">
      <c r="A130" s="361" t="s">
        <v>147</v>
      </c>
      <c r="B130" s="359">
        <v>902</v>
      </c>
      <c r="C130" s="9" t="s">
        <v>134</v>
      </c>
      <c r="D130" s="9" t="s">
        <v>156</v>
      </c>
      <c r="E130" s="326" t="s">
        <v>901</v>
      </c>
      <c r="F130" s="9" t="s">
        <v>148</v>
      </c>
      <c r="G130" s="336">
        <f>G131</f>
        <v>30</v>
      </c>
      <c r="H130" s="336">
        <f t="shared" si="69"/>
        <v>0</v>
      </c>
      <c r="I130" s="336">
        <f t="shared" si="41"/>
        <v>0</v>
      </c>
    </row>
    <row r="131" spans="1:14" ht="33" customHeight="1" x14ac:dyDescent="0.25">
      <c r="A131" s="361" t="s">
        <v>149</v>
      </c>
      <c r="B131" s="359">
        <v>902</v>
      </c>
      <c r="C131" s="9" t="s">
        <v>134</v>
      </c>
      <c r="D131" s="9" t="s">
        <v>156</v>
      </c>
      <c r="E131" s="326" t="s">
        <v>901</v>
      </c>
      <c r="F131" s="9" t="s">
        <v>150</v>
      </c>
      <c r="G131" s="336">
        <v>30</v>
      </c>
      <c r="H131" s="336">
        <v>0</v>
      </c>
      <c r="I131" s="336">
        <f t="shared" si="41"/>
        <v>0</v>
      </c>
    </row>
    <row r="132" spans="1:14" s="214" customFormat="1" ht="63" x14ac:dyDescent="0.25">
      <c r="A132" s="41" t="s">
        <v>1186</v>
      </c>
      <c r="B132" s="330">
        <v>902</v>
      </c>
      <c r="C132" s="8" t="s">
        <v>134</v>
      </c>
      <c r="D132" s="8" t="s">
        <v>156</v>
      </c>
      <c r="E132" s="206" t="s">
        <v>862</v>
      </c>
      <c r="F132" s="8"/>
      <c r="G132" s="332">
        <f>G134</f>
        <v>80</v>
      </c>
      <c r="H132" s="332">
        <f t="shared" ref="H132" si="70">H134</f>
        <v>0</v>
      </c>
      <c r="I132" s="332">
        <f t="shared" si="41"/>
        <v>0</v>
      </c>
      <c r="J132" s="325"/>
      <c r="K132" s="325"/>
      <c r="L132" s="325"/>
      <c r="M132" s="325"/>
      <c r="N132" s="325"/>
    </row>
    <row r="133" spans="1:14" s="214" customFormat="1" ht="31.5" x14ac:dyDescent="0.25">
      <c r="A133" s="58" t="s">
        <v>902</v>
      </c>
      <c r="B133" s="330">
        <v>902</v>
      </c>
      <c r="C133" s="8" t="s">
        <v>134</v>
      </c>
      <c r="D133" s="8" t="s">
        <v>156</v>
      </c>
      <c r="E133" s="206" t="s">
        <v>910</v>
      </c>
      <c r="F133" s="8"/>
      <c r="G133" s="332">
        <f>G134</f>
        <v>80</v>
      </c>
      <c r="H133" s="332">
        <f t="shared" ref="H133:H135" si="71">H134</f>
        <v>0</v>
      </c>
      <c r="I133" s="332">
        <f t="shared" si="41"/>
        <v>0</v>
      </c>
      <c r="J133" s="325"/>
      <c r="K133" s="325"/>
      <c r="L133" s="325"/>
      <c r="M133" s="325"/>
      <c r="N133" s="325"/>
    </row>
    <row r="134" spans="1:14" s="214" customFormat="1" ht="15.75" x14ac:dyDescent="0.25">
      <c r="A134" s="45" t="s">
        <v>867</v>
      </c>
      <c r="B134" s="359">
        <v>902</v>
      </c>
      <c r="C134" s="9" t="s">
        <v>134</v>
      </c>
      <c r="D134" s="9" t="s">
        <v>156</v>
      </c>
      <c r="E134" s="326" t="s">
        <v>903</v>
      </c>
      <c r="F134" s="9"/>
      <c r="G134" s="336">
        <f>G135</f>
        <v>80</v>
      </c>
      <c r="H134" s="336">
        <f t="shared" si="71"/>
        <v>0</v>
      </c>
      <c r="I134" s="336">
        <f t="shared" si="41"/>
        <v>0</v>
      </c>
      <c r="J134" s="325"/>
      <c r="K134" s="325"/>
      <c r="L134" s="325"/>
      <c r="M134" s="325"/>
      <c r="N134" s="325"/>
    </row>
    <row r="135" spans="1:14" s="214" customFormat="1" ht="31.5" x14ac:dyDescent="0.25">
      <c r="A135" s="361" t="s">
        <v>147</v>
      </c>
      <c r="B135" s="359">
        <v>902</v>
      </c>
      <c r="C135" s="9" t="s">
        <v>134</v>
      </c>
      <c r="D135" s="9" t="s">
        <v>156</v>
      </c>
      <c r="E135" s="326" t="s">
        <v>903</v>
      </c>
      <c r="F135" s="9" t="s">
        <v>148</v>
      </c>
      <c r="G135" s="336">
        <f>G136</f>
        <v>80</v>
      </c>
      <c r="H135" s="336">
        <f t="shared" si="71"/>
        <v>0</v>
      </c>
      <c r="I135" s="336">
        <f t="shared" si="41"/>
        <v>0</v>
      </c>
      <c r="J135" s="325"/>
      <c r="K135" s="325"/>
      <c r="L135" s="325"/>
      <c r="M135" s="325"/>
      <c r="N135" s="325"/>
    </row>
    <row r="136" spans="1:14" s="214" customFormat="1" ht="31.5" x14ac:dyDescent="0.25">
      <c r="A136" s="361" t="s">
        <v>149</v>
      </c>
      <c r="B136" s="359">
        <v>902</v>
      </c>
      <c r="C136" s="9" t="s">
        <v>134</v>
      </c>
      <c r="D136" s="9" t="s">
        <v>156</v>
      </c>
      <c r="E136" s="326" t="s">
        <v>903</v>
      </c>
      <c r="F136" s="9" t="s">
        <v>150</v>
      </c>
      <c r="G136" s="336">
        <v>80</v>
      </c>
      <c r="H136" s="336">
        <v>0</v>
      </c>
      <c r="I136" s="336">
        <f t="shared" si="41"/>
        <v>0</v>
      </c>
      <c r="J136" s="325"/>
      <c r="K136" s="325"/>
      <c r="L136" s="325"/>
      <c r="M136" s="325"/>
      <c r="N136" s="325"/>
    </row>
    <row r="137" spans="1:14" ht="15.75" hidden="1" customHeight="1" x14ac:dyDescent="0.25">
      <c r="A137" s="333" t="s">
        <v>228</v>
      </c>
      <c r="B137" s="330">
        <v>902</v>
      </c>
      <c r="C137" s="334" t="s">
        <v>229</v>
      </c>
      <c r="D137" s="334"/>
      <c r="E137" s="334"/>
      <c r="F137" s="334"/>
      <c r="G137" s="332">
        <f t="shared" ref="G137:H142" si="72">G138</f>
        <v>0</v>
      </c>
      <c r="H137" s="332">
        <f t="shared" si="72"/>
        <v>0</v>
      </c>
      <c r="I137" s="336" t="e">
        <f t="shared" si="41"/>
        <v>#DIV/0!</v>
      </c>
    </row>
    <row r="138" spans="1:14" ht="20.25" hidden="1" customHeight="1" x14ac:dyDescent="0.25">
      <c r="A138" s="333" t="s">
        <v>234</v>
      </c>
      <c r="B138" s="330">
        <v>902</v>
      </c>
      <c r="C138" s="334" t="s">
        <v>229</v>
      </c>
      <c r="D138" s="334" t="s">
        <v>235</v>
      </c>
      <c r="E138" s="334"/>
      <c r="F138" s="334"/>
      <c r="G138" s="332">
        <f t="shared" si="72"/>
        <v>0</v>
      </c>
      <c r="H138" s="332">
        <f t="shared" si="72"/>
        <v>0</v>
      </c>
      <c r="I138" s="336" t="e">
        <f t="shared" si="41"/>
        <v>#DIV/0!</v>
      </c>
    </row>
    <row r="139" spans="1:14" ht="15.75" hidden="1" customHeight="1" x14ac:dyDescent="0.25">
      <c r="A139" s="333" t="s">
        <v>157</v>
      </c>
      <c r="B139" s="330">
        <v>902</v>
      </c>
      <c r="C139" s="334" t="s">
        <v>229</v>
      </c>
      <c r="D139" s="334" t="s">
        <v>235</v>
      </c>
      <c r="E139" s="334" t="s">
        <v>912</v>
      </c>
      <c r="F139" s="334"/>
      <c r="G139" s="332">
        <f t="shared" si="72"/>
        <v>0</v>
      </c>
      <c r="H139" s="332">
        <f t="shared" si="72"/>
        <v>0</v>
      </c>
      <c r="I139" s="336" t="e">
        <f t="shared" ref="I139:I202" si="73">H139/G139*100</f>
        <v>#DIV/0!</v>
      </c>
    </row>
    <row r="140" spans="1:14" ht="33.75" hidden="1" customHeight="1" x14ac:dyDescent="0.25">
      <c r="A140" s="333" t="s">
        <v>916</v>
      </c>
      <c r="B140" s="330">
        <v>902</v>
      </c>
      <c r="C140" s="334" t="s">
        <v>229</v>
      </c>
      <c r="D140" s="334" t="s">
        <v>235</v>
      </c>
      <c r="E140" s="334" t="s">
        <v>911</v>
      </c>
      <c r="F140" s="334"/>
      <c r="G140" s="332">
        <f t="shared" si="72"/>
        <v>0</v>
      </c>
      <c r="H140" s="332">
        <f t="shared" si="72"/>
        <v>0</v>
      </c>
      <c r="I140" s="336" t="e">
        <f t="shared" si="73"/>
        <v>#DIV/0!</v>
      </c>
    </row>
    <row r="141" spans="1:14" ht="15.75" hidden="1" customHeight="1" x14ac:dyDescent="0.25">
      <c r="A141" s="361" t="s">
        <v>236</v>
      </c>
      <c r="B141" s="359">
        <v>902</v>
      </c>
      <c r="C141" s="360" t="s">
        <v>229</v>
      </c>
      <c r="D141" s="360" t="s">
        <v>235</v>
      </c>
      <c r="E141" s="360" t="s">
        <v>917</v>
      </c>
      <c r="F141" s="360"/>
      <c r="G141" s="336">
        <f t="shared" si="72"/>
        <v>0</v>
      </c>
      <c r="H141" s="336">
        <f t="shared" si="72"/>
        <v>0</v>
      </c>
      <c r="I141" s="336" t="e">
        <f t="shared" si="73"/>
        <v>#DIV/0!</v>
      </c>
    </row>
    <row r="142" spans="1:14" ht="33.75" hidden="1" customHeight="1" x14ac:dyDescent="0.25">
      <c r="A142" s="361" t="s">
        <v>214</v>
      </c>
      <c r="B142" s="359">
        <v>902</v>
      </c>
      <c r="C142" s="360" t="s">
        <v>229</v>
      </c>
      <c r="D142" s="360" t="s">
        <v>235</v>
      </c>
      <c r="E142" s="360" t="s">
        <v>917</v>
      </c>
      <c r="F142" s="360" t="s">
        <v>148</v>
      </c>
      <c r="G142" s="336">
        <f t="shared" si="72"/>
        <v>0</v>
      </c>
      <c r="H142" s="336">
        <f t="shared" si="72"/>
        <v>0</v>
      </c>
      <c r="I142" s="336" t="e">
        <f t="shared" si="73"/>
        <v>#DIV/0!</v>
      </c>
    </row>
    <row r="143" spans="1:14" ht="40.700000000000003" hidden="1" customHeight="1" x14ac:dyDescent="0.25">
      <c r="A143" s="361" t="s">
        <v>149</v>
      </c>
      <c r="B143" s="359">
        <v>902</v>
      </c>
      <c r="C143" s="360" t="s">
        <v>229</v>
      </c>
      <c r="D143" s="360" t="s">
        <v>235</v>
      </c>
      <c r="E143" s="360" t="s">
        <v>917</v>
      </c>
      <c r="F143" s="360" t="s">
        <v>150</v>
      </c>
      <c r="G143" s="362">
        <v>0</v>
      </c>
      <c r="H143" s="362">
        <v>0</v>
      </c>
      <c r="I143" s="336" t="e">
        <f t="shared" si="73"/>
        <v>#DIV/0!</v>
      </c>
    </row>
    <row r="144" spans="1:14" ht="31.5" x14ac:dyDescent="0.25">
      <c r="A144" s="333" t="s">
        <v>238</v>
      </c>
      <c r="B144" s="330">
        <v>902</v>
      </c>
      <c r="C144" s="334" t="s">
        <v>231</v>
      </c>
      <c r="D144" s="334"/>
      <c r="E144" s="334"/>
      <c r="F144" s="334"/>
      <c r="G144" s="332">
        <f>G145</f>
        <v>7657.9</v>
      </c>
      <c r="H144" s="332">
        <f t="shared" ref="H144:H145" si="74">H145</f>
        <v>4407.49</v>
      </c>
      <c r="I144" s="332">
        <f t="shared" si="73"/>
        <v>57.554812677104692</v>
      </c>
    </row>
    <row r="145" spans="1:14" ht="47.25" customHeight="1" x14ac:dyDescent="0.25">
      <c r="A145" s="333" t="s">
        <v>239</v>
      </c>
      <c r="B145" s="330">
        <v>902</v>
      </c>
      <c r="C145" s="334" t="s">
        <v>231</v>
      </c>
      <c r="D145" s="334" t="s">
        <v>235</v>
      </c>
      <c r="E145" s="360"/>
      <c r="F145" s="360"/>
      <c r="G145" s="332">
        <f>G146</f>
        <v>7657.9</v>
      </c>
      <c r="H145" s="332">
        <f t="shared" si="74"/>
        <v>4407.49</v>
      </c>
      <c r="I145" s="332">
        <f t="shared" si="73"/>
        <v>57.554812677104692</v>
      </c>
    </row>
    <row r="146" spans="1:14" ht="15.75" x14ac:dyDescent="0.25">
      <c r="A146" s="333" t="s">
        <v>157</v>
      </c>
      <c r="B146" s="330">
        <v>902</v>
      </c>
      <c r="C146" s="334" t="s">
        <v>231</v>
      </c>
      <c r="D146" s="334" t="s">
        <v>235</v>
      </c>
      <c r="E146" s="334" t="s">
        <v>912</v>
      </c>
      <c r="F146" s="334"/>
      <c r="G146" s="332">
        <f>G147+G154</f>
        <v>7657.9</v>
      </c>
      <c r="H146" s="332">
        <f t="shared" ref="H146" si="75">H147+H154</f>
        <v>4407.49</v>
      </c>
      <c r="I146" s="332">
        <f t="shared" si="73"/>
        <v>57.554812677104692</v>
      </c>
    </row>
    <row r="147" spans="1:14" s="214" customFormat="1" ht="31.5" x14ac:dyDescent="0.25">
      <c r="A147" s="333" t="s">
        <v>916</v>
      </c>
      <c r="B147" s="330">
        <v>902</v>
      </c>
      <c r="C147" s="334" t="s">
        <v>231</v>
      </c>
      <c r="D147" s="334" t="s">
        <v>235</v>
      </c>
      <c r="E147" s="334" t="s">
        <v>911</v>
      </c>
      <c r="F147" s="334"/>
      <c r="G147" s="332">
        <f>G148+G151</f>
        <v>1780.5</v>
      </c>
      <c r="H147" s="332">
        <f t="shared" ref="H147" si="76">H148+H151</f>
        <v>179.62</v>
      </c>
      <c r="I147" s="332">
        <f t="shared" si="73"/>
        <v>10.08817747823645</v>
      </c>
      <c r="J147" s="325"/>
      <c r="K147" s="325"/>
      <c r="L147" s="325"/>
      <c r="M147" s="325"/>
      <c r="N147" s="325"/>
    </row>
    <row r="148" spans="1:14" s="214" customFormat="1" ht="31.5" x14ac:dyDescent="0.25">
      <c r="A148" s="361" t="s">
        <v>240</v>
      </c>
      <c r="B148" s="359">
        <v>902</v>
      </c>
      <c r="C148" s="360" t="s">
        <v>231</v>
      </c>
      <c r="D148" s="360" t="s">
        <v>235</v>
      </c>
      <c r="E148" s="360" t="s">
        <v>921</v>
      </c>
      <c r="F148" s="360"/>
      <c r="G148" s="336">
        <f>G149</f>
        <v>1583.5</v>
      </c>
      <c r="H148" s="336">
        <f t="shared" ref="H148:H149" si="77">H149</f>
        <v>70.8</v>
      </c>
      <c r="I148" s="336">
        <f t="shared" si="73"/>
        <v>4.471108304389011</v>
      </c>
      <c r="J148" s="325"/>
      <c r="K148" s="325"/>
      <c r="L148" s="325"/>
      <c r="M148" s="325"/>
      <c r="N148" s="325"/>
    </row>
    <row r="149" spans="1:14" s="214" customFormat="1" ht="31.5" x14ac:dyDescent="0.25">
      <c r="A149" s="361" t="s">
        <v>214</v>
      </c>
      <c r="B149" s="359">
        <v>902</v>
      </c>
      <c r="C149" s="360" t="s">
        <v>231</v>
      </c>
      <c r="D149" s="360" t="s">
        <v>235</v>
      </c>
      <c r="E149" s="360" t="s">
        <v>921</v>
      </c>
      <c r="F149" s="360" t="s">
        <v>148</v>
      </c>
      <c r="G149" s="336">
        <f>G150</f>
        <v>1583.5</v>
      </c>
      <c r="H149" s="336">
        <f t="shared" si="77"/>
        <v>70.8</v>
      </c>
      <c r="I149" s="336">
        <f t="shared" si="73"/>
        <v>4.471108304389011</v>
      </c>
      <c r="J149" s="325"/>
      <c r="K149" s="325"/>
      <c r="L149" s="325"/>
      <c r="M149" s="325"/>
      <c r="N149" s="325"/>
    </row>
    <row r="150" spans="1:14" s="214" customFormat="1" ht="31.5" x14ac:dyDescent="0.25">
      <c r="A150" s="361" t="s">
        <v>149</v>
      </c>
      <c r="B150" s="359">
        <v>902</v>
      </c>
      <c r="C150" s="360" t="s">
        <v>231</v>
      </c>
      <c r="D150" s="360" t="s">
        <v>235</v>
      </c>
      <c r="E150" s="360" t="s">
        <v>921</v>
      </c>
      <c r="F150" s="360" t="s">
        <v>150</v>
      </c>
      <c r="G150" s="271">
        <f>1785-400+198.5</f>
        <v>1583.5</v>
      </c>
      <c r="H150" s="271">
        <v>70.8</v>
      </c>
      <c r="I150" s="336">
        <f t="shared" si="73"/>
        <v>4.471108304389011</v>
      </c>
      <c r="J150" s="325"/>
      <c r="K150" s="325"/>
      <c r="L150" s="325"/>
      <c r="M150" s="325"/>
      <c r="N150" s="325"/>
    </row>
    <row r="151" spans="1:14" s="214" customFormat="1" ht="15.75" x14ac:dyDescent="0.25">
      <c r="A151" s="361" t="s">
        <v>246</v>
      </c>
      <c r="B151" s="359">
        <v>902</v>
      </c>
      <c r="C151" s="360" t="s">
        <v>231</v>
      </c>
      <c r="D151" s="360" t="s">
        <v>235</v>
      </c>
      <c r="E151" s="360" t="s">
        <v>922</v>
      </c>
      <c r="F151" s="360"/>
      <c r="G151" s="362">
        <f>G152</f>
        <v>197</v>
      </c>
      <c r="H151" s="362">
        <f t="shared" ref="H151:H152" si="78">H152</f>
        <v>108.82</v>
      </c>
      <c r="I151" s="336">
        <f t="shared" si="73"/>
        <v>55.238578680203041</v>
      </c>
      <c r="J151" s="325"/>
      <c r="K151" s="325"/>
      <c r="L151" s="325"/>
      <c r="M151" s="325"/>
      <c r="N151" s="325"/>
    </row>
    <row r="152" spans="1:14" s="214" customFormat="1" ht="31.5" x14ac:dyDescent="0.25">
      <c r="A152" s="361" t="s">
        <v>214</v>
      </c>
      <c r="B152" s="359">
        <v>902</v>
      </c>
      <c r="C152" s="360" t="s">
        <v>231</v>
      </c>
      <c r="D152" s="360" t="s">
        <v>235</v>
      </c>
      <c r="E152" s="360" t="s">
        <v>922</v>
      </c>
      <c r="F152" s="360" t="s">
        <v>148</v>
      </c>
      <c r="G152" s="362">
        <f>G153</f>
        <v>197</v>
      </c>
      <c r="H152" s="362">
        <f t="shared" si="78"/>
        <v>108.82</v>
      </c>
      <c r="I152" s="336">
        <f t="shared" si="73"/>
        <v>55.238578680203041</v>
      </c>
      <c r="J152" s="325"/>
      <c r="K152" s="325"/>
      <c r="L152" s="325"/>
      <c r="M152" s="325"/>
      <c r="N152" s="325"/>
    </row>
    <row r="153" spans="1:14" s="214" customFormat="1" ht="31.5" x14ac:dyDescent="0.25">
      <c r="A153" s="361" t="s">
        <v>149</v>
      </c>
      <c r="B153" s="359">
        <v>902</v>
      </c>
      <c r="C153" s="360" t="s">
        <v>231</v>
      </c>
      <c r="D153" s="360" t="s">
        <v>235</v>
      </c>
      <c r="E153" s="360" t="s">
        <v>922</v>
      </c>
      <c r="F153" s="360" t="s">
        <v>150</v>
      </c>
      <c r="G153" s="362">
        <f>99+98</f>
        <v>197</v>
      </c>
      <c r="H153" s="362">
        <v>108.82</v>
      </c>
      <c r="I153" s="336">
        <f t="shared" si="73"/>
        <v>55.238578680203041</v>
      </c>
      <c r="J153" s="325"/>
      <c r="K153" s="325"/>
      <c r="L153" s="325"/>
      <c r="M153" s="325"/>
      <c r="N153" s="325"/>
    </row>
    <row r="154" spans="1:14" s="214" customFormat="1" ht="34.5" customHeight="1" x14ac:dyDescent="0.25">
      <c r="A154" s="333" t="s">
        <v>996</v>
      </c>
      <c r="B154" s="330">
        <v>902</v>
      </c>
      <c r="C154" s="334" t="s">
        <v>231</v>
      </c>
      <c r="D154" s="334" t="s">
        <v>235</v>
      </c>
      <c r="E154" s="334" t="s">
        <v>918</v>
      </c>
      <c r="F154" s="334"/>
      <c r="G154" s="332">
        <f>G155+G160</f>
        <v>5877.4</v>
      </c>
      <c r="H154" s="332">
        <f t="shared" ref="H154" si="79">H155+H160</f>
        <v>4227.87</v>
      </c>
      <c r="I154" s="332">
        <f t="shared" si="73"/>
        <v>71.934358730050704</v>
      </c>
      <c r="J154" s="325"/>
      <c r="K154" s="325"/>
      <c r="L154" s="325"/>
      <c r="M154" s="325"/>
      <c r="N154" s="325"/>
    </row>
    <row r="155" spans="1:14" s="214" customFormat="1" ht="31.5" x14ac:dyDescent="0.25">
      <c r="A155" s="361" t="s">
        <v>1000</v>
      </c>
      <c r="B155" s="359">
        <v>902</v>
      </c>
      <c r="C155" s="360" t="s">
        <v>231</v>
      </c>
      <c r="D155" s="360" t="s">
        <v>235</v>
      </c>
      <c r="E155" s="360" t="s">
        <v>919</v>
      </c>
      <c r="F155" s="360"/>
      <c r="G155" s="336">
        <f>G156+G158</f>
        <v>5625.4</v>
      </c>
      <c r="H155" s="336">
        <f t="shared" ref="H155" si="80">H156+H158</f>
        <v>4217.7699999999995</v>
      </c>
      <c r="I155" s="336">
        <f t="shared" si="73"/>
        <v>74.977246062502218</v>
      </c>
      <c r="J155" s="325"/>
      <c r="K155" s="325"/>
      <c r="L155" s="325"/>
      <c r="M155" s="325"/>
      <c r="N155" s="325"/>
    </row>
    <row r="156" spans="1:14" s="214" customFormat="1" ht="63" x14ac:dyDescent="0.25">
      <c r="A156" s="361" t="s">
        <v>143</v>
      </c>
      <c r="B156" s="359">
        <v>902</v>
      </c>
      <c r="C156" s="360" t="s">
        <v>231</v>
      </c>
      <c r="D156" s="360" t="s">
        <v>235</v>
      </c>
      <c r="E156" s="360" t="s">
        <v>919</v>
      </c>
      <c r="F156" s="360" t="s">
        <v>144</v>
      </c>
      <c r="G156" s="336">
        <f>G157</f>
        <v>5462.4</v>
      </c>
      <c r="H156" s="336">
        <f t="shared" ref="H156" si="81">H157</f>
        <v>4100.78</v>
      </c>
      <c r="I156" s="336">
        <f t="shared" si="73"/>
        <v>75.072861745752789</v>
      </c>
      <c r="J156" s="325"/>
      <c r="K156" s="325"/>
      <c r="L156" s="325"/>
      <c r="M156" s="325"/>
      <c r="N156" s="325"/>
    </row>
    <row r="157" spans="1:14" s="214" customFormat="1" ht="15.75" x14ac:dyDescent="0.25">
      <c r="A157" s="361" t="s">
        <v>224</v>
      </c>
      <c r="B157" s="359">
        <v>902</v>
      </c>
      <c r="C157" s="360" t="s">
        <v>231</v>
      </c>
      <c r="D157" s="360" t="s">
        <v>235</v>
      </c>
      <c r="E157" s="360" t="s">
        <v>919</v>
      </c>
      <c r="F157" s="360" t="s">
        <v>225</v>
      </c>
      <c r="G157" s="362">
        <f>5525+79.7+10.9-153.2</f>
        <v>5462.4</v>
      </c>
      <c r="H157" s="362">
        <v>4100.78</v>
      </c>
      <c r="I157" s="336">
        <f t="shared" si="73"/>
        <v>75.072861745752789</v>
      </c>
      <c r="J157" s="325"/>
      <c r="K157" s="325"/>
      <c r="L157" s="325"/>
      <c r="M157" s="325"/>
      <c r="N157" s="325"/>
    </row>
    <row r="158" spans="1:14" s="214" customFormat="1" ht="31.5" x14ac:dyDescent="0.25">
      <c r="A158" s="361" t="s">
        <v>214</v>
      </c>
      <c r="B158" s="359">
        <v>902</v>
      </c>
      <c r="C158" s="360" t="s">
        <v>231</v>
      </c>
      <c r="D158" s="360" t="s">
        <v>235</v>
      </c>
      <c r="E158" s="360" t="s">
        <v>919</v>
      </c>
      <c r="F158" s="360" t="s">
        <v>148</v>
      </c>
      <c r="G158" s="336">
        <f>G159</f>
        <v>163</v>
      </c>
      <c r="H158" s="336">
        <f t="shared" ref="H158" si="82">H159</f>
        <v>116.99</v>
      </c>
      <c r="I158" s="336">
        <f t="shared" si="73"/>
        <v>71.773006134969322</v>
      </c>
      <c r="J158" s="325"/>
      <c r="K158" s="325"/>
      <c r="L158" s="325"/>
      <c r="M158" s="325"/>
      <c r="N158" s="325"/>
    </row>
    <row r="159" spans="1:14" s="214" customFormat="1" ht="31.5" x14ac:dyDescent="0.25">
      <c r="A159" s="361" t="s">
        <v>149</v>
      </c>
      <c r="B159" s="359">
        <v>902</v>
      </c>
      <c r="C159" s="360" t="s">
        <v>231</v>
      </c>
      <c r="D159" s="360" t="s">
        <v>235</v>
      </c>
      <c r="E159" s="360" t="s">
        <v>919</v>
      </c>
      <c r="F159" s="360" t="s">
        <v>150</v>
      </c>
      <c r="G159" s="362">
        <v>163</v>
      </c>
      <c r="H159" s="362">
        <v>116.99</v>
      </c>
      <c r="I159" s="336">
        <f t="shared" si="73"/>
        <v>71.773006134969322</v>
      </c>
      <c r="J159" s="325"/>
      <c r="K159" s="325"/>
      <c r="L159" s="325"/>
      <c r="M159" s="325"/>
      <c r="N159" s="325"/>
    </row>
    <row r="160" spans="1:14" s="214" customFormat="1" ht="31.5" x14ac:dyDescent="0.25">
      <c r="A160" s="361" t="s">
        <v>885</v>
      </c>
      <c r="B160" s="359">
        <v>902</v>
      </c>
      <c r="C160" s="360" t="s">
        <v>231</v>
      </c>
      <c r="D160" s="360" t="s">
        <v>235</v>
      </c>
      <c r="E160" s="360" t="s">
        <v>920</v>
      </c>
      <c r="F160" s="360"/>
      <c r="G160" s="336">
        <f>G161</f>
        <v>252</v>
      </c>
      <c r="H160" s="336">
        <f t="shared" ref="H160:H161" si="83">H161</f>
        <v>10.1</v>
      </c>
      <c r="I160" s="336">
        <f t="shared" si="73"/>
        <v>4.0079365079365079</v>
      </c>
      <c r="J160" s="325"/>
      <c r="K160" s="325"/>
      <c r="L160" s="325"/>
      <c r="M160" s="325"/>
      <c r="N160" s="325"/>
    </row>
    <row r="161" spans="1:14" s="214" customFormat="1" ht="63" x14ac:dyDescent="0.25">
      <c r="A161" s="361" t="s">
        <v>143</v>
      </c>
      <c r="B161" s="359">
        <v>902</v>
      </c>
      <c r="C161" s="360" t="s">
        <v>231</v>
      </c>
      <c r="D161" s="360" t="s">
        <v>235</v>
      </c>
      <c r="E161" s="360" t="s">
        <v>920</v>
      </c>
      <c r="F161" s="360" t="s">
        <v>144</v>
      </c>
      <c r="G161" s="336">
        <f>G162</f>
        <v>252</v>
      </c>
      <c r="H161" s="336">
        <f t="shared" si="83"/>
        <v>10.1</v>
      </c>
      <c r="I161" s="336">
        <f t="shared" si="73"/>
        <v>4.0079365079365079</v>
      </c>
      <c r="J161" s="325"/>
      <c r="K161" s="325"/>
      <c r="L161" s="325"/>
      <c r="M161" s="325"/>
      <c r="N161" s="325"/>
    </row>
    <row r="162" spans="1:14" s="214" customFormat="1" ht="15.75" x14ac:dyDescent="0.25">
      <c r="A162" s="361" t="s">
        <v>224</v>
      </c>
      <c r="B162" s="359">
        <v>902</v>
      </c>
      <c r="C162" s="360" t="s">
        <v>231</v>
      </c>
      <c r="D162" s="360" t="s">
        <v>235</v>
      </c>
      <c r="E162" s="360" t="s">
        <v>920</v>
      </c>
      <c r="F162" s="360" t="s">
        <v>225</v>
      </c>
      <c r="G162" s="336">
        <v>252</v>
      </c>
      <c r="H162" s="336">
        <v>10.1</v>
      </c>
      <c r="I162" s="336">
        <f t="shared" si="73"/>
        <v>4.0079365079365079</v>
      </c>
      <c r="J162" s="325"/>
      <c r="K162" s="325"/>
      <c r="L162" s="325"/>
      <c r="M162" s="325"/>
      <c r="N162" s="325"/>
    </row>
    <row r="163" spans="1:14" ht="15.75" x14ac:dyDescent="0.25">
      <c r="A163" s="333" t="s">
        <v>248</v>
      </c>
      <c r="B163" s="330">
        <v>902</v>
      </c>
      <c r="C163" s="334" t="s">
        <v>166</v>
      </c>
      <c r="D163" s="334"/>
      <c r="E163" s="334"/>
      <c r="F163" s="360"/>
      <c r="G163" s="332">
        <f>G177+G164</f>
        <v>844.8</v>
      </c>
      <c r="H163" s="332">
        <f t="shared" ref="H163" si="84">H177+H164</f>
        <v>184.56</v>
      </c>
      <c r="I163" s="332">
        <f t="shared" si="73"/>
        <v>21.84659090909091</v>
      </c>
    </row>
    <row r="164" spans="1:14" ht="15.75" x14ac:dyDescent="0.25">
      <c r="A164" s="333" t="s">
        <v>249</v>
      </c>
      <c r="B164" s="330">
        <v>902</v>
      </c>
      <c r="C164" s="334" t="s">
        <v>166</v>
      </c>
      <c r="D164" s="334" t="s">
        <v>250</v>
      </c>
      <c r="E164" s="334"/>
      <c r="F164" s="360"/>
      <c r="G164" s="332">
        <f>G165</f>
        <v>306</v>
      </c>
      <c r="H164" s="332">
        <f t="shared" ref="H164" si="85">H165</f>
        <v>91.009999999999991</v>
      </c>
      <c r="I164" s="332">
        <f t="shared" si="73"/>
        <v>29.741830065359476</v>
      </c>
    </row>
    <row r="165" spans="1:14" ht="45" customHeight="1" x14ac:dyDescent="0.25">
      <c r="A165" s="34" t="s">
        <v>197</v>
      </c>
      <c r="B165" s="330">
        <v>902</v>
      </c>
      <c r="C165" s="334" t="s">
        <v>166</v>
      </c>
      <c r="D165" s="334" t="s">
        <v>250</v>
      </c>
      <c r="E165" s="206" t="s">
        <v>198</v>
      </c>
      <c r="F165" s="231"/>
      <c r="G165" s="332">
        <f>G166+G173</f>
        <v>306</v>
      </c>
      <c r="H165" s="332">
        <f t="shared" ref="H165" si="86">H166+H173</f>
        <v>91.009999999999991</v>
      </c>
      <c r="I165" s="332">
        <f t="shared" si="73"/>
        <v>29.741830065359476</v>
      </c>
    </row>
    <row r="166" spans="1:14" s="214" customFormat="1" ht="35.450000000000003" customHeight="1" x14ac:dyDescent="0.25">
      <c r="A166" s="34" t="s">
        <v>1159</v>
      </c>
      <c r="B166" s="330">
        <v>902</v>
      </c>
      <c r="C166" s="334" t="s">
        <v>166</v>
      </c>
      <c r="D166" s="334" t="s">
        <v>250</v>
      </c>
      <c r="E166" s="266" t="s">
        <v>923</v>
      </c>
      <c r="F166" s="231"/>
      <c r="G166" s="332">
        <f>G167+G170</f>
        <v>285</v>
      </c>
      <c r="H166" s="332">
        <f t="shared" ref="H166" si="87">H167+H170</f>
        <v>91.009999999999991</v>
      </c>
      <c r="I166" s="332">
        <f t="shared" si="73"/>
        <v>31.93333333333333</v>
      </c>
      <c r="J166" s="325"/>
      <c r="K166" s="325"/>
      <c r="L166" s="325"/>
      <c r="M166" s="325"/>
      <c r="N166" s="325"/>
    </row>
    <row r="167" spans="1:14" ht="15.75" x14ac:dyDescent="0.25">
      <c r="A167" s="361" t="s">
        <v>924</v>
      </c>
      <c r="B167" s="359">
        <v>902</v>
      </c>
      <c r="C167" s="360" t="s">
        <v>166</v>
      </c>
      <c r="D167" s="360" t="s">
        <v>250</v>
      </c>
      <c r="E167" s="360" t="s">
        <v>968</v>
      </c>
      <c r="F167" s="32"/>
      <c r="G167" s="336">
        <f>G168</f>
        <v>30</v>
      </c>
      <c r="H167" s="336">
        <f t="shared" ref="H167:H168" si="88">H168</f>
        <v>9.49</v>
      </c>
      <c r="I167" s="336">
        <f t="shared" si="73"/>
        <v>31.633333333333336</v>
      </c>
    </row>
    <row r="168" spans="1:14" ht="15.75" x14ac:dyDescent="0.25">
      <c r="A168" s="338" t="s">
        <v>151</v>
      </c>
      <c r="B168" s="359">
        <v>902</v>
      </c>
      <c r="C168" s="360" t="s">
        <v>166</v>
      </c>
      <c r="D168" s="360" t="s">
        <v>250</v>
      </c>
      <c r="E168" s="360" t="s">
        <v>968</v>
      </c>
      <c r="F168" s="32" t="s">
        <v>161</v>
      </c>
      <c r="G168" s="336">
        <f>G169</f>
        <v>30</v>
      </c>
      <c r="H168" s="336">
        <f t="shared" si="88"/>
        <v>9.49</v>
      </c>
      <c r="I168" s="336">
        <f t="shared" si="73"/>
        <v>31.633333333333336</v>
      </c>
    </row>
    <row r="169" spans="1:14" ht="47.25" x14ac:dyDescent="0.25">
      <c r="A169" s="338" t="s">
        <v>200</v>
      </c>
      <c r="B169" s="359">
        <v>902</v>
      </c>
      <c r="C169" s="360" t="s">
        <v>166</v>
      </c>
      <c r="D169" s="360" t="s">
        <v>250</v>
      </c>
      <c r="E169" s="360" t="s">
        <v>968</v>
      </c>
      <c r="F169" s="32" t="s">
        <v>176</v>
      </c>
      <c r="G169" s="336">
        <f>1+29</f>
        <v>30</v>
      </c>
      <c r="H169" s="336">
        <v>9.49</v>
      </c>
      <c r="I169" s="336">
        <f t="shared" si="73"/>
        <v>31.633333333333336</v>
      </c>
    </row>
    <row r="170" spans="1:14" s="214" customFormat="1" ht="31.5" x14ac:dyDescent="0.25">
      <c r="A170" s="361" t="s">
        <v>251</v>
      </c>
      <c r="B170" s="359">
        <v>902</v>
      </c>
      <c r="C170" s="360" t="s">
        <v>166</v>
      </c>
      <c r="D170" s="360" t="s">
        <v>250</v>
      </c>
      <c r="E170" s="360" t="s">
        <v>927</v>
      </c>
      <c r="F170" s="360"/>
      <c r="G170" s="336">
        <f>G171</f>
        <v>255</v>
      </c>
      <c r="H170" s="336">
        <f t="shared" ref="H170:H171" si="89">H171</f>
        <v>81.52</v>
      </c>
      <c r="I170" s="336">
        <f t="shared" si="73"/>
        <v>31.968627450980392</v>
      </c>
      <c r="J170" s="325"/>
      <c r="K170" s="325"/>
      <c r="L170" s="325"/>
      <c r="M170" s="325"/>
      <c r="N170" s="325"/>
    </row>
    <row r="171" spans="1:14" s="214" customFormat="1" ht="15.75" x14ac:dyDescent="0.25">
      <c r="A171" s="361" t="s">
        <v>151</v>
      </c>
      <c r="B171" s="359">
        <v>902</v>
      </c>
      <c r="C171" s="360" t="s">
        <v>166</v>
      </c>
      <c r="D171" s="360" t="s">
        <v>250</v>
      </c>
      <c r="E171" s="360" t="s">
        <v>927</v>
      </c>
      <c r="F171" s="360" t="s">
        <v>161</v>
      </c>
      <c r="G171" s="336">
        <f>G172</f>
        <v>255</v>
      </c>
      <c r="H171" s="336">
        <f t="shared" si="89"/>
        <v>81.52</v>
      </c>
      <c r="I171" s="336">
        <f t="shared" si="73"/>
        <v>31.968627450980392</v>
      </c>
      <c r="J171" s="325"/>
      <c r="K171" s="325"/>
      <c r="L171" s="325"/>
      <c r="M171" s="325"/>
      <c r="N171" s="325"/>
    </row>
    <row r="172" spans="1:14" s="214" customFormat="1" ht="47.25" x14ac:dyDescent="0.25">
      <c r="A172" s="361" t="s">
        <v>200</v>
      </c>
      <c r="B172" s="359">
        <v>902</v>
      </c>
      <c r="C172" s="360" t="s">
        <v>166</v>
      </c>
      <c r="D172" s="360" t="s">
        <v>250</v>
      </c>
      <c r="E172" s="360" t="s">
        <v>927</v>
      </c>
      <c r="F172" s="360" t="s">
        <v>176</v>
      </c>
      <c r="G172" s="336">
        <v>255</v>
      </c>
      <c r="H172" s="336">
        <v>81.52</v>
      </c>
      <c r="I172" s="336">
        <f t="shared" si="73"/>
        <v>31.968627450980392</v>
      </c>
      <c r="J172" s="325"/>
      <c r="K172" s="325"/>
      <c r="L172" s="325"/>
      <c r="M172" s="325"/>
      <c r="N172" s="325"/>
    </row>
    <row r="173" spans="1:14" s="214" customFormat="1" ht="31.5" x14ac:dyDescent="0.25">
      <c r="A173" s="258" t="s">
        <v>1160</v>
      </c>
      <c r="B173" s="330">
        <v>902</v>
      </c>
      <c r="C173" s="334" t="s">
        <v>166</v>
      </c>
      <c r="D173" s="334" t="s">
        <v>250</v>
      </c>
      <c r="E173" s="206" t="s">
        <v>926</v>
      </c>
      <c r="F173" s="231"/>
      <c r="G173" s="332">
        <f>G174</f>
        <v>21</v>
      </c>
      <c r="H173" s="332">
        <f t="shared" ref="H173:H175" si="90">H174</f>
        <v>0</v>
      </c>
      <c r="I173" s="332">
        <f t="shared" si="73"/>
        <v>0</v>
      </c>
      <c r="J173" s="325"/>
      <c r="K173" s="325"/>
      <c r="L173" s="325"/>
      <c r="M173" s="325"/>
      <c r="N173" s="325"/>
    </row>
    <row r="174" spans="1:14" s="214" customFormat="1" ht="15.75" x14ac:dyDescent="0.25">
      <c r="A174" s="361" t="s">
        <v>925</v>
      </c>
      <c r="B174" s="359">
        <v>902</v>
      </c>
      <c r="C174" s="360" t="s">
        <v>166</v>
      </c>
      <c r="D174" s="360" t="s">
        <v>250</v>
      </c>
      <c r="E174" s="326" t="s">
        <v>969</v>
      </c>
      <c r="F174" s="32"/>
      <c r="G174" s="336">
        <f>G175</f>
        <v>21</v>
      </c>
      <c r="H174" s="336">
        <f t="shared" si="90"/>
        <v>0</v>
      </c>
      <c r="I174" s="336">
        <f t="shared" si="73"/>
        <v>0</v>
      </c>
      <c r="J174" s="325"/>
      <c r="K174" s="325"/>
      <c r="L174" s="325"/>
      <c r="M174" s="325"/>
      <c r="N174" s="325"/>
    </row>
    <row r="175" spans="1:14" s="214" customFormat="1" ht="15.75" x14ac:dyDescent="0.25">
      <c r="A175" s="338" t="s">
        <v>151</v>
      </c>
      <c r="B175" s="359">
        <v>902</v>
      </c>
      <c r="C175" s="360" t="s">
        <v>166</v>
      </c>
      <c r="D175" s="360" t="s">
        <v>250</v>
      </c>
      <c r="E175" s="326" t="s">
        <v>969</v>
      </c>
      <c r="F175" s="32" t="s">
        <v>161</v>
      </c>
      <c r="G175" s="336">
        <f>G176</f>
        <v>21</v>
      </c>
      <c r="H175" s="336">
        <f t="shared" si="90"/>
        <v>0</v>
      </c>
      <c r="I175" s="336">
        <f t="shared" si="73"/>
        <v>0</v>
      </c>
      <c r="J175" s="325"/>
      <c r="K175" s="325"/>
      <c r="L175" s="325"/>
      <c r="M175" s="325"/>
      <c r="N175" s="325"/>
    </row>
    <row r="176" spans="1:14" s="214" customFormat="1" ht="47.25" x14ac:dyDescent="0.25">
      <c r="A176" s="338" t="s">
        <v>200</v>
      </c>
      <c r="B176" s="359">
        <v>902</v>
      </c>
      <c r="C176" s="360" t="s">
        <v>166</v>
      </c>
      <c r="D176" s="360" t="s">
        <v>250</v>
      </c>
      <c r="E176" s="326" t="s">
        <v>969</v>
      </c>
      <c r="F176" s="32" t="s">
        <v>176</v>
      </c>
      <c r="G176" s="336">
        <f>50-29</f>
        <v>21</v>
      </c>
      <c r="H176" s="336">
        <v>0</v>
      </c>
      <c r="I176" s="336">
        <f t="shared" si="73"/>
        <v>0</v>
      </c>
      <c r="J176" s="325"/>
      <c r="K176" s="325"/>
      <c r="L176" s="325"/>
      <c r="M176" s="325"/>
      <c r="N176" s="325"/>
    </row>
    <row r="177" spans="1:14" ht="15.75" x14ac:dyDescent="0.25">
      <c r="A177" s="333" t="s">
        <v>253</v>
      </c>
      <c r="B177" s="330">
        <v>902</v>
      </c>
      <c r="C177" s="334" t="s">
        <v>166</v>
      </c>
      <c r="D177" s="334" t="s">
        <v>254</v>
      </c>
      <c r="E177" s="334"/>
      <c r="F177" s="334"/>
      <c r="G177" s="332">
        <f>G178+G185</f>
        <v>538.79999999999995</v>
      </c>
      <c r="H177" s="332">
        <f t="shared" ref="H177" si="91">H178+H185</f>
        <v>93.55</v>
      </c>
      <c r="I177" s="332">
        <f t="shared" si="73"/>
        <v>17.362657757980699</v>
      </c>
    </row>
    <row r="178" spans="1:14" ht="31.5" x14ac:dyDescent="0.25">
      <c r="A178" s="333" t="s">
        <v>990</v>
      </c>
      <c r="B178" s="330">
        <v>902</v>
      </c>
      <c r="C178" s="334" t="s">
        <v>166</v>
      </c>
      <c r="D178" s="334" t="s">
        <v>254</v>
      </c>
      <c r="E178" s="334" t="s">
        <v>904</v>
      </c>
      <c r="F178" s="334"/>
      <c r="G178" s="332">
        <f>G179</f>
        <v>288.8</v>
      </c>
      <c r="H178" s="332">
        <f t="shared" ref="H178" si="92">H179</f>
        <v>93.55</v>
      </c>
      <c r="I178" s="332">
        <f t="shared" si="73"/>
        <v>32.392659279778393</v>
      </c>
    </row>
    <row r="179" spans="1:14" ht="31.5" x14ac:dyDescent="0.25">
      <c r="A179" s="333" t="s">
        <v>932</v>
      </c>
      <c r="B179" s="330">
        <v>902</v>
      </c>
      <c r="C179" s="334" t="s">
        <v>166</v>
      </c>
      <c r="D179" s="334" t="s">
        <v>254</v>
      </c>
      <c r="E179" s="334" t="s">
        <v>909</v>
      </c>
      <c r="F179" s="334"/>
      <c r="G179" s="332">
        <f>G180+G190</f>
        <v>288.8</v>
      </c>
      <c r="H179" s="332">
        <f t="shared" ref="H179" si="93">H180+H190</f>
        <v>93.55</v>
      </c>
      <c r="I179" s="332">
        <f t="shared" si="73"/>
        <v>32.392659279778393</v>
      </c>
    </row>
    <row r="180" spans="1:14" ht="69.75" customHeight="1" x14ac:dyDescent="0.25">
      <c r="A180" s="31" t="s">
        <v>257</v>
      </c>
      <c r="B180" s="359">
        <v>902</v>
      </c>
      <c r="C180" s="360" t="s">
        <v>166</v>
      </c>
      <c r="D180" s="360" t="s">
        <v>254</v>
      </c>
      <c r="E180" s="360" t="s">
        <v>997</v>
      </c>
      <c r="F180" s="360"/>
      <c r="G180" s="336">
        <f>G181+G183</f>
        <v>288.8</v>
      </c>
      <c r="H180" s="336">
        <f t="shared" ref="H180" si="94">H181+H183</f>
        <v>93.55</v>
      </c>
      <c r="I180" s="336">
        <f t="shared" si="73"/>
        <v>32.392659279778393</v>
      </c>
    </row>
    <row r="181" spans="1:14" ht="63" x14ac:dyDescent="0.25">
      <c r="A181" s="361" t="s">
        <v>143</v>
      </c>
      <c r="B181" s="359">
        <v>902</v>
      </c>
      <c r="C181" s="360" t="s">
        <v>166</v>
      </c>
      <c r="D181" s="360" t="s">
        <v>254</v>
      </c>
      <c r="E181" s="360" t="s">
        <v>997</v>
      </c>
      <c r="F181" s="360" t="s">
        <v>144</v>
      </c>
      <c r="G181" s="336">
        <f>G182</f>
        <v>187</v>
      </c>
      <c r="H181" s="336">
        <f t="shared" ref="H181" si="95">H182</f>
        <v>93.55</v>
      </c>
      <c r="I181" s="336">
        <f t="shared" si="73"/>
        <v>50.026737967914436</v>
      </c>
    </row>
    <row r="182" spans="1:14" ht="31.5" x14ac:dyDescent="0.25">
      <c r="A182" s="361" t="s">
        <v>145</v>
      </c>
      <c r="B182" s="359">
        <v>902</v>
      </c>
      <c r="C182" s="360" t="s">
        <v>166</v>
      </c>
      <c r="D182" s="360" t="s">
        <v>254</v>
      </c>
      <c r="E182" s="360" t="s">
        <v>997</v>
      </c>
      <c r="F182" s="360" t="s">
        <v>146</v>
      </c>
      <c r="G182" s="336">
        <v>187</v>
      </c>
      <c r="H182" s="336">
        <v>93.55</v>
      </c>
      <c r="I182" s="336">
        <f t="shared" si="73"/>
        <v>50.026737967914436</v>
      </c>
    </row>
    <row r="183" spans="1:14" ht="31.5" x14ac:dyDescent="0.25">
      <c r="A183" s="361" t="s">
        <v>147</v>
      </c>
      <c r="B183" s="359">
        <v>902</v>
      </c>
      <c r="C183" s="360" t="s">
        <v>166</v>
      </c>
      <c r="D183" s="360" t="s">
        <v>254</v>
      </c>
      <c r="E183" s="360" t="s">
        <v>997</v>
      </c>
      <c r="F183" s="360" t="s">
        <v>148</v>
      </c>
      <c r="G183" s="336">
        <f>G184</f>
        <v>101.8</v>
      </c>
      <c r="H183" s="336">
        <f t="shared" ref="H183" si="96">H184</f>
        <v>0</v>
      </c>
      <c r="I183" s="336">
        <f t="shared" si="73"/>
        <v>0</v>
      </c>
    </row>
    <row r="184" spans="1:14" ht="31.5" x14ac:dyDescent="0.25">
      <c r="A184" s="361" t="s">
        <v>149</v>
      </c>
      <c r="B184" s="359">
        <v>902</v>
      </c>
      <c r="C184" s="360" t="s">
        <v>166</v>
      </c>
      <c r="D184" s="360" t="s">
        <v>254</v>
      </c>
      <c r="E184" s="360" t="s">
        <v>997</v>
      </c>
      <c r="F184" s="360" t="s">
        <v>150</v>
      </c>
      <c r="G184" s="336">
        <v>101.8</v>
      </c>
      <c r="H184" s="336">
        <v>0</v>
      </c>
      <c r="I184" s="336">
        <f t="shared" si="73"/>
        <v>0</v>
      </c>
    </row>
    <row r="185" spans="1:14" s="214" customFormat="1" ht="47.25" x14ac:dyDescent="0.25">
      <c r="A185" s="333" t="s">
        <v>1239</v>
      </c>
      <c r="B185" s="330">
        <v>902</v>
      </c>
      <c r="C185" s="334" t="s">
        <v>166</v>
      </c>
      <c r="D185" s="334" t="s">
        <v>254</v>
      </c>
      <c r="E185" s="334" t="s">
        <v>172</v>
      </c>
      <c r="F185" s="334"/>
      <c r="G185" s="332">
        <f>G186</f>
        <v>250</v>
      </c>
      <c r="H185" s="332">
        <f t="shared" ref="H185" si="97">H186</f>
        <v>0</v>
      </c>
      <c r="I185" s="332">
        <f t="shared" si="73"/>
        <v>0</v>
      </c>
      <c r="J185" s="325"/>
      <c r="K185" s="325"/>
      <c r="L185" s="325"/>
      <c r="M185" s="325"/>
      <c r="N185" s="325"/>
    </row>
    <row r="186" spans="1:14" s="214" customFormat="1" ht="31.5" x14ac:dyDescent="0.25">
      <c r="A186" s="333" t="s">
        <v>1243</v>
      </c>
      <c r="B186" s="330">
        <v>902</v>
      </c>
      <c r="C186" s="334" t="s">
        <v>166</v>
      </c>
      <c r="D186" s="334" t="s">
        <v>254</v>
      </c>
      <c r="E186" s="334" t="s">
        <v>1240</v>
      </c>
      <c r="F186" s="334"/>
      <c r="G186" s="332">
        <f>G187+G190</f>
        <v>250</v>
      </c>
      <c r="H186" s="332">
        <f t="shared" ref="H186" si="98">H187+H190</f>
        <v>0</v>
      </c>
      <c r="I186" s="332">
        <f t="shared" si="73"/>
        <v>0</v>
      </c>
      <c r="J186" s="325"/>
      <c r="K186" s="325"/>
      <c r="L186" s="325"/>
      <c r="M186" s="325"/>
      <c r="N186" s="325"/>
    </row>
    <row r="187" spans="1:14" s="214" customFormat="1" ht="31.5" x14ac:dyDescent="0.25">
      <c r="A187" s="361" t="s">
        <v>1244</v>
      </c>
      <c r="B187" s="359">
        <v>902</v>
      </c>
      <c r="C187" s="360" t="s">
        <v>166</v>
      </c>
      <c r="D187" s="360" t="s">
        <v>254</v>
      </c>
      <c r="E187" s="360" t="s">
        <v>1241</v>
      </c>
      <c r="F187" s="360"/>
      <c r="G187" s="336">
        <f>G188</f>
        <v>250</v>
      </c>
      <c r="H187" s="336">
        <f t="shared" ref="H187:H188" si="99">H188</f>
        <v>0</v>
      </c>
      <c r="I187" s="336">
        <f t="shared" si="73"/>
        <v>0</v>
      </c>
      <c r="J187" s="325"/>
      <c r="K187" s="325"/>
      <c r="L187" s="325"/>
      <c r="M187" s="325"/>
      <c r="N187" s="325"/>
    </row>
    <row r="188" spans="1:14" s="214" customFormat="1" ht="15.75" x14ac:dyDescent="0.25">
      <c r="A188" s="361" t="s">
        <v>151</v>
      </c>
      <c r="B188" s="359">
        <v>902</v>
      </c>
      <c r="C188" s="360" t="s">
        <v>166</v>
      </c>
      <c r="D188" s="360" t="s">
        <v>254</v>
      </c>
      <c r="E188" s="360" t="s">
        <v>1241</v>
      </c>
      <c r="F188" s="360" t="s">
        <v>161</v>
      </c>
      <c r="G188" s="336">
        <f>G189</f>
        <v>250</v>
      </c>
      <c r="H188" s="336">
        <f t="shared" si="99"/>
        <v>0</v>
      </c>
      <c r="I188" s="336">
        <f t="shared" si="73"/>
        <v>0</v>
      </c>
      <c r="J188" s="325"/>
      <c r="K188" s="325"/>
      <c r="L188" s="325"/>
      <c r="M188" s="325"/>
      <c r="N188" s="325"/>
    </row>
    <row r="189" spans="1:14" s="214" customFormat="1" ht="47.25" x14ac:dyDescent="0.25">
      <c r="A189" s="361" t="s">
        <v>200</v>
      </c>
      <c r="B189" s="359">
        <v>902</v>
      </c>
      <c r="C189" s="360" t="s">
        <v>166</v>
      </c>
      <c r="D189" s="360" t="s">
        <v>254</v>
      </c>
      <c r="E189" s="360" t="s">
        <v>1241</v>
      </c>
      <c r="F189" s="360" t="s">
        <v>176</v>
      </c>
      <c r="G189" s="336">
        <v>250</v>
      </c>
      <c r="H189" s="336">
        <v>0</v>
      </c>
      <c r="I189" s="336">
        <f t="shared" si="73"/>
        <v>0</v>
      </c>
      <c r="J189" s="325"/>
      <c r="K189" s="325"/>
      <c r="L189" s="325"/>
      <c r="M189" s="325"/>
      <c r="N189" s="325"/>
    </row>
    <row r="190" spans="1:14" s="214" customFormat="1" ht="31.5" hidden="1" x14ac:dyDescent="0.25">
      <c r="A190" s="361" t="s">
        <v>255</v>
      </c>
      <c r="B190" s="359">
        <v>902</v>
      </c>
      <c r="C190" s="360" t="s">
        <v>166</v>
      </c>
      <c r="D190" s="360" t="s">
        <v>254</v>
      </c>
      <c r="E190" s="360" t="s">
        <v>1242</v>
      </c>
      <c r="F190" s="334"/>
      <c r="G190" s="336">
        <f>G191</f>
        <v>0</v>
      </c>
      <c r="H190" s="336">
        <f t="shared" ref="H190:H191" si="100">H191</f>
        <v>0</v>
      </c>
      <c r="I190" s="336" t="e">
        <f t="shared" si="73"/>
        <v>#DIV/0!</v>
      </c>
      <c r="J190" s="325"/>
      <c r="K190" s="325"/>
      <c r="L190" s="325"/>
      <c r="M190" s="325"/>
      <c r="N190" s="325"/>
    </row>
    <row r="191" spans="1:14" s="214" customFormat="1" ht="15.75" hidden="1" x14ac:dyDescent="0.25">
      <c r="A191" s="361" t="s">
        <v>151</v>
      </c>
      <c r="B191" s="359">
        <v>902</v>
      </c>
      <c r="C191" s="360" t="s">
        <v>166</v>
      </c>
      <c r="D191" s="360" t="s">
        <v>254</v>
      </c>
      <c r="E191" s="360" t="s">
        <v>1242</v>
      </c>
      <c r="F191" s="360" t="s">
        <v>161</v>
      </c>
      <c r="G191" s="336">
        <f>G192</f>
        <v>0</v>
      </c>
      <c r="H191" s="336">
        <f t="shared" si="100"/>
        <v>0</v>
      </c>
      <c r="I191" s="336" t="e">
        <f t="shared" si="73"/>
        <v>#DIV/0!</v>
      </c>
      <c r="J191" s="325"/>
      <c r="K191" s="325"/>
      <c r="L191" s="325"/>
      <c r="M191" s="325"/>
      <c r="N191" s="325"/>
    </row>
    <row r="192" spans="1:14" s="214" customFormat="1" ht="47.25" hidden="1" x14ac:dyDescent="0.25">
      <c r="A192" s="361" t="s">
        <v>200</v>
      </c>
      <c r="B192" s="359">
        <v>902</v>
      </c>
      <c r="C192" s="360" t="s">
        <v>166</v>
      </c>
      <c r="D192" s="360" t="s">
        <v>254</v>
      </c>
      <c r="E192" s="360" t="s">
        <v>1242</v>
      </c>
      <c r="F192" s="360" t="s">
        <v>176</v>
      </c>
      <c r="G192" s="336">
        <v>0</v>
      </c>
      <c r="H192" s="336">
        <v>0</v>
      </c>
      <c r="I192" s="336" t="e">
        <f t="shared" si="73"/>
        <v>#DIV/0!</v>
      </c>
      <c r="J192" s="325"/>
      <c r="K192" s="325"/>
      <c r="L192" s="325"/>
      <c r="M192" s="325"/>
      <c r="N192" s="325"/>
    </row>
    <row r="193" spans="1:14" ht="16.5" customHeight="1" x14ac:dyDescent="0.25">
      <c r="A193" s="333" t="s">
        <v>259</v>
      </c>
      <c r="B193" s="330">
        <v>902</v>
      </c>
      <c r="C193" s="334" t="s">
        <v>260</v>
      </c>
      <c r="D193" s="334"/>
      <c r="E193" s="334"/>
      <c r="F193" s="334"/>
      <c r="G193" s="332">
        <f>G194+G200+G206</f>
        <v>13087.4</v>
      </c>
      <c r="H193" s="332">
        <f t="shared" ref="H193" si="101">H194+H200+H206</f>
        <v>9635.3000000000011</v>
      </c>
      <c r="I193" s="332">
        <f t="shared" si="73"/>
        <v>73.62272109051456</v>
      </c>
    </row>
    <row r="194" spans="1:14" ht="15.75" x14ac:dyDescent="0.25">
      <c r="A194" s="333" t="s">
        <v>261</v>
      </c>
      <c r="B194" s="330">
        <v>902</v>
      </c>
      <c r="C194" s="334" t="s">
        <v>260</v>
      </c>
      <c r="D194" s="334" t="s">
        <v>134</v>
      </c>
      <c r="E194" s="334"/>
      <c r="F194" s="334"/>
      <c r="G194" s="332">
        <f>G195</f>
        <v>9456</v>
      </c>
      <c r="H194" s="332">
        <f t="shared" ref="H194:H198" si="102">H195</f>
        <v>7690.6</v>
      </c>
      <c r="I194" s="332">
        <f t="shared" si="73"/>
        <v>81.330372250423011</v>
      </c>
    </row>
    <row r="195" spans="1:14" ht="15.75" x14ac:dyDescent="0.25">
      <c r="A195" s="333" t="s">
        <v>157</v>
      </c>
      <c r="B195" s="330">
        <v>902</v>
      </c>
      <c r="C195" s="334" t="s">
        <v>260</v>
      </c>
      <c r="D195" s="334" t="s">
        <v>134</v>
      </c>
      <c r="E195" s="334" t="s">
        <v>912</v>
      </c>
      <c r="F195" s="334"/>
      <c r="G195" s="332">
        <f>G196</f>
        <v>9456</v>
      </c>
      <c r="H195" s="332">
        <f t="shared" si="102"/>
        <v>7690.6</v>
      </c>
      <c r="I195" s="332">
        <f t="shared" si="73"/>
        <v>81.330372250423011</v>
      </c>
    </row>
    <row r="196" spans="1:14" ht="31.5" x14ac:dyDescent="0.25">
      <c r="A196" s="333" t="s">
        <v>916</v>
      </c>
      <c r="B196" s="330">
        <v>902</v>
      </c>
      <c r="C196" s="334" t="s">
        <v>260</v>
      </c>
      <c r="D196" s="334" t="s">
        <v>134</v>
      </c>
      <c r="E196" s="334" t="s">
        <v>911</v>
      </c>
      <c r="F196" s="334"/>
      <c r="G196" s="332">
        <f>G197</f>
        <v>9456</v>
      </c>
      <c r="H196" s="332">
        <f t="shared" si="102"/>
        <v>7690.6</v>
      </c>
      <c r="I196" s="332">
        <f t="shared" si="73"/>
        <v>81.330372250423011</v>
      </c>
    </row>
    <row r="197" spans="1:14" ht="15.75" x14ac:dyDescent="0.25">
      <c r="A197" s="361" t="s">
        <v>262</v>
      </c>
      <c r="B197" s="359">
        <v>902</v>
      </c>
      <c r="C197" s="360" t="s">
        <v>260</v>
      </c>
      <c r="D197" s="360" t="s">
        <v>134</v>
      </c>
      <c r="E197" s="360" t="s">
        <v>928</v>
      </c>
      <c r="F197" s="360"/>
      <c r="G197" s="336">
        <f>G198</f>
        <v>9456</v>
      </c>
      <c r="H197" s="336">
        <f t="shared" si="102"/>
        <v>7690.6</v>
      </c>
      <c r="I197" s="336">
        <f t="shared" si="73"/>
        <v>81.330372250423011</v>
      </c>
    </row>
    <row r="198" spans="1:14" ht="15.75" x14ac:dyDescent="0.25">
      <c r="A198" s="361" t="s">
        <v>264</v>
      </c>
      <c r="B198" s="359">
        <v>902</v>
      </c>
      <c r="C198" s="360" t="s">
        <v>260</v>
      </c>
      <c r="D198" s="360" t="s">
        <v>134</v>
      </c>
      <c r="E198" s="360" t="s">
        <v>928</v>
      </c>
      <c r="F198" s="360" t="s">
        <v>265</v>
      </c>
      <c r="G198" s="336">
        <f>G199</f>
        <v>9456</v>
      </c>
      <c r="H198" s="336">
        <f t="shared" si="102"/>
        <v>7690.6</v>
      </c>
      <c r="I198" s="336">
        <f t="shared" si="73"/>
        <v>81.330372250423011</v>
      </c>
    </row>
    <row r="199" spans="1:14" ht="31.5" x14ac:dyDescent="0.25">
      <c r="A199" s="361" t="s">
        <v>266</v>
      </c>
      <c r="B199" s="359">
        <v>902</v>
      </c>
      <c r="C199" s="360" t="s">
        <v>260</v>
      </c>
      <c r="D199" s="360" t="s">
        <v>134</v>
      </c>
      <c r="E199" s="360" t="s">
        <v>928</v>
      </c>
      <c r="F199" s="360" t="s">
        <v>267</v>
      </c>
      <c r="G199" s="362">
        <f>9066.4+389.6</f>
        <v>9456</v>
      </c>
      <c r="H199" s="362">
        <v>7690.6</v>
      </c>
      <c r="I199" s="336">
        <f t="shared" si="73"/>
        <v>81.330372250423011</v>
      </c>
    </row>
    <row r="200" spans="1:14" ht="15.75" x14ac:dyDescent="0.25">
      <c r="A200" s="333" t="s">
        <v>268</v>
      </c>
      <c r="B200" s="330">
        <v>902</v>
      </c>
      <c r="C200" s="334" t="s">
        <v>260</v>
      </c>
      <c r="D200" s="334" t="s">
        <v>231</v>
      </c>
      <c r="E200" s="360"/>
      <c r="F200" s="360"/>
      <c r="G200" s="332">
        <f>G201</f>
        <v>10</v>
      </c>
      <c r="H200" s="332">
        <f t="shared" ref="H200" si="103">H201</f>
        <v>0</v>
      </c>
      <c r="I200" s="332">
        <f t="shared" si="73"/>
        <v>0</v>
      </c>
    </row>
    <row r="201" spans="1:14" ht="63" x14ac:dyDescent="0.25">
      <c r="A201" s="333" t="s">
        <v>269</v>
      </c>
      <c r="B201" s="330">
        <v>902</v>
      </c>
      <c r="C201" s="334" t="s">
        <v>260</v>
      </c>
      <c r="D201" s="334" t="s">
        <v>231</v>
      </c>
      <c r="E201" s="334" t="s">
        <v>270</v>
      </c>
      <c r="F201" s="334"/>
      <c r="G201" s="332">
        <f>G203</f>
        <v>10</v>
      </c>
      <c r="H201" s="332">
        <f t="shared" ref="H201" si="104">H203</f>
        <v>0</v>
      </c>
      <c r="I201" s="332">
        <f t="shared" si="73"/>
        <v>0</v>
      </c>
    </row>
    <row r="202" spans="1:14" s="214" customFormat="1" ht="31.5" x14ac:dyDescent="0.25">
      <c r="A202" s="34" t="s">
        <v>931</v>
      </c>
      <c r="B202" s="330">
        <v>902</v>
      </c>
      <c r="C202" s="334" t="s">
        <v>260</v>
      </c>
      <c r="D202" s="334" t="s">
        <v>231</v>
      </c>
      <c r="E202" s="334" t="s">
        <v>929</v>
      </c>
      <c r="F202" s="334"/>
      <c r="G202" s="332">
        <f>G203</f>
        <v>10</v>
      </c>
      <c r="H202" s="332">
        <f t="shared" ref="H202:H204" si="105">H203</f>
        <v>0</v>
      </c>
      <c r="I202" s="332">
        <f t="shared" si="73"/>
        <v>0</v>
      </c>
      <c r="J202" s="325"/>
      <c r="K202" s="325"/>
      <c r="L202" s="325"/>
      <c r="M202" s="325"/>
      <c r="N202" s="325"/>
    </row>
    <row r="203" spans="1:14" ht="28.5" customHeight="1" x14ac:dyDescent="0.25">
      <c r="A203" s="361" t="s">
        <v>1482</v>
      </c>
      <c r="B203" s="359">
        <v>902</v>
      </c>
      <c r="C203" s="360" t="s">
        <v>260</v>
      </c>
      <c r="D203" s="360" t="s">
        <v>231</v>
      </c>
      <c r="E203" s="360" t="s">
        <v>1469</v>
      </c>
      <c r="F203" s="360"/>
      <c r="G203" s="336">
        <f>G204</f>
        <v>10</v>
      </c>
      <c r="H203" s="336">
        <f t="shared" si="105"/>
        <v>0</v>
      </c>
      <c r="I203" s="336">
        <f t="shared" ref="I203:I266" si="106">H203/G203*100</f>
        <v>0</v>
      </c>
    </row>
    <row r="204" spans="1:14" ht="19.5" customHeight="1" x14ac:dyDescent="0.25">
      <c r="A204" s="361" t="s">
        <v>264</v>
      </c>
      <c r="B204" s="359">
        <v>902</v>
      </c>
      <c r="C204" s="360" t="s">
        <v>260</v>
      </c>
      <c r="D204" s="360" t="s">
        <v>231</v>
      </c>
      <c r="E204" s="360" t="s">
        <v>1469</v>
      </c>
      <c r="F204" s="360" t="s">
        <v>265</v>
      </c>
      <c r="G204" s="336">
        <f>G205</f>
        <v>10</v>
      </c>
      <c r="H204" s="336">
        <f t="shared" si="105"/>
        <v>0</v>
      </c>
      <c r="I204" s="336">
        <f t="shared" si="106"/>
        <v>0</v>
      </c>
    </row>
    <row r="205" spans="1:14" ht="31.5" x14ac:dyDescent="0.25">
      <c r="A205" s="361" t="s">
        <v>266</v>
      </c>
      <c r="B205" s="359">
        <v>902</v>
      </c>
      <c r="C205" s="360" t="s">
        <v>260</v>
      </c>
      <c r="D205" s="360" t="s">
        <v>231</v>
      </c>
      <c r="E205" s="360" t="s">
        <v>1469</v>
      </c>
      <c r="F205" s="360" t="s">
        <v>267</v>
      </c>
      <c r="G205" s="336">
        <v>10</v>
      </c>
      <c r="H205" s="336">
        <v>0</v>
      </c>
      <c r="I205" s="336">
        <f t="shared" si="106"/>
        <v>0</v>
      </c>
    </row>
    <row r="206" spans="1:14" ht="15.75" x14ac:dyDescent="0.25">
      <c r="A206" s="333" t="s">
        <v>274</v>
      </c>
      <c r="B206" s="330">
        <v>902</v>
      </c>
      <c r="C206" s="334" t="s">
        <v>260</v>
      </c>
      <c r="D206" s="334" t="s">
        <v>136</v>
      </c>
      <c r="E206" s="334"/>
      <c r="F206" s="334"/>
      <c r="G206" s="332">
        <f>G207</f>
        <v>3621.4</v>
      </c>
      <c r="H206" s="332">
        <f t="shared" ref="H206:H208" si="107">H207</f>
        <v>1944.7</v>
      </c>
      <c r="I206" s="332">
        <f t="shared" si="106"/>
        <v>53.700226431766716</v>
      </c>
    </row>
    <row r="207" spans="1:14" ht="31.5" x14ac:dyDescent="0.25">
      <c r="A207" s="333" t="s">
        <v>990</v>
      </c>
      <c r="B207" s="330">
        <v>902</v>
      </c>
      <c r="C207" s="334" t="s">
        <v>260</v>
      </c>
      <c r="D207" s="334" t="s">
        <v>136</v>
      </c>
      <c r="E207" s="334" t="s">
        <v>904</v>
      </c>
      <c r="F207" s="334"/>
      <c r="G207" s="332">
        <f>G208</f>
        <v>3621.4</v>
      </c>
      <c r="H207" s="332">
        <f t="shared" si="107"/>
        <v>1944.7</v>
      </c>
      <c r="I207" s="332">
        <f t="shared" si="106"/>
        <v>53.700226431766716</v>
      </c>
    </row>
    <row r="208" spans="1:14" ht="31.5" x14ac:dyDescent="0.25">
      <c r="A208" s="333" t="s">
        <v>932</v>
      </c>
      <c r="B208" s="330">
        <v>902</v>
      </c>
      <c r="C208" s="334" t="s">
        <v>260</v>
      </c>
      <c r="D208" s="334" t="s">
        <v>136</v>
      </c>
      <c r="E208" s="334" t="s">
        <v>909</v>
      </c>
      <c r="F208" s="334"/>
      <c r="G208" s="332">
        <f>G209</f>
        <v>3621.4</v>
      </c>
      <c r="H208" s="332">
        <f t="shared" si="107"/>
        <v>1944.7</v>
      </c>
      <c r="I208" s="332">
        <f t="shared" si="106"/>
        <v>53.700226431766716</v>
      </c>
    </row>
    <row r="209" spans="1:14" ht="47.25" customHeight="1" x14ac:dyDescent="0.25">
      <c r="A209" s="31" t="s">
        <v>275</v>
      </c>
      <c r="B209" s="359">
        <v>902</v>
      </c>
      <c r="C209" s="360" t="s">
        <v>260</v>
      </c>
      <c r="D209" s="360" t="s">
        <v>136</v>
      </c>
      <c r="E209" s="360" t="s">
        <v>998</v>
      </c>
      <c r="F209" s="360"/>
      <c r="G209" s="336">
        <f>G210+G212</f>
        <v>3621.4</v>
      </c>
      <c r="H209" s="336">
        <f t="shared" ref="H209" si="108">H210+H212</f>
        <v>1944.7</v>
      </c>
      <c r="I209" s="336">
        <f t="shared" si="106"/>
        <v>53.700226431766716</v>
      </c>
    </row>
    <row r="210" spans="1:14" ht="63" x14ac:dyDescent="0.25">
      <c r="A210" s="361" t="s">
        <v>143</v>
      </c>
      <c r="B210" s="359">
        <v>902</v>
      </c>
      <c r="C210" s="360" t="s">
        <v>260</v>
      </c>
      <c r="D210" s="360" t="s">
        <v>136</v>
      </c>
      <c r="E210" s="360" t="s">
        <v>998</v>
      </c>
      <c r="F210" s="360" t="s">
        <v>144</v>
      </c>
      <c r="G210" s="336">
        <f>G211</f>
        <v>3220.8</v>
      </c>
      <c r="H210" s="336">
        <f t="shared" ref="H210" si="109">H211</f>
        <v>1760</v>
      </c>
      <c r="I210" s="336">
        <f t="shared" si="106"/>
        <v>54.644808743169392</v>
      </c>
    </row>
    <row r="211" spans="1:14" ht="31.5" x14ac:dyDescent="0.25">
      <c r="A211" s="361" t="s">
        <v>145</v>
      </c>
      <c r="B211" s="359">
        <v>902</v>
      </c>
      <c r="C211" s="360" t="s">
        <v>260</v>
      </c>
      <c r="D211" s="360" t="s">
        <v>136</v>
      </c>
      <c r="E211" s="360" t="s">
        <v>998</v>
      </c>
      <c r="F211" s="360" t="s">
        <v>146</v>
      </c>
      <c r="G211" s="362">
        <f>3353.3-132.5</f>
        <v>3220.8</v>
      </c>
      <c r="H211" s="362">
        <v>1760</v>
      </c>
      <c r="I211" s="336">
        <f t="shared" si="106"/>
        <v>54.644808743169392</v>
      </c>
    </row>
    <row r="212" spans="1:14" ht="31.5" x14ac:dyDescent="0.25">
      <c r="A212" s="361" t="s">
        <v>147</v>
      </c>
      <c r="B212" s="359">
        <v>902</v>
      </c>
      <c r="C212" s="360" t="s">
        <v>260</v>
      </c>
      <c r="D212" s="360" t="s">
        <v>136</v>
      </c>
      <c r="E212" s="360" t="s">
        <v>998</v>
      </c>
      <c r="F212" s="360" t="s">
        <v>148</v>
      </c>
      <c r="G212" s="336">
        <f>G213</f>
        <v>400.6</v>
      </c>
      <c r="H212" s="336">
        <f t="shared" ref="H212" si="110">H213</f>
        <v>184.7</v>
      </c>
      <c r="I212" s="336">
        <f t="shared" si="106"/>
        <v>46.10584123814278</v>
      </c>
    </row>
    <row r="213" spans="1:14" ht="31.5" x14ac:dyDescent="0.25">
      <c r="A213" s="361" t="s">
        <v>149</v>
      </c>
      <c r="B213" s="359">
        <v>902</v>
      </c>
      <c r="C213" s="360" t="s">
        <v>260</v>
      </c>
      <c r="D213" s="360" t="s">
        <v>136</v>
      </c>
      <c r="E213" s="360" t="s">
        <v>998</v>
      </c>
      <c r="F213" s="360" t="s">
        <v>150</v>
      </c>
      <c r="G213" s="362">
        <f>268.1+132.5</f>
        <v>400.6</v>
      </c>
      <c r="H213" s="362">
        <v>184.7</v>
      </c>
      <c r="I213" s="336">
        <f t="shared" si="106"/>
        <v>46.10584123814278</v>
      </c>
    </row>
    <row r="214" spans="1:14" ht="48.75" customHeight="1" x14ac:dyDescent="0.25">
      <c r="A214" s="330" t="s">
        <v>277</v>
      </c>
      <c r="B214" s="330">
        <v>903</v>
      </c>
      <c r="C214" s="360"/>
      <c r="D214" s="360"/>
      <c r="E214" s="360"/>
      <c r="F214" s="360"/>
      <c r="G214" s="332">
        <f>G277+G341+G447+G215+G248+G476</f>
        <v>99474.222999999998</v>
      </c>
      <c r="H214" s="332">
        <f t="shared" ref="H214" si="111">H277+H341+H447+H215+H248+H476</f>
        <v>66237.853000000003</v>
      </c>
      <c r="I214" s="332">
        <f t="shared" si="106"/>
        <v>66.587957163535734</v>
      </c>
    </row>
    <row r="215" spans="1:14" ht="15.75" x14ac:dyDescent="0.25">
      <c r="A215" s="333" t="s">
        <v>133</v>
      </c>
      <c r="B215" s="330">
        <v>903</v>
      </c>
      <c r="C215" s="334" t="s">
        <v>134</v>
      </c>
      <c r="D215" s="360"/>
      <c r="E215" s="360"/>
      <c r="F215" s="360"/>
      <c r="G215" s="332">
        <f>G216</f>
        <v>248.7</v>
      </c>
      <c r="H215" s="332">
        <f t="shared" ref="H215" si="112">H216</f>
        <v>131.47</v>
      </c>
      <c r="I215" s="332">
        <f t="shared" si="106"/>
        <v>52.862887012464824</v>
      </c>
    </row>
    <row r="216" spans="1:14" ht="15.75" x14ac:dyDescent="0.25">
      <c r="A216" s="333" t="s">
        <v>155</v>
      </c>
      <c r="B216" s="330">
        <v>903</v>
      </c>
      <c r="C216" s="334" t="s">
        <v>134</v>
      </c>
      <c r="D216" s="334" t="s">
        <v>156</v>
      </c>
      <c r="E216" s="360"/>
      <c r="F216" s="360"/>
      <c r="G216" s="332">
        <f>G217+G226+G243</f>
        <v>248.7</v>
      </c>
      <c r="H216" s="332">
        <f t="shared" ref="H216" si="113">H217+H226+H243</f>
        <v>131.47</v>
      </c>
      <c r="I216" s="332">
        <f t="shared" si="106"/>
        <v>52.862887012464824</v>
      </c>
    </row>
    <row r="217" spans="1:14" ht="47.25" x14ac:dyDescent="0.25">
      <c r="A217" s="333" t="s">
        <v>359</v>
      </c>
      <c r="B217" s="330">
        <v>903</v>
      </c>
      <c r="C217" s="8" t="s">
        <v>134</v>
      </c>
      <c r="D217" s="8" t="s">
        <v>156</v>
      </c>
      <c r="E217" s="206" t="s">
        <v>360</v>
      </c>
      <c r="F217" s="8"/>
      <c r="G217" s="332">
        <f>G218</f>
        <v>188.7</v>
      </c>
      <c r="H217" s="332">
        <f t="shared" ref="H217:H218" si="114">H218</f>
        <v>131.47</v>
      </c>
      <c r="I217" s="332">
        <f t="shared" si="106"/>
        <v>69.671436142024376</v>
      </c>
    </row>
    <row r="218" spans="1:14" ht="81.75" customHeight="1" x14ac:dyDescent="0.25">
      <c r="A218" s="41" t="s">
        <v>396</v>
      </c>
      <c r="B218" s="330">
        <v>903</v>
      </c>
      <c r="C218" s="327" t="s">
        <v>134</v>
      </c>
      <c r="D218" s="327" t="s">
        <v>156</v>
      </c>
      <c r="E218" s="327" t="s">
        <v>397</v>
      </c>
      <c r="F218" s="327"/>
      <c r="G218" s="332">
        <f>G219</f>
        <v>188.7</v>
      </c>
      <c r="H218" s="332">
        <f t="shared" si="114"/>
        <v>131.47</v>
      </c>
      <c r="I218" s="332">
        <f t="shared" si="106"/>
        <v>69.671436142024376</v>
      </c>
    </row>
    <row r="219" spans="1:14" s="214" customFormat="1" ht="47.25" x14ac:dyDescent="0.25">
      <c r="A219" s="265" t="s">
        <v>1219</v>
      </c>
      <c r="B219" s="330">
        <v>903</v>
      </c>
      <c r="C219" s="327" t="s">
        <v>134</v>
      </c>
      <c r="D219" s="327" t="s">
        <v>156</v>
      </c>
      <c r="E219" s="327" t="s">
        <v>933</v>
      </c>
      <c r="F219" s="327"/>
      <c r="G219" s="332">
        <f>G220+G223</f>
        <v>188.7</v>
      </c>
      <c r="H219" s="332">
        <f t="shared" ref="H219" si="115">H220+H223</f>
        <v>131.47</v>
      </c>
      <c r="I219" s="332">
        <f t="shared" si="106"/>
        <v>69.671436142024376</v>
      </c>
      <c r="J219" s="325"/>
      <c r="K219" s="325"/>
      <c r="L219" s="325"/>
      <c r="M219" s="325"/>
      <c r="N219" s="325"/>
    </row>
    <row r="220" spans="1:14" ht="31.5" x14ac:dyDescent="0.25">
      <c r="A220" s="99" t="s">
        <v>1299</v>
      </c>
      <c r="B220" s="359">
        <v>903</v>
      </c>
      <c r="C220" s="339" t="s">
        <v>134</v>
      </c>
      <c r="D220" s="339" t="s">
        <v>156</v>
      </c>
      <c r="E220" s="339" t="s">
        <v>934</v>
      </c>
      <c r="F220" s="339"/>
      <c r="G220" s="336">
        <f>G221</f>
        <v>188.7</v>
      </c>
      <c r="H220" s="336">
        <f t="shared" ref="H220:H221" si="116">H221</f>
        <v>131.47</v>
      </c>
      <c r="I220" s="336">
        <f t="shared" si="106"/>
        <v>69.671436142024376</v>
      </c>
    </row>
    <row r="221" spans="1:14" ht="31.5" x14ac:dyDescent="0.25">
      <c r="A221" s="338" t="s">
        <v>147</v>
      </c>
      <c r="B221" s="359">
        <v>903</v>
      </c>
      <c r="C221" s="339" t="s">
        <v>134</v>
      </c>
      <c r="D221" s="339" t="s">
        <v>156</v>
      </c>
      <c r="E221" s="339" t="s">
        <v>934</v>
      </c>
      <c r="F221" s="339" t="s">
        <v>148</v>
      </c>
      <c r="G221" s="336">
        <f>G222</f>
        <v>188.7</v>
      </c>
      <c r="H221" s="336">
        <f t="shared" si="116"/>
        <v>131.47</v>
      </c>
      <c r="I221" s="336">
        <f t="shared" si="106"/>
        <v>69.671436142024376</v>
      </c>
    </row>
    <row r="222" spans="1:14" ht="31.5" x14ac:dyDescent="0.25">
      <c r="A222" s="338" t="s">
        <v>149</v>
      </c>
      <c r="B222" s="359">
        <v>903</v>
      </c>
      <c r="C222" s="339" t="s">
        <v>134</v>
      </c>
      <c r="D222" s="339" t="s">
        <v>156</v>
      </c>
      <c r="E222" s="339" t="s">
        <v>934</v>
      </c>
      <c r="F222" s="339" t="s">
        <v>150</v>
      </c>
      <c r="G222" s="336">
        <f>60+128.7</f>
        <v>188.7</v>
      </c>
      <c r="H222" s="336">
        <v>131.47</v>
      </c>
      <c r="I222" s="336">
        <f t="shared" si="106"/>
        <v>69.671436142024376</v>
      </c>
    </row>
    <row r="223" spans="1:14" s="214" customFormat="1" ht="31.5" hidden="1" x14ac:dyDescent="0.25">
      <c r="A223" s="35" t="s">
        <v>936</v>
      </c>
      <c r="B223" s="359">
        <v>903</v>
      </c>
      <c r="C223" s="360" t="s">
        <v>134</v>
      </c>
      <c r="D223" s="360" t="s">
        <v>156</v>
      </c>
      <c r="E223" s="360" t="s">
        <v>935</v>
      </c>
      <c r="F223" s="334"/>
      <c r="G223" s="336">
        <f>G224</f>
        <v>0</v>
      </c>
      <c r="H223" s="336">
        <f t="shared" ref="H223:H224" si="117">H224</f>
        <v>0</v>
      </c>
      <c r="I223" s="336" t="e">
        <f t="shared" si="106"/>
        <v>#DIV/0!</v>
      </c>
      <c r="J223" s="325"/>
      <c r="K223" s="325"/>
      <c r="L223" s="325"/>
      <c r="M223" s="325"/>
      <c r="N223" s="325"/>
    </row>
    <row r="224" spans="1:14" s="214" customFormat="1" ht="31.5" hidden="1" x14ac:dyDescent="0.25">
      <c r="A224" s="361" t="s">
        <v>147</v>
      </c>
      <c r="B224" s="359">
        <v>903</v>
      </c>
      <c r="C224" s="360" t="s">
        <v>134</v>
      </c>
      <c r="D224" s="360" t="s">
        <v>156</v>
      </c>
      <c r="E224" s="360" t="s">
        <v>935</v>
      </c>
      <c r="F224" s="360" t="s">
        <v>148</v>
      </c>
      <c r="G224" s="336">
        <f>G225</f>
        <v>0</v>
      </c>
      <c r="H224" s="336">
        <f t="shared" si="117"/>
        <v>0</v>
      </c>
      <c r="I224" s="336" t="e">
        <f t="shared" si="106"/>
        <v>#DIV/0!</v>
      </c>
      <c r="J224" s="325"/>
      <c r="K224" s="325"/>
      <c r="L224" s="325"/>
      <c r="M224" s="325"/>
      <c r="N224" s="325"/>
    </row>
    <row r="225" spans="1:14" s="214" customFormat="1" ht="31.5" hidden="1" x14ac:dyDescent="0.25">
      <c r="A225" s="361" t="s">
        <v>149</v>
      </c>
      <c r="B225" s="359">
        <v>903</v>
      </c>
      <c r="C225" s="360" t="s">
        <v>134</v>
      </c>
      <c r="D225" s="360" t="s">
        <v>156</v>
      </c>
      <c r="E225" s="360" t="s">
        <v>935</v>
      </c>
      <c r="F225" s="360" t="s">
        <v>150</v>
      </c>
      <c r="G225" s="336">
        <v>0</v>
      </c>
      <c r="H225" s="336">
        <v>0</v>
      </c>
      <c r="I225" s="336" t="e">
        <f t="shared" si="106"/>
        <v>#DIV/0!</v>
      </c>
      <c r="J225" s="325"/>
      <c r="K225" s="325"/>
      <c r="L225" s="325"/>
      <c r="M225" s="325"/>
      <c r="N225" s="325"/>
    </row>
    <row r="226" spans="1:14" ht="47.25" x14ac:dyDescent="0.25">
      <c r="A226" s="333" t="s">
        <v>350</v>
      </c>
      <c r="B226" s="330">
        <v>903</v>
      </c>
      <c r="C226" s="334" t="s">
        <v>134</v>
      </c>
      <c r="D226" s="334" t="s">
        <v>156</v>
      </c>
      <c r="E226" s="334" t="s">
        <v>351</v>
      </c>
      <c r="F226" s="334"/>
      <c r="G226" s="332">
        <f>G227</f>
        <v>55</v>
      </c>
      <c r="H226" s="332">
        <f t="shared" ref="H226" si="118">H227</f>
        <v>0</v>
      </c>
      <c r="I226" s="332">
        <f t="shared" si="106"/>
        <v>0</v>
      </c>
    </row>
    <row r="227" spans="1:14" s="214" customFormat="1" ht="31.5" x14ac:dyDescent="0.25">
      <c r="A227" s="333" t="s">
        <v>1225</v>
      </c>
      <c r="B227" s="330">
        <v>903</v>
      </c>
      <c r="C227" s="334" t="s">
        <v>134</v>
      </c>
      <c r="D227" s="334" t="s">
        <v>156</v>
      </c>
      <c r="E227" s="334" t="s">
        <v>1226</v>
      </c>
      <c r="F227" s="334"/>
      <c r="G227" s="332">
        <f>G228+G231+G234+G237+G240</f>
        <v>55</v>
      </c>
      <c r="H227" s="332">
        <f t="shared" ref="H227" si="119">H228+H231+H234+H237+H240</f>
        <v>0</v>
      </c>
      <c r="I227" s="332">
        <f t="shared" si="106"/>
        <v>0</v>
      </c>
      <c r="J227" s="325"/>
      <c r="K227" s="325"/>
      <c r="L227" s="325"/>
      <c r="M227" s="325"/>
      <c r="N227" s="325"/>
    </row>
    <row r="228" spans="1:14" ht="31.5" hidden="1" x14ac:dyDescent="0.25">
      <c r="A228" s="98" t="s">
        <v>352</v>
      </c>
      <c r="B228" s="359">
        <v>903</v>
      </c>
      <c r="C228" s="360" t="s">
        <v>134</v>
      </c>
      <c r="D228" s="360" t="s">
        <v>156</v>
      </c>
      <c r="E228" s="360" t="s">
        <v>1227</v>
      </c>
      <c r="F228" s="360"/>
      <c r="G228" s="336">
        <f>G229</f>
        <v>0</v>
      </c>
      <c r="H228" s="336">
        <f t="shared" ref="H228:H229" si="120">H229</f>
        <v>0</v>
      </c>
      <c r="I228" s="336" t="e">
        <f t="shared" si="106"/>
        <v>#DIV/0!</v>
      </c>
    </row>
    <row r="229" spans="1:14" ht="31.5" hidden="1" x14ac:dyDescent="0.25">
      <c r="A229" s="361" t="s">
        <v>147</v>
      </c>
      <c r="B229" s="359">
        <v>903</v>
      </c>
      <c r="C229" s="360" t="s">
        <v>134</v>
      </c>
      <c r="D229" s="360" t="s">
        <v>156</v>
      </c>
      <c r="E229" s="360" t="s">
        <v>1227</v>
      </c>
      <c r="F229" s="360" t="s">
        <v>148</v>
      </c>
      <c r="G229" s="336">
        <f>G230</f>
        <v>0</v>
      </c>
      <c r="H229" s="336">
        <f t="shared" si="120"/>
        <v>0</v>
      </c>
      <c r="I229" s="336" t="e">
        <f t="shared" si="106"/>
        <v>#DIV/0!</v>
      </c>
    </row>
    <row r="230" spans="1:14" ht="31.5" hidden="1" x14ac:dyDescent="0.25">
      <c r="A230" s="361" t="s">
        <v>149</v>
      </c>
      <c r="B230" s="359">
        <v>903</v>
      </c>
      <c r="C230" s="360" t="s">
        <v>134</v>
      </c>
      <c r="D230" s="360" t="s">
        <v>156</v>
      </c>
      <c r="E230" s="360" t="s">
        <v>1227</v>
      </c>
      <c r="F230" s="360" t="s">
        <v>150</v>
      </c>
      <c r="G230" s="336">
        <v>0</v>
      </c>
      <c r="H230" s="336">
        <v>0</v>
      </c>
      <c r="I230" s="336" t="e">
        <f t="shared" si="106"/>
        <v>#DIV/0!</v>
      </c>
    </row>
    <row r="231" spans="1:14" ht="15.75" x14ac:dyDescent="0.25">
      <c r="A231" s="361" t="s">
        <v>354</v>
      </c>
      <c r="B231" s="359">
        <v>903</v>
      </c>
      <c r="C231" s="360" t="s">
        <v>134</v>
      </c>
      <c r="D231" s="360" t="s">
        <v>156</v>
      </c>
      <c r="E231" s="360" t="s">
        <v>1228</v>
      </c>
      <c r="F231" s="360"/>
      <c r="G231" s="336">
        <f>G232</f>
        <v>25</v>
      </c>
      <c r="H231" s="336">
        <f t="shared" ref="H231:H232" si="121">H232</f>
        <v>0</v>
      </c>
      <c r="I231" s="336">
        <f t="shared" si="106"/>
        <v>0</v>
      </c>
    </row>
    <row r="232" spans="1:14" ht="31.5" x14ac:dyDescent="0.25">
      <c r="A232" s="361" t="s">
        <v>147</v>
      </c>
      <c r="B232" s="359">
        <v>903</v>
      </c>
      <c r="C232" s="360" t="s">
        <v>134</v>
      </c>
      <c r="D232" s="360" t="s">
        <v>156</v>
      </c>
      <c r="E232" s="360" t="s">
        <v>1228</v>
      </c>
      <c r="F232" s="360" t="s">
        <v>148</v>
      </c>
      <c r="G232" s="336">
        <f>G233</f>
        <v>25</v>
      </c>
      <c r="H232" s="336">
        <f t="shared" si="121"/>
        <v>0</v>
      </c>
      <c r="I232" s="336">
        <f t="shared" si="106"/>
        <v>0</v>
      </c>
    </row>
    <row r="233" spans="1:14" ht="31.5" x14ac:dyDescent="0.25">
      <c r="A233" s="361" t="s">
        <v>149</v>
      </c>
      <c r="B233" s="359">
        <v>903</v>
      </c>
      <c r="C233" s="360" t="s">
        <v>134</v>
      </c>
      <c r="D233" s="360" t="s">
        <v>156</v>
      </c>
      <c r="E233" s="360" t="s">
        <v>1228</v>
      </c>
      <c r="F233" s="360" t="s">
        <v>150</v>
      </c>
      <c r="G233" s="336">
        <v>25</v>
      </c>
      <c r="H233" s="336">
        <v>0</v>
      </c>
      <c r="I233" s="336">
        <f t="shared" si="106"/>
        <v>0</v>
      </c>
    </row>
    <row r="234" spans="1:14" ht="47.25" x14ac:dyDescent="0.25">
      <c r="A234" s="31" t="s">
        <v>794</v>
      </c>
      <c r="B234" s="359">
        <v>903</v>
      </c>
      <c r="C234" s="360" t="s">
        <v>134</v>
      </c>
      <c r="D234" s="360" t="s">
        <v>156</v>
      </c>
      <c r="E234" s="360" t="s">
        <v>1229</v>
      </c>
      <c r="F234" s="360"/>
      <c r="G234" s="336">
        <f>G235</f>
        <v>10</v>
      </c>
      <c r="H234" s="336">
        <f t="shared" ref="H234:H235" si="122">H235</f>
        <v>0</v>
      </c>
      <c r="I234" s="336">
        <f t="shared" si="106"/>
        <v>0</v>
      </c>
    </row>
    <row r="235" spans="1:14" ht="31.5" x14ac:dyDescent="0.25">
      <c r="A235" s="361" t="s">
        <v>147</v>
      </c>
      <c r="B235" s="359">
        <v>903</v>
      </c>
      <c r="C235" s="360" t="s">
        <v>134</v>
      </c>
      <c r="D235" s="360" t="s">
        <v>156</v>
      </c>
      <c r="E235" s="360" t="s">
        <v>1229</v>
      </c>
      <c r="F235" s="360" t="s">
        <v>148</v>
      </c>
      <c r="G235" s="336">
        <f>G236</f>
        <v>10</v>
      </c>
      <c r="H235" s="336">
        <f t="shared" si="122"/>
        <v>0</v>
      </c>
      <c r="I235" s="336">
        <f t="shared" si="106"/>
        <v>0</v>
      </c>
    </row>
    <row r="236" spans="1:14" ht="31.5" x14ac:dyDescent="0.25">
      <c r="A236" s="361" t="s">
        <v>149</v>
      </c>
      <c r="B236" s="359">
        <v>903</v>
      </c>
      <c r="C236" s="360" t="s">
        <v>134</v>
      </c>
      <c r="D236" s="360" t="s">
        <v>156</v>
      </c>
      <c r="E236" s="360" t="s">
        <v>1229</v>
      </c>
      <c r="F236" s="360" t="s">
        <v>150</v>
      </c>
      <c r="G236" s="336">
        <v>10</v>
      </c>
      <c r="H236" s="336">
        <v>0</v>
      </c>
      <c r="I236" s="336">
        <f t="shared" si="106"/>
        <v>0</v>
      </c>
    </row>
    <row r="237" spans="1:14" ht="15.75" hidden="1" x14ac:dyDescent="0.25">
      <c r="A237" s="361" t="s">
        <v>1144</v>
      </c>
      <c r="B237" s="359">
        <v>903</v>
      </c>
      <c r="C237" s="360" t="s">
        <v>134</v>
      </c>
      <c r="D237" s="360" t="s">
        <v>156</v>
      </c>
      <c r="E237" s="360" t="s">
        <v>1230</v>
      </c>
      <c r="F237" s="360"/>
      <c r="G237" s="336">
        <f>G238</f>
        <v>0</v>
      </c>
      <c r="H237" s="336">
        <f t="shared" ref="H237:H238" si="123">H238</f>
        <v>0</v>
      </c>
      <c r="I237" s="336" t="e">
        <f t="shared" si="106"/>
        <v>#DIV/0!</v>
      </c>
    </row>
    <row r="238" spans="1:14" ht="31.5" hidden="1" x14ac:dyDescent="0.25">
      <c r="A238" s="361" t="s">
        <v>147</v>
      </c>
      <c r="B238" s="359">
        <v>903</v>
      </c>
      <c r="C238" s="360" t="s">
        <v>134</v>
      </c>
      <c r="D238" s="360" t="s">
        <v>156</v>
      </c>
      <c r="E238" s="360" t="s">
        <v>1230</v>
      </c>
      <c r="F238" s="360" t="s">
        <v>148</v>
      </c>
      <c r="G238" s="336">
        <f>G239</f>
        <v>0</v>
      </c>
      <c r="H238" s="336">
        <f t="shared" si="123"/>
        <v>0</v>
      </c>
      <c r="I238" s="336" t="e">
        <f t="shared" si="106"/>
        <v>#DIV/0!</v>
      </c>
    </row>
    <row r="239" spans="1:14" ht="31.5" hidden="1" x14ac:dyDescent="0.25">
      <c r="A239" s="361" t="s">
        <v>149</v>
      </c>
      <c r="B239" s="359">
        <v>903</v>
      </c>
      <c r="C239" s="360" t="s">
        <v>134</v>
      </c>
      <c r="D239" s="360" t="s">
        <v>156</v>
      </c>
      <c r="E239" s="360" t="s">
        <v>1230</v>
      </c>
      <c r="F239" s="360" t="s">
        <v>150</v>
      </c>
      <c r="G239" s="336">
        <v>0</v>
      </c>
      <c r="H239" s="336">
        <v>0</v>
      </c>
      <c r="I239" s="336" t="e">
        <f t="shared" si="106"/>
        <v>#DIV/0!</v>
      </c>
    </row>
    <row r="240" spans="1:14" ht="47.25" customHeight="1" x14ac:dyDescent="0.25">
      <c r="A240" s="31" t="s">
        <v>795</v>
      </c>
      <c r="B240" s="359">
        <v>903</v>
      </c>
      <c r="C240" s="360" t="s">
        <v>134</v>
      </c>
      <c r="D240" s="360" t="s">
        <v>156</v>
      </c>
      <c r="E240" s="360" t="s">
        <v>1231</v>
      </c>
      <c r="F240" s="360"/>
      <c r="G240" s="336">
        <f>G241</f>
        <v>20</v>
      </c>
      <c r="H240" s="336">
        <f t="shared" ref="H240:H241" si="124">H241</f>
        <v>0</v>
      </c>
      <c r="I240" s="336">
        <f t="shared" si="106"/>
        <v>0</v>
      </c>
    </row>
    <row r="241" spans="1:14" ht="31.5" x14ac:dyDescent="0.25">
      <c r="A241" s="361" t="s">
        <v>147</v>
      </c>
      <c r="B241" s="359">
        <v>903</v>
      </c>
      <c r="C241" s="360" t="s">
        <v>134</v>
      </c>
      <c r="D241" s="360" t="s">
        <v>156</v>
      </c>
      <c r="E241" s="360" t="s">
        <v>1231</v>
      </c>
      <c r="F241" s="360" t="s">
        <v>148</v>
      </c>
      <c r="G241" s="336">
        <f>G242</f>
        <v>20</v>
      </c>
      <c r="H241" s="336">
        <f t="shared" si="124"/>
        <v>0</v>
      </c>
      <c r="I241" s="336">
        <f t="shared" si="106"/>
        <v>0</v>
      </c>
    </row>
    <row r="242" spans="1:14" ht="31.5" x14ac:dyDescent="0.25">
      <c r="A242" s="361" t="s">
        <v>149</v>
      </c>
      <c r="B242" s="359">
        <v>903</v>
      </c>
      <c r="C242" s="360" t="s">
        <v>134</v>
      </c>
      <c r="D242" s="360" t="s">
        <v>156</v>
      </c>
      <c r="E242" s="360" t="s">
        <v>1231</v>
      </c>
      <c r="F242" s="360" t="s">
        <v>150</v>
      </c>
      <c r="G242" s="336">
        <v>20</v>
      </c>
      <c r="H242" s="336">
        <v>0</v>
      </c>
      <c r="I242" s="336">
        <f t="shared" si="106"/>
        <v>0</v>
      </c>
    </row>
    <row r="243" spans="1:14" ht="47.25" x14ac:dyDescent="0.25">
      <c r="A243" s="41" t="s">
        <v>1179</v>
      </c>
      <c r="B243" s="330">
        <v>903</v>
      </c>
      <c r="C243" s="334" t="s">
        <v>134</v>
      </c>
      <c r="D243" s="334" t="s">
        <v>156</v>
      </c>
      <c r="E243" s="334" t="s">
        <v>728</v>
      </c>
      <c r="F243" s="334"/>
      <c r="G243" s="332">
        <f>G245</f>
        <v>5</v>
      </c>
      <c r="H243" s="332">
        <f t="shared" ref="H243" si="125">H245</f>
        <v>0</v>
      </c>
      <c r="I243" s="332">
        <f t="shared" si="106"/>
        <v>0</v>
      </c>
    </row>
    <row r="244" spans="1:14" s="214" customFormat="1" ht="44.45" customHeight="1" x14ac:dyDescent="0.25">
      <c r="A244" s="219" t="s">
        <v>892</v>
      </c>
      <c r="B244" s="330">
        <v>903</v>
      </c>
      <c r="C244" s="334" t="s">
        <v>134</v>
      </c>
      <c r="D244" s="334" t="s">
        <v>156</v>
      </c>
      <c r="E244" s="334" t="s">
        <v>898</v>
      </c>
      <c r="F244" s="334"/>
      <c r="G244" s="332">
        <f>G245</f>
        <v>5</v>
      </c>
      <c r="H244" s="332">
        <f t="shared" ref="H244:H246" si="126">H245</f>
        <v>0</v>
      </c>
      <c r="I244" s="332">
        <f t="shared" si="106"/>
        <v>0</v>
      </c>
      <c r="J244" s="325"/>
      <c r="K244" s="325"/>
      <c r="L244" s="325"/>
      <c r="M244" s="325"/>
      <c r="N244" s="325"/>
    </row>
    <row r="245" spans="1:14" ht="31.5" x14ac:dyDescent="0.25">
      <c r="A245" s="99" t="s">
        <v>799</v>
      </c>
      <c r="B245" s="359">
        <v>903</v>
      </c>
      <c r="C245" s="360" t="s">
        <v>134</v>
      </c>
      <c r="D245" s="360" t="s">
        <v>156</v>
      </c>
      <c r="E245" s="360" t="s">
        <v>893</v>
      </c>
      <c r="F245" s="360"/>
      <c r="G245" s="336">
        <f>G246</f>
        <v>5</v>
      </c>
      <c r="H245" s="336">
        <f t="shared" si="126"/>
        <v>0</v>
      </c>
      <c r="I245" s="336">
        <f t="shared" si="106"/>
        <v>0</v>
      </c>
    </row>
    <row r="246" spans="1:14" ht="31.5" x14ac:dyDescent="0.25">
      <c r="A246" s="361" t="s">
        <v>147</v>
      </c>
      <c r="B246" s="359">
        <v>903</v>
      </c>
      <c r="C246" s="360" t="s">
        <v>134</v>
      </c>
      <c r="D246" s="360" t="s">
        <v>156</v>
      </c>
      <c r="E246" s="360" t="s">
        <v>893</v>
      </c>
      <c r="F246" s="360" t="s">
        <v>148</v>
      </c>
      <c r="G246" s="336">
        <f>G247</f>
        <v>5</v>
      </c>
      <c r="H246" s="336">
        <f t="shared" si="126"/>
        <v>0</v>
      </c>
      <c r="I246" s="336">
        <f t="shared" si="106"/>
        <v>0</v>
      </c>
    </row>
    <row r="247" spans="1:14" ht="31.5" x14ac:dyDescent="0.25">
      <c r="A247" s="361" t="s">
        <v>149</v>
      </c>
      <c r="B247" s="359">
        <v>903</v>
      </c>
      <c r="C247" s="360" t="s">
        <v>134</v>
      </c>
      <c r="D247" s="360" t="s">
        <v>156</v>
      </c>
      <c r="E247" s="360" t="s">
        <v>893</v>
      </c>
      <c r="F247" s="360" t="s">
        <v>150</v>
      </c>
      <c r="G247" s="336">
        <v>5</v>
      </c>
      <c r="H247" s="336">
        <v>0</v>
      </c>
      <c r="I247" s="336">
        <f t="shared" si="106"/>
        <v>0</v>
      </c>
    </row>
    <row r="248" spans="1:14" ht="21.2" customHeight="1" x14ac:dyDescent="0.25">
      <c r="A248" s="225" t="s">
        <v>248</v>
      </c>
      <c r="B248" s="330">
        <v>903</v>
      </c>
      <c r="C248" s="334" t="s">
        <v>166</v>
      </c>
      <c r="D248" s="360"/>
      <c r="E248" s="360"/>
      <c r="F248" s="32"/>
      <c r="G248" s="332">
        <f>G249</f>
        <v>270</v>
      </c>
      <c r="H248" s="332">
        <f t="shared" ref="H248:H250" si="127">H249</f>
        <v>0</v>
      </c>
      <c r="I248" s="332">
        <f t="shared" si="106"/>
        <v>0</v>
      </c>
    </row>
    <row r="249" spans="1:14" ht="21.2" customHeight="1" x14ac:dyDescent="0.25">
      <c r="A249" s="333" t="s">
        <v>253</v>
      </c>
      <c r="B249" s="330">
        <v>903</v>
      </c>
      <c r="C249" s="334" t="s">
        <v>166</v>
      </c>
      <c r="D249" s="334" t="s">
        <v>254</v>
      </c>
      <c r="E249" s="360"/>
      <c r="F249" s="32"/>
      <c r="G249" s="332">
        <f>G250</f>
        <v>270</v>
      </c>
      <c r="H249" s="332">
        <f t="shared" si="127"/>
        <v>0</v>
      </c>
      <c r="I249" s="332">
        <f t="shared" si="106"/>
        <v>0</v>
      </c>
    </row>
    <row r="250" spans="1:14" ht="47.25" customHeight="1" x14ac:dyDescent="0.25">
      <c r="A250" s="333" t="s">
        <v>359</v>
      </c>
      <c r="B250" s="330">
        <v>903</v>
      </c>
      <c r="C250" s="334" t="s">
        <v>166</v>
      </c>
      <c r="D250" s="334" t="s">
        <v>254</v>
      </c>
      <c r="E250" s="334" t="s">
        <v>360</v>
      </c>
      <c r="F250" s="231"/>
      <c r="G250" s="332">
        <f>G251</f>
        <v>270</v>
      </c>
      <c r="H250" s="332">
        <f t="shared" si="127"/>
        <v>0</v>
      </c>
      <c r="I250" s="332">
        <f t="shared" si="106"/>
        <v>0</v>
      </c>
    </row>
    <row r="251" spans="1:14" ht="53.45" customHeight="1" x14ac:dyDescent="0.25">
      <c r="A251" s="333" t="s">
        <v>383</v>
      </c>
      <c r="B251" s="330">
        <v>903</v>
      </c>
      <c r="C251" s="334" t="s">
        <v>166</v>
      </c>
      <c r="D251" s="334" t="s">
        <v>254</v>
      </c>
      <c r="E251" s="334" t="s">
        <v>384</v>
      </c>
      <c r="F251" s="334"/>
      <c r="G251" s="332">
        <f>G252+G259+G266+G273</f>
        <v>270</v>
      </c>
      <c r="H251" s="332">
        <f t="shared" ref="H251" si="128">H252+H259+H266+H273</f>
        <v>0</v>
      </c>
      <c r="I251" s="332">
        <f t="shared" si="106"/>
        <v>0</v>
      </c>
    </row>
    <row r="252" spans="1:14" s="214" customFormat="1" ht="33" hidden="1" customHeight="1" x14ac:dyDescent="0.25">
      <c r="A252" s="223" t="s">
        <v>1211</v>
      </c>
      <c r="B252" s="330">
        <v>903</v>
      </c>
      <c r="C252" s="334" t="s">
        <v>166</v>
      </c>
      <c r="D252" s="334" t="s">
        <v>254</v>
      </c>
      <c r="E252" s="334" t="s">
        <v>937</v>
      </c>
      <c r="F252" s="334"/>
      <c r="G252" s="332">
        <f>G253+G256</f>
        <v>0</v>
      </c>
      <c r="H252" s="332">
        <f t="shared" ref="H252" si="129">H253+H256</f>
        <v>0</v>
      </c>
      <c r="I252" s="332" t="e">
        <f t="shared" si="106"/>
        <v>#DIV/0!</v>
      </c>
      <c r="J252" s="325"/>
      <c r="K252" s="325"/>
      <c r="L252" s="325"/>
      <c r="M252" s="325"/>
      <c r="N252" s="325"/>
    </row>
    <row r="253" spans="1:14" ht="47.25" hidden="1" customHeight="1" x14ac:dyDescent="0.25">
      <c r="A253" s="361" t="s">
        <v>1297</v>
      </c>
      <c r="B253" s="359">
        <v>903</v>
      </c>
      <c r="C253" s="360" t="s">
        <v>166</v>
      </c>
      <c r="D253" s="360" t="s">
        <v>254</v>
      </c>
      <c r="E253" s="360" t="s">
        <v>1212</v>
      </c>
      <c r="F253" s="360"/>
      <c r="G253" s="336">
        <f>G254</f>
        <v>0</v>
      </c>
      <c r="H253" s="336">
        <f t="shared" ref="H253:H254" si="130">H254</f>
        <v>0</v>
      </c>
      <c r="I253" s="332" t="e">
        <f t="shared" si="106"/>
        <v>#DIV/0!</v>
      </c>
    </row>
    <row r="254" spans="1:14" ht="21.2" hidden="1" customHeight="1" x14ac:dyDescent="0.25">
      <c r="A254" s="361" t="s">
        <v>264</v>
      </c>
      <c r="B254" s="359">
        <v>903</v>
      </c>
      <c r="C254" s="360" t="s">
        <v>166</v>
      </c>
      <c r="D254" s="360" t="s">
        <v>254</v>
      </c>
      <c r="E254" s="360" t="s">
        <v>1212</v>
      </c>
      <c r="F254" s="360" t="s">
        <v>265</v>
      </c>
      <c r="G254" s="336">
        <f>G255</f>
        <v>0</v>
      </c>
      <c r="H254" s="336">
        <f t="shared" si="130"/>
        <v>0</v>
      </c>
      <c r="I254" s="332" t="e">
        <f t="shared" si="106"/>
        <v>#DIV/0!</v>
      </c>
    </row>
    <row r="255" spans="1:14" ht="29.25" hidden="1" customHeight="1" x14ac:dyDescent="0.25">
      <c r="A255" s="361" t="s">
        <v>266</v>
      </c>
      <c r="B255" s="359">
        <v>903</v>
      </c>
      <c r="C255" s="360" t="s">
        <v>166</v>
      </c>
      <c r="D255" s="360" t="s">
        <v>254</v>
      </c>
      <c r="E255" s="360" t="s">
        <v>1212</v>
      </c>
      <c r="F255" s="360" t="s">
        <v>267</v>
      </c>
      <c r="G255" s="336">
        <v>0</v>
      </c>
      <c r="H255" s="336">
        <v>0</v>
      </c>
      <c r="I255" s="332" t="e">
        <f t="shared" si="106"/>
        <v>#DIV/0!</v>
      </c>
    </row>
    <row r="256" spans="1:14" s="214" customFormat="1" ht="50.25" hidden="1" customHeight="1" x14ac:dyDescent="0.25">
      <c r="A256" s="361" t="s">
        <v>391</v>
      </c>
      <c r="B256" s="359">
        <v>903</v>
      </c>
      <c r="C256" s="360" t="s">
        <v>166</v>
      </c>
      <c r="D256" s="360" t="s">
        <v>254</v>
      </c>
      <c r="E256" s="360" t="s">
        <v>1213</v>
      </c>
      <c r="F256" s="360"/>
      <c r="G256" s="336">
        <f>G257</f>
        <v>0</v>
      </c>
      <c r="H256" s="336">
        <f t="shared" ref="H256:H257" si="131">H257</f>
        <v>0</v>
      </c>
      <c r="I256" s="332" t="e">
        <f t="shared" si="106"/>
        <v>#DIV/0!</v>
      </c>
      <c r="J256" s="325"/>
      <c r="K256" s="325"/>
      <c r="L256" s="325"/>
      <c r="M256" s="325"/>
      <c r="N256" s="325"/>
    </row>
    <row r="257" spans="1:14" s="214" customFormat="1" ht="21.75" hidden="1" customHeight="1" x14ac:dyDescent="0.25">
      <c r="A257" s="361" t="s">
        <v>264</v>
      </c>
      <c r="B257" s="359">
        <v>903</v>
      </c>
      <c r="C257" s="360" t="s">
        <v>166</v>
      </c>
      <c r="D257" s="360" t="s">
        <v>254</v>
      </c>
      <c r="E257" s="360" t="s">
        <v>1213</v>
      </c>
      <c r="F257" s="360" t="s">
        <v>265</v>
      </c>
      <c r="G257" s="336">
        <f>G258</f>
        <v>0</v>
      </c>
      <c r="H257" s="336">
        <f t="shared" si="131"/>
        <v>0</v>
      </c>
      <c r="I257" s="332" t="e">
        <f t="shared" si="106"/>
        <v>#DIV/0!</v>
      </c>
      <c r="J257" s="325"/>
      <c r="K257" s="325"/>
      <c r="L257" s="325"/>
      <c r="M257" s="325"/>
      <c r="N257" s="325"/>
    </row>
    <row r="258" spans="1:14" s="214" customFormat="1" ht="29.25" hidden="1" customHeight="1" x14ac:dyDescent="0.25">
      <c r="A258" s="361" t="s">
        <v>266</v>
      </c>
      <c r="B258" s="359">
        <v>903</v>
      </c>
      <c r="C258" s="360" t="s">
        <v>166</v>
      </c>
      <c r="D258" s="360" t="s">
        <v>254</v>
      </c>
      <c r="E258" s="360" t="s">
        <v>1213</v>
      </c>
      <c r="F258" s="360" t="s">
        <v>267</v>
      </c>
      <c r="G258" s="336">
        <v>0</v>
      </c>
      <c r="H258" s="336">
        <v>0</v>
      </c>
      <c r="I258" s="332" t="e">
        <f t="shared" si="106"/>
        <v>#DIV/0!</v>
      </c>
      <c r="J258" s="325"/>
      <c r="K258" s="325"/>
      <c r="L258" s="325"/>
      <c r="M258" s="325"/>
      <c r="N258" s="325"/>
    </row>
    <row r="259" spans="1:14" s="214" customFormat="1" ht="33" customHeight="1" x14ac:dyDescent="0.25">
      <c r="A259" s="333" t="s">
        <v>1209</v>
      </c>
      <c r="B259" s="330">
        <v>903</v>
      </c>
      <c r="C259" s="334" t="s">
        <v>166</v>
      </c>
      <c r="D259" s="334" t="s">
        <v>254</v>
      </c>
      <c r="E259" s="334" t="s">
        <v>938</v>
      </c>
      <c r="F259" s="334"/>
      <c r="G259" s="332">
        <f>G260+G263</f>
        <v>260</v>
      </c>
      <c r="H259" s="332">
        <f t="shared" ref="H259" si="132">H260+H263</f>
        <v>0</v>
      </c>
      <c r="I259" s="332">
        <f t="shared" si="106"/>
        <v>0</v>
      </c>
      <c r="J259" s="325"/>
      <c r="K259" s="325"/>
      <c r="L259" s="325"/>
      <c r="M259" s="325"/>
      <c r="N259" s="325"/>
    </row>
    <row r="260" spans="1:14" s="214" customFormat="1" ht="18" customHeight="1" x14ac:dyDescent="0.25">
      <c r="A260" s="361" t="s">
        <v>1210</v>
      </c>
      <c r="B260" s="359">
        <v>903</v>
      </c>
      <c r="C260" s="360" t="s">
        <v>166</v>
      </c>
      <c r="D260" s="360" t="s">
        <v>254</v>
      </c>
      <c r="E260" s="360" t="s">
        <v>1214</v>
      </c>
      <c r="F260" s="360"/>
      <c r="G260" s="336">
        <f>G261</f>
        <v>60</v>
      </c>
      <c r="H260" s="336">
        <f t="shared" ref="H260:H261" si="133">H261</f>
        <v>0</v>
      </c>
      <c r="I260" s="336">
        <f t="shared" si="106"/>
        <v>0</v>
      </c>
      <c r="J260" s="325"/>
      <c r="K260" s="325"/>
      <c r="L260" s="325"/>
      <c r="M260" s="325"/>
      <c r="N260" s="325"/>
    </row>
    <row r="261" spans="1:14" s="214" customFormat="1" ht="39.200000000000003" customHeight="1" x14ac:dyDescent="0.25">
      <c r="A261" s="361" t="s">
        <v>288</v>
      </c>
      <c r="B261" s="359">
        <v>903</v>
      </c>
      <c r="C261" s="360" t="s">
        <v>166</v>
      </c>
      <c r="D261" s="360" t="s">
        <v>254</v>
      </c>
      <c r="E261" s="360" t="s">
        <v>1214</v>
      </c>
      <c r="F261" s="360" t="s">
        <v>289</v>
      </c>
      <c r="G261" s="336">
        <f>G262</f>
        <v>60</v>
      </c>
      <c r="H261" s="336">
        <f t="shared" si="133"/>
        <v>0</v>
      </c>
      <c r="I261" s="336">
        <f t="shared" si="106"/>
        <v>0</v>
      </c>
      <c r="J261" s="325"/>
      <c r="K261" s="325"/>
      <c r="L261" s="325"/>
      <c r="M261" s="325"/>
      <c r="N261" s="325"/>
    </row>
    <row r="262" spans="1:14" s="214" customFormat="1" ht="73.5" customHeight="1" x14ac:dyDescent="0.25">
      <c r="A262" s="361" t="s">
        <v>1291</v>
      </c>
      <c r="B262" s="359">
        <v>903</v>
      </c>
      <c r="C262" s="360" t="s">
        <v>166</v>
      </c>
      <c r="D262" s="360" t="s">
        <v>254</v>
      </c>
      <c r="E262" s="360" t="s">
        <v>1214</v>
      </c>
      <c r="F262" s="360" t="s">
        <v>388</v>
      </c>
      <c r="G262" s="336">
        <v>60</v>
      </c>
      <c r="H262" s="336">
        <v>0</v>
      </c>
      <c r="I262" s="336">
        <f t="shared" si="106"/>
        <v>0</v>
      </c>
      <c r="J262" s="325"/>
      <c r="K262" s="325"/>
      <c r="L262" s="325"/>
      <c r="M262" s="325"/>
      <c r="N262" s="325"/>
    </row>
    <row r="263" spans="1:14" s="214" customFormat="1" ht="93.2" customHeight="1" x14ac:dyDescent="0.25">
      <c r="A263" s="361" t="s">
        <v>389</v>
      </c>
      <c r="B263" s="359">
        <v>903</v>
      </c>
      <c r="C263" s="360" t="s">
        <v>166</v>
      </c>
      <c r="D263" s="360" t="s">
        <v>254</v>
      </c>
      <c r="E263" s="360" t="s">
        <v>1215</v>
      </c>
      <c r="F263" s="360"/>
      <c r="G263" s="336">
        <f>G264</f>
        <v>200</v>
      </c>
      <c r="H263" s="336">
        <f t="shared" ref="H263:H264" si="134">H264</f>
        <v>0</v>
      </c>
      <c r="I263" s="336">
        <f t="shared" si="106"/>
        <v>0</v>
      </c>
      <c r="J263" s="325"/>
      <c r="K263" s="325"/>
      <c r="L263" s="325"/>
      <c r="M263" s="325"/>
      <c r="N263" s="325"/>
    </row>
    <row r="264" spans="1:14" s="214" customFormat="1" ht="39.75" customHeight="1" x14ac:dyDescent="0.25">
      <c r="A264" s="361" t="s">
        <v>288</v>
      </c>
      <c r="B264" s="359">
        <v>903</v>
      </c>
      <c r="C264" s="360" t="s">
        <v>166</v>
      </c>
      <c r="D264" s="360" t="s">
        <v>254</v>
      </c>
      <c r="E264" s="360" t="s">
        <v>1215</v>
      </c>
      <c r="F264" s="360" t="s">
        <v>289</v>
      </c>
      <c r="G264" s="336">
        <f>G265</f>
        <v>200</v>
      </c>
      <c r="H264" s="336">
        <f t="shared" si="134"/>
        <v>0</v>
      </c>
      <c r="I264" s="336">
        <f t="shared" si="106"/>
        <v>0</v>
      </c>
      <c r="J264" s="325"/>
      <c r="K264" s="325"/>
      <c r="L264" s="325"/>
      <c r="M264" s="325"/>
      <c r="N264" s="325"/>
    </row>
    <row r="265" spans="1:14" s="214" customFormat="1" ht="61.5" customHeight="1" x14ac:dyDescent="0.25">
      <c r="A265" s="361" t="s">
        <v>1291</v>
      </c>
      <c r="B265" s="359">
        <v>903</v>
      </c>
      <c r="C265" s="360" t="s">
        <v>166</v>
      </c>
      <c r="D265" s="360" t="s">
        <v>254</v>
      </c>
      <c r="E265" s="360" t="s">
        <v>1215</v>
      </c>
      <c r="F265" s="360" t="s">
        <v>388</v>
      </c>
      <c r="G265" s="336">
        <f>500-300</f>
        <v>200</v>
      </c>
      <c r="H265" s="336">
        <v>0</v>
      </c>
      <c r="I265" s="336">
        <f t="shared" si="106"/>
        <v>0</v>
      </c>
      <c r="J265" s="325"/>
      <c r="K265" s="325"/>
      <c r="L265" s="325"/>
      <c r="M265" s="325"/>
      <c r="N265" s="325"/>
    </row>
    <row r="266" spans="1:14" s="214" customFormat="1" ht="21.2" hidden="1" customHeight="1" x14ac:dyDescent="0.25">
      <c r="A266" s="333" t="s">
        <v>1145</v>
      </c>
      <c r="B266" s="330">
        <v>903</v>
      </c>
      <c r="C266" s="334" t="s">
        <v>166</v>
      </c>
      <c r="D266" s="334" t="s">
        <v>254</v>
      </c>
      <c r="E266" s="334" t="s">
        <v>939</v>
      </c>
      <c r="F266" s="334"/>
      <c r="G266" s="332">
        <f>G267+G270</f>
        <v>0</v>
      </c>
      <c r="H266" s="332">
        <f t="shared" ref="H266" si="135">H267+H270</f>
        <v>0</v>
      </c>
      <c r="I266" s="336" t="e">
        <f t="shared" si="106"/>
        <v>#DIV/0!</v>
      </c>
      <c r="J266" s="325"/>
      <c r="K266" s="325"/>
      <c r="L266" s="325"/>
      <c r="M266" s="325"/>
      <c r="N266" s="325"/>
    </row>
    <row r="267" spans="1:14" s="214" customFormat="1" ht="41.25" hidden="1" customHeight="1" x14ac:dyDescent="0.25">
      <c r="A267" s="267" t="s">
        <v>1218</v>
      </c>
      <c r="B267" s="359">
        <v>903</v>
      </c>
      <c r="C267" s="360" t="s">
        <v>166</v>
      </c>
      <c r="D267" s="360" t="s">
        <v>254</v>
      </c>
      <c r="E267" s="360" t="s">
        <v>1216</v>
      </c>
      <c r="F267" s="360"/>
      <c r="G267" s="336">
        <f>G268</f>
        <v>0</v>
      </c>
      <c r="H267" s="336">
        <f t="shared" ref="H267:H268" si="136">H268</f>
        <v>0</v>
      </c>
      <c r="I267" s="336" t="e">
        <f t="shared" ref="I267:I330" si="137">H267/G267*100</f>
        <v>#DIV/0!</v>
      </c>
      <c r="J267" s="325"/>
      <c r="K267" s="325"/>
      <c r="L267" s="325"/>
      <c r="M267" s="325"/>
      <c r="N267" s="325"/>
    </row>
    <row r="268" spans="1:14" s="214" customFormat="1" ht="29.25" hidden="1" customHeight="1" x14ac:dyDescent="0.25">
      <c r="A268" s="361" t="s">
        <v>147</v>
      </c>
      <c r="B268" s="359">
        <v>903</v>
      </c>
      <c r="C268" s="360" t="s">
        <v>166</v>
      </c>
      <c r="D268" s="360" t="s">
        <v>254</v>
      </c>
      <c r="E268" s="360" t="s">
        <v>1216</v>
      </c>
      <c r="F268" s="360" t="s">
        <v>148</v>
      </c>
      <c r="G268" s="336">
        <f>G269</f>
        <v>0</v>
      </c>
      <c r="H268" s="336">
        <f t="shared" si="136"/>
        <v>0</v>
      </c>
      <c r="I268" s="336" t="e">
        <f t="shared" si="137"/>
        <v>#DIV/0!</v>
      </c>
      <c r="J268" s="325"/>
      <c r="K268" s="325"/>
      <c r="L268" s="325"/>
      <c r="M268" s="325"/>
      <c r="N268" s="325"/>
    </row>
    <row r="269" spans="1:14" s="214" customFormat="1" ht="29.25" hidden="1" customHeight="1" x14ac:dyDescent="0.25">
      <c r="A269" s="361" t="s">
        <v>149</v>
      </c>
      <c r="B269" s="359">
        <v>903</v>
      </c>
      <c r="C269" s="360" t="s">
        <v>166</v>
      </c>
      <c r="D269" s="360" t="s">
        <v>254</v>
      </c>
      <c r="E269" s="360" t="s">
        <v>1216</v>
      </c>
      <c r="F269" s="360" t="s">
        <v>150</v>
      </c>
      <c r="G269" s="336">
        <v>0</v>
      </c>
      <c r="H269" s="336">
        <v>0</v>
      </c>
      <c r="I269" s="336" t="e">
        <f t="shared" si="137"/>
        <v>#DIV/0!</v>
      </c>
      <c r="J269" s="325"/>
      <c r="K269" s="325"/>
      <c r="L269" s="325"/>
      <c r="M269" s="325"/>
      <c r="N269" s="325"/>
    </row>
    <row r="270" spans="1:14" s="214" customFormat="1" ht="29.25" hidden="1" customHeight="1" x14ac:dyDescent="0.25">
      <c r="A270" s="361" t="s">
        <v>393</v>
      </c>
      <c r="B270" s="359">
        <v>903</v>
      </c>
      <c r="C270" s="360" t="s">
        <v>166</v>
      </c>
      <c r="D270" s="360" t="s">
        <v>254</v>
      </c>
      <c r="E270" s="360" t="s">
        <v>1217</v>
      </c>
      <c r="F270" s="360"/>
      <c r="G270" s="336">
        <f>G271</f>
        <v>0</v>
      </c>
      <c r="H270" s="336">
        <f t="shared" ref="H270:H271" si="138">H271</f>
        <v>0</v>
      </c>
      <c r="I270" s="336" t="e">
        <f t="shared" si="137"/>
        <v>#DIV/0!</v>
      </c>
      <c r="J270" s="325"/>
      <c r="K270" s="325"/>
      <c r="L270" s="325"/>
      <c r="M270" s="325"/>
      <c r="N270" s="325"/>
    </row>
    <row r="271" spans="1:14" s="214" customFormat="1" ht="29.25" hidden="1" customHeight="1" x14ac:dyDescent="0.25">
      <c r="A271" s="361" t="s">
        <v>147</v>
      </c>
      <c r="B271" s="359">
        <v>903</v>
      </c>
      <c r="C271" s="360" t="s">
        <v>166</v>
      </c>
      <c r="D271" s="360" t="s">
        <v>254</v>
      </c>
      <c r="E271" s="360" t="s">
        <v>1217</v>
      </c>
      <c r="F271" s="360" t="s">
        <v>148</v>
      </c>
      <c r="G271" s="336">
        <f>G272</f>
        <v>0</v>
      </c>
      <c r="H271" s="336">
        <f t="shared" si="138"/>
        <v>0</v>
      </c>
      <c r="I271" s="336" t="e">
        <f t="shared" si="137"/>
        <v>#DIV/0!</v>
      </c>
      <c r="J271" s="325"/>
      <c r="K271" s="325"/>
      <c r="L271" s="325"/>
      <c r="M271" s="325"/>
      <c r="N271" s="325"/>
    </row>
    <row r="272" spans="1:14" s="214" customFormat="1" ht="29.25" hidden="1" customHeight="1" x14ac:dyDescent="0.25">
      <c r="A272" s="361" t="s">
        <v>149</v>
      </c>
      <c r="B272" s="359">
        <v>903</v>
      </c>
      <c r="C272" s="360" t="s">
        <v>166</v>
      </c>
      <c r="D272" s="360" t="s">
        <v>254</v>
      </c>
      <c r="E272" s="360" t="s">
        <v>1217</v>
      </c>
      <c r="F272" s="360" t="s">
        <v>150</v>
      </c>
      <c r="G272" s="336">
        <v>0</v>
      </c>
      <c r="H272" s="336">
        <v>0</v>
      </c>
      <c r="I272" s="336" t="e">
        <f t="shared" si="137"/>
        <v>#DIV/0!</v>
      </c>
      <c r="J272" s="325"/>
      <c r="K272" s="325"/>
      <c r="L272" s="325"/>
      <c r="M272" s="325"/>
      <c r="N272" s="325"/>
    </row>
    <row r="273" spans="1:14" s="214" customFormat="1" ht="33.75" customHeight="1" x14ac:dyDescent="0.25">
      <c r="A273" s="220" t="s">
        <v>1309</v>
      </c>
      <c r="B273" s="330">
        <v>903</v>
      </c>
      <c r="C273" s="334" t="s">
        <v>166</v>
      </c>
      <c r="D273" s="334" t="s">
        <v>254</v>
      </c>
      <c r="E273" s="334" t="s">
        <v>1308</v>
      </c>
      <c r="F273" s="334"/>
      <c r="G273" s="332">
        <f>G274</f>
        <v>10</v>
      </c>
      <c r="H273" s="332">
        <f t="shared" ref="H273:H275" si="139">H274</f>
        <v>0</v>
      </c>
      <c r="I273" s="336">
        <f t="shared" si="137"/>
        <v>0</v>
      </c>
      <c r="J273" s="325"/>
      <c r="K273" s="325"/>
      <c r="L273" s="325"/>
      <c r="M273" s="325"/>
      <c r="N273" s="325"/>
    </row>
    <row r="274" spans="1:14" s="214" customFormat="1" ht="29.25" customHeight="1" x14ac:dyDescent="0.25">
      <c r="A274" s="245" t="s">
        <v>1369</v>
      </c>
      <c r="B274" s="359">
        <v>903</v>
      </c>
      <c r="C274" s="360" t="s">
        <v>166</v>
      </c>
      <c r="D274" s="360" t="s">
        <v>254</v>
      </c>
      <c r="E274" s="360" t="s">
        <v>1359</v>
      </c>
      <c r="F274" s="360"/>
      <c r="G274" s="336">
        <f>G275</f>
        <v>10</v>
      </c>
      <c r="H274" s="336">
        <f t="shared" si="139"/>
        <v>0</v>
      </c>
      <c r="I274" s="336">
        <f t="shared" si="137"/>
        <v>0</v>
      </c>
      <c r="J274" s="325"/>
      <c r="K274" s="325"/>
      <c r="L274" s="325"/>
      <c r="M274" s="325"/>
      <c r="N274" s="325"/>
    </row>
    <row r="275" spans="1:14" s="214" customFormat="1" ht="29.25" customHeight="1" x14ac:dyDescent="0.25">
      <c r="A275" s="361" t="s">
        <v>147</v>
      </c>
      <c r="B275" s="359">
        <v>903</v>
      </c>
      <c r="C275" s="360" t="s">
        <v>166</v>
      </c>
      <c r="D275" s="360" t="s">
        <v>254</v>
      </c>
      <c r="E275" s="360" t="s">
        <v>1359</v>
      </c>
      <c r="F275" s="360" t="s">
        <v>148</v>
      </c>
      <c r="G275" s="336">
        <f>G276</f>
        <v>10</v>
      </c>
      <c r="H275" s="336">
        <f t="shared" si="139"/>
        <v>0</v>
      </c>
      <c r="I275" s="336">
        <f t="shared" si="137"/>
        <v>0</v>
      </c>
      <c r="J275" s="325"/>
      <c r="K275" s="325"/>
      <c r="L275" s="325"/>
      <c r="M275" s="325"/>
      <c r="N275" s="325"/>
    </row>
    <row r="276" spans="1:14" s="214" customFormat="1" ht="29.25" customHeight="1" x14ac:dyDescent="0.25">
      <c r="A276" s="361" t="s">
        <v>149</v>
      </c>
      <c r="B276" s="359">
        <v>903</v>
      </c>
      <c r="C276" s="360" t="s">
        <v>166</v>
      </c>
      <c r="D276" s="360" t="s">
        <v>254</v>
      </c>
      <c r="E276" s="360" t="s">
        <v>1359</v>
      </c>
      <c r="F276" s="360" t="s">
        <v>150</v>
      </c>
      <c r="G276" s="336">
        <v>10</v>
      </c>
      <c r="H276" s="336">
        <v>0</v>
      </c>
      <c r="I276" s="336">
        <f t="shared" si="137"/>
        <v>0</v>
      </c>
      <c r="J276" s="325"/>
      <c r="K276" s="325"/>
      <c r="L276" s="325"/>
      <c r="M276" s="325"/>
      <c r="N276" s="325"/>
    </row>
    <row r="277" spans="1:14" ht="15.75" x14ac:dyDescent="0.25">
      <c r="A277" s="333" t="s">
        <v>279</v>
      </c>
      <c r="B277" s="330">
        <v>903</v>
      </c>
      <c r="C277" s="334" t="s">
        <v>280</v>
      </c>
      <c r="D277" s="360"/>
      <c r="E277" s="360"/>
      <c r="F277" s="360"/>
      <c r="G277" s="332">
        <f>G278+G321</f>
        <v>18114.300000000003</v>
      </c>
      <c r="H277" s="332">
        <f t="shared" ref="H277" si="140">H278+H321</f>
        <v>11144.027000000002</v>
      </c>
      <c r="I277" s="332">
        <f t="shared" si="137"/>
        <v>61.520605267661466</v>
      </c>
    </row>
    <row r="278" spans="1:14" ht="15.75" x14ac:dyDescent="0.25">
      <c r="A278" s="333" t="s">
        <v>281</v>
      </c>
      <c r="B278" s="330">
        <v>903</v>
      </c>
      <c r="C278" s="334" t="s">
        <v>280</v>
      </c>
      <c r="D278" s="334" t="s">
        <v>231</v>
      </c>
      <c r="E278" s="334"/>
      <c r="F278" s="334"/>
      <c r="G278" s="332">
        <f>G279+G316</f>
        <v>17639.100000000002</v>
      </c>
      <c r="H278" s="332">
        <f t="shared" ref="H278" si="141">H279+H316</f>
        <v>10832.657000000001</v>
      </c>
      <c r="I278" s="332">
        <f t="shared" si="137"/>
        <v>61.412753485155136</v>
      </c>
    </row>
    <row r="279" spans="1:14" ht="31.5" x14ac:dyDescent="0.25">
      <c r="A279" s="333" t="s">
        <v>282</v>
      </c>
      <c r="B279" s="330">
        <v>903</v>
      </c>
      <c r="C279" s="334" t="s">
        <v>280</v>
      </c>
      <c r="D279" s="334" t="s">
        <v>231</v>
      </c>
      <c r="E279" s="334" t="s">
        <v>283</v>
      </c>
      <c r="F279" s="334"/>
      <c r="G279" s="332">
        <f>G280</f>
        <v>17311.7</v>
      </c>
      <c r="H279" s="332">
        <f t="shared" ref="H279" si="142">H280</f>
        <v>10595.047</v>
      </c>
      <c r="I279" s="332">
        <f t="shared" si="137"/>
        <v>61.201655527764466</v>
      </c>
    </row>
    <row r="280" spans="1:14" ht="47.25" x14ac:dyDescent="0.25">
      <c r="A280" s="333" t="s">
        <v>284</v>
      </c>
      <c r="B280" s="330">
        <v>903</v>
      </c>
      <c r="C280" s="334" t="s">
        <v>280</v>
      </c>
      <c r="D280" s="334" t="s">
        <v>231</v>
      </c>
      <c r="E280" s="334" t="s">
        <v>285</v>
      </c>
      <c r="F280" s="334"/>
      <c r="G280" s="332">
        <f>G281+G289+G293+G303+G299</f>
        <v>17311.7</v>
      </c>
      <c r="H280" s="332">
        <f t="shared" ref="H280" si="143">H281+H289+H293+H303+H299</f>
        <v>10595.047</v>
      </c>
      <c r="I280" s="332">
        <f t="shared" si="137"/>
        <v>61.201655527764466</v>
      </c>
    </row>
    <row r="281" spans="1:14" s="214" customFormat="1" ht="31.5" x14ac:dyDescent="0.25">
      <c r="A281" s="333" t="s">
        <v>941</v>
      </c>
      <c r="B281" s="330">
        <v>903</v>
      </c>
      <c r="C281" s="334" t="s">
        <v>280</v>
      </c>
      <c r="D281" s="334" t="s">
        <v>231</v>
      </c>
      <c r="E281" s="334" t="s">
        <v>942</v>
      </c>
      <c r="F281" s="334"/>
      <c r="G281" s="44">
        <f>G282</f>
        <v>15679</v>
      </c>
      <c r="H281" s="44">
        <f t="shared" ref="H281" si="144">H282</f>
        <v>9698.2270000000008</v>
      </c>
      <c r="I281" s="332">
        <f t="shared" si="137"/>
        <v>61.854882326679004</v>
      </c>
      <c r="J281" s="325"/>
      <c r="K281" s="325"/>
      <c r="L281" s="325"/>
      <c r="M281" s="325"/>
      <c r="N281" s="325"/>
    </row>
    <row r="282" spans="1:14" s="214" customFormat="1" ht="15.75" x14ac:dyDescent="0.25">
      <c r="A282" s="361" t="s">
        <v>832</v>
      </c>
      <c r="B282" s="359">
        <v>903</v>
      </c>
      <c r="C282" s="360" t="s">
        <v>280</v>
      </c>
      <c r="D282" s="360" t="s">
        <v>231</v>
      </c>
      <c r="E282" s="360" t="s">
        <v>940</v>
      </c>
      <c r="F282" s="360"/>
      <c r="G282" s="362">
        <f>G283+G285+G287</f>
        <v>15679</v>
      </c>
      <c r="H282" s="362">
        <f t="shared" ref="H282" si="145">H283+H285+H287</f>
        <v>9698.2270000000008</v>
      </c>
      <c r="I282" s="336">
        <f t="shared" si="137"/>
        <v>61.854882326679004</v>
      </c>
      <c r="J282" s="325"/>
      <c r="K282" s="325"/>
      <c r="L282" s="325"/>
      <c r="M282" s="325"/>
      <c r="N282" s="325"/>
    </row>
    <row r="283" spans="1:14" s="214" customFormat="1" ht="63" x14ac:dyDescent="0.25">
      <c r="A283" s="361" t="s">
        <v>143</v>
      </c>
      <c r="B283" s="359">
        <v>903</v>
      </c>
      <c r="C283" s="360" t="s">
        <v>280</v>
      </c>
      <c r="D283" s="360" t="s">
        <v>231</v>
      </c>
      <c r="E283" s="360" t="s">
        <v>940</v>
      </c>
      <c r="F283" s="360" t="s">
        <v>144</v>
      </c>
      <c r="G283" s="362">
        <f>G284</f>
        <v>13412.5</v>
      </c>
      <c r="H283" s="362">
        <f t="shared" ref="H283" si="146">H284</f>
        <v>8369.7970000000005</v>
      </c>
      <c r="I283" s="336">
        <f t="shared" si="137"/>
        <v>62.402959925442694</v>
      </c>
      <c r="J283" s="325"/>
      <c r="K283" s="325"/>
      <c r="L283" s="325"/>
      <c r="M283" s="325"/>
      <c r="N283" s="325"/>
    </row>
    <row r="284" spans="1:14" s="214" customFormat="1" ht="15.75" x14ac:dyDescent="0.25">
      <c r="A284" s="46" t="s">
        <v>358</v>
      </c>
      <c r="B284" s="359">
        <v>903</v>
      </c>
      <c r="C284" s="360" t="s">
        <v>280</v>
      </c>
      <c r="D284" s="360" t="s">
        <v>231</v>
      </c>
      <c r="E284" s="360" t="s">
        <v>940</v>
      </c>
      <c r="F284" s="360" t="s">
        <v>225</v>
      </c>
      <c r="G284" s="362">
        <f>13393+19.5</f>
        <v>13412.5</v>
      </c>
      <c r="H284" s="362">
        <v>8369.7970000000005</v>
      </c>
      <c r="I284" s="336">
        <f t="shared" si="137"/>
        <v>62.402959925442694</v>
      </c>
      <c r="J284" s="325"/>
      <c r="K284" s="325"/>
      <c r="L284" s="325"/>
      <c r="M284" s="325"/>
      <c r="N284" s="325"/>
    </row>
    <row r="285" spans="1:14" s="214" customFormat="1" ht="31.5" x14ac:dyDescent="0.25">
      <c r="A285" s="361" t="s">
        <v>147</v>
      </c>
      <c r="B285" s="359">
        <v>903</v>
      </c>
      <c r="C285" s="360" t="s">
        <v>280</v>
      </c>
      <c r="D285" s="360" t="s">
        <v>231</v>
      </c>
      <c r="E285" s="360" t="s">
        <v>940</v>
      </c>
      <c r="F285" s="360" t="s">
        <v>148</v>
      </c>
      <c r="G285" s="362">
        <f>G286</f>
        <v>2188.5</v>
      </c>
      <c r="H285" s="362">
        <f t="shared" ref="H285" si="147">H286</f>
        <v>1278.9000000000001</v>
      </c>
      <c r="I285" s="336">
        <f t="shared" si="137"/>
        <v>58.437285812200145</v>
      </c>
      <c r="J285" s="325"/>
      <c r="K285" s="325"/>
      <c r="L285" s="325"/>
      <c r="M285" s="325"/>
      <c r="N285" s="325"/>
    </row>
    <row r="286" spans="1:14" s="214" customFormat="1" ht="31.5" x14ac:dyDescent="0.25">
      <c r="A286" s="361" t="s">
        <v>149</v>
      </c>
      <c r="B286" s="359">
        <v>903</v>
      </c>
      <c r="C286" s="360" t="s">
        <v>280</v>
      </c>
      <c r="D286" s="360" t="s">
        <v>231</v>
      </c>
      <c r="E286" s="360" t="s">
        <v>940</v>
      </c>
      <c r="F286" s="360" t="s">
        <v>150</v>
      </c>
      <c r="G286" s="362">
        <f>1540+140+290-19.5+238</f>
        <v>2188.5</v>
      </c>
      <c r="H286" s="362">
        <v>1278.9000000000001</v>
      </c>
      <c r="I286" s="336">
        <f t="shared" si="137"/>
        <v>58.437285812200145</v>
      </c>
      <c r="J286" s="325"/>
      <c r="K286" s="325"/>
      <c r="L286" s="325"/>
      <c r="M286" s="325"/>
      <c r="N286" s="325"/>
    </row>
    <row r="287" spans="1:14" s="214" customFormat="1" ht="15.75" x14ac:dyDescent="0.25">
      <c r="A287" s="361" t="s">
        <v>151</v>
      </c>
      <c r="B287" s="359">
        <v>903</v>
      </c>
      <c r="C287" s="360" t="s">
        <v>280</v>
      </c>
      <c r="D287" s="360" t="s">
        <v>231</v>
      </c>
      <c r="E287" s="360" t="s">
        <v>940</v>
      </c>
      <c r="F287" s="360" t="s">
        <v>161</v>
      </c>
      <c r="G287" s="362">
        <f>G288</f>
        <v>78</v>
      </c>
      <c r="H287" s="362">
        <f t="shared" ref="H287" si="148">H288</f>
        <v>49.53</v>
      </c>
      <c r="I287" s="336">
        <f t="shared" si="137"/>
        <v>63.5</v>
      </c>
      <c r="J287" s="325"/>
      <c r="K287" s="325"/>
      <c r="L287" s="325"/>
      <c r="M287" s="325"/>
      <c r="N287" s="325"/>
    </row>
    <row r="288" spans="1:14" s="214" customFormat="1" ht="15.75" x14ac:dyDescent="0.25">
      <c r="A288" s="361" t="s">
        <v>727</v>
      </c>
      <c r="B288" s="359">
        <v>903</v>
      </c>
      <c r="C288" s="360" t="s">
        <v>280</v>
      </c>
      <c r="D288" s="360" t="s">
        <v>231</v>
      </c>
      <c r="E288" s="360" t="s">
        <v>940</v>
      </c>
      <c r="F288" s="360" t="s">
        <v>154</v>
      </c>
      <c r="G288" s="362">
        <f>78.6-0.6</f>
        <v>78</v>
      </c>
      <c r="H288" s="362">
        <v>49.53</v>
      </c>
      <c r="I288" s="336">
        <f t="shared" si="137"/>
        <v>63.5</v>
      </c>
      <c r="J288" s="325"/>
      <c r="K288" s="325"/>
      <c r="L288" s="325"/>
      <c r="M288" s="325"/>
      <c r="N288" s="325"/>
    </row>
    <row r="289" spans="1:14" s="214" customFormat="1" ht="31.5" x14ac:dyDescent="0.25">
      <c r="A289" s="224" t="s">
        <v>1189</v>
      </c>
      <c r="B289" s="330">
        <v>903</v>
      </c>
      <c r="C289" s="334" t="s">
        <v>280</v>
      </c>
      <c r="D289" s="334" t="s">
        <v>231</v>
      </c>
      <c r="E289" s="334" t="s">
        <v>944</v>
      </c>
      <c r="F289" s="334"/>
      <c r="G289" s="44">
        <f>G290</f>
        <v>45</v>
      </c>
      <c r="H289" s="44">
        <f t="shared" ref="H289:H291" si="149">H290</f>
        <v>14.4</v>
      </c>
      <c r="I289" s="332">
        <f t="shared" si="137"/>
        <v>32</v>
      </c>
      <c r="J289" s="325"/>
      <c r="K289" s="325"/>
      <c r="L289" s="325"/>
      <c r="M289" s="325"/>
      <c r="N289" s="325"/>
    </row>
    <row r="290" spans="1:14" ht="15.75" x14ac:dyDescent="0.25">
      <c r="A290" s="208" t="s">
        <v>831</v>
      </c>
      <c r="B290" s="359">
        <v>903</v>
      </c>
      <c r="C290" s="360" t="s">
        <v>280</v>
      </c>
      <c r="D290" s="360" t="s">
        <v>231</v>
      </c>
      <c r="E290" s="360" t="s">
        <v>943</v>
      </c>
      <c r="F290" s="360"/>
      <c r="G290" s="362">
        <f>G291</f>
        <v>45</v>
      </c>
      <c r="H290" s="362">
        <f t="shared" si="149"/>
        <v>14.4</v>
      </c>
      <c r="I290" s="336">
        <f t="shared" si="137"/>
        <v>32</v>
      </c>
    </row>
    <row r="291" spans="1:14" ht="15.75" x14ac:dyDescent="0.25">
      <c r="A291" s="361" t="s">
        <v>264</v>
      </c>
      <c r="B291" s="359">
        <v>903</v>
      </c>
      <c r="C291" s="360" t="s">
        <v>280</v>
      </c>
      <c r="D291" s="360" t="s">
        <v>231</v>
      </c>
      <c r="E291" s="360" t="s">
        <v>943</v>
      </c>
      <c r="F291" s="360" t="s">
        <v>265</v>
      </c>
      <c r="G291" s="362">
        <f>G292</f>
        <v>45</v>
      </c>
      <c r="H291" s="362">
        <f t="shared" si="149"/>
        <v>14.4</v>
      </c>
      <c r="I291" s="336">
        <f t="shared" si="137"/>
        <v>32</v>
      </c>
    </row>
    <row r="292" spans="1:14" ht="15.75" x14ac:dyDescent="0.25">
      <c r="A292" s="361" t="s">
        <v>865</v>
      </c>
      <c r="B292" s="359">
        <v>903</v>
      </c>
      <c r="C292" s="360" t="s">
        <v>280</v>
      </c>
      <c r="D292" s="360" t="s">
        <v>231</v>
      </c>
      <c r="E292" s="360" t="s">
        <v>943</v>
      </c>
      <c r="F292" s="360" t="s">
        <v>864</v>
      </c>
      <c r="G292" s="362">
        <v>45</v>
      </c>
      <c r="H292" s="362">
        <v>14.4</v>
      </c>
      <c r="I292" s="336">
        <f t="shared" si="137"/>
        <v>32</v>
      </c>
    </row>
    <row r="293" spans="1:14" s="214" customFormat="1" ht="45" customHeight="1" x14ac:dyDescent="0.25">
      <c r="A293" s="229" t="s">
        <v>1168</v>
      </c>
      <c r="B293" s="330">
        <v>903</v>
      </c>
      <c r="C293" s="334" t="s">
        <v>280</v>
      </c>
      <c r="D293" s="334" t="s">
        <v>231</v>
      </c>
      <c r="E293" s="334" t="s">
        <v>945</v>
      </c>
      <c r="F293" s="334"/>
      <c r="G293" s="332">
        <f>G294</f>
        <v>250.00000000000003</v>
      </c>
      <c r="H293" s="332">
        <f t="shared" ref="H293" si="150">H294</f>
        <v>66.849999999999994</v>
      </c>
      <c r="I293" s="332">
        <f t="shared" si="137"/>
        <v>26.74</v>
      </c>
      <c r="J293" s="325"/>
      <c r="K293" s="325"/>
      <c r="L293" s="325"/>
      <c r="M293" s="325"/>
      <c r="N293" s="325"/>
    </row>
    <row r="294" spans="1:14" ht="36" customHeight="1" x14ac:dyDescent="0.25">
      <c r="A294" s="31" t="s">
        <v>860</v>
      </c>
      <c r="B294" s="359">
        <v>903</v>
      </c>
      <c r="C294" s="360" t="s">
        <v>280</v>
      </c>
      <c r="D294" s="360" t="s">
        <v>231</v>
      </c>
      <c r="E294" s="360" t="s">
        <v>946</v>
      </c>
      <c r="F294" s="360"/>
      <c r="G294" s="362">
        <f>G297+G295</f>
        <v>250.00000000000003</v>
      </c>
      <c r="H294" s="362">
        <f t="shared" ref="H294" si="151">H297+H295</f>
        <v>66.849999999999994</v>
      </c>
      <c r="I294" s="336">
        <f t="shared" si="137"/>
        <v>26.74</v>
      </c>
    </row>
    <row r="295" spans="1:14" ht="63" x14ac:dyDescent="0.25">
      <c r="A295" s="361" t="s">
        <v>143</v>
      </c>
      <c r="B295" s="359">
        <v>903</v>
      </c>
      <c r="C295" s="360" t="s">
        <v>280</v>
      </c>
      <c r="D295" s="360" t="s">
        <v>231</v>
      </c>
      <c r="E295" s="360" t="s">
        <v>946</v>
      </c>
      <c r="F295" s="360" t="s">
        <v>144</v>
      </c>
      <c r="G295" s="362">
        <f>G296</f>
        <v>250.00000000000003</v>
      </c>
      <c r="H295" s="362">
        <f t="shared" ref="H295" si="152">H296</f>
        <v>66.849999999999994</v>
      </c>
      <c r="I295" s="336">
        <f t="shared" si="137"/>
        <v>26.74</v>
      </c>
    </row>
    <row r="296" spans="1:14" ht="24.75" customHeight="1" x14ac:dyDescent="0.25">
      <c r="A296" s="46" t="s">
        <v>358</v>
      </c>
      <c r="B296" s="359">
        <v>903</v>
      </c>
      <c r="C296" s="360" t="s">
        <v>280</v>
      </c>
      <c r="D296" s="360" t="s">
        <v>231</v>
      </c>
      <c r="E296" s="360" t="s">
        <v>946</v>
      </c>
      <c r="F296" s="360" t="s">
        <v>225</v>
      </c>
      <c r="G296" s="362">
        <f>264.6-14.6</f>
        <v>250.00000000000003</v>
      </c>
      <c r="H296" s="362">
        <v>66.849999999999994</v>
      </c>
      <c r="I296" s="336">
        <f t="shared" si="137"/>
        <v>26.74</v>
      </c>
    </row>
    <row r="297" spans="1:14" ht="30.75" hidden="1" customHeight="1" x14ac:dyDescent="0.25">
      <c r="A297" s="361" t="s">
        <v>147</v>
      </c>
      <c r="B297" s="359">
        <v>903</v>
      </c>
      <c r="C297" s="360" t="s">
        <v>280</v>
      </c>
      <c r="D297" s="360" t="s">
        <v>231</v>
      </c>
      <c r="E297" s="360" t="s">
        <v>946</v>
      </c>
      <c r="F297" s="360" t="s">
        <v>148</v>
      </c>
      <c r="G297" s="362">
        <f>G298</f>
        <v>0</v>
      </c>
      <c r="H297" s="362">
        <f t="shared" ref="H297" si="153">H298</f>
        <v>0</v>
      </c>
      <c r="I297" s="336" t="e">
        <f t="shared" si="137"/>
        <v>#DIV/0!</v>
      </c>
    </row>
    <row r="298" spans="1:14" ht="39.200000000000003" hidden="1" customHeight="1" x14ac:dyDescent="0.25">
      <c r="A298" s="361" t="s">
        <v>149</v>
      </c>
      <c r="B298" s="359">
        <v>903</v>
      </c>
      <c r="C298" s="360" t="s">
        <v>280</v>
      </c>
      <c r="D298" s="360" t="s">
        <v>231</v>
      </c>
      <c r="E298" s="360" t="s">
        <v>946</v>
      </c>
      <c r="F298" s="360" t="s">
        <v>150</v>
      </c>
      <c r="G298" s="362">
        <f>300-300</f>
        <v>0</v>
      </c>
      <c r="H298" s="362">
        <f t="shared" ref="H298" si="154">300-300</f>
        <v>0</v>
      </c>
      <c r="I298" s="336" t="e">
        <f t="shared" si="137"/>
        <v>#DIV/0!</v>
      </c>
    </row>
    <row r="299" spans="1:14" s="214" customFormat="1" ht="39.200000000000003" customHeight="1" x14ac:dyDescent="0.25">
      <c r="A299" s="333" t="s">
        <v>1076</v>
      </c>
      <c r="B299" s="330">
        <v>903</v>
      </c>
      <c r="C299" s="334" t="s">
        <v>280</v>
      </c>
      <c r="D299" s="334" t="s">
        <v>231</v>
      </c>
      <c r="E299" s="334" t="s">
        <v>951</v>
      </c>
      <c r="F299" s="334"/>
      <c r="G299" s="44">
        <f>G300</f>
        <v>336</v>
      </c>
      <c r="H299" s="44">
        <f t="shared" ref="H299:H301" si="155">H300</f>
        <v>301.82</v>
      </c>
      <c r="I299" s="332">
        <f t="shared" si="137"/>
        <v>89.827380952380949</v>
      </c>
      <c r="J299" s="325"/>
      <c r="K299" s="325"/>
      <c r="L299" s="325"/>
      <c r="M299" s="325"/>
      <c r="N299" s="325"/>
    </row>
    <row r="300" spans="1:14" s="214" customFormat="1" ht="39.200000000000003" customHeight="1" x14ac:dyDescent="0.25">
      <c r="A300" s="361" t="s">
        <v>885</v>
      </c>
      <c r="B300" s="359">
        <v>903</v>
      </c>
      <c r="C300" s="360" t="s">
        <v>280</v>
      </c>
      <c r="D300" s="360" t="s">
        <v>231</v>
      </c>
      <c r="E300" s="360" t="s">
        <v>1263</v>
      </c>
      <c r="F300" s="360"/>
      <c r="G300" s="336">
        <f>G301</f>
        <v>336</v>
      </c>
      <c r="H300" s="336">
        <f t="shared" si="155"/>
        <v>301.82</v>
      </c>
      <c r="I300" s="336">
        <f t="shared" si="137"/>
        <v>89.827380952380949</v>
      </c>
      <c r="J300" s="325"/>
      <c r="K300" s="325"/>
      <c r="L300" s="325"/>
      <c r="M300" s="325"/>
      <c r="N300" s="325"/>
    </row>
    <row r="301" spans="1:14" s="214" customFormat="1" ht="70.5" customHeight="1" x14ac:dyDescent="0.25">
      <c r="A301" s="361" t="s">
        <v>143</v>
      </c>
      <c r="B301" s="359">
        <v>903</v>
      </c>
      <c r="C301" s="360" t="s">
        <v>280</v>
      </c>
      <c r="D301" s="360" t="s">
        <v>231</v>
      </c>
      <c r="E301" s="360" t="s">
        <v>1263</v>
      </c>
      <c r="F301" s="360" t="s">
        <v>144</v>
      </c>
      <c r="G301" s="336">
        <f>G302</f>
        <v>336</v>
      </c>
      <c r="H301" s="336">
        <f t="shared" si="155"/>
        <v>301.82</v>
      </c>
      <c r="I301" s="336">
        <f t="shared" si="137"/>
        <v>89.827380952380949</v>
      </c>
      <c r="J301" s="325"/>
      <c r="K301" s="325"/>
      <c r="L301" s="325"/>
      <c r="M301" s="325"/>
      <c r="N301" s="325"/>
    </row>
    <row r="302" spans="1:14" s="214" customFormat="1" ht="25.5" customHeight="1" x14ac:dyDescent="0.25">
      <c r="A302" s="361" t="s">
        <v>358</v>
      </c>
      <c r="B302" s="359">
        <v>903</v>
      </c>
      <c r="C302" s="360" t="s">
        <v>280</v>
      </c>
      <c r="D302" s="360" t="s">
        <v>231</v>
      </c>
      <c r="E302" s="360" t="s">
        <v>1263</v>
      </c>
      <c r="F302" s="360" t="s">
        <v>225</v>
      </c>
      <c r="G302" s="336">
        <v>336</v>
      </c>
      <c r="H302" s="336">
        <v>301.82</v>
      </c>
      <c r="I302" s="336">
        <f t="shared" si="137"/>
        <v>89.827380952380949</v>
      </c>
      <c r="J302" s="325"/>
      <c r="K302" s="325"/>
      <c r="L302" s="325"/>
      <c r="M302" s="325"/>
      <c r="N302" s="325"/>
    </row>
    <row r="303" spans="1:14" s="214" customFormat="1" ht="50.25" customHeight="1" x14ac:dyDescent="0.25">
      <c r="A303" s="333" t="s">
        <v>971</v>
      </c>
      <c r="B303" s="330">
        <v>903</v>
      </c>
      <c r="C303" s="334" t="s">
        <v>280</v>
      </c>
      <c r="D303" s="334" t="s">
        <v>231</v>
      </c>
      <c r="E303" s="334" t="s">
        <v>1264</v>
      </c>
      <c r="F303" s="334"/>
      <c r="G303" s="44">
        <f>G307+G310+G313+G304</f>
        <v>1001.7</v>
      </c>
      <c r="H303" s="44">
        <f t="shared" ref="H303" si="156">H307+H310+H313+H304</f>
        <v>513.75</v>
      </c>
      <c r="I303" s="332">
        <f t="shared" si="137"/>
        <v>51.287810721772985</v>
      </c>
      <c r="J303" s="325"/>
      <c r="K303" s="325"/>
      <c r="L303" s="325"/>
      <c r="M303" s="325"/>
      <c r="N303" s="325"/>
    </row>
    <row r="304" spans="1:14" s="325" customFormat="1" ht="80.45" customHeight="1" x14ac:dyDescent="0.25">
      <c r="A304" s="31" t="s">
        <v>309</v>
      </c>
      <c r="B304" s="359">
        <v>903</v>
      </c>
      <c r="C304" s="360" t="s">
        <v>280</v>
      </c>
      <c r="D304" s="360" t="s">
        <v>231</v>
      </c>
      <c r="E304" s="360" t="s">
        <v>1518</v>
      </c>
      <c r="F304" s="360"/>
      <c r="G304" s="362">
        <f>G305</f>
        <v>422.5</v>
      </c>
      <c r="H304" s="362">
        <f t="shared" ref="H304:H305" si="157">H305</f>
        <v>120</v>
      </c>
      <c r="I304" s="336">
        <f t="shared" si="137"/>
        <v>28.402366863905325</v>
      </c>
    </row>
    <row r="305" spans="1:14" s="325" customFormat="1" ht="70.5" customHeight="1" x14ac:dyDescent="0.25">
      <c r="A305" s="361" t="s">
        <v>143</v>
      </c>
      <c r="B305" s="359">
        <v>903</v>
      </c>
      <c r="C305" s="360" t="s">
        <v>280</v>
      </c>
      <c r="D305" s="360" t="s">
        <v>231</v>
      </c>
      <c r="E305" s="360" t="s">
        <v>1518</v>
      </c>
      <c r="F305" s="360" t="s">
        <v>144</v>
      </c>
      <c r="G305" s="362">
        <f>G306</f>
        <v>422.5</v>
      </c>
      <c r="H305" s="362">
        <f t="shared" si="157"/>
        <v>120</v>
      </c>
      <c r="I305" s="336">
        <f t="shared" si="137"/>
        <v>28.402366863905325</v>
      </c>
    </row>
    <row r="306" spans="1:14" s="325" customFormat="1" ht="39.200000000000003" customHeight="1" x14ac:dyDescent="0.25">
      <c r="A306" s="46" t="s">
        <v>358</v>
      </c>
      <c r="B306" s="359">
        <v>903</v>
      </c>
      <c r="C306" s="360" t="s">
        <v>280</v>
      </c>
      <c r="D306" s="360" t="s">
        <v>231</v>
      </c>
      <c r="E306" s="360" t="s">
        <v>1518</v>
      </c>
      <c r="F306" s="360" t="s">
        <v>225</v>
      </c>
      <c r="G306" s="362">
        <v>422.5</v>
      </c>
      <c r="H306" s="362">
        <v>120</v>
      </c>
      <c r="I306" s="336">
        <f t="shared" si="137"/>
        <v>28.402366863905325</v>
      </c>
    </row>
    <row r="307" spans="1:14" s="214" customFormat="1" ht="71.45" customHeight="1" x14ac:dyDescent="0.25">
      <c r="A307" s="31" t="s">
        <v>305</v>
      </c>
      <c r="B307" s="359">
        <v>903</v>
      </c>
      <c r="C307" s="360" t="s">
        <v>280</v>
      </c>
      <c r="D307" s="360" t="s">
        <v>231</v>
      </c>
      <c r="E307" s="360" t="s">
        <v>1265</v>
      </c>
      <c r="F307" s="360"/>
      <c r="G307" s="336">
        <f>G308</f>
        <v>100.8</v>
      </c>
      <c r="H307" s="336">
        <f t="shared" ref="H307:H308" si="158">H308</f>
        <v>54.64</v>
      </c>
      <c r="I307" s="336">
        <f t="shared" si="137"/>
        <v>54.206349206349216</v>
      </c>
      <c r="J307" s="325"/>
      <c r="K307" s="325"/>
      <c r="L307" s="325"/>
      <c r="M307" s="325"/>
      <c r="N307" s="325"/>
    </row>
    <row r="308" spans="1:14" s="214" customFormat="1" ht="70.5" customHeight="1" x14ac:dyDescent="0.25">
      <c r="A308" s="361" t="s">
        <v>143</v>
      </c>
      <c r="B308" s="359">
        <v>903</v>
      </c>
      <c r="C308" s="360" t="s">
        <v>280</v>
      </c>
      <c r="D308" s="360" t="s">
        <v>231</v>
      </c>
      <c r="E308" s="360" t="s">
        <v>1265</v>
      </c>
      <c r="F308" s="360" t="s">
        <v>144</v>
      </c>
      <c r="G308" s="336">
        <f>G309</f>
        <v>100.8</v>
      </c>
      <c r="H308" s="336">
        <f t="shared" si="158"/>
        <v>54.64</v>
      </c>
      <c r="I308" s="336">
        <f t="shared" si="137"/>
        <v>54.206349206349216</v>
      </c>
      <c r="J308" s="325"/>
      <c r="K308" s="325"/>
      <c r="L308" s="325"/>
      <c r="M308" s="325"/>
      <c r="N308" s="325"/>
    </row>
    <row r="309" spans="1:14" s="214" customFormat="1" ht="21.75" customHeight="1" x14ac:dyDescent="0.25">
      <c r="A309" s="46" t="s">
        <v>358</v>
      </c>
      <c r="B309" s="359">
        <v>903</v>
      </c>
      <c r="C309" s="360" t="s">
        <v>280</v>
      </c>
      <c r="D309" s="360" t="s">
        <v>231</v>
      </c>
      <c r="E309" s="360" t="s">
        <v>1265</v>
      </c>
      <c r="F309" s="360" t="s">
        <v>225</v>
      </c>
      <c r="G309" s="336">
        <v>100.8</v>
      </c>
      <c r="H309" s="336">
        <v>54.64</v>
      </c>
      <c r="I309" s="336">
        <f t="shared" si="137"/>
        <v>54.206349206349216</v>
      </c>
      <c r="J309" s="325"/>
      <c r="K309" s="325"/>
      <c r="L309" s="325"/>
      <c r="M309" s="325"/>
      <c r="N309" s="325"/>
    </row>
    <row r="310" spans="1:14" s="214" customFormat="1" ht="67.7" customHeight="1" x14ac:dyDescent="0.25">
      <c r="A310" s="31" t="s">
        <v>307</v>
      </c>
      <c r="B310" s="359">
        <v>903</v>
      </c>
      <c r="C310" s="360" t="s">
        <v>280</v>
      </c>
      <c r="D310" s="360" t="s">
        <v>231</v>
      </c>
      <c r="E310" s="360" t="s">
        <v>1266</v>
      </c>
      <c r="F310" s="360"/>
      <c r="G310" s="336">
        <f>G311</f>
        <v>298.40000000000003</v>
      </c>
      <c r="H310" s="336">
        <f t="shared" ref="H310:H311" si="159">H311</f>
        <v>159.34</v>
      </c>
      <c r="I310" s="336">
        <f t="shared" si="137"/>
        <v>53.398123324396771</v>
      </c>
      <c r="J310" s="325"/>
      <c r="K310" s="325"/>
      <c r="L310" s="325"/>
      <c r="M310" s="325"/>
      <c r="N310" s="325"/>
    </row>
    <row r="311" spans="1:14" s="214" customFormat="1" ht="69.75" customHeight="1" x14ac:dyDescent="0.25">
      <c r="A311" s="361" t="s">
        <v>143</v>
      </c>
      <c r="B311" s="359">
        <v>903</v>
      </c>
      <c r="C311" s="360" t="s">
        <v>280</v>
      </c>
      <c r="D311" s="360" t="s">
        <v>231</v>
      </c>
      <c r="E311" s="360" t="s">
        <v>1266</v>
      </c>
      <c r="F311" s="360" t="s">
        <v>144</v>
      </c>
      <c r="G311" s="336">
        <f>G312</f>
        <v>298.40000000000003</v>
      </c>
      <c r="H311" s="336">
        <f t="shared" si="159"/>
        <v>159.34</v>
      </c>
      <c r="I311" s="336">
        <f t="shared" si="137"/>
        <v>53.398123324396771</v>
      </c>
      <c r="J311" s="325"/>
      <c r="K311" s="325"/>
      <c r="L311" s="325"/>
      <c r="M311" s="325"/>
      <c r="N311" s="325"/>
    </row>
    <row r="312" spans="1:14" s="214" customFormat="1" ht="21.2" customHeight="1" x14ac:dyDescent="0.25">
      <c r="A312" s="46" t="s">
        <v>358</v>
      </c>
      <c r="B312" s="359">
        <v>903</v>
      </c>
      <c r="C312" s="360" t="s">
        <v>280</v>
      </c>
      <c r="D312" s="360" t="s">
        <v>231</v>
      </c>
      <c r="E312" s="360" t="s">
        <v>1266</v>
      </c>
      <c r="F312" s="360" t="s">
        <v>225</v>
      </c>
      <c r="G312" s="336">
        <f>298.35+0.05</f>
        <v>298.40000000000003</v>
      </c>
      <c r="H312" s="336">
        <v>159.34</v>
      </c>
      <c r="I312" s="336">
        <f t="shared" si="137"/>
        <v>53.398123324396771</v>
      </c>
      <c r="J312" s="325"/>
      <c r="K312" s="325"/>
      <c r="L312" s="325"/>
      <c r="M312" s="325"/>
      <c r="N312" s="325"/>
    </row>
    <row r="313" spans="1:14" s="214" customFormat="1" ht="87.75" customHeight="1" x14ac:dyDescent="0.25">
      <c r="A313" s="31" t="s">
        <v>309</v>
      </c>
      <c r="B313" s="359">
        <v>903</v>
      </c>
      <c r="C313" s="360" t="s">
        <v>280</v>
      </c>
      <c r="D313" s="360" t="s">
        <v>231</v>
      </c>
      <c r="E313" s="360" t="s">
        <v>1267</v>
      </c>
      <c r="F313" s="360"/>
      <c r="G313" s="336">
        <f>G314</f>
        <v>180</v>
      </c>
      <c r="H313" s="336">
        <f t="shared" ref="H313:H314" si="160">H314</f>
        <v>179.77</v>
      </c>
      <c r="I313" s="336">
        <f t="shared" si="137"/>
        <v>99.872222222222234</v>
      </c>
      <c r="J313" s="325"/>
      <c r="K313" s="325"/>
      <c r="L313" s="325"/>
      <c r="M313" s="325"/>
      <c r="N313" s="325"/>
    </row>
    <row r="314" spans="1:14" s="214" customFormat="1" ht="62.45" customHeight="1" x14ac:dyDescent="0.25">
      <c r="A314" s="361" t="s">
        <v>143</v>
      </c>
      <c r="B314" s="359">
        <v>903</v>
      </c>
      <c r="C314" s="360" t="s">
        <v>280</v>
      </c>
      <c r="D314" s="360" t="s">
        <v>231</v>
      </c>
      <c r="E314" s="360" t="s">
        <v>1267</v>
      </c>
      <c r="F314" s="360" t="s">
        <v>144</v>
      </c>
      <c r="G314" s="336">
        <f>G315</f>
        <v>180</v>
      </c>
      <c r="H314" s="336">
        <f t="shared" si="160"/>
        <v>179.77</v>
      </c>
      <c r="I314" s="336">
        <f t="shared" si="137"/>
        <v>99.872222222222234</v>
      </c>
      <c r="J314" s="325"/>
      <c r="K314" s="325"/>
      <c r="L314" s="325"/>
      <c r="M314" s="325"/>
      <c r="N314" s="325"/>
    </row>
    <row r="315" spans="1:14" s="214" customFormat="1" ht="16.5" customHeight="1" x14ac:dyDescent="0.25">
      <c r="A315" s="46" t="s">
        <v>358</v>
      </c>
      <c r="B315" s="359">
        <v>903</v>
      </c>
      <c r="C315" s="360" t="s">
        <v>280</v>
      </c>
      <c r="D315" s="360" t="s">
        <v>231</v>
      </c>
      <c r="E315" s="360" t="s">
        <v>1267</v>
      </c>
      <c r="F315" s="360" t="s">
        <v>225</v>
      </c>
      <c r="G315" s="336">
        <f>602.48+0.02-422.5</f>
        <v>180</v>
      </c>
      <c r="H315" s="336">
        <v>179.77</v>
      </c>
      <c r="I315" s="336">
        <f t="shared" si="137"/>
        <v>99.872222222222234</v>
      </c>
      <c r="J315" s="325"/>
      <c r="K315" s="325"/>
      <c r="L315" s="325"/>
      <c r="M315" s="325"/>
      <c r="N315" s="325"/>
    </row>
    <row r="316" spans="1:14" ht="51" customHeight="1" x14ac:dyDescent="0.25">
      <c r="A316" s="41" t="s">
        <v>730</v>
      </c>
      <c r="B316" s="330">
        <v>903</v>
      </c>
      <c r="C316" s="334" t="s">
        <v>280</v>
      </c>
      <c r="D316" s="334" t="s">
        <v>231</v>
      </c>
      <c r="E316" s="334" t="s">
        <v>728</v>
      </c>
      <c r="F316" s="334"/>
      <c r="G316" s="332">
        <f>G318</f>
        <v>327.39999999999998</v>
      </c>
      <c r="H316" s="332">
        <f t="shared" ref="H316" si="161">H318</f>
        <v>237.61</v>
      </c>
      <c r="I316" s="332">
        <f t="shared" si="137"/>
        <v>72.574832009773985</v>
      </c>
    </row>
    <row r="317" spans="1:14" s="214" customFormat="1" ht="48.75" customHeight="1" x14ac:dyDescent="0.25">
      <c r="A317" s="41" t="s">
        <v>949</v>
      </c>
      <c r="B317" s="330">
        <v>903</v>
      </c>
      <c r="C317" s="334" t="s">
        <v>280</v>
      </c>
      <c r="D317" s="334" t="s">
        <v>231</v>
      </c>
      <c r="E317" s="334" t="s">
        <v>947</v>
      </c>
      <c r="F317" s="334"/>
      <c r="G317" s="332">
        <f>G318</f>
        <v>327.39999999999998</v>
      </c>
      <c r="H317" s="332">
        <f t="shared" ref="H317:H319" si="162">H318</f>
        <v>237.61</v>
      </c>
      <c r="I317" s="332">
        <f t="shared" si="137"/>
        <v>72.574832009773985</v>
      </c>
      <c r="J317" s="325"/>
      <c r="K317" s="325"/>
      <c r="L317" s="325"/>
      <c r="M317" s="325"/>
      <c r="N317" s="325"/>
    </row>
    <row r="318" spans="1:14" ht="32.25" customHeight="1" x14ac:dyDescent="0.25">
      <c r="A318" s="99" t="s">
        <v>1157</v>
      </c>
      <c r="B318" s="360" t="s">
        <v>644</v>
      </c>
      <c r="C318" s="360" t="s">
        <v>280</v>
      </c>
      <c r="D318" s="360" t="s">
        <v>231</v>
      </c>
      <c r="E318" s="360" t="s">
        <v>948</v>
      </c>
      <c r="F318" s="32"/>
      <c r="G318" s="336">
        <f>G319</f>
        <v>327.39999999999998</v>
      </c>
      <c r="H318" s="336">
        <f t="shared" si="162"/>
        <v>237.61</v>
      </c>
      <c r="I318" s="336">
        <f t="shared" si="137"/>
        <v>72.574832009773985</v>
      </c>
    </row>
    <row r="319" spans="1:14" ht="33" customHeight="1" x14ac:dyDescent="0.25">
      <c r="A319" s="361" t="s">
        <v>147</v>
      </c>
      <c r="B319" s="359">
        <v>903</v>
      </c>
      <c r="C319" s="360" t="s">
        <v>280</v>
      </c>
      <c r="D319" s="360" t="s">
        <v>231</v>
      </c>
      <c r="E319" s="360" t="s">
        <v>948</v>
      </c>
      <c r="F319" s="32" t="s">
        <v>148</v>
      </c>
      <c r="G319" s="336">
        <f>G320</f>
        <v>327.39999999999998</v>
      </c>
      <c r="H319" s="336">
        <f t="shared" si="162"/>
        <v>237.61</v>
      </c>
      <c r="I319" s="336">
        <f t="shared" si="137"/>
        <v>72.574832009773985</v>
      </c>
    </row>
    <row r="320" spans="1:14" ht="34.5" customHeight="1" x14ac:dyDescent="0.25">
      <c r="A320" s="361" t="s">
        <v>149</v>
      </c>
      <c r="B320" s="359">
        <v>903</v>
      </c>
      <c r="C320" s="360" t="s">
        <v>280</v>
      </c>
      <c r="D320" s="360" t="s">
        <v>231</v>
      </c>
      <c r="E320" s="360" t="s">
        <v>948</v>
      </c>
      <c r="F320" s="32" t="s">
        <v>150</v>
      </c>
      <c r="G320" s="336">
        <f>221+106.4</f>
        <v>327.39999999999998</v>
      </c>
      <c r="H320" s="336">
        <v>237.61</v>
      </c>
      <c r="I320" s="336">
        <f t="shared" si="137"/>
        <v>72.574832009773985</v>
      </c>
    </row>
    <row r="321" spans="1:14" ht="19.5" customHeight="1" x14ac:dyDescent="0.25">
      <c r="A321" s="333" t="s">
        <v>482</v>
      </c>
      <c r="B321" s="330">
        <v>903</v>
      </c>
      <c r="C321" s="334" t="s">
        <v>280</v>
      </c>
      <c r="D321" s="334" t="s">
        <v>280</v>
      </c>
      <c r="E321" s="360"/>
      <c r="F321" s="360"/>
      <c r="G321" s="332">
        <f>G322</f>
        <v>475.2</v>
      </c>
      <c r="H321" s="332">
        <f t="shared" ref="H321:H322" si="163">H322</f>
        <v>311.37</v>
      </c>
      <c r="I321" s="332">
        <f t="shared" si="137"/>
        <v>65.523989898989896</v>
      </c>
    </row>
    <row r="322" spans="1:14" ht="52.5" customHeight="1" x14ac:dyDescent="0.25">
      <c r="A322" s="333" t="s">
        <v>359</v>
      </c>
      <c r="B322" s="330">
        <v>903</v>
      </c>
      <c r="C322" s="334" t="s">
        <v>280</v>
      </c>
      <c r="D322" s="334" t="s">
        <v>280</v>
      </c>
      <c r="E322" s="334" t="s">
        <v>360</v>
      </c>
      <c r="F322" s="334"/>
      <c r="G322" s="332">
        <f>G323</f>
        <v>475.2</v>
      </c>
      <c r="H322" s="332">
        <f t="shared" si="163"/>
        <v>311.37</v>
      </c>
      <c r="I322" s="332">
        <f t="shared" si="137"/>
        <v>65.523989898989896</v>
      </c>
    </row>
    <row r="323" spans="1:14" ht="32.25" customHeight="1" x14ac:dyDescent="0.25">
      <c r="A323" s="333" t="s">
        <v>361</v>
      </c>
      <c r="B323" s="330">
        <v>903</v>
      </c>
      <c r="C323" s="334" t="s">
        <v>280</v>
      </c>
      <c r="D323" s="334" t="s">
        <v>280</v>
      </c>
      <c r="E323" s="334" t="s">
        <v>362</v>
      </c>
      <c r="F323" s="334"/>
      <c r="G323" s="332">
        <f>G324+G331+G337</f>
        <v>475.2</v>
      </c>
      <c r="H323" s="332">
        <f t="shared" ref="H323" si="164">H324+H331+H337</f>
        <v>311.37</v>
      </c>
      <c r="I323" s="332">
        <f t="shared" si="137"/>
        <v>65.523989898989896</v>
      </c>
    </row>
    <row r="324" spans="1:14" s="214" customFormat="1" ht="48.75" hidden="1" customHeight="1" x14ac:dyDescent="0.25">
      <c r="A324" s="219" t="s">
        <v>1196</v>
      </c>
      <c r="B324" s="330">
        <v>903</v>
      </c>
      <c r="C324" s="334" t="s">
        <v>280</v>
      </c>
      <c r="D324" s="334" t="s">
        <v>280</v>
      </c>
      <c r="E324" s="334" t="s">
        <v>952</v>
      </c>
      <c r="F324" s="334"/>
      <c r="G324" s="332">
        <f>G325+G328</f>
        <v>0</v>
      </c>
      <c r="H324" s="332">
        <f t="shared" ref="H324" si="165">H325+H328</f>
        <v>0</v>
      </c>
      <c r="I324" s="332" t="e">
        <f t="shared" si="137"/>
        <v>#DIV/0!</v>
      </c>
      <c r="J324" s="325"/>
      <c r="K324" s="325"/>
      <c r="L324" s="325"/>
      <c r="M324" s="325"/>
      <c r="N324" s="325"/>
    </row>
    <row r="325" spans="1:14" s="214" customFormat="1" ht="23.25" hidden="1" customHeight="1" x14ac:dyDescent="0.25">
      <c r="A325" s="99" t="s">
        <v>1202</v>
      </c>
      <c r="B325" s="359">
        <v>903</v>
      </c>
      <c r="C325" s="360" t="s">
        <v>280</v>
      </c>
      <c r="D325" s="360" t="s">
        <v>280</v>
      </c>
      <c r="E325" s="360" t="s">
        <v>953</v>
      </c>
      <c r="F325" s="360"/>
      <c r="G325" s="336">
        <f>G326</f>
        <v>0</v>
      </c>
      <c r="H325" s="336">
        <f t="shared" ref="H325:H326" si="166">H326</f>
        <v>0</v>
      </c>
      <c r="I325" s="332" t="e">
        <f t="shared" si="137"/>
        <v>#DIV/0!</v>
      </c>
      <c r="J325" s="325"/>
      <c r="K325" s="325"/>
      <c r="L325" s="325"/>
      <c r="M325" s="325"/>
      <c r="N325" s="325"/>
    </row>
    <row r="326" spans="1:14" s="214" customFormat="1" ht="72" hidden="1" customHeight="1" x14ac:dyDescent="0.25">
      <c r="A326" s="361" t="s">
        <v>143</v>
      </c>
      <c r="B326" s="359">
        <v>903</v>
      </c>
      <c r="C326" s="360" t="s">
        <v>280</v>
      </c>
      <c r="D326" s="360" t="s">
        <v>280</v>
      </c>
      <c r="E326" s="360" t="s">
        <v>953</v>
      </c>
      <c r="F326" s="360" t="s">
        <v>144</v>
      </c>
      <c r="G326" s="336">
        <f>G327</f>
        <v>0</v>
      </c>
      <c r="H326" s="336">
        <f t="shared" si="166"/>
        <v>0</v>
      </c>
      <c r="I326" s="332" t="e">
        <f t="shared" si="137"/>
        <v>#DIV/0!</v>
      </c>
      <c r="J326" s="325"/>
      <c r="K326" s="325"/>
      <c r="L326" s="325"/>
      <c r="M326" s="325"/>
      <c r="N326" s="325"/>
    </row>
    <row r="327" spans="1:14" s="214" customFormat="1" ht="18" hidden="1" customHeight="1" x14ac:dyDescent="0.25">
      <c r="A327" s="361" t="s">
        <v>358</v>
      </c>
      <c r="B327" s="359">
        <v>903</v>
      </c>
      <c r="C327" s="360" t="s">
        <v>280</v>
      </c>
      <c r="D327" s="360" t="s">
        <v>280</v>
      </c>
      <c r="E327" s="360" t="s">
        <v>953</v>
      </c>
      <c r="F327" s="360" t="s">
        <v>225</v>
      </c>
      <c r="G327" s="336">
        <f>280-280+59.3-59.3</f>
        <v>0</v>
      </c>
      <c r="H327" s="336">
        <f t="shared" ref="H327" si="167">280-280+59.3-59.3</f>
        <v>0</v>
      </c>
      <c r="I327" s="332" t="e">
        <f t="shared" si="137"/>
        <v>#DIV/0!</v>
      </c>
      <c r="J327" s="325"/>
      <c r="K327" s="325"/>
      <c r="L327" s="325"/>
      <c r="M327" s="325"/>
      <c r="N327" s="325"/>
    </row>
    <row r="328" spans="1:14" s="214" customFormat="1" ht="19.5" hidden="1" customHeight="1" x14ac:dyDescent="0.25">
      <c r="A328" s="361" t="s">
        <v>1197</v>
      </c>
      <c r="B328" s="359">
        <v>903</v>
      </c>
      <c r="C328" s="360" t="s">
        <v>280</v>
      </c>
      <c r="D328" s="360" t="s">
        <v>280</v>
      </c>
      <c r="E328" s="360" t="s">
        <v>1221</v>
      </c>
      <c r="F328" s="360"/>
      <c r="G328" s="336">
        <f>G329</f>
        <v>0</v>
      </c>
      <c r="H328" s="336">
        <f t="shared" ref="H328:H329" si="168">H329</f>
        <v>0</v>
      </c>
      <c r="I328" s="332" t="e">
        <f t="shared" si="137"/>
        <v>#DIV/0!</v>
      </c>
      <c r="J328" s="325"/>
      <c r="K328" s="325"/>
      <c r="L328" s="325"/>
      <c r="M328" s="325"/>
      <c r="N328" s="325"/>
    </row>
    <row r="329" spans="1:14" s="214" customFormat="1" ht="32.25" hidden="1" customHeight="1" x14ac:dyDescent="0.25">
      <c r="A329" s="361" t="s">
        <v>147</v>
      </c>
      <c r="B329" s="359">
        <v>903</v>
      </c>
      <c r="C329" s="360" t="s">
        <v>280</v>
      </c>
      <c r="D329" s="360" t="s">
        <v>280</v>
      </c>
      <c r="E329" s="360" t="s">
        <v>1221</v>
      </c>
      <c r="F329" s="360" t="s">
        <v>148</v>
      </c>
      <c r="G329" s="336">
        <f>G330</f>
        <v>0</v>
      </c>
      <c r="H329" s="336">
        <f t="shared" si="168"/>
        <v>0</v>
      </c>
      <c r="I329" s="332" t="e">
        <f t="shared" si="137"/>
        <v>#DIV/0!</v>
      </c>
      <c r="J329" s="325"/>
      <c r="K329" s="325"/>
      <c r="L329" s="325"/>
      <c r="M329" s="325"/>
      <c r="N329" s="325"/>
    </row>
    <row r="330" spans="1:14" s="214" customFormat="1" ht="37.5" hidden="1" customHeight="1" x14ac:dyDescent="0.25">
      <c r="A330" s="361" t="s">
        <v>149</v>
      </c>
      <c r="B330" s="359">
        <v>903</v>
      </c>
      <c r="C330" s="360" t="s">
        <v>280</v>
      </c>
      <c r="D330" s="360" t="s">
        <v>280</v>
      </c>
      <c r="E330" s="360" t="s">
        <v>1221</v>
      </c>
      <c r="F330" s="360" t="s">
        <v>150</v>
      </c>
      <c r="G330" s="336">
        <v>0</v>
      </c>
      <c r="H330" s="336">
        <v>0</v>
      </c>
      <c r="I330" s="332" t="e">
        <f t="shared" si="137"/>
        <v>#DIV/0!</v>
      </c>
      <c r="J330" s="325"/>
      <c r="K330" s="325"/>
      <c r="L330" s="325"/>
      <c r="M330" s="325"/>
      <c r="N330" s="325"/>
    </row>
    <row r="331" spans="1:14" s="214" customFormat="1" ht="64.5" customHeight="1" x14ac:dyDescent="0.25">
      <c r="A331" s="333" t="s">
        <v>1198</v>
      </c>
      <c r="B331" s="330">
        <v>903</v>
      </c>
      <c r="C331" s="334" t="s">
        <v>280</v>
      </c>
      <c r="D331" s="334" t="s">
        <v>280</v>
      </c>
      <c r="E331" s="334" t="s">
        <v>954</v>
      </c>
      <c r="F331" s="334"/>
      <c r="G331" s="332">
        <f>G332</f>
        <v>450.2</v>
      </c>
      <c r="H331" s="332">
        <f t="shared" ref="H331" si="169">H332</f>
        <v>286.37</v>
      </c>
      <c r="I331" s="332">
        <f t="shared" ref="I331:I394" si="170">H331/G331*100</f>
        <v>63.609506885828523</v>
      </c>
      <c r="J331" s="325"/>
      <c r="K331" s="325"/>
      <c r="L331" s="325"/>
      <c r="M331" s="325"/>
      <c r="N331" s="325"/>
    </row>
    <row r="332" spans="1:14" ht="15.75" customHeight="1" x14ac:dyDescent="0.25">
      <c r="A332" s="361" t="s">
        <v>1199</v>
      </c>
      <c r="B332" s="359">
        <v>903</v>
      </c>
      <c r="C332" s="360" t="s">
        <v>280</v>
      </c>
      <c r="D332" s="360" t="s">
        <v>280</v>
      </c>
      <c r="E332" s="360" t="s">
        <v>972</v>
      </c>
      <c r="F332" s="360"/>
      <c r="G332" s="336">
        <f>G335+G334</f>
        <v>450.2</v>
      </c>
      <c r="H332" s="336">
        <f t="shared" ref="H332" si="171">H335+H334</f>
        <v>286.37</v>
      </c>
      <c r="I332" s="336">
        <f t="shared" si="170"/>
        <v>63.609506885828523</v>
      </c>
    </row>
    <row r="333" spans="1:14" ht="63" customHeight="1" x14ac:dyDescent="0.25">
      <c r="A333" s="361" t="s">
        <v>143</v>
      </c>
      <c r="B333" s="359">
        <v>903</v>
      </c>
      <c r="C333" s="360" t="s">
        <v>280</v>
      </c>
      <c r="D333" s="360" t="s">
        <v>280</v>
      </c>
      <c r="E333" s="360" t="s">
        <v>972</v>
      </c>
      <c r="F333" s="360" t="s">
        <v>144</v>
      </c>
      <c r="G333" s="336">
        <f>G334</f>
        <v>40</v>
      </c>
      <c r="H333" s="336">
        <f t="shared" ref="H333" si="172">H334</f>
        <v>286.37</v>
      </c>
      <c r="I333" s="336">
        <f t="shared" si="170"/>
        <v>715.92499999999995</v>
      </c>
    </row>
    <row r="334" spans="1:14" ht="20.25" customHeight="1" x14ac:dyDescent="0.25">
      <c r="A334" s="361" t="s">
        <v>358</v>
      </c>
      <c r="B334" s="359">
        <v>903</v>
      </c>
      <c r="C334" s="360" t="s">
        <v>280</v>
      </c>
      <c r="D334" s="360" t="s">
        <v>280</v>
      </c>
      <c r="E334" s="360" t="s">
        <v>972</v>
      </c>
      <c r="F334" s="360" t="s">
        <v>225</v>
      </c>
      <c r="G334" s="336">
        <f>40</f>
        <v>40</v>
      </c>
      <c r="H334" s="336">
        <v>286.37</v>
      </c>
      <c r="I334" s="336">
        <f t="shared" si="170"/>
        <v>715.92499999999995</v>
      </c>
    </row>
    <row r="335" spans="1:14" ht="27" customHeight="1" x14ac:dyDescent="0.25">
      <c r="A335" s="361" t="s">
        <v>147</v>
      </c>
      <c r="B335" s="359">
        <v>903</v>
      </c>
      <c r="C335" s="360" t="s">
        <v>280</v>
      </c>
      <c r="D335" s="360" t="s">
        <v>280</v>
      </c>
      <c r="E335" s="360" t="s">
        <v>972</v>
      </c>
      <c r="F335" s="360" t="s">
        <v>148</v>
      </c>
      <c r="G335" s="336">
        <f>G336</f>
        <v>410.2</v>
      </c>
      <c r="H335" s="336">
        <f t="shared" ref="H335" si="173">H336</f>
        <v>0</v>
      </c>
      <c r="I335" s="336">
        <f t="shared" si="170"/>
        <v>0</v>
      </c>
    </row>
    <row r="336" spans="1:14" ht="39.200000000000003" customHeight="1" x14ac:dyDescent="0.25">
      <c r="A336" s="361" t="s">
        <v>149</v>
      </c>
      <c r="B336" s="359">
        <v>903</v>
      </c>
      <c r="C336" s="360" t="s">
        <v>280</v>
      </c>
      <c r="D336" s="360" t="s">
        <v>280</v>
      </c>
      <c r="E336" s="360" t="s">
        <v>972</v>
      </c>
      <c r="F336" s="360" t="s">
        <v>150</v>
      </c>
      <c r="G336" s="336">
        <f>415-4.8</f>
        <v>410.2</v>
      </c>
      <c r="H336" s="336">
        <v>0</v>
      </c>
      <c r="I336" s="336">
        <f t="shared" si="170"/>
        <v>0</v>
      </c>
    </row>
    <row r="337" spans="1:14" s="214" customFormat="1" ht="35.450000000000003" customHeight="1" x14ac:dyDescent="0.25">
      <c r="A337" s="333" t="s">
        <v>1204</v>
      </c>
      <c r="B337" s="330">
        <v>903</v>
      </c>
      <c r="C337" s="334" t="s">
        <v>280</v>
      </c>
      <c r="D337" s="334" t="s">
        <v>280</v>
      </c>
      <c r="E337" s="334" t="s">
        <v>1200</v>
      </c>
      <c r="F337" s="334"/>
      <c r="G337" s="332">
        <f>G338</f>
        <v>25</v>
      </c>
      <c r="H337" s="332">
        <f t="shared" ref="H337:H339" si="174">H338</f>
        <v>25</v>
      </c>
      <c r="I337" s="332">
        <f t="shared" si="170"/>
        <v>100</v>
      </c>
      <c r="J337" s="325"/>
      <c r="K337" s="325"/>
      <c r="L337" s="325"/>
      <c r="M337" s="325"/>
      <c r="N337" s="325"/>
    </row>
    <row r="338" spans="1:14" s="214" customFormat="1" ht="39.75" customHeight="1" x14ac:dyDescent="0.25">
      <c r="A338" s="245" t="s">
        <v>1201</v>
      </c>
      <c r="B338" s="359">
        <v>903</v>
      </c>
      <c r="C338" s="360" t="s">
        <v>280</v>
      </c>
      <c r="D338" s="360" t="s">
        <v>280</v>
      </c>
      <c r="E338" s="360" t="s">
        <v>1222</v>
      </c>
      <c r="F338" s="360"/>
      <c r="G338" s="336">
        <f>G339</f>
        <v>25</v>
      </c>
      <c r="H338" s="336">
        <f t="shared" si="174"/>
        <v>25</v>
      </c>
      <c r="I338" s="336">
        <f t="shared" si="170"/>
        <v>100</v>
      </c>
      <c r="J338" s="325"/>
      <c r="K338" s="325"/>
      <c r="L338" s="325"/>
      <c r="M338" s="325"/>
      <c r="N338" s="325"/>
    </row>
    <row r="339" spans="1:14" s="214" customFormat="1" ht="17.45" customHeight="1" x14ac:dyDescent="0.25">
      <c r="A339" s="361" t="s">
        <v>264</v>
      </c>
      <c r="B339" s="359">
        <v>903</v>
      </c>
      <c r="C339" s="360" t="s">
        <v>280</v>
      </c>
      <c r="D339" s="360" t="s">
        <v>280</v>
      </c>
      <c r="E339" s="360" t="s">
        <v>1222</v>
      </c>
      <c r="F339" s="360" t="s">
        <v>265</v>
      </c>
      <c r="G339" s="336">
        <f>G340</f>
        <v>25</v>
      </c>
      <c r="H339" s="336">
        <f t="shared" si="174"/>
        <v>25</v>
      </c>
      <c r="I339" s="336">
        <f t="shared" si="170"/>
        <v>100</v>
      </c>
      <c r="J339" s="325"/>
      <c r="K339" s="325"/>
      <c r="L339" s="325"/>
      <c r="M339" s="325"/>
      <c r="N339" s="325"/>
    </row>
    <row r="340" spans="1:14" s="214" customFormat="1" ht="35.450000000000003" customHeight="1" x14ac:dyDescent="0.25">
      <c r="A340" s="361" t="s">
        <v>1488</v>
      </c>
      <c r="B340" s="359">
        <v>903</v>
      </c>
      <c r="C340" s="360" t="s">
        <v>280</v>
      </c>
      <c r="D340" s="360" t="s">
        <v>280</v>
      </c>
      <c r="E340" s="360" t="s">
        <v>1222</v>
      </c>
      <c r="F340" s="360" t="s">
        <v>1487</v>
      </c>
      <c r="G340" s="336">
        <v>25</v>
      </c>
      <c r="H340" s="336">
        <v>25</v>
      </c>
      <c r="I340" s="336">
        <f t="shared" si="170"/>
        <v>100</v>
      </c>
      <c r="J340" s="325"/>
      <c r="K340" s="325"/>
      <c r="L340" s="325"/>
      <c r="M340" s="325"/>
      <c r="N340" s="325"/>
    </row>
    <row r="341" spans="1:14" ht="15.75" x14ac:dyDescent="0.25">
      <c r="A341" s="333" t="s">
        <v>314</v>
      </c>
      <c r="B341" s="330">
        <v>903</v>
      </c>
      <c r="C341" s="334" t="s">
        <v>315</v>
      </c>
      <c r="D341" s="334"/>
      <c r="E341" s="334"/>
      <c r="F341" s="334"/>
      <c r="G341" s="332">
        <f>G342+G418</f>
        <v>72207.323000000004</v>
      </c>
      <c r="H341" s="332">
        <f t="shared" ref="H341" si="175">H342+H418</f>
        <v>49312.207999999999</v>
      </c>
      <c r="I341" s="332">
        <f t="shared" si="170"/>
        <v>68.292530385041417</v>
      </c>
    </row>
    <row r="342" spans="1:14" ht="15.75" x14ac:dyDescent="0.25">
      <c r="A342" s="333" t="s">
        <v>316</v>
      </c>
      <c r="B342" s="330">
        <v>903</v>
      </c>
      <c r="C342" s="334" t="s">
        <v>315</v>
      </c>
      <c r="D342" s="334" t="s">
        <v>134</v>
      </c>
      <c r="E342" s="334"/>
      <c r="F342" s="334"/>
      <c r="G342" s="332">
        <f>G343+G413+G408</f>
        <v>54306.523000000001</v>
      </c>
      <c r="H342" s="332">
        <f t="shared" ref="H342" si="176">H343+H413+H408</f>
        <v>37120.299999999996</v>
      </c>
      <c r="I342" s="332">
        <f t="shared" si="170"/>
        <v>68.353298921383711</v>
      </c>
    </row>
    <row r="343" spans="1:14" ht="35.450000000000003" customHeight="1" x14ac:dyDescent="0.25">
      <c r="A343" s="333" t="s">
        <v>282</v>
      </c>
      <c r="B343" s="330">
        <v>903</v>
      </c>
      <c r="C343" s="334" t="s">
        <v>315</v>
      </c>
      <c r="D343" s="334" t="s">
        <v>134</v>
      </c>
      <c r="E343" s="334" t="s">
        <v>283</v>
      </c>
      <c r="F343" s="334"/>
      <c r="G343" s="332">
        <f>G344+G374</f>
        <v>53371.923000000003</v>
      </c>
      <c r="H343" s="332">
        <f t="shared" ref="H343" si="177">H344+H374</f>
        <v>36495.750999999997</v>
      </c>
      <c r="I343" s="332">
        <f t="shared" si="170"/>
        <v>68.380056307883081</v>
      </c>
    </row>
    <row r="344" spans="1:14" ht="46.5" customHeight="1" x14ac:dyDescent="0.25">
      <c r="A344" s="333" t="s">
        <v>317</v>
      </c>
      <c r="B344" s="330">
        <v>903</v>
      </c>
      <c r="C344" s="334" t="s">
        <v>315</v>
      </c>
      <c r="D344" s="334" t="s">
        <v>134</v>
      </c>
      <c r="E344" s="334" t="s">
        <v>318</v>
      </c>
      <c r="F344" s="334"/>
      <c r="G344" s="332">
        <f>G345+G353+G359+G363+G370</f>
        <v>29692.922999999999</v>
      </c>
      <c r="H344" s="332">
        <f t="shared" ref="H344" si="178">H345+H353+H359+H363+H370</f>
        <v>20516.516999999996</v>
      </c>
      <c r="I344" s="332">
        <f t="shared" si="170"/>
        <v>69.0956461241623</v>
      </c>
    </row>
    <row r="345" spans="1:14" s="214" customFormat="1" ht="30.2" customHeight="1" x14ac:dyDescent="0.25">
      <c r="A345" s="333" t="s">
        <v>956</v>
      </c>
      <c r="B345" s="330">
        <v>903</v>
      </c>
      <c r="C345" s="334" t="s">
        <v>315</v>
      </c>
      <c r="D345" s="334" t="s">
        <v>134</v>
      </c>
      <c r="E345" s="334" t="s">
        <v>957</v>
      </c>
      <c r="F345" s="334"/>
      <c r="G345" s="332">
        <f>G346</f>
        <v>25838</v>
      </c>
      <c r="H345" s="332">
        <f t="shared" ref="H345" si="179">H346</f>
        <v>17635.77</v>
      </c>
      <c r="I345" s="332">
        <f t="shared" si="170"/>
        <v>68.255166808576519</v>
      </c>
      <c r="J345" s="325"/>
      <c r="K345" s="325"/>
      <c r="L345" s="325"/>
      <c r="M345" s="325"/>
      <c r="N345" s="325"/>
    </row>
    <row r="346" spans="1:14" s="214" customFormat="1" ht="17.45" customHeight="1" x14ac:dyDescent="0.25">
      <c r="A346" s="361" t="s">
        <v>832</v>
      </c>
      <c r="B346" s="359">
        <v>903</v>
      </c>
      <c r="C346" s="360" t="s">
        <v>315</v>
      </c>
      <c r="D346" s="360" t="s">
        <v>134</v>
      </c>
      <c r="E346" s="360" t="s">
        <v>955</v>
      </c>
      <c r="F346" s="360"/>
      <c r="G346" s="336">
        <f>G347+G349+G351</f>
        <v>25838</v>
      </c>
      <c r="H346" s="336">
        <f t="shared" ref="H346" si="180">H347+H349+H351</f>
        <v>17635.77</v>
      </c>
      <c r="I346" s="336">
        <f t="shared" si="170"/>
        <v>68.255166808576519</v>
      </c>
      <c r="J346" s="325"/>
      <c r="K346" s="325"/>
      <c r="L346" s="325"/>
      <c r="M346" s="325"/>
      <c r="N346" s="325"/>
    </row>
    <row r="347" spans="1:14" s="214" customFormat="1" ht="46.5" customHeight="1" x14ac:dyDescent="0.25">
      <c r="A347" s="361" t="s">
        <v>143</v>
      </c>
      <c r="B347" s="359">
        <v>903</v>
      </c>
      <c r="C347" s="360" t="s">
        <v>315</v>
      </c>
      <c r="D347" s="360" t="s">
        <v>134</v>
      </c>
      <c r="E347" s="360" t="s">
        <v>955</v>
      </c>
      <c r="F347" s="360" t="s">
        <v>144</v>
      </c>
      <c r="G347" s="336">
        <f>G348</f>
        <v>20047.5</v>
      </c>
      <c r="H347" s="336">
        <f t="shared" ref="H347" si="181">H348</f>
        <v>13980.53</v>
      </c>
      <c r="I347" s="336">
        <f t="shared" si="170"/>
        <v>69.737024566654199</v>
      </c>
      <c r="J347" s="325"/>
      <c r="K347" s="325"/>
      <c r="L347" s="325"/>
      <c r="M347" s="325"/>
      <c r="N347" s="325"/>
    </row>
    <row r="348" spans="1:14" s="214" customFormat="1" ht="33" customHeight="1" x14ac:dyDescent="0.25">
      <c r="A348" s="361" t="s">
        <v>224</v>
      </c>
      <c r="B348" s="359">
        <v>903</v>
      </c>
      <c r="C348" s="360" t="s">
        <v>315</v>
      </c>
      <c r="D348" s="360" t="s">
        <v>134</v>
      </c>
      <c r="E348" s="360" t="s">
        <v>955</v>
      </c>
      <c r="F348" s="360" t="s">
        <v>225</v>
      </c>
      <c r="G348" s="362">
        <f>20032+15.5</f>
        <v>20047.5</v>
      </c>
      <c r="H348" s="362">
        <v>13980.53</v>
      </c>
      <c r="I348" s="336">
        <f t="shared" si="170"/>
        <v>69.737024566654199</v>
      </c>
      <c r="J348" s="325"/>
      <c r="K348" s="325"/>
      <c r="L348" s="325"/>
      <c r="M348" s="325"/>
      <c r="N348" s="325"/>
    </row>
    <row r="349" spans="1:14" s="214" customFormat="1" ht="36.75" customHeight="1" x14ac:dyDescent="0.25">
      <c r="A349" s="361" t="s">
        <v>147</v>
      </c>
      <c r="B349" s="359">
        <v>903</v>
      </c>
      <c r="C349" s="360" t="s">
        <v>315</v>
      </c>
      <c r="D349" s="360" t="s">
        <v>134</v>
      </c>
      <c r="E349" s="360" t="s">
        <v>955</v>
      </c>
      <c r="F349" s="360" t="s">
        <v>148</v>
      </c>
      <c r="G349" s="336">
        <f>G350</f>
        <v>5666.5</v>
      </c>
      <c r="H349" s="336">
        <f t="shared" ref="H349" si="182">H350</f>
        <v>3533.6</v>
      </c>
      <c r="I349" s="336">
        <f t="shared" si="170"/>
        <v>62.359481161210617</v>
      </c>
      <c r="J349" s="325"/>
      <c r="K349" s="325"/>
      <c r="L349" s="325"/>
      <c r="M349" s="325"/>
      <c r="N349" s="325"/>
    </row>
    <row r="350" spans="1:14" s="214" customFormat="1" ht="33" customHeight="1" x14ac:dyDescent="0.25">
      <c r="A350" s="361" t="s">
        <v>149</v>
      </c>
      <c r="B350" s="359">
        <v>903</v>
      </c>
      <c r="C350" s="360" t="s">
        <v>315</v>
      </c>
      <c r="D350" s="360" t="s">
        <v>134</v>
      </c>
      <c r="E350" s="360" t="s">
        <v>955</v>
      </c>
      <c r="F350" s="360" t="s">
        <v>150</v>
      </c>
      <c r="G350" s="362">
        <f>4715-1000+1400+570-18.5</f>
        <v>5666.5</v>
      </c>
      <c r="H350" s="362">
        <v>3533.6</v>
      </c>
      <c r="I350" s="336">
        <f t="shared" si="170"/>
        <v>62.359481161210617</v>
      </c>
      <c r="J350" s="325"/>
      <c r="K350" s="325"/>
      <c r="L350" s="325"/>
      <c r="M350" s="325"/>
      <c r="N350" s="325"/>
    </row>
    <row r="351" spans="1:14" s="214" customFormat="1" ht="18" customHeight="1" x14ac:dyDescent="0.25">
      <c r="A351" s="361" t="s">
        <v>151</v>
      </c>
      <c r="B351" s="359">
        <v>903</v>
      </c>
      <c r="C351" s="360" t="s">
        <v>315</v>
      </c>
      <c r="D351" s="360" t="s">
        <v>134</v>
      </c>
      <c r="E351" s="360" t="s">
        <v>955</v>
      </c>
      <c r="F351" s="360" t="s">
        <v>161</v>
      </c>
      <c r="G351" s="336">
        <f>G352</f>
        <v>124</v>
      </c>
      <c r="H351" s="336">
        <f t="shared" ref="H351" si="183">H352</f>
        <v>121.64</v>
      </c>
      <c r="I351" s="336">
        <f t="shared" si="170"/>
        <v>98.096774193548384</v>
      </c>
      <c r="J351" s="325"/>
      <c r="K351" s="325"/>
      <c r="L351" s="325"/>
      <c r="M351" s="325"/>
      <c r="N351" s="325"/>
    </row>
    <row r="352" spans="1:14" s="214" customFormat="1" ht="16.5" customHeight="1" x14ac:dyDescent="0.25">
      <c r="A352" s="361" t="s">
        <v>584</v>
      </c>
      <c r="B352" s="359">
        <v>903</v>
      </c>
      <c r="C352" s="360" t="s">
        <v>315</v>
      </c>
      <c r="D352" s="360" t="s">
        <v>134</v>
      </c>
      <c r="E352" s="360" t="s">
        <v>955</v>
      </c>
      <c r="F352" s="360" t="s">
        <v>154</v>
      </c>
      <c r="G352" s="336">
        <f>37+80+3+4</f>
        <v>124</v>
      </c>
      <c r="H352" s="336">
        <v>121.64</v>
      </c>
      <c r="I352" s="336">
        <f t="shared" si="170"/>
        <v>98.096774193548384</v>
      </c>
      <c r="J352" s="325"/>
      <c r="K352" s="325"/>
      <c r="L352" s="325"/>
      <c r="M352" s="325"/>
      <c r="N352" s="325"/>
    </row>
    <row r="353" spans="1:14" s="214" customFormat="1" ht="35.450000000000003" customHeight="1" x14ac:dyDescent="0.25">
      <c r="A353" s="225" t="s">
        <v>970</v>
      </c>
      <c r="B353" s="330">
        <v>903</v>
      </c>
      <c r="C353" s="334" t="s">
        <v>315</v>
      </c>
      <c r="D353" s="334" t="s">
        <v>134</v>
      </c>
      <c r="E353" s="334" t="s">
        <v>958</v>
      </c>
      <c r="F353" s="334"/>
      <c r="G353" s="332">
        <f>G354</f>
        <v>1111.7</v>
      </c>
      <c r="H353" s="332">
        <f t="shared" ref="H353" si="184">H354</f>
        <v>517.6</v>
      </c>
      <c r="I353" s="332">
        <f t="shared" si="170"/>
        <v>46.559323558513988</v>
      </c>
      <c r="J353" s="325"/>
      <c r="K353" s="325"/>
      <c r="L353" s="325"/>
      <c r="M353" s="325"/>
      <c r="N353" s="325"/>
    </row>
    <row r="354" spans="1:14" ht="35.450000000000003" customHeight="1" x14ac:dyDescent="0.25">
      <c r="A354" s="31" t="s">
        <v>860</v>
      </c>
      <c r="B354" s="359">
        <v>903</v>
      </c>
      <c r="C354" s="360" t="s">
        <v>315</v>
      </c>
      <c r="D354" s="360" t="s">
        <v>134</v>
      </c>
      <c r="E354" s="360" t="s">
        <v>959</v>
      </c>
      <c r="F354" s="360"/>
      <c r="G354" s="362">
        <f>G357+G355</f>
        <v>1111.7</v>
      </c>
      <c r="H354" s="362">
        <f t="shared" ref="H354" si="185">H357+H355</f>
        <v>517.6</v>
      </c>
      <c r="I354" s="336">
        <f t="shared" si="170"/>
        <v>46.559323558513988</v>
      </c>
    </row>
    <row r="355" spans="1:14" ht="66.2" customHeight="1" x14ac:dyDescent="0.25">
      <c r="A355" s="361" t="s">
        <v>143</v>
      </c>
      <c r="B355" s="359">
        <v>903</v>
      </c>
      <c r="C355" s="360" t="s">
        <v>315</v>
      </c>
      <c r="D355" s="360" t="s">
        <v>134</v>
      </c>
      <c r="E355" s="360" t="s">
        <v>959</v>
      </c>
      <c r="F355" s="360" t="s">
        <v>144</v>
      </c>
      <c r="G355" s="362">
        <f>G356</f>
        <v>396.09999999999997</v>
      </c>
      <c r="H355" s="362">
        <f t="shared" ref="H355" si="186">H356</f>
        <v>135.37</v>
      </c>
      <c r="I355" s="336">
        <f t="shared" si="170"/>
        <v>34.175713203736436</v>
      </c>
    </row>
    <row r="356" spans="1:14" ht="20.25" customHeight="1" x14ac:dyDescent="0.25">
      <c r="A356" s="361" t="s">
        <v>224</v>
      </c>
      <c r="B356" s="359">
        <v>903</v>
      </c>
      <c r="C356" s="360" t="s">
        <v>315</v>
      </c>
      <c r="D356" s="360" t="s">
        <v>134</v>
      </c>
      <c r="E356" s="360" t="s">
        <v>959</v>
      </c>
      <c r="F356" s="360" t="s">
        <v>225</v>
      </c>
      <c r="G356" s="362">
        <f>455.4-59.3</f>
        <v>396.09999999999997</v>
      </c>
      <c r="H356" s="362">
        <v>135.37</v>
      </c>
      <c r="I356" s="336">
        <f t="shared" si="170"/>
        <v>34.175713203736436</v>
      </c>
    </row>
    <row r="357" spans="1:14" ht="33.75" customHeight="1" x14ac:dyDescent="0.25">
      <c r="A357" s="361" t="s">
        <v>147</v>
      </c>
      <c r="B357" s="359">
        <v>903</v>
      </c>
      <c r="C357" s="360" t="s">
        <v>315</v>
      </c>
      <c r="D357" s="360" t="s">
        <v>134</v>
      </c>
      <c r="E357" s="360" t="s">
        <v>959</v>
      </c>
      <c r="F357" s="360" t="s">
        <v>148</v>
      </c>
      <c r="G357" s="362">
        <f>G358</f>
        <v>715.6</v>
      </c>
      <c r="H357" s="362">
        <f t="shared" ref="H357" si="187">H358</f>
        <v>382.23</v>
      </c>
      <c r="I357" s="336">
        <f t="shared" si="170"/>
        <v>53.41391839016211</v>
      </c>
    </row>
    <row r="358" spans="1:14" ht="36.75" customHeight="1" x14ac:dyDescent="0.25">
      <c r="A358" s="361" t="s">
        <v>149</v>
      </c>
      <c r="B358" s="359">
        <v>903</v>
      </c>
      <c r="C358" s="360" t="s">
        <v>315</v>
      </c>
      <c r="D358" s="360" t="s">
        <v>134</v>
      </c>
      <c r="E358" s="360" t="s">
        <v>959</v>
      </c>
      <c r="F358" s="360" t="s">
        <v>150</v>
      </c>
      <c r="G358" s="362">
        <f>250+921-455.4</f>
        <v>715.6</v>
      </c>
      <c r="H358" s="362">
        <v>382.23</v>
      </c>
      <c r="I358" s="336">
        <f t="shared" si="170"/>
        <v>53.41391839016211</v>
      </c>
    </row>
    <row r="359" spans="1:14" s="214" customFormat="1" ht="36.75" customHeight="1" x14ac:dyDescent="0.25">
      <c r="A359" s="333" t="s">
        <v>1076</v>
      </c>
      <c r="B359" s="330">
        <v>903</v>
      </c>
      <c r="C359" s="334" t="s">
        <v>315</v>
      </c>
      <c r="D359" s="334" t="s">
        <v>134</v>
      </c>
      <c r="E359" s="334" t="s">
        <v>1164</v>
      </c>
      <c r="F359" s="334"/>
      <c r="G359" s="44">
        <f>G360</f>
        <v>588</v>
      </c>
      <c r="H359" s="44">
        <f t="shared" ref="H359:H361" si="188">H360</f>
        <v>468.67</v>
      </c>
      <c r="I359" s="332">
        <f t="shared" si="170"/>
        <v>79.70578231292518</v>
      </c>
      <c r="J359" s="325"/>
      <c r="K359" s="325"/>
      <c r="L359" s="325"/>
      <c r="M359" s="325"/>
      <c r="N359" s="325"/>
    </row>
    <row r="360" spans="1:14" s="214" customFormat="1" ht="36.75" customHeight="1" x14ac:dyDescent="0.25">
      <c r="A360" s="361" t="s">
        <v>885</v>
      </c>
      <c r="B360" s="359">
        <v>903</v>
      </c>
      <c r="C360" s="360" t="s">
        <v>315</v>
      </c>
      <c r="D360" s="360" t="s">
        <v>134</v>
      </c>
      <c r="E360" s="360" t="s">
        <v>1165</v>
      </c>
      <c r="F360" s="360"/>
      <c r="G360" s="336">
        <f>G361</f>
        <v>588</v>
      </c>
      <c r="H360" s="336">
        <f t="shared" si="188"/>
        <v>468.67</v>
      </c>
      <c r="I360" s="336">
        <f t="shared" si="170"/>
        <v>79.70578231292518</v>
      </c>
      <c r="J360" s="325"/>
      <c r="K360" s="325"/>
      <c r="L360" s="325"/>
      <c r="M360" s="325"/>
      <c r="N360" s="325"/>
    </row>
    <row r="361" spans="1:14" s="214" customFormat="1" ht="62.45" customHeight="1" x14ac:dyDescent="0.25">
      <c r="A361" s="361" t="s">
        <v>143</v>
      </c>
      <c r="B361" s="359">
        <v>903</v>
      </c>
      <c r="C361" s="360" t="s">
        <v>315</v>
      </c>
      <c r="D361" s="360" t="s">
        <v>134</v>
      </c>
      <c r="E361" s="360" t="s">
        <v>1165</v>
      </c>
      <c r="F361" s="360" t="s">
        <v>144</v>
      </c>
      <c r="G361" s="336">
        <f>G362</f>
        <v>588</v>
      </c>
      <c r="H361" s="336">
        <f t="shared" si="188"/>
        <v>468.67</v>
      </c>
      <c r="I361" s="336">
        <f t="shared" si="170"/>
        <v>79.70578231292518</v>
      </c>
      <c r="J361" s="325"/>
      <c r="K361" s="325"/>
      <c r="L361" s="325"/>
      <c r="M361" s="325"/>
      <c r="N361" s="325"/>
    </row>
    <row r="362" spans="1:14" s="214" customFormat="1" ht="36.75" customHeight="1" x14ac:dyDescent="0.25">
      <c r="A362" s="361" t="s">
        <v>145</v>
      </c>
      <c r="B362" s="359">
        <v>903</v>
      </c>
      <c r="C362" s="360" t="s">
        <v>315</v>
      </c>
      <c r="D362" s="360" t="s">
        <v>134</v>
      </c>
      <c r="E362" s="360" t="s">
        <v>1165</v>
      </c>
      <c r="F362" s="360" t="s">
        <v>225</v>
      </c>
      <c r="G362" s="336">
        <v>588</v>
      </c>
      <c r="H362" s="336">
        <v>468.67</v>
      </c>
      <c r="I362" s="336">
        <f t="shared" si="170"/>
        <v>79.70578231292518</v>
      </c>
      <c r="J362" s="325"/>
      <c r="K362" s="325"/>
      <c r="L362" s="325"/>
      <c r="M362" s="325"/>
      <c r="N362" s="325"/>
    </row>
    <row r="363" spans="1:14" s="214" customFormat="1" ht="36.75" customHeight="1" x14ac:dyDescent="0.25">
      <c r="A363" s="226" t="s">
        <v>971</v>
      </c>
      <c r="B363" s="330">
        <v>903</v>
      </c>
      <c r="C363" s="334" t="s">
        <v>315</v>
      </c>
      <c r="D363" s="334" t="s">
        <v>134</v>
      </c>
      <c r="E363" s="334" t="s">
        <v>1166</v>
      </c>
      <c r="F363" s="334"/>
      <c r="G363" s="332">
        <f>G367+G364</f>
        <v>824.3</v>
      </c>
      <c r="H363" s="332">
        <f t="shared" ref="H363" si="189">H367+H364</f>
        <v>563.56999999999994</v>
      </c>
      <c r="I363" s="332">
        <f t="shared" si="170"/>
        <v>68.369525658134165</v>
      </c>
      <c r="J363" s="325"/>
      <c r="K363" s="325"/>
      <c r="L363" s="325"/>
      <c r="M363" s="325"/>
      <c r="N363" s="325"/>
    </row>
    <row r="364" spans="1:14" s="325" customFormat="1" ht="81" customHeight="1" x14ac:dyDescent="0.25">
      <c r="A364" s="31" t="s">
        <v>309</v>
      </c>
      <c r="B364" s="359">
        <v>903</v>
      </c>
      <c r="C364" s="360" t="s">
        <v>315</v>
      </c>
      <c r="D364" s="360" t="s">
        <v>134</v>
      </c>
      <c r="E364" s="360" t="s">
        <v>1521</v>
      </c>
      <c r="F364" s="334"/>
      <c r="G364" s="336">
        <f>G365</f>
        <v>749.3</v>
      </c>
      <c r="H364" s="336">
        <f t="shared" ref="H364:H365" si="190">H365</f>
        <v>489</v>
      </c>
      <c r="I364" s="336">
        <f t="shared" si="170"/>
        <v>65.260910182837321</v>
      </c>
    </row>
    <row r="365" spans="1:14" s="325" customFormat="1" ht="69.75" customHeight="1" x14ac:dyDescent="0.25">
      <c r="A365" s="361" t="s">
        <v>143</v>
      </c>
      <c r="B365" s="359">
        <v>903</v>
      </c>
      <c r="C365" s="360" t="s">
        <v>315</v>
      </c>
      <c r="D365" s="360" t="s">
        <v>134</v>
      </c>
      <c r="E365" s="360" t="s">
        <v>1521</v>
      </c>
      <c r="F365" s="360" t="s">
        <v>144</v>
      </c>
      <c r="G365" s="336">
        <f>G366</f>
        <v>749.3</v>
      </c>
      <c r="H365" s="336">
        <f t="shared" si="190"/>
        <v>489</v>
      </c>
      <c r="I365" s="336">
        <f t="shared" si="170"/>
        <v>65.260910182837321</v>
      </c>
    </row>
    <row r="366" spans="1:14" s="325" customFormat="1" ht="36.75" customHeight="1" x14ac:dyDescent="0.25">
      <c r="A366" s="361" t="s">
        <v>224</v>
      </c>
      <c r="B366" s="359">
        <v>903</v>
      </c>
      <c r="C366" s="360" t="s">
        <v>315</v>
      </c>
      <c r="D366" s="360" t="s">
        <v>134</v>
      </c>
      <c r="E366" s="360" t="s">
        <v>1521</v>
      </c>
      <c r="F366" s="360" t="s">
        <v>225</v>
      </c>
      <c r="G366" s="336">
        <v>749.3</v>
      </c>
      <c r="H366" s="336">
        <v>489</v>
      </c>
      <c r="I366" s="336">
        <f t="shared" si="170"/>
        <v>65.260910182837321</v>
      </c>
    </row>
    <row r="367" spans="1:14" s="214" customFormat="1" ht="79.5" customHeight="1" x14ac:dyDescent="0.25">
      <c r="A367" s="31" t="s">
        <v>309</v>
      </c>
      <c r="B367" s="359">
        <v>903</v>
      </c>
      <c r="C367" s="360" t="s">
        <v>315</v>
      </c>
      <c r="D367" s="360" t="s">
        <v>134</v>
      </c>
      <c r="E367" s="360" t="s">
        <v>1167</v>
      </c>
      <c r="F367" s="360"/>
      <c r="G367" s="336">
        <f>G368</f>
        <v>75</v>
      </c>
      <c r="H367" s="336">
        <f t="shared" ref="H367:H368" si="191">H368</f>
        <v>74.569999999999993</v>
      </c>
      <c r="I367" s="336">
        <f t="shared" si="170"/>
        <v>99.426666666666648</v>
      </c>
      <c r="J367" s="325"/>
      <c r="K367" s="325"/>
      <c r="L367" s="325"/>
      <c r="M367" s="325"/>
      <c r="N367" s="325"/>
    </row>
    <row r="368" spans="1:14" s="214" customFormat="1" ht="66.2" customHeight="1" x14ac:dyDescent="0.25">
      <c r="A368" s="361" t="s">
        <v>143</v>
      </c>
      <c r="B368" s="359">
        <v>903</v>
      </c>
      <c r="C368" s="360" t="s">
        <v>315</v>
      </c>
      <c r="D368" s="360" t="s">
        <v>134</v>
      </c>
      <c r="E368" s="360" t="s">
        <v>1167</v>
      </c>
      <c r="F368" s="360" t="s">
        <v>144</v>
      </c>
      <c r="G368" s="336">
        <f>G369</f>
        <v>75</v>
      </c>
      <c r="H368" s="336">
        <f t="shared" si="191"/>
        <v>74.569999999999993</v>
      </c>
      <c r="I368" s="336">
        <f t="shared" si="170"/>
        <v>99.426666666666648</v>
      </c>
      <c r="J368" s="325"/>
      <c r="K368" s="325"/>
      <c r="L368" s="325"/>
      <c r="M368" s="325"/>
      <c r="N368" s="325"/>
    </row>
    <row r="369" spans="1:14" s="214" customFormat="1" ht="21.75" customHeight="1" x14ac:dyDescent="0.25">
      <c r="A369" s="361" t="s">
        <v>224</v>
      </c>
      <c r="B369" s="359">
        <v>903</v>
      </c>
      <c r="C369" s="360" t="s">
        <v>315</v>
      </c>
      <c r="D369" s="360" t="s">
        <v>134</v>
      </c>
      <c r="E369" s="360" t="s">
        <v>1167</v>
      </c>
      <c r="F369" s="360" t="s">
        <v>225</v>
      </c>
      <c r="G369" s="336">
        <f>724.29+100+0.01-749.3</f>
        <v>75</v>
      </c>
      <c r="H369" s="336">
        <v>74.569999999999993</v>
      </c>
      <c r="I369" s="336">
        <f t="shared" si="170"/>
        <v>99.426666666666648</v>
      </c>
      <c r="J369" s="325"/>
      <c r="K369" s="325"/>
      <c r="L369" s="325"/>
      <c r="M369" s="325"/>
      <c r="N369" s="325"/>
    </row>
    <row r="370" spans="1:14" s="214" customFormat="1" ht="31.7" customHeight="1" x14ac:dyDescent="0.25">
      <c r="A370" s="219" t="s">
        <v>1403</v>
      </c>
      <c r="B370" s="330">
        <v>903</v>
      </c>
      <c r="C370" s="334" t="s">
        <v>315</v>
      </c>
      <c r="D370" s="334" t="s">
        <v>134</v>
      </c>
      <c r="E370" s="334" t="s">
        <v>1404</v>
      </c>
      <c r="F370" s="334"/>
      <c r="G370" s="332">
        <f>G371</f>
        <v>1330.923</v>
      </c>
      <c r="H370" s="332">
        <f t="shared" ref="H370:H372" si="192">H371</f>
        <v>1330.9069999999999</v>
      </c>
      <c r="I370" s="332">
        <f t="shared" si="170"/>
        <v>99.998797826771337</v>
      </c>
      <c r="J370" s="325"/>
      <c r="K370" s="325"/>
      <c r="L370" s="325"/>
      <c r="M370" s="325"/>
      <c r="N370" s="325"/>
    </row>
    <row r="371" spans="1:14" s="214" customFormat="1" ht="48.2" customHeight="1" x14ac:dyDescent="0.25">
      <c r="A371" s="99" t="s">
        <v>1405</v>
      </c>
      <c r="B371" s="359">
        <v>903</v>
      </c>
      <c r="C371" s="360" t="s">
        <v>315</v>
      </c>
      <c r="D371" s="360" t="s">
        <v>134</v>
      </c>
      <c r="E371" s="360" t="s">
        <v>1406</v>
      </c>
      <c r="F371" s="360"/>
      <c r="G371" s="336">
        <f>G372</f>
        <v>1330.923</v>
      </c>
      <c r="H371" s="336">
        <f t="shared" si="192"/>
        <v>1330.9069999999999</v>
      </c>
      <c r="I371" s="336">
        <f t="shared" si="170"/>
        <v>99.998797826771337</v>
      </c>
      <c r="J371" s="325"/>
      <c r="K371" s="325"/>
      <c r="L371" s="325"/>
      <c r="M371" s="325"/>
      <c r="N371" s="325"/>
    </row>
    <row r="372" spans="1:14" s="214" customFormat="1" ht="35.450000000000003" customHeight="1" x14ac:dyDescent="0.25">
      <c r="A372" s="361" t="s">
        <v>147</v>
      </c>
      <c r="B372" s="359">
        <v>903</v>
      </c>
      <c r="C372" s="360" t="s">
        <v>315</v>
      </c>
      <c r="D372" s="360" t="s">
        <v>134</v>
      </c>
      <c r="E372" s="360" t="s">
        <v>1406</v>
      </c>
      <c r="F372" s="360" t="s">
        <v>148</v>
      </c>
      <c r="G372" s="336">
        <f>G373</f>
        <v>1330.923</v>
      </c>
      <c r="H372" s="336">
        <f t="shared" si="192"/>
        <v>1330.9069999999999</v>
      </c>
      <c r="I372" s="336">
        <f t="shared" si="170"/>
        <v>99.998797826771337</v>
      </c>
      <c r="J372" s="325"/>
      <c r="K372" s="325"/>
      <c r="L372" s="325"/>
      <c r="M372" s="325"/>
      <c r="N372" s="325"/>
    </row>
    <row r="373" spans="1:14" s="214" customFormat="1" ht="34.5" customHeight="1" x14ac:dyDescent="0.25">
      <c r="A373" s="361" t="s">
        <v>149</v>
      </c>
      <c r="B373" s="359">
        <v>903</v>
      </c>
      <c r="C373" s="360" t="s">
        <v>315</v>
      </c>
      <c r="D373" s="360" t="s">
        <v>134</v>
      </c>
      <c r="E373" s="360" t="s">
        <v>1406</v>
      </c>
      <c r="F373" s="360" t="s">
        <v>150</v>
      </c>
      <c r="G373" s="336">
        <f>1253.5+77.423</f>
        <v>1330.923</v>
      </c>
      <c r="H373" s="336">
        <v>1330.9069999999999</v>
      </c>
      <c r="I373" s="336">
        <f t="shared" si="170"/>
        <v>99.998797826771337</v>
      </c>
      <c r="J373" s="325"/>
      <c r="K373" s="325"/>
      <c r="L373" s="325"/>
      <c r="M373" s="325"/>
      <c r="N373" s="325"/>
    </row>
    <row r="374" spans="1:14" ht="37.5" customHeight="1" x14ac:dyDescent="0.25">
      <c r="A374" s="333" t="s">
        <v>328</v>
      </c>
      <c r="B374" s="330">
        <v>903</v>
      </c>
      <c r="C374" s="334" t="s">
        <v>315</v>
      </c>
      <c r="D374" s="334" t="s">
        <v>134</v>
      </c>
      <c r="E374" s="334" t="s">
        <v>329</v>
      </c>
      <c r="F374" s="334"/>
      <c r="G374" s="332">
        <f>G375+G383+G391+G398+G387</f>
        <v>23679.000000000004</v>
      </c>
      <c r="H374" s="332">
        <f t="shared" ref="H374" si="193">H375+H383+H391+H398+H387</f>
        <v>15979.234</v>
      </c>
      <c r="I374" s="336">
        <f t="shared" si="170"/>
        <v>67.482723087968239</v>
      </c>
    </row>
    <row r="375" spans="1:14" s="214" customFormat="1" ht="37.5" customHeight="1" x14ac:dyDescent="0.25">
      <c r="A375" s="333" t="s">
        <v>956</v>
      </c>
      <c r="B375" s="330">
        <v>903</v>
      </c>
      <c r="C375" s="334" t="s">
        <v>315</v>
      </c>
      <c r="D375" s="334" t="s">
        <v>134</v>
      </c>
      <c r="E375" s="334" t="s">
        <v>960</v>
      </c>
      <c r="F375" s="334"/>
      <c r="G375" s="332">
        <f>G376</f>
        <v>21457.300000000003</v>
      </c>
      <c r="H375" s="332">
        <f t="shared" ref="H375" si="194">H376</f>
        <v>14779.460000000001</v>
      </c>
      <c r="I375" s="336">
        <f t="shared" si="170"/>
        <v>68.878470264199123</v>
      </c>
      <c r="J375" s="325"/>
      <c r="K375" s="325"/>
      <c r="L375" s="325"/>
      <c r="M375" s="325"/>
      <c r="N375" s="325"/>
    </row>
    <row r="376" spans="1:14" s="214" customFormat="1" ht="18" customHeight="1" x14ac:dyDescent="0.25">
      <c r="A376" s="361" t="s">
        <v>832</v>
      </c>
      <c r="B376" s="359">
        <v>903</v>
      </c>
      <c r="C376" s="360" t="s">
        <v>315</v>
      </c>
      <c r="D376" s="360" t="s">
        <v>134</v>
      </c>
      <c r="E376" s="360" t="s">
        <v>961</v>
      </c>
      <c r="F376" s="360"/>
      <c r="G376" s="336">
        <f>G377+G379+G381</f>
        <v>21457.300000000003</v>
      </c>
      <c r="H376" s="336">
        <f t="shared" ref="H376" si="195">H377+H379+H381</f>
        <v>14779.460000000001</v>
      </c>
      <c r="I376" s="336">
        <f t="shared" si="170"/>
        <v>68.878470264199123</v>
      </c>
      <c r="J376" s="325"/>
      <c r="K376" s="325"/>
      <c r="L376" s="325"/>
      <c r="M376" s="325"/>
      <c r="N376" s="325"/>
    </row>
    <row r="377" spans="1:14" s="214" customFormat="1" ht="60.75" customHeight="1" x14ac:dyDescent="0.25">
      <c r="A377" s="361" t="s">
        <v>143</v>
      </c>
      <c r="B377" s="359">
        <v>903</v>
      </c>
      <c r="C377" s="360" t="s">
        <v>315</v>
      </c>
      <c r="D377" s="360" t="s">
        <v>134</v>
      </c>
      <c r="E377" s="360" t="s">
        <v>961</v>
      </c>
      <c r="F377" s="360" t="s">
        <v>144</v>
      </c>
      <c r="G377" s="336">
        <f>G378</f>
        <v>17679.2</v>
      </c>
      <c r="H377" s="336">
        <f t="shared" ref="H377" si="196">H378</f>
        <v>12522.28</v>
      </c>
      <c r="I377" s="336">
        <f t="shared" si="170"/>
        <v>70.830580569256526</v>
      </c>
      <c r="J377" s="325"/>
      <c r="K377" s="325"/>
      <c r="L377" s="325"/>
      <c r="M377" s="325"/>
      <c r="N377" s="325"/>
    </row>
    <row r="378" spans="1:14" s="214" customFormat="1" ht="18.75" customHeight="1" x14ac:dyDescent="0.25">
      <c r="A378" s="361" t="s">
        <v>224</v>
      </c>
      <c r="B378" s="359">
        <v>903</v>
      </c>
      <c r="C378" s="360" t="s">
        <v>315</v>
      </c>
      <c r="D378" s="360" t="s">
        <v>134</v>
      </c>
      <c r="E378" s="360" t="s">
        <v>961</v>
      </c>
      <c r="F378" s="360" t="s">
        <v>225</v>
      </c>
      <c r="G378" s="362">
        <f>19218-1544.8+6</f>
        <v>17679.2</v>
      </c>
      <c r="H378" s="362">
        <v>12522.28</v>
      </c>
      <c r="I378" s="336">
        <f t="shared" si="170"/>
        <v>70.830580569256526</v>
      </c>
      <c r="J378" s="325"/>
      <c r="K378" s="325"/>
      <c r="L378" s="325"/>
      <c r="M378" s="325"/>
      <c r="N378" s="325"/>
    </row>
    <row r="379" spans="1:14" s="214" customFormat="1" ht="37.5" customHeight="1" x14ac:dyDescent="0.25">
      <c r="A379" s="361" t="s">
        <v>147</v>
      </c>
      <c r="B379" s="359">
        <v>903</v>
      </c>
      <c r="C379" s="360" t="s">
        <v>315</v>
      </c>
      <c r="D379" s="360" t="s">
        <v>134</v>
      </c>
      <c r="E379" s="360" t="s">
        <v>961</v>
      </c>
      <c r="F379" s="360" t="s">
        <v>148</v>
      </c>
      <c r="G379" s="336">
        <f>G380</f>
        <v>3749.7</v>
      </c>
      <c r="H379" s="336">
        <f t="shared" ref="H379" si="197">H380</f>
        <v>2229.92</v>
      </c>
      <c r="I379" s="336">
        <f t="shared" si="170"/>
        <v>59.469290876603466</v>
      </c>
      <c r="J379" s="325"/>
      <c r="K379" s="325"/>
      <c r="L379" s="325"/>
      <c r="M379" s="325"/>
      <c r="N379" s="325"/>
    </row>
    <row r="380" spans="1:14" s="214" customFormat="1" ht="37.5" customHeight="1" x14ac:dyDescent="0.25">
      <c r="A380" s="361" t="s">
        <v>149</v>
      </c>
      <c r="B380" s="359">
        <v>903</v>
      </c>
      <c r="C380" s="360" t="s">
        <v>315</v>
      </c>
      <c r="D380" s="360" t="s">
        <v>134</v>
      </c>
      <c r="E380" s="360" t="s">
        <v>961</v>
      </c>
      <c r="F380" s="360" t="s">
        <v>150</v>
      </c>
      <c r="G380" s="362">
        <f>3450-500+500+300-0.3</f>
        <v>3749.7</v>
      </c>
      <c r="H380" s="362">
        <v>2229.92</v>
      </c>
      <c r="I380" s="336">
        <f t="shared" si="170"/>
        <v>59.469290876603466</v>
      </c>
      <c r="J380" s="325"/>
      <c r="K380" s="325"/>
      <c r="L380" s="325"/>
      <c r="M380" s="325"/>
      <c r="N380" s="325"/>
    </row>
    <row r="381" spans="1:14" s="214" customFormat="1" ht="21.2" customHeight="1" x14ac:dyDescent="0.25">
      <c r="A381" s="361" t="s">
        <v>151</v>
      </c>
      <c r="B381" s="359">
        <v>903</v>
      </c>
      <c r="C381" s="360" t="s">
        <v>315</v>
      </c>
      <c r="D381" s="360" t="s">
        <v>134</v>
      </c>
      <c r="E381" s="360" t="s">
        <v>961</v>
      </c>
      <c r="F381" s="360" t="s">
        <v>161</v>
      </c>
      <c r="G381" s="336">
        <f>G382</f>
        <v>28.400000000000002</v>
      </c>
      <c r="H381" s="336">
        <f t="shared" ref="H381" si="198">H382</f>
        <v>27.26</v>
      </c>
      <c r="I381" s="336">
        <f t="shared" si="170"/>
        <v>95.985915492957744</v>
      </c>
      <c r="J381" s="325"/>
      <c r="K381" s="325"/>
      <c r="L381" s="325"/>
      <c r="M381" s="325"/>
      <c r="N381" s="325"/>
    </row>
    <row r="382" spans="1:14" s="214" customFormat="1" ht="22.7" customHeight="1" x14ac:dyDescent="0.25">
      <c r="A382" s="361" t="s">
        <v>584</v>
      </c>
      <c r="B382" s="359">
        <v>903</v>
      </c>
      <c r="C382" s="360" t="s">
        <v>315</v>
      </c>
      <c r="D382" s="360" t="s">
        <v>134</v>
      </c>
      <c r="E382" s="360" t="s">
        <v>961</v>
      </c>
      <c r="F382" s="360" t="s">
        <v>154</v>
      </c>
      <c r="G382" s="336">
        <f>26+0.3+2.1</f>
        <v>28.400000000000002</v>
      </c>
      <c r="H382" s="336">
        <v>27.26</v>
      </c>
      <c r="I382" s="336">
        <f t="shared" si="170"/>
        <v>95.985915492957744</v>
      </c>
      <c r="J382" s="325"/>
      <c r="K382" s="325"/>
      <c r="L382" s="325"/>
      <c r="M382" s="325"/>
      <c r="N382" s="325"/>
    </row>
    <row r="383" spans="1:14" s="214" customFormat="1" ht="33" customHeight="1" x14ac:dyDescent="0.25">
      <c r="A383" s="333" t="s">
        <v>973</v>
      </c>
      <c r="B383" s="330">
        <v>903</v>
      </c>
      <c r="C383" s="334" t="s">
        <v>315</v>
      </c>
      <c r="D383" s="334" t="s">
        <v>134</v>
      </c>
      <c r="E383" s="334" t="s">
        <v>962</v>
      </c>
      <c r="F383" s="334"/>
      <c r="G383" s="332">
        <f>G384</f>
        <v>50</v>
      </c>
      <c r="H383" s="332">
        <f t="shared" ref="H383:H385" si="199">H384</f>
        <v>37.58</v>
      </c>
      <c r="I383" s="332">
        <f t="shared" si="170"/>
        <v>75.16</v>
      </c>
      <c r="J383" s="325"/>
      <c r="K383" s="325"/>
      <c r="L383" s="325"/>
      <c r="M383" s="325"/>
      <c r="N383" s="325"/>
    </row>
    <row r="384" spans="1:14" s="214" customFormat="1" ht="32.25" customHeight="1" x14ac:dyDescent="0.25">
      <c r="A384" s="361" t="s">
        <v>866</v>
      </c>
      <c r="B384" s="359">
        <v>903</v>
      </c>
      <c r="C384" s="360" t="s">
        <v>315</v>
      </c>
      <c r="D384" s="360" t="s">
        <v>134</v>
      </c>
      <c r="E384" s="360" t="s">
        <v>963</v>
      </c>
      <c r="F384" s="360"/>
      <c r="G384" s="336">
        <f>G385</f>
        <v>50</v>
      </c>
      <c r="H384" s="336">
        <f t="shared" si="199"/>
        <v>37.58</v>
      </c>
      <c r="I384" s="336">
        <f t="shared" si="170"/>
        <v>75.16</v>
      </c>
      <c r="J384" s="325"/>
      <c r="K384" s="325"/>
      <c r="L384" s="325"/>
      <c r="M384" s="325"/>
      <c r="N384" s="325"/>
    </row>
    <row r="385" spans="1:14" s="214" customFormat="1" ht="33.75" customHeight="1" x14ac:dyDescent="0.25">
      <c r="A385" s="361" t="s">
        <v>147</v>
      </c>
      <c r="B385" s="359">
        <v>903</v>
      </c>
      <c r="C385" s="360" t="s">
        <v>315</v>
      </c>
      <c r="D385" s="360" t="s">
        <v>134</v>
      </c>
      <c r="E385" s="360" t="s">
        <v>963</v>
      </c>
      <c r="F385" s="360" t="s">
        <v>148</v>
      </c>
      <c r="G385" s="336">
        <f>G386</f>
        <v>50</v>
      </c>
      <c r="H385" s="336">
        <f t="shared" si="199"/>
        <v>37.58</v>
      </c>
      <c r="I385" s="336">
        <f t="shared" si="170"/>
        <v>75.16</v>
      </c>
      <c r="J385" s="325"/>
      <c r="K385" s="325"/>
      <c r="L385" s="325"/>
      <c r="M385" s="325"/>
      <c r="N385" s="325"/>
    </row>
    <row r="386" spans="1:14" s="214" customFormat="1" ht="31.7" customHeight="1" x14ac:dyDescent="0.25">
      <c r="A386" s="361" t="s">
        <v>149</v>
      </c>
      <c r="B386" s="359">
        <v>903</v>
      </c>
      <c r="C386" s="360" t="s">
        <v>315</v>
      </c>
      <c r="D386" s="360" t="s">
        <v>134</v>
      </c>
      <c r="E386" s="360" t="s">
        <v>963</v>
      </c>
      <c r="F386" s="360" t="s">
        <v>150</v>
      </c>
      <c r="G386" s="336">
        <v>50</v>
      </c>
      <c r="H386" s="336">
        <v>37.58</v>
      </c>
      <c r="I386" s="336">
        <f t="shared" si="170"/>
        <v>75.16</v>
      </c>
      <c r="J386" s="325"/>
      <c r="K386" s="325"/>
      <c r="L386" s="325"/>
      <c r="M386" s="325"/>
      <c r="N386" s="325"/>
    </row>
    <row r="387" spans="1:14" s="214" customFormat="1" ht="31.7" customHeight="1" x14ac:dyDescent="0.25">
      <c r="A387" s="333" t="s">
        <v>1076</v>
      </c>
      <c r="B387" s="330">
        <v>903</v>
      </c>
      <c r="C387" s="334" t="s">
        <v>315</v>
      </c>
      <c r="D387" s="334" t="s">
        <v>134</v>
      </c>
      <c r="E387" s="334" t="s">
        <v>964</v>
      </c>
      <c r="F387" s="334"/>
      <c r="G387" s="332">
        <f>G388</f>
        <v>507</v>
      </c>
      <c r="H387" s="332">
        <f t="shared" ref="H387:H389" si="200">H388</f>
        <v>290.89999999999998</v>
      </c>
      <c r="I387" s="332">
        <f t="shared" si="170"/>
        <v>57.376725838264299</v>
      </c>
      <c r="J387" s="325"/>
      <c r="K387" s="325"/>
      <c r="L387" s="325"/>
      <c r="M387" s="325"/>
      <c r="N387" s="325"/>
    </row>
    <row r="388" spans="1:14" s="214" customFormat="1" ht="31.7" customHeight="1" x14ac:dyDescent="0.25">
      <c r="A388" s="361" t="s">
        <v>885</v>
      </c>
      <c r="B388" s="359">
        <v>903</v>
      </c>
      <c r="C388" s="360" t="s">
        <v>315</v>
      </c>
      <c r="D388" s="360" t="s">
        <v>134</v>
      </c>
      <c r="E388" s="360" t="s">
        <v>1252</v>
      </c>
      <c r="F388" s="360"/>
      <c r="G388" s="336">
        <f>G389</f>
        <v>507</v>
      </c>
      <c r="H388" s="336">
        <f t="shared" si="200"/>
        <v>290.89999999999998</v>
      </c>
      <c r="I388" s="336">
        <f t="shared" si="170"/>
        <v>57.376725838264299</v>
      </c>
      <c r="J388" s="325"/>
      <c r="K388" s="325"/>
      <c r="L388" s="325"/>
      <c r="M388" s="325"/>
      <c r="N388" s="325"/>
    </row>
    <row r="389" spans="1:14" s="214" customFormat="1" ht="31.7" customHeight="1" x14ac:dyDescent="0.25">
      <c r="A389" s="361" t="s">
        <v>143</v>
      </c>
      <c r="B389" s="359">
        <v>903</v>
      </c>
      <c r="C389" s="360" t="s">
        <v>315</v>
      </c>
      <c r="D389" s="360" t="s">
        <v>134</v>
      </c>
      <c r="E389" s="360" t="s">
        <v>1252</v>
      </c>
      <c r="F389" s="360" t="s">
        <v>144</v>
      </c>
      <c r="G389" s="336">
        <f>G390</f>
        <v>507</v>
      </c>
      <c r="H389" s="336">
        <f t="shared" si="200"/>
        <v>290.89999999999998</v>
      </c>
      <c r="I389" s="336">
        <f t="shared" si="170"/>
        <v>57.376725838264299</v>
      </c>
      <c r="J389" s="325"/>
      <c r="K389" s="325"/>
      <c r="L389" s="325"/>
      <c r="M389" s="325"/>
      <c r="N389" s="325"/>
    </row>
    <row r="390" spans="1:14" s="214" customFormat="1" ht="17.45" customHeight="1" x14ac:dyDescent="0.25">
      <c r="A390" s="361" t="s">
        <v>224</v>
      </c>
      <c r="B390" s="359">
        <v>903</v>
      </c>
      <c r="C390" s="360" t="s">
        <v>315</v>
      </c>
      <c r="D390" s="360" t="s">
        <v>134</v>
      </c>
      <c r="E390" s="360" t="s">
        <v>1252</v>
      </c>
      <c r="F390" s="360" t="s">
        <v>225</v>
      </c>
      <c r="G390" s="336">
        <v>507</v>
      </c>
      <c r="H390" s="336">
        <v>290.89999999999998</v>
      </c>
      <c r="I390" s="336">
        <f t="shared" si="170"/>
        <v>57.376725838264299</v>
      </c>
      <c r="J390" s="325"/>
      <c r="K390" s="325"/>
      <c r="L390" s="325"/>
      <c r="M390" s="325"/>
      <c r="N390" s="325"/>
    </row>
    <row r="391" spans="1:14" s="214" customFormat="1" ht="21.2" customHeight="1" x14ac:dyDescent="0.25">
      <c r="A391" s="333" t="s">
        <v>1163</v>
      </c>
      <c r="B391" s="330">
        <v>903</v>
      </c>
      <c r="C391" s="334" t="s">
        <v>315</v>
      </c>
      <c r="D391" s="334" t="s">
        <v>134</v>
      </c>
      <c r="E391" s="334" t="s">
        <v>965</v>
      </c>
      <c r="F391" s="334"/>
      <c r="G391" s="332">
        <f>G392+G395</f>
        <v>68.7</v>
      </c>
      <c r="H391" s="332">
        <f t="shared" ref="H391" si="201">H392+H395</f>
        <v>3.5</v>
      </c>
      <c r="I391" s="332">
        <f t="shared" si="170"/>
        <v>5.094614264919942</v>
      </c>
      <c r="J391" s="325"/>
      <c r="K391" s="325"/>
      <c r="L391" s="325"/>
      <c r="M391" s="325"/>
      <c r="N391" s="325"/>
    </row>
    <row r="392" spans="1:14" ht="15.75" x14ac:dyDescent="0.25">
      <c r="A392" s="361" t="s">
        <v>1295</v>
      </c>
      <c r="B392" s="359">
        <v>903</v>
      </c>
      <c r="C392" s="360" t="s">
        <v>315</v>
      </c>
      <c r="D392" s="360" t="s">
        <v>134</v>
      </c>
      <c r="E392" s="360" t="s">
        <v>1253</v>
      </c>
      <c r="F392" s="360"/>
      <c r="G392" s="336">
        <f>G393</f>
        <v>3.5</v>
      </c>
      <c r="H392" s="336">
        <f t="shared" ref="H392:H393" si="202">H393</f>
        <v>3.5</v>
      </c>
      <c r="I392" s="336">
        <f t="shared" si="170"/>
        <v>100</v>
      </c>
    </row>
    <row r="393" spans="1:14" ht="31.5" x14ac:dyDescent="0.25">
      <c r="A393" s="361" t="s">
        <v>147</v>
      </c>
      <c r="B393" s="359">
        <v>903</v>
      </c>
      <c r="C393" s="360" t="s">
        <v>315</v>
      </c>
      <c r="D393" s="360" t="s">
        <v>134</v>
      </c>
      <c r="E393" s="360" t="s">
        <v>1253</v>
      </c>
      <c r="F393" s="360" t="s">
        <v>148</v>
      </c>
      <c r="G393" s="336">
        <f>G394</f>
        <v>3.5</v>
      </c>
      <c r="H393" s="336">
        <f t="shared" si="202"/>
        <v>3.5</v>
      </c>
      <c r="I393" s="336">
        <f t="shared" si="170"/>
        <v>100</v>
      </c>
    </row>
    <row r="394" spans="1:14" ht="31.5" x14ac:dyDescent="0.25">
      <c r="A394" s="361" t="s">
        <v>149</v>
      </c>
      <c r="B394" s="359">
        <v>903</v>
      </c>
      <c r="C394" s="360" t="s">
        <v>315</v>
      </c>
      <c r="D394" s="360" t="s">
        <v>134</v>
      </c>
      <c r="E394" s="360" t="s">
        <v>1253</v>
      </c>
      <c r="F394" s="360" t="s">
        <v>150</v>
      </c>
      <c r="G394" s="336">
        <v>3.5</v>
      </c>
      <c r="H394" s="336">
        <v>3.5</v>
      </c>
      <c r="I394" s="336">
        <f t="shared" si="170"/>
        <v>100</v>
      </c>
    </row>
    <row r="395" spans="1:14" ht="15.75" x14ac:dyDescent="0.25">
      <c r="A395" s="361" t="s">
        <v>345</v>
      </c>
      <c r="B395" s="359">
        <v>903</v>
      </c>
      <c r="C395" s="360" t="s">
        <v>315</v>
      </c>
      <c r="D395" s="360" t="s">
        <v>134</v>
      </c>
      <c r="E395" s="360" t="s">
        <v>1254</v>
      </c>
      <c r="F395" s="360"/>
      <c r="G395" s="336">
        <f>G396</f>
        <v>65.2</v>
      </c>
      <c r="H395" s="336">
        <f t="shared" ref="H395:H396" si="203">H396</f>
        <v>0</v>
      </c>
      <c r="I395" s="336">
        <f t="shared" ref="I395:I458" si="204">H395/G395*100</f>
        <v>0</v>
      </c>
    </row>
    <row r="396" spans="1:14" ht="31.5" x14ac:dyDescent="0.25">
      <c r="A396" s="361" t="s">
        <v>147</v>
      </c>
      <c r="B396" s="359">
        <v>903</v>
      </c>
      <c r="C396" s="360" t="s">
        <v>315</v>
      </c>
      <c r="D396" s="360" t="s">
        <v>134</v>
      </c>
      <c r="E396" s="360" t="s">
        <v>1254</v>
      </c>
      <c r="F396" s="360" t="s">
        <v>148</v>
      </c>
      <c r="G396" s="336">
        <f>G397</f>
        <v>65.2</v>
      </c>
      <c r="H396" s="336">
        <f t="shared" si="203"/>
        <v>0</v>
      </c>
      <c r="I396" s="336">
        <f t="shared" si="204"/>
        <v>0</v>
      </c>
    </row>
    <row r="397" spans="1:14" ht="31.5" x14ac:dyDescent="0.25">
      <c r="A397" s="361" t="s">
        <v>149</v>
      </c>
      <c r="B397" s="359">
        <v>903</v>
      </c>
      <c r="C397" s="360" t="s">
        <v>315</v>
      </c>
      <c r="D397" s="360" t="s">
        <v>134</v>
      </c>
      <c r="E397" s="360" t="s">
        <v>1254</v>
      </c>
      <c r="F397" s="38">
        <v>240</v>
      </c>
      <c r="G397" s="336">
        <v>65.2</v>
      </c>
      <c r="H397" s="336">
        <v>0</v>
      </c>
      <c r="I397" s="336">
        <f t="shared" si="204"/>
        <v>0</v>
      </c>
    </row>
    <row r="398" spans="1:14" ht="36" customHeight="1" x14ac:dyDescent="0.25">
      <c r="A398" s="226" t="s">
        <v>971</v>
      </c>
      <c r="B398" s="330">
        <v>903</v>
      </c>
      <c r="C398" s="334" t="s">
        <v>315</v>
      </c>
      <c r="D398" s="334" t="s">
        <v>134</v>
      </c>
      <c r="E398" s="334" t="s">
        <v>1255</v>
      </c>
      <c r="F398" s="334"/>
      <c r="G398" s="332">
        <f>G402+G405+G399</f>
        <v>1596</v>
      </c>
      <c r="H398" s="332">
        <f t="shared" ref="H398" si="205">H402+H405+H399</f>
        <v>867.7940000000001</v>
      </c>
      <c r="I398" s="332">
        <f t="shared" si="204"/>
        <v>54.373057644110276</v>
      </c>
    </row>
    <row r="399" spans="1:14" s="325" customFormat="1" ht="79.5" customHeight="1" x14ac:dyDescent="0.25">
      <c r="A399" s="31" t="s">
        <v>309</v>
      </c>
      <c r="B399" s="359">
        <v>903</v>
      </c>
      <c r="C399" s="360" t="s">
        <v>315</v>
      </c>
      <c r="D399" s="360" t="s">
        <v>134</v>
      </c>
      <c r="E399" s="360" t="s">
        <v>1522</v>
      </c>
      <c r="F399" s="360"/>
      <c r="G399" s="336">
        <f>G400</f>
        <v>1159.3</v>
      </c>
      <c r="H399" s="336">
        <f t="shared" ref="H399:H400" si="206">H400</f>
        <v>534.33500000000004</v>
      </c>
      <c r="I399" s="336">
        <f t="shared" si="204"/>
        <v>46.091175709479863</v>
      </c>
    </row>
    <row r="400" spans="1:14" s="325" customFormat="1" ht="64.5" customHeight="1" x14ac:dyDescent="0.25">
      <c r="A400" s="361" t="s">
        <v>143</v>
      </c>
      <c r="B400" s="359">
        <v>903</v>
      </c>
      <c r="C400" s="360" t="s">
        <v>315</v>
      </c>
      <c r="D400" s="360" t="s">
        <v>134</v>
      </c>
      <c r="E400" s="360" t="s">
        <v>1522</v>
      </c>
      <c r="F400" s="360" t="s">
        <v>144</v>
      </c>
      <c r="G400" s="336">
        <f>G401</f>
        <v>1159.3</v>
      </c>
      <c r="H400" s="336">
        <f t="shared" si="206"/>
        <v>534.33500000000004</v>
      </c>
      <c r="I400" s="336">
        <f t="shared" si="204"/>
        <v>46.091175709479863</v>
      </c>
    </row>
    <row r="401" spans="1:14" s="325" customFormat="1" ht="36" customHeight="1" x14ac:dyDescent="0.25">
      <c r="A401" s="361" t="s">
        <v>224</v>
      </c>
      <c r="B401" s="359">
        <v>903</v>
      </c>
      <c r="C401" s="360" t="s">
        <v>315</v>
      </c>
      <c r="D401" s="360" t="s">
        <v>134</v>
      </c>
      <c r="E401" s="360" t="s">
        <v>1522</v>
      </c>
      <c r="F401" s="360" t="s">
        <v>225</v>
      </c>
      <c r="G401" s="336">
        <v>1159.3</v>
      </c>
      <c r="H401" s="336">
        <v>534.33500000000004</v>
      </c>
      <c r="I401" s="336">
        <f t="shared" si="204"/>
        <v>46.091175709479863</v>
      </c>
      <c r="J401" s="344"/>
    </row>
    <row r="402" spans="1:14" s="214" customFormat="1" ht="63" x14ac:dyDescent="0.25">
      <c r="A402" s="361" t="s">
        <v>347</v>
      </c>
      <c r="B402" s="359">
        <v>903</v>
      </c>
      <c r="C402" s="360" t="s">
        <v>315</v>
      </c>
      <c r="D402" s="360" t="s">
        <v>134</v>
      </c>
      <c r="E402" s="360" t="s">
        <v>1256</v>
      </c>
      <c r="F402" s="360"/>
      <c r="G402" s="336">
        <f>G403</f>
        <v>319.7</v>
      </c>
      <c r="H402" s="336">
        <f t="shared" ref="H402:H403" si="207">H403</f>
        <v>216.499</v>
      </c>
      <c r="I402" s="336">
        <f t="shared" si="204"/>
        <v>67.719424460431654</v>
      </c>
      <c r="J402" s="325"/>
      <c r="K402" s="325"/>
      <c r="L402" s="325"/>
      <c r="M402" s="325"/>
      <c r="N402" s="325"/>
    </row>
    <row r="403" spans="1:14" s="214" customFormat="1" ht="63" x14ac:dyDescent="0.25">
      <c r="A403" s="361" t="s">
        <v>143</v>
      </c>
      <c r="B403" s="359">
        <v>903</v>
      </c>
      <c r="C403" s="360" t="s">
        <v>315</v>
      </c>
      <c r="D403" s="360" t="s">
        <v>134</v>
      </c>
      <c r="E403" s="360" t="s">
        <v>1256</v>
      </c>
      <c r="F403" s="360" t="s">
        <v>144</v>
      </c>
      <c r="G403" s="336">
        <f>G404</f>
        <v>319.7</v>
      </c>
      <c r="H403" s="336">
        <f t="shared" si="207"/>
        <v>216.499</v>
      </c>
      <c r="I403" s="336">
        <f t="shared" si="204"/>
        <v>67.719424460431654</v>
      </c>
      <c r="J403" s="325"/>
      <c r="K403" s="325"/>
      <c r="L403" s="325"/>
      <c r="M403" s="325"/>
      <c r="N403" s="325"/>
    </row>
    <row r="404" spans="1:14" s="214" customFormat="1" ht="15.75" x14ac:dyDescent="0.25">
      <c r="A404" s="361" t="s">
        <v>224</v>
      </c>
      <c r="B404" s="359">
        <v>903</v>
      </c>
      <c r="C404" s="360" t="s">
        <v>315</v>
      </c>
      <c r="D404" s="360" t="s">
        <v>134</v>
      </c>
      <c r="E404" s="360" t="s">
        <v>1256</v>
      </c>
      <c r="F404" s="360" t="s">
        <v>225</v>
      </c>
      <c r="G404" s="336">
        <v>319.7</v>
      </c>
      <c r="H404" s="336">
        <v>216.499</v>
      </c>
      <c r="I404" s="336">
        <f t="shared" si="204"/>
        <v>67.719424460431654</v>
      </c>
      <c r="J404" s="325"/>
      <c r="K404" s="325"/>
      <c r="L404" s="325"/>
      <c r="M404" s="325"/>
      <c r="N404" s="325"/>
    </row>
    <row r="405" spans="1:14" s="214" customFormat="1" ht="78.75" x14ac:dyDescent="0.25">
      <c r="A405" s="31" t="s">
        <v>309</v>
      </c>
      <c r="B405" s="359">
        <v>903</v>
      </c>
      <c r="C405" s="360" t="s">
        <v>315</v>
      </c>
      <c r="D405" s="360" t="s">
        <v>134</v>
      </c>
      <c r="E405" s="360" t="s">
        <v>1257</v>
      </c>
      <c r="F405" s="360"/>
      <c r="G405" s="336">
        <f>G406</f>
        <v>117</v>
      </c>
      <c r="H405" s="336">
        <f t="shared" ref="H405:H406" si="208">H406</f>
        <v>116.96</v>
      </c>
      <c r="I405" s="336">
        <f t="shared" si="204"/>
        <v>99.965811965811952</v>
      </c>
      <c r="J405" s="325"/>
      <c r="K405" s="325"/>
      <c r="L405" s="325"/>
      <c r="M405" s="325"/>
      <c r="N405" s="325"/>
    </row>
    <row r="406" spans="1:14" s="214" customFormat="1" ht="63" x14ac:dyDescent="0.25">
      <c r="A406" s="361" t="s">
        <v>143</v>
      </c>
      <c r="B406" s="359">
        <v>903</v>
      </c>
      <c r="C406" s="360" t="s">
        <v>315</v>
      </c>
      <c r="D406" s="360" t="s">
        <v>134</v>
      </c>
      <c r="E406" s="360" t="s">
        <v>1257</v>
      </c>
      <c r="F406" s="360" t="s">
        <v>144</v>
      </c>
      <c r="G406" s="336">
        <f>G407</f>
        <v>117</v>
      </c>
      <c r="H406" s="336">
        <f t="shared" si="208"/>
        <v>116.96</v>
      </c>
      <c r="I406" s="336">
        <f t="shared" si="204"/>
        <v>99.965811965811952</v>
      </c>
      <c r="J406" s="325"/>
      <c r="K406" s="325"/>
      <c r="L406" s="325"/>
      <c r="M406" s="325"/>
      <c r="N406" s="325"/>
    </row>
    <row r="407" spans="1:14" ht="15.75" x14ac:dyDescent="0.25">
      <c r="A407" s="361" t="s">
        <v>224</v>
      </c>
      <c r="B407" s="359">
        <v>903</v>
      </c>
      <c r="C407" s="360" t="s">
        <v>315</v>
      </c>
      <c r="D407" s="360" t="s">
        <v>134</v>
      </c>
      <c r="E407" s="360" t="s">
        <v>1257</v>
      </c>
      <c r="F407" s="360" t="s">
        <v>225</v>
      </c>
      <c r="G407" s="336">
        <f>1075.09+201.22-0.01-1159.3</f>
        <v>117</v>
      </c>
      <c r="H407" s="336">
        <v>116.96</v>
      </c>
      <c r="I407" s="336">
        <f t="shared" si="204"/>
        <v>99.965811965811952</v>
      </c>
    </row>
    <row r="408" spans="1:14" ht="47.25" x14ac:dyDescent="0.25">
      <c r="A408" s="34" t="s">
        <v>805</v>
      </c>
      <c r="B408" s="330">
        <v>903</v>
      </c>
      <c r="C408" s="334" t="s">
        <v>315</v>
      </c>
      <c r="D408" s="334" t="s">
        <v>134</v>
      </c>
      <c r="E408" s="334" t="s">
        <v>340</v>
      </c>
      <c r="F408" s="334"/>
      <c r="G408" s="332">
        <f>G410</f>
        <v>100</v>
      </c>
      <c r="H408" s="332">
        <f t="shared" ref="H408" si="209">H410</f>
        <v>0</v>
      </c>
      <c r="I408" s="332">
        <f t="shared" si="204"/>
        <v>0</v>
      </c>
    </row>
    <row r="409" spans="1:14" s="214" customFormat="1" ht="47.25" x14ac:dyDescent="0.25">
      <c r="A409" s="34" t="s">
        <v>1191</v>
      </c>
      <c r="B409" s="330">
        <v>903</v>
      </c>
      <c r="C409" s="334" t="s">
        <v>315</v>
      </c>
      <c r="D409" s="334" t="s">
        <v>134</v>
      </c>
      <c r="E409" s="334" t="s">
        <v>1025</v>
      </c>
      <c r="F409" s="334"/>
      <c r="G409" s="332">
        <f>G412</f>
        <v>100</v>
      </c>
      <c r="H409" s="332">
        <f t="shared" ref="H409" si="210">H412</f>
        <v>0</v>
      </c>
      <c r="I409" s="332">
        <f t="shared" si="204"/>
        <v>0</v>
      </c>
      <c r="J409" s="325"/>
      <c r="K409" s="325"/>
      <c r="L409" s="325"/>
      <c r="M409" s="325"/>
      <c r="N409" s="325"/>
    </row>
    <row r="410" spans="1:14" ht="47.25" x14ac:dyDescent="0.25">
      <c r="A410" s="31" t="s">
        <v>1273</v>
      </c>
      <c r="B410" s="359">
        <v>903</v>
      </c>
      <c r="C410" s="360" t="s">
        <v>315</v>
      </c>
      <c r="D410" s="360" t="s">
        <v>134</v>
      </c>
      <c r="E410" s="360" t="s">
        <v>1192</v>
      </c>
      <c r="F410" s="360"/>
      <c r="G410" s="336">
        <f>G411</f>
        <v>100</v>
      </c>
      <c r="H410" s="336">
        <f t="shared" ref="H410:H411" si="211">H411</f>
        <v>0</v>
      </c>
      <c r="I410" s="336">
        <f t="shared" si="204"/>
        <v>0</v>
      </c>
    </row>
    <row r="411" spans="1:14" ht="31.5" x14ac:dyDescent="0.25">
      <c r="A411" s="361" t="s">
        <v>147</v>
      </c>
      <c r="B411" s="359">
        <v>903</v>
      </c>
      <c r="C411" s="360" t="s">
        <v>315</v>
      </c>
      <c r="D411" s="360" t="s">
        <v>134</v>
      </c>
      <c r="E411" s="360" t="s">
        <v>1192</v>
      </c>
      <c r="F411" s="360" t="s">
        <v>148</v>
      </c>
      <c r="G411" s="336">
        <f>G412</f>
        <v>100</v>
      </c>
      <c r="H411" s="336">
        <f t="shared" si="211"/>
        <v>0</v>
      </c>
      <c r="I411" s="336">
        <f t="shared" si="204"/>
        <v>0</v>
      </c>
    </row>
    <row r="412" spans="1:14" ht="31.5" x14ac:dyDescent="0.25">
      <c r="A412" s="361" t="s">
        <v>149</v>
      </c>
      <c r="B412" s="359">
        <v>903</v>
      </c>
      <c r="C412" s="360" t="s">
        <v>315</v>
      </c>
      <c r="D412" s="360" t="s">
        <v>134</v>
      </c>
      <c r="E412" s="360" t="s">
        <v>1192</v>
      </c>
      <c r="F412" s="360" t="s">
        <v>150</v>
      </c>
      <c r="G412" s="336">
        <v>100</v>
      </c>
      <c r="H412" s="336">
        <v>0</v>
      </c>
      <c r="I412" s="336">
        <f t="shared" si="204"/>
        <v>0</v>
      </c>
    </row>
    <row r="413" spans="1:14" ht="47.25" x14ac:dyDescent="0.25">
      <c r="A413" s="41" t="s">
        <v>1185</v>
      </c>
      <c r="B413" s="330">
        <v>903</v>
      </c>
      <c r="C413" s="334" t="s">
        <v>315</v>
      </c>
      <c r="D413" s="334" t="s">
        <v>134</v>
      </c>
      <c r="E413" s="334" t="s">
        <v>728</v>
      </c>
      <c r="F413" s="231"/>
      <c r="G413" s="332">
        <f>G414</f>
        <v>834.6</v>
      </c>
      <c r="H413" s="332">
        <f t="shared" ref="H413:H416" si="212">H414</f>
        <v>624.54899999999998</v>
      </c>
      <c r="I413" s="332">
        <f t="shared" si="204"/>
        <v>74.832135154565066</v>
      </c>
    </row>
    <row r="414" spans="1:14" s="214" customFormat="1" ht="47.25" x14ac:dyDescent="0.25">
      <c r="A414" s="41" t="s">
        <v>949</v>
      </c>
      <c r="B414" s="330">
        <v>903</v>
      </c>
      <c r="C414" s="334" t="s">
        <v>315</v>
      </c>
      <c r="D414" s="334" t="s">
        <v>134</v>
      </c>
      <c r="E414" s="334" t="s">
        <v>947</v>
      </c>
      <c r="F414" s="231"/>
      <c r="G414" s="332">
        <f>G415</f>
        <v>834.6</v>
      </c>
      <c r="H414" s="332">
        <f t="shared" si="212"/>
        <v>624.54899999999998</v>
      </c>
      <c r="I414" s="332">
        <f t="shared" si="204"/>
        <v>74.832135154565066</v>
      </c>
      <c r="J414" s="325"/>
      <c r="K414" s="325"/>
      <c r="L414" s="325"/>
      <c r="M414" s="325"/>
      <c r="N414" s="325"/>
    </row>
    <row r="415" spans="1:14" ht="31.5" x14ac:dyDescent="0.25">
      <c r="A415" s="99" t="s">
        <v>1187</v>
      </c>
      <c r="B415" s="359">
        <v>903</v>
      </c>
      <c r="C415" s="360" t="s">
        <v>315</v>
      </c>
      <c r="D415" s="360" t="s">
        <v>134</v>
      </c>
      <c r="E415" s="360" t="s">
        <v>948</v>
      </c>
      <c r="F415" s="32"/>
      <c r="G415" s="336">
        <f>G416</f>
        <v>834.6</v>
      </c>
      <c r="H415" s="336">
        <f t="shared" si="212"/>
        <v>624.54899999999998</v>
      </c>
      <c r="I415" s="336">
        <f t="shared" si="204"/>
        <v>74.832135154565066</v>
      </c>
    </row>
    <row r="416" spans="1:14" ht="31.5" x14ac:dyDescent="0.25">
      <c r="A416" s="361" t="s">
        <v>147</v>
      </c>
      <c r="B416" s="359">
        <v>903</v>
      </c>
      <c r="C416" s="360" t="s">
        <v>315</v>
      </c>
      <c r="D416" s="360" t="s">
        <v>134</v>
      </c>
      <c r="E416" s="360" t="s">
        <v>948</v>
      </c>
      <c r="F416" s="32" t="s">
        <v>148</v>
      </c>
      <c r="G416" s="336">
        <f>G417</f>
        <v>834.6</v>
      </c>
      <c r="H416" s="336">
        <f t="shared" si="212"/>
        <v>624.54899999999998</v>
      </c>
      <c r="I416" s="336">
        <f t="shared" si="204"/>
        <v>74.832135154565066</v>
      </c>
    </row>
    <row r="417" spans="1:14" ht="31.5" x14ac:dyDescent="0.25">
      <c r="A417" s="361" t="s">
        <v>149</v>
      </c>
      <c r="B417" s="359">
        <v>903</v>
      </c>
      <c r="C417" s="360" t="s">
        <v>315</v>
      </c>
      <c r="D417" s="360" t="s">
        <v>134</v>
      </c>
      <c r="E417" s="360" t="s">
        <v>948</v>
      </c>
      <c r="F417" s="32" t="s">
        <v>150</v>
      </c>
      <c r="G417" s="336">
        <f>793.2+41.4</f>
        <v>834.6</v>
      </c>
      <c r="H417" s="336">
        <v>624.54899999999998</v>
      </c>
      <c r="I417" s="336">
        <f t="shared" si="204"/>
        <v>74.832135154565066</v>
      </c>
    </row>
    <row r="418" spans="1:14" ht="15.75" x14ac:dyDescent="0.25">
      <c r="A418" s="333" t="s">
        <v>349</v>
      </c>
      <c r="B418" s="330">
        <v>903</v>
      </c>
      <c r="C418" s="334" t="s">
        <v>315</v>
      </c>
      <c r="D418" s="334" t="s">
        <v>166</v>
      </c>
      <c r="E418" s="334"/>
      <c r="F418" s="334"/>
      <c r="G418" s="332">
        <f>G419+G429+G441</f>
        <v>17900.8</v>
      </c>
      <c r="H418" s="332">
        <f t="shared" ref="H418" si="213">H419+H429+H441</f>
        <v>12191.907999999999</v>
      </c>
      <c r="I418" s="332">
        <f t="shared" si="204"/>
        <v>68.108173936360387</v>
      </c>
    </row>
    <row r="419" spans="1:14" s="214" customFormat="1" ht="31.5" x14ac:dyDescent="0.25">
      <c r="A419" s="333" t="s">
        <v>990</v>
      </c>
      <c r="B419" s="330">
        <v>903</v>
      </c>
      <c r="C419" s="334" t="s">
        <v>315</v>
      </c>
      <c r="D419" s="334" t="s">
        <v>166</v>
      </c>
      <c r="E419" s="334" t="s">
        <v>904</v>
      </c>
      <c r="F419" s="334"/>
      <c r="G419" s="332">
        <f>G420</f>
        <v>7272.5</v>
      </c>
      <c r="H419" s="332">
        <f t="shared" ref="H419" si="214">H420</f>
        <v>4543.3500000000004</v>
      </c>
      <c r="I419" s="332">
        <f t="shared" si="204"/>
        <v>62.473014781711932</v>
      </c>
      <c r="J419" s="325"/>
      <c r="K419" s="325"/>
      <c r="L419" s="325"/>
      <c r="M419" s="325"/>
      <c r="N419" s="325"/>
    </row>
    <row r="420" spans="1:14" s="214" customFormat="1" ht="15.75" x14ac:dyDescent="0.25">
      <c r="A420" s="333" t="s">
        <v>991</v>
      </c>
      <c r="B420" s="330">
        <v>903</v>
      </c>
      <c r="C420" s="334" t="s">
        <v>315</v>
      </c>
      <c r="D420" s="334" t="s">
        <v>166</v>
      </c>
      <c r="E420" s="334" t="s">
        <v>905</v>
      </c>
      <c r="F420" s="334"/>
      <c r="G420" s="332">
        <f>G421+G426</f>
        <v>7272.5</v>
      </c>
      <c r="H420" s="332">
        <f t="shared" ref="H420" si="215">H421+H426</f>
        <v>4543.3500000000004</v>
      </c>
      <c r="I420" s="332">
        <f t="shared" si="204"/>
        <v>62.473014781711932</v>
      </c>
      <c r="J420" s="325"/>
      <c r="K420" s="325"/>
      <c r="L420" s="325"/>
      <c r="M420" s="325"/>
      <c r="N420" s="325"/>
    </row>
    <row r="421" spans="1:14" s="214" customFormat="1" ht="31.5" x14ac:dyDescent="0.25">
      <c r="A421" s="361" t="s">
        <v>967</v>
      </c>
      <c r="B421" s="359">
        <v>903</v>
      </c>
      <c r="C421" s="360" t="s">
        <v>315</v>
      </c>
      <c r="D421" s="360" t="s">
        <v>166</v>
      </c>
      <c r="E421" s="360" t="s">
        <v>906</v>
      </c>
      <c r="F421" s="360"/>
      <c r="G421" s="336">
        <f>G422+G424</f>
        <v>7146.5</v>
      </c>
      <c r="H421" s="336">
        <f t="shared" ref="H421" si="216">H422+H424</f>
        <v>4525.3500000000004</v>
      </c>
      <c r="I421" s="336">
        <f t="shared" si="204"/>
        <v>63.322605471209691</v>
      </c>
      <c r="J421" s="325"/>
      <c r="K421" s="325"/>
      <c r="L421" s="325"/>
      <c r="M421" s="325"/>
      <c r="N421" s="325"/>
    </row>
    <row r="422" spans="1:14" s="214" customFormat="1" ht="63" x14ac:dyDescent="0.25">
      <c r="A422" s="361" t="s">
        <v>143</v>
      </c>
      <c r="B422" s="359">
        <v>903</v>
      </c>
      <c r="C422" s="360" t="s">
        <v>315</v>
      </c>
      <c r="D422" s="360" t="s">
        <v>166</v>
      </c>
      <c r="E422" s="360" t="s">
        <v>906</v>
      </c>
      <c r="F422" s="360" t="s">
        <v>144</v>
      </c>
      <c r="G422" s="336">
        <f>G423</f>
        <v>7146.5</v>
      </c>
      <c r="H422" s="336">
        <f t="shared" ref="H422" si="217">H423</f>
        <v>4525.3500000000004</v>
      </c>
      <c r="I422" s="336">
        <f t="shared" si="204"/>
        <v>63.322605471209691</v>
      </c>
      <c r="J422" s="325"/>
      <c r="K422" s="325"/>
      <c r="L422" s="325"/>
      <c r="M422" s="325"/>
      <c r="N422" s="325"/>
    </row>
    <row r="423" spans="1:14" s="214" customFormat="1" ht="31.5" x14ac:dyDescent="0.25">
      <c r="A423" s="361" t="s">
        <v>145</v>
      </c>
      <c r="B423" s="359">
        <v>903</v>
      </c>
      <c r="C423" s="360" t="s">
        <v>315</v>
      </c>
      <c r="D423" s="360" t="s">
        <v>166</v>
      </c>
      <c r="E423" s="360" t="s">
        <v>906</v>
      </c>
      <c r="F423" s="360" t="s">
        <v>146</v>
      </c>
      <c r="G423" s="362">
        <f>6744+343+59.5</f>
        <v>7146.5</v>
      </c>
      <c r="H423" s="362">
        <v>4525.3500000000004</v>
      </c>
      <c r="I423" s="336">
        <f t="shared" si="204"/>
        <v>63.322605471209691</v>
      </c>
      <c r="J423" s="325"/>
      <c r="K423" s="325"/>
      <c r="L423" s="325"/>
      <c r="M423" s="325"/>
      <c r="N423" s="325"/>
    </row>
    <row r="424" spans="1:14" s="214" customFormat="1" ht="31.5" hidden="1" x14ac:dyDescent="0.25">
      <c r="A424" s="361" t="s">
        <v>147</v>
      </c>
      <c r="B424" s="359">
        <v>903</v>
      </c>
      <c r="C424" s="360" t="s">
        <v>315</v>
      </c>
      <c r="D424" s="360" t="s">
        <v>166</v>
      </c>
      <c r="E424" s="360" t="s">
        <v>906</v>
      </c>
      <c r="F424" s="360" t="s">
        <v>148</v>
      </c>
      <c r="G424" s="336">
        <f>G425</f>
        <v>0</v>
      </c>
      <c r="H424" s="336">
        <f t="shared" ref="H424" si="218">H425</f>
        <v>0</v>
      </c>
      <c r="I424" s="336" t="e">
        <f t="shared" si="204"/>
        <v>#DIV/0!</v>
      </c>
      <c r="J424" s="325"/>
      <c r="K424" s="325"/>
      <c r="L424" s="325"/>
      <c r="M424" s="325"/>
      <c r="N424" s="325"/>
    </row>
    <row r="425" spans="1:14" s="214" customFormat="1" ht="31.5" hidden="1" x14ac:dyDescent="0.25">
      <c r="A425" s="361" t="s">
        <v>149</v>
      </c>
      <c r="B425" s="359">
        <v>903</v>
      </c>
      <c r="C425" s="360" t="s">
        <v>315</v>
      </c>
      <c r="D425" s="360" t="s">
        <v>166</v>
      </c>
      <c r="E425" s="360" t="s">
        <v>906</v>
      </c>
      <c r="F425" s="360" t="s">
        <v>150</v>
      </c>
      <c r="G425" s="336">
        <v>0</v>
      </c>
      <c r="H425" s="336">
        <v>0</v>
      </c>
      <c r="I425" s="336" t="e">
        <f t="shared" si="204"/>
        <v>#DIV/0!</v>
      </c>
      <c r="J425" s="325"/>
      <c r="K425" s="325"/>
      <c r="L425" s="325"/>
      <c r="M425" s="325"/>
      <c r="N425" s="325"/>
    </row>
    <row r="426" spans="1:14" s="214" customFormat="1" ht="31.5" x14ac:dyDescent="0.25">
      <c r="A426" s="361" t="s">
        <v>885</v>
      </c>
      <c r="B426" s="359">
        <v>903</v>
      </c>
      <c r="C426" s="360" t="s">
        <v>315</v>
      </c>
      <c r="D426" s="360" t="s">
        <v>166</v>
      </c>
      <c r="E426" s="360" t="s">
        <v>908</v>
      </c>
      <c r="F426" s="360"/>
      <c r="G426" s="336">
        <f>G427</f>
        <v>126</v>
      </c>
      <c r="H426" s="336">
        <f t="shared" ref="H426:H427" si="219">H427</f>
        <v>18</v>
      </c>
      <c r="I426" s="336">
        <f t="shared" si="204"/>
        <v>14.285714285714285</v>
      </c>
      <c r="J426" s="325"/>
      <c r="K426" s="325"/>
      <c r="L426" s="325"/>
      <c r="M426" s="325"/>
      <c r="N426" s="325"/>
    </row>
    <row r="427" spans="1:14" s="214" customFormat="1" ht="63" x14ac:dyDescent="0.25">
      <c r="A427" s="361" t="s">
        <v>143</v>
      </c>
      <c r="B427" s="359">
        <v>903</v>
      </c>
      <c r="C427" s="360" t="s">
        <v>315</v>
      </c>
      <c r="D427" s="360" t="s">
        <v>166</v>
      </c>
      <c r="E427" s="360" t="s">
        <v>908</v>
      </c>
      <c r="F427" s="360" t="s">
        <v>144</v>
      </c>
      <c r="G427" s="336">
        <f>G428</f>
        <v>126</v>
      </c>
      <c r="H427" s="336">
        <f t="shared" si="219"/>
        <v>18</v>
      </c>
      <c r="I427" s="336">
        <f t="shared" si="204"/>
        <v>14.285714285714285</v>
      </c>
      <c r="J427" s="325"/>
      <c r="K427" s="325"/>
      <c r="L427" s="325"/>
      <c r="M427" s="325"/>
      <c r="N427" s="325"/>
    </row>
    <row r="428" spans="1:14" s="214" customFormat="1" ht="31.5" x14ac:dyDescent="0.25">
      <c r="A428" s="361" t="s">
        <v>145</v>
      </c>
      <c r="B428" s="359">
        <v>903</v>
      </c>
      <c r="C428" s="360" t="s">
        <v>315</v>
      </c>
      <c r="D428" s="360" t="s">
        <v>166</v>
      </c>
      <c r="E428" s="360" t="s">
        <v>908</v>
      </c>
      <c r="F428" s="360" t="s">
        <v>146</v>
      </c>
      <c r="G428" s="336">
        <v>126</v>
      </c>
      <c r="H428" s="336">
        <v>18</v>
      </c>
      <c r="I428" s="336">
        <f t="shared" si="204"/>
        <v>14.285714285714285</v>
      </c>
      <c r="J428" s="325"/>
      <c r="K428" s="325"/>
      <c r="L428" s="325"/>
      <c r="M428" s="325"/>
      <c r="N428" s="325"/>
    </row>
    <row r="429" spans="1:14" s="214" customFormat="1" ht="15.75" x14ac:dyDescent="0.25">
      <c r="A429" s="333" t="s">
        <v>999</v>
      </c>
      <c r="B429" s="330">
        <v>903</v>
      </c>
      <c r="C429" s="334" t="s">
        <v>315</v>
      </c>
      <c r="D429" s="334" t="s">
        <v>166</v>
      </c>
      <c r="E429" s="334" t="s">
        <v>912</v>
      </c>
      <c r="F429" s="334"/>
      <c r="G429" s="332">
        <f>G430</f>
        <v>10368.299999999999</v>
      </c>
      <c r="H429" s="332">
        <f t="shared" ref="H429" si="220">H430</f>
        <v>7566.5909999999994</v>
      </c>
      <c r="I429" s="332">
        <f t="shared" si="204"/>
        <v>72.978125632938855</v>
      </c>
      <c r="J429" s="325"/>
      <c r="K429" s="325"/>
      <c r="L429" s="325"/>
      <c r="M429" s="325"/>
      <c r="N429" s="325"/>
    </row>
    <row r="430" spans="1:14" s="214" customFormat="1" ht="31.7" customHeight="1" x14ac:dyDescent="0.25">
      <c r="A430" s="333" t="s">
        <v>1002</v>
      </c>
      <c r="B430" s="330">
        <v>903</v>
      </c>
      <c r="C430" s="334" t="s">
        <v>315</v>
      </c>
      <c r="D430" s="334" t="s">
        <v>166</v>
      </c>
      <c r="E430" s="334" t="s">
        <v>987</v>
      </c>
      <c r="F430" s="334"/>
      <c r="G430" s="332">
        <f>G431+G438</f>
        <v>10368.299999999999</v>
      </c>
      <c r="H430" s="332">
        <f t="shared" ref="H430" si="221">H431+H438</f>
        <v>7566.5909999999994</v>
      </c>
      <c r="I430" s="332">
        <f t="shared" si="204"/>
        <v>72.978125632938855</v>
      </c>
      <c r="J430" s="325"/>
      <c r="K430" s="325"/>
      <c r="L430" s="325"/>
      <c r="M430" s="325"/>
      <c r="N430" s="325"/>
    </row>
    <row r="431" spans="1:14" s="214" customFormat="1" ht="30.75" customHeight="1" x14ac:dyDescent="0.25">
      <c r="A431" s="361" t="s">
        <v>974</v>
      </c>
      <c r="B431" s="359">
        <v>903</v>
      </c>
      <c r="C431" s="360" t="s">
        <v>315</v>
      </c>
      <c r="D431" s="360" t="s">
        <v>166</v>
      </c>
      <c r="E431" s="360" t="s">
        <v>988</v>
      </c>
      <c r="F431" s="360"/>
      <c r="G431" s="336">
        <f>G432+G434+G436</f>
        <v>10158.299999999999</v>
      </c>
      <c r="H431" s="336">
        <f t="shared" ref="H431" si="222">H432+H434+H436</f>
        <v>7368.7569999999996</v>
      </c>
      <c r="I431" s="336">
        <f t="shared" si="204"/>
        <v>72.539273303603949</v>
      </c>
      <c r="J431" s="325"/>
      <c r="K431" s="325"/>
      <c r="L431" s="325"/>
      <c r="M431" s="325"/>
      <c r="N431" s="325"/>
    </row>
    <row r="432" spans="1:14" s="214" customFormat="1" ht="63" x14ac:dyDescent="0.25">
      <c r="A432" s="361" t="s">
        <v>143</v>
      </c>
      <c r="B432" s="359">
        <v>903</v>
      </c>
      <c r="C432" s="360" t="s">
        <v>315</v>
      </c>
      <c r="D432" s="360" t="s">
        <v>166</v>
      </c>
      <c r="E432" s="360" t="s">
        <v>988</v>
      </c>
      <c r="F432" s="360" t="s">
        <v>144</v>
      </c>
      <c r="G432" s="336">
        <f>G433</f>
        <v>8201.1</v>
      </c>
      <c r="H432" s="336">
        <f t="shared" ref="H432" si="223">H433</f>
        <v>6034.69</v>
      </c>
      <c r="I432" s="336">
        <f t="shared" si="204"/>
        <v>73.583909475558158</v>
      </c>
      <c r="J432" s="325"/>
      <c r="K432" s="325"/>
      <c r="L432" s="325"/>
      <c r="M432" s="325"/>
      <c r="N432" s="325"/>
    </row>
    <row r="433" spans="1:14" s="214" customFormat="1" ht="33" customHeight="1" x14ac:dyDescent="0.25">
      <c r="A433" s="361" t="s">
        <v>358</v>
      </c>
      <c r="B433" s="359">
        <v>903</v>
      </c>
      <c r="C433" s="360" t="s">
        <v>315</v>
      </c>
      <c r="D433" s="360" t="s">
        <v>166</v>
      </c>
      <c r="E433" s="360" t="s">
        <v>988</v>
      </c>
      <c r="F433" s="360" t="s">
        <v>225</v>
      </c>
      <c r="G433" s="362">
        <f>8048+116.1+37</f>
        <v>8201.1</v>
      </c>
      <c r="H433" s="362">
        <v>6034.69</v>
      </c>
      <c r="I433" s="336">
        <f t="shared" si="204"/>
        <v>73.583909475558158</v>
      </c>
      <c r="J433" s="325"/>
      <c r="K433" s="325"/>
      <c r="L433" s="325"/>
      <c r="M433" s="325"/>
      <c r="N433" s="325"/>
    </row>
    <row r="434" spans="1:14" s="214" customFormat="1" ht="31.5" x14ac:dyDescent="0.25">
      <c r="A434" s="361" t="s">
        <v>147</v>
      </c>
      <c r="B434" s="359">
        <v>903</v>
      </c>
      <c r="C434" s="360" t="s">
        <v>315</v>
      </c>
      <c r="D434" s="360" t="s">
        <v>166</v>
      </c>
      <c r="E434" s="360" t="s">
        <v>988</v>
      </c>
      <c r="F434" s="360" t="s">
        <v>148</v>
      </c>
      <c r="G434" s="336">
        <f>G435</f>
        <v>1933.9</v>
      </c>
      <c r="H434" s="336">
        <f t="shared" ref="H434" si="224">H435</f>
        <v>1312.12</v>
      </c>
      <c r="I434" s="336">
        <f t="shared" si="204"/>
        <v>67.84838926521536</v>
      </c>
      <c r="J434" s="325"/>
      <c r="K434" s="325"/>
      <c r="L434" s="325"/>
      <c r="M434" s="325"/>
      <c r="N434" s="325"/>
    </row>
    <row r="435" spans="1:14" s="214" customFormat="1" ht="31.5" x14ac:dyDescent="0.25">
      <c r="A435" s="361" t="s">
        <v>149</v>
      </c>
      <c r="B435" s="359">
        <v>903</v>
      </c>
      <c r="C435" s="360" t="s">
        <v>315</v>
      </c>
      <c r="D435" s="360" t="s">
        <v>166</v>
      </c>
      <c r="E435" s="360" t="s">
        <v>988</v>
      </c>
      <c r="F435" s="360" t="s">
        <v>150</v>
      </c>
      <c r="G435" s="362">
        <f>1936.4+0.6-3.1</f>
        <v>1933.9</v>
      </c>
      <c r="H435" s="362">
        <v>1312.12</v>
      </c>
      <c r="I435" s="336">
        <f t="shared" si="204"/>
        <v>67.84838926521536</v>
      </c>
      <c r="J435" s="325"/>
      <c r="K435" s="325"/>
      <c r="L435" s="325"/>
      <c r="M435" s="325"/>
      <c r="N435" s="325"/>
    </row>
    <row r="436" spans="1:14" s="214" customFormat="1" ht="15.75" x14ac:dyDescent="0.25">
      <c r="A436" s="361" t="s">
        <v>151</v>
      </c>
      <c r="B436" s="359">
        <v>903</v>
      </c>
      <c r="C436" s="360" t="s">
        <v>315</v>
      </c>
      <c r="D436" s="360" t="s">
        <v>166</v>
      </c>
      <c r="E436" s="360" t="s">
        <v>988</v>
      </c>
      <c r="F436" s="360" t="s">
        <v>161</v>
      </c>
      <c r="G436" s="336">
        <f>G437</f>
        <v>23.3</v>
      </c>
      <c r="H436" s="336">
        <f t="shared" ref="H436" si="225">H437</f>
        <v>21.946999999999999</v>
      </c>
      <c r="I436" s="336">
        <f t="shared" si="204"/>
        <v>94.193133047210296</v>
      </c>
      <c r="J436" s="325"/>
      <c r="K436" s="325"/>
      <c r="L436" s="325"/>
      <c r="M436" s="325"/>
      <c r="N436" s="325"/>
    </row>
    <row r="437" spans="1:14" s="214" customFormat="1" ht="15.75" x14ac:dyDescent="0.25">
      <c r="A437" s="361" t="s">
        <v>584</v>
      </c>
      <c r="B437" s="359">
        <v>903</v>
      </c>
      <c r="C437" s="360" t="s">
        <v>315</v>
      </c>
      <c r="D437" s="360" t="s">
        <v>166</v>
      </c>
      <c r="E437" s="360" t="s">
        <v>988</v>
      </c>
      <c r="F437" s="360" t="s">
        <v>154</v>
      </c>
      <c r="G437" s="336">
        <f>14+3.1+6.2</f>
        <v>23.3</v>
      </c>
      <c r="H437" s="336">
        <v>21.946999999999999</v>
      </c>
      <c r="I437" s="336">
        <f t="shared" si="204"/>
        <v>94.193133047210296</v>
      </c>
      <c r="J437" s="325"/>
      <c r="K437" s="325"/>
      <c r="L437" s="325"/>
      <c r="M437" s="325"/>
      <c r="N437" s="325"/>
    </row>
    <row r="438" spans="1:14" s="214" customFormat="1" ht="31.5" x14ac:dyDescent="0.25">
      <c r="A438" s="361" t="s">
        <v>885</v>
      </c>
      <c r="B438" s="359">
        <v>903</v>
      </c>
      <c r="C438" s="360" t="s">
        <v>315</v>
      </c>
      <c r="D438" s="360" t="s">
        <v>166</v>
      </c>
      <c r="E438" s="360" t="s">
        <v>989</v>
      </c>
      <c r="F438" s="360"/>
      <c r="G438" s="336">
        <f>G439</f>
        <v>210</v>
      </c>
      <c r="H438" s="336">
        <f t="shared" ref="H438:H439" si="226">H439</f>
        <v>197.834</v>
      </c>
      <c r="I438" s="336">
        <f t="shared" si="204"/>
        <v>94.206666666666678</v>
      </c>
      <c r="J438" s="325"/>
      <c r="K438" s="325"/>
      <c r="L438" s="325"/>
      <c r="M438" s="325"/>
      <c r="N438" s="325"/>
    </row>
    <row r="439" spans="1:14" s="214" customFormat="1" ht="63" x14ac:dyDescent="0.25">
      <c r="A439" s="361" t="s">
        <v>143</v>
      </c>
      <c r="B439" s="359">
        <v>903</v>
      </c>
      <c r="C439" s="360" t="s">
        <v>315</v>
      </c>
      <c r="D439" s="360" t="s">
        <v>166</v>
      </c>
      <c r="E439" s="360" t="s">
        <v>989</v>
      </c>
      <c r="F439" s="360" t="s">
        <v>144</v>
      </c>
      <c r="G439" s="336">
        <f>G440</f>
        <v>210</v>
      </c>
      <c r="H439" s="336">
        <f t="shared" si="226"/>
        <v>197.834</v>
      </c>
      <c r="I439" s="336">
        <f t="shared" si="204"/>
        <v>94.206666666666678</v>
      </c>
      <c r="J439" s="325"/>
      <c r="K439" s="325"/>
      <c r="L439" s="325"/>
      <c r="M439" s="325"/>
      <c r="N439" s="325"/>
    </row>
    <row r="440" spans="1:14" s="214" customFormat="1" ht="15.75" x14ac:dyDescent="0.25">
      <c r="A440" s="361" t="s">
        <v>358</v>
      </c>
      <c r="B440" s="359">
        <v>903</v>
      </c>
      <c r="C440" s="360" t="s">
        <v>315</v>
      </c>
      <c r="D440" s="360" t="s">
        <v>166</v>
      </c>
      <c r="E440" s="360" t="s">
        <v>989</v>
      </c>
      <c r="F440" s="360" t="s">
        <v>225</v>
      </c>
      <c r="G440" s="336">
        <v>210</v>
      </c>
      <c r="H440" s="336">
        <v>197.834</v>
      </c>
      <c r="I440" s="336">
        <f t="shared" si="204"/>
        <v>94.206666666666678</v>
      </c>
      <c r="J440" s="325"/>
      <c r="K440" s="325"/>
      <c r="L440" s="325"/>
      <c r="M440" s="325"/>
      <c r="N440" s="325"/>
    </row>
    <row r="441" spans="1:14" ht="47.25" x14ac:dyDescent="0.25">
      <c r="A441" s="333" t="s">
        <v>359</v>
      </c>
      <c r="B441" s="330">
        <v>903</v>
      </c>
      <c r="C441" s="334" t="s">
        <v>315</v>
      </c>
      <c r="D441" s="334" t="s">
        <v>166</v>
      </c>
      <c r="E441" s="334" t="s">
        <v>360</v>
      </c>
      <c r="F441" s="334"/>
      <c r="G441" s="332">
        <f>G442</f>
        <v>260</v>
      </c>
      <c r="H441" s="332">
        <f t="shared" ref="H441:H445" si="227">H442</f>
        <v>81.966999999999999</v>
      </c>
      <c r="I441" s="332">
        <f t="shared" si="204"/>
        <v>31.525769230769228</v>
      </c>
    </row>
    <row r="442" spans="1:14" ht="47.25" x14ac:dyDescent="0.25">
      <c r="A442" s="333" t="s">
        <v>380</v>
      </c>
      <c r="B442" s="330">
        <v>903</v>
      </c>
      <c r="C442" s="334" t="s">
        <v>315</v>
      </c>
      <c r="D442" s="334" t="s">
        <v>166</v>
      </c>
      <c r="E442" s="334" t="s">
        <v>381</v>
      </c>
      <c r="F442" s="334"/>
      <c r="G442" s="332">
        <f>G443</f>
        <v>260</v>
      </c>
      <c r="H442" s="332">
        <f t="shared" si="227"/>
        <v>81.966999999999999</v>
      </c>
      <c r="I442" s="332">
        <f t="shared" si="204"/>
        <v>31.525769230769228</v>
      </c>
    </row>
    <row r="443" spans="1:14" s="214" customFormat="1" ht="31.5" x14ac:dyDescent="0.25">
      <c r="A443" s="333" t="s">
        <v>1147</v>
      </c>
      <c r="B443" s="330">
        <v>903</v>
      </c>
      <c r="C443" s="334" t="s">
        <v>315</v>
      </c>
      <c r="D443" s="334" t="s">
        <v>166</v>
      </c>
      <c r="E443" s="334" t="s">
        <v>966</v>
      </c>
      <c r="F443" s="334"/>
      <c r="G443" s="332">
        <f>G444</f>
        <v>260</v>
      </c>
      <c r="H443" s="332">
        <f t="shared" si="227"/>
        <v>81.966999999999999</v>
      </c>
      <c r="I443" s="332">
        <f t="shared" si="204"/>
        <v>31.525769230769228</v>
      </c>
      <c r="J443" s="325"/>
      <c r="K443" s="325"/>
      <c r="L443" s="325"/>
      <c r="M443" s="325"/>
      <c r="N443" s="325"/>
    </row>
    <row r="444" spans="1:14" ht="15.75" x14ac:dyDescent="0.25">
      <c r="A444" s="361" t="s">
        <v>1146</v>
      </c>
      <c r="B444" s="359">
        <v>903</v>
      </c>
      <c r="C444" s="360" t="s">
        <v>315</v>
      </c>
      <c r="D444" s="360" t="s">
        <v>166</v>
      </c>
      <c r="E444" s="360" t="s">
        <v>1223</v>
      </c>
      <c r="F444" s="360"/>
      <c r="G444" s="336">
        <f>G445</f>
        <v>260</v>
      </c>
      <c r="H444" s="336">
        <f t="shared" si="227"/>
        <v>81.966999999999999</v>
      </c>
      <c r="I444" s="336">
        <f t="shared" si="204"/>
        <v>31.525769230769228</v>
      </c>
    </row>
    <row r="445" spans="1:14" ht="31.5" x14ac:dyDescent="0.25">
      <c r="A445" s="361" t="s">
        <v>147</v>
      </c>
      <c r="B445" s="359">
        <v>903</v>
      </c>
      <c r="C445" s="360" t="s">
        <v>315</v>
      </c>
      <c r="D445" s="360" t="s">
        <v>166</v>
      </c>
      <c r="E445" s="360" t="s">
        <v>1223</v>
      </c>
      <c r="F445" s="360" t="s">
        <v>148</v>
      </c>
      <c r="G445" s="336">
        <f>G446</f>
        <v>260</v>
      </c>
      <c r="H445" s="336">
        <f t="shared" si="227"/>
        <v>81.966999999999999</v>
      </c>
      <c r="I445" s="336">
        <f t="shared" si="204"/>
        <v>31.525769230769228</v>
      </c>
    </row>
    <row r="446" spans="1:14" ht="31.5" x14ac:dyDescent="0.25">
      <c r="A446" s="361" t="s">
        <v>149</v>
      </c>
      <c r="B446" s="359">
        <v>903</v>
      </c>
      <c r="C446" s="360" t="s">
        <v>315</v>
      </c>
      <c r="D446" s="360" t="s">
        <v>166</v>
      </c>
      <c r="E446" s="360" t="s">
        <v>1223</v>
      </c>
      <c r="F446" s="360" t="s">
        <v>150</v>
      </c>
      <c r="G446" s="336">
        <f>210+50</f>
        <v>260</v>
      </c>
      <c r="H446" s="336">
        <v>81.966999999999999</v>
      </c>
      <c r="I446" s="336">
        <f t="shared" si="204"/>
        <v>31.525769230769228</v>
      </c>
    </row>
    <row r="447" spans="1:14" ht="15.75" x14ac:dyDescent="0.25">
      <c r="A447" s="333" t="s">
        <v>259</v>
      </c>
      <c r="B447" s="330">
        <v>903</v>
      </c>
      <c r="C447" s="334" t="s">
        <v>260</v>
      </c>
      <c r="D447" s="334"/>
      <c r="E447" s="334"/>
      <c r="F447" s="334"/>
      <c r="G447" s="332">
        <f>G448</f>
        <v>1912.9</v>
      </c>
      <c r="H447" s="332">
        <f t="shared" ref="H447:H448" si="228">H448</f>
        <v>905.64</v>
      </c>
      <c r="I447" s="332">
        <f t="shared" si="204"/>
        <v>47.343823514036274</v>
      </c>
    </row>
    <row r="448" spans="1:14" ht="15.75" x14ac:dyDescent="0.25">
      <c r="A448" s="333" t="s">
        <v>268</v>
      </c>
      <c r="B448" s="330">
        <v>903</v>
      </c>
      <c r="C448" s="334" t="s">
        <v>260</v>
      </c>
      <c r="D448" s="334" t="s">
        <v>231</v>
      </c>
      <c r="E448" s="334"/>
      <c r="F448" s="334"/>
      <c r="G448" s="332">
        <f>G449</f>
        <v>1912.9</v>
      </c>
      <c r="H448" s="332">
        <f t="shared" si="228"/>
        <v>905.64</v>
      </c>
      <c r="I448" s="332">
        <f t="shared" si="204"/>
        <v>47.343823514036274</v>
      </c>
    </row>
    <row r="449" spans="1:14" ht="47.25" x14ac:dyDescent="0.25">
      <c r="A449" s="333" t="s">
        <v>359</v>
      </c>
      <c r="B449" s="330">
        <v>903</v>
      </c>
      <c r="C449" s="334" t="s">
        <v>260</v>
      </c>
      <c r="D449" s="334" t="s">
        <v>231</v>
      </c>
      <c r="E449" s="334" t="s">
        <v>360</v>
      </c>
      <c r="F449" s="334"/>
      <c r="G449" s="332">
        <f>G450+G455+G460+G471</f>
        <v>1912.9</v>
      </c>
      <c r="H449" s="332">
        <f t="shared" ref="H449" si="229">H450+H455+H460+H471</f>
        <v>905.64</v>
      </c>
      <c r="I449" s="332">
        <f t="shared" si="204"/>
        <v>47.343823514036274</v>
      </c>
    </row>
    <row r="450" spans="1:14" ht="15.75" x14ac:dyDescent="0.25">
      <c r="A450" s="333" t="s">
        <v>368</v>
      </c>
      <c r="B450" s="330">
        <v>903</v>
      </c>
      <c r="C450" s="334" t="s">
        <v>260</v>
      </c>
      <c r="D450" s="334" t="s">
        <v>231</v>
      </c>
      <c r="E450" s="334" t="s">
        <v>369</v>
      </c>
      <c r="F450" s="334"/>
      <c r="G450" s="332">
        <f>G451</f>
        <v>169.20000000000002</v>
      </c>
      <c r="H450" s="332">
        <f t="shared" ref="H450:H453" si="230">H451</f>
        <v>169.2</v>
      </c>
      <c r="I450" s="332">
        <f t="shared" si="204"/>
        <v>99.999999999999972</v>
      </c>
    </row>
    <row r="451" spans="1:14" s="214" customFormat="1" ht="33.75" customHeight="1" x14ac:dyDescent="0.25">
      <c r="A451" s="333" t="s">
        <v>976</v>
      </c>
      <c r="B451" s="330">
        <v>903</v>
      </c>
      <c r="C451" s="334" t="s">
        <v>260</v>
      </c>
      <c r="D451" s="334" t="s">
        <v>231</v>
      </c>
      <c r="E451" s="334" t="s">
        <v>975</v>
      </c>
      <c r="F451" s="334"/>
      <c r="G451" s="332">
        <f>G452</f>
        <v>169.20000000000002</v>
      </c>
      <c r="H451" s="332">
        <f t="shared" si="230"/>
        <v>169.2</v>
      </c>
      <c r="I451" s="332">
        <f t="shared" si="204"/>
        <v>99.999999999999972</v>
      </c>
      <c r="J451" s="325"/>
      <c r="K451" s="325"/>
      <c r="L451" s="325"/>
      <c r="M451" s="325"/>
      <c r="N451" s="325"/>
    </row>
    <row r="452" spans="1:14" ht="31.5" x14ac:dyDescent="0.25">
      <c r="A452" s="361" t="s">
        <v>869</v>
      </c>
      <c r="B452" s="359">
        <v>903</v>
      </c>
      <c r="C452" s="360" t="s">
        <v>260</v>
      </c>
      <c r="D452" s="360" t="s">
        <v>231</v>
      </c>
      <c r="E452" s="360" t="s">
        <v>977</v>
      </c>
      <c r="F452" s="360"/>
      <c r="G452" s="336">
        <f>G453</f>
        <v>169.20000000000002</v>
      </c>
      <c r="H452" s="336">
        <f t="shared" si="230"/>
        <v>169.2</v>
      </c>
      <c r="I452" s="336">
        <f t="shared" si="204"/>
        <v>99.999999999999972</v>
      </c>
    </row>
    <row r="453" spans="1:14" ht="15.75" x14ac:dyDescent="0.25">
      <c r="A453" s="361" t="s">
        <v>264</v>
      </c>
      <c r="B453" s="359">
        <v>903</v>
      </c>
      <c r="C453" s="360" t="s">
        <v>260</v>
      </c>
      <c r="D453" s="360" t="s">
        <v>231</v>
      </c>
      <c r="E453" s="360" t="s">
        <v>977</v>
      </c>
      <c r="F453" s="360" t="s">
        <v>265</v>
      </c>
      <c r="G453" s="336">
        <f>G454</f>
        <v>169.20000000000002</v>
      </c>
      <c r="H453" s="336">
        <f t="shared" si="230"/>
        <v>169.2</v>
      </c>
      <c r="I453" s="336">
        <f t="shared" si="204"/>
        <v>99.999999999999972</v>
      </c>
    </row>
    <row r="454" spans="1:14" ht="31.5" x14ac:dyDescent="0.25">
      <c r="A454" s="361" t="s">
        <v>266</v>
      </c>
      <c r="B454" s="359">
        <v>903</v>
      </c>
      <c r="C454" s="360" t="s">
        <v>260</v>
      </c>
      <c r="D454" s="360" t="s">
        <v>231</v>
      </c>
      <c r="E454" s="360" t="s">
        <v>977</v>
      </c>
      <c r="F454" s="360" t="s">
        <v>267</v>
      </c>
      <c r="G454" s="336">
        <f>28.9+140.3</f>
        <v>169.20000000000002</v>
      </c>
      <c r="H454" s="336">
        <v>169.2</v>
      </c>
      <c r="I454" s="336">
        <f t="shared" si="204"/>
        <v>99.999999999999972</v>
      </c>
    </row>
    <row r="455" spans="1:14" ht="31.5" x14ac:dyDescent="0.25">
      <c r="A455" s="333" t="s">
        <v>371</v>
      </c>
      <c r="B455" s="330">
        <v>903</v>
      </c>
      <c r="C455" s="330">
        <v>10</v>
      </c>
      <c r="D455" s="334" t="s">
        <v>231</v>
      </c>
      <c r="E455" s="334" t="s">
        <v>372</v>
      </c>
      <c r="F455" s="334"/>
      <c r="G455" s="332">
        <f>G457</f>
        <v>420</v>
      </c>
      <c r="H455" s="332">
        <f t="shared" ref="H455" si="231">H457</f>
        <v>190</v>
      </c>
      <c r="I455" s="332">
        <f t="shared" si="204"/>
        <v>45.238095238095241</v>
      </c>
    </row>
    <row r="456" spans="1:14" s="214" customFormat="1" ht="31.5" x14ac:dyDescent="0.25">
      <c r="A456" s="333" t="s">
        <v>1148</v>
      </c>
      <c r="B456" s="330">
        <v>903</v>
      </c>
      <c r="C456" s="330">
        <v>10</v>
      </c>
      <c r="D456" s="334" t="s">
        <v>231</v>
      </c>
      <c r="E456" s="334" t="s">
        <v>978</v>
      </c>
      <c r="F456" s="334"/>
      <c r="G456" s="332">
        <f>G457</f>
        <v>420</v>
      </c>
      <c r="H456" s="332">
        <f t="shared" ref="H456:H458" si="232">H457</f>
        <v>190</v>
      </c>
      <c r="I456" s="332">
        <f t="shared" si="204"/>
        <v>45.238095238095241</v>
      </c>
      <c r="J456" s="325"/>
      <c r="K456" s="325"/>
      <c r="L456" s="325"/>
      <c r="M456" s="325"/>
      <c r="N456" s="325"/>
    </row>
    <row r="457" spans="1:14" ht="15.75" x14ac:dyDescent="0.25">
      <c r="A457" s="361" t="s">
        <v>1203</v>
      </c>
      <c r="B457" s="359">
        <v>903</v>
      </c>
      <c r="C457" s="360" t="s">
        <v>260</v>
      </c>
      <c r="D457" s="360" t="s">
        <v>231</v>
      </c>
      <c r="E457" s="360" t="s">
        <v>979</v>
      </c>
      <c r="F457" s="360"/>
      <c r="G457" s="336">
        <f>G458</f>
        <v>420</v>
      </c>
      <c r="H457" s="336">
        <f t="shared" si="232"/>
        <v>190</v>
      </c>
      <c r="I457" s="336">
        <f t="shared" si="204"/>
        <v>45.238095238095241</v>
      </c>
    </row>
    <row r="458" spans="1:14" ht="15.75" x14ac:dyDescent="0.25">
      <c r="A458" s="361" t="s">
        <v>264</v>
      </c>
      <c r="B458" s="359">
        <v>903</v>
      </c>
      <c r="C458" s="360" t="s">
        <v>260</v>
      </c>
      <c r="D458" s="360" t="s">
        <v>231</v>
      </c>
      <c r="E458" s="360" t="s">
        <v>979</v>
      </c>
      <c r="F458" s="360" t="s">
        <v>265</v>
      </c>
      <c r="G458" s="336">
        <f>G459</f>
        <v>420</v>
      </c>
      <c r="H458" s="336">
        <f t="shared" si="232"/>
        <v>190</v>
      </c>
      <c r="I458" s="336">
        <f t="shared" si="204"/>
        <v>45.238095238095241</v>
      </c>
    </row>
    <row r="459" spans="1:14" ht="15.75" x14ac:dyDescent="0.25">
      <c r="A459" s="361" t="s">
        <v>364</v>
      </c>
      <c r="B459" s="359">
        <v>903</v>
      </c>
      <c r="C459" s="360" t="s">
        <v>260</v>
      </c>
      <c r="D459" s="360" t="s">
        <v>231</v>
      </c>
      <c r="E459" s="360" t="s">
        <v>979</v>
      </c>
      <c r="F459" s="360" t="s">
        <v>365</v>
      </c>
      <c r="G459" s="336">
        <v>420</v>
      </c>
      <c r="H459" s="336">
        <v>190</v>
      </c>
      <c r="I459" s="336">
        <f t="shared" ref="I459:I522" si="233">H459/G459*100</f>
        <v>45.238095238095241</v>
      </c>
    </row>
    <row r="460" spans="1:14" ht="15.75" x14ac:dyDescent="0.25">
      <c r="A460" s="333" t="s">
        <v>374</v>
      </c>
      <c r="B460" s="330">
        <v>903</v>
      </c>
      <c r="C460" s="330">
        <v>10</v>
      </c>
      <c r="D460" s="334" t="s">
        <v>231</v>
      </c>
      <c r="E460" s="334" t="s">
        <v>375</v>
      </c>
      <c r="F460" s="334"/>
      <c r="G460" s="332">
        <f>G465+G461</f>
        <v>1073.7</v>
      </c>
      <c r="H460" s="332">
        <f t="shared" ref="H460" si="234">H465+H461</f>
        <v>432.44</v>
      </c>
      <c r="I460" s="332">
        <f t="shared" si="233"/>
        <v>40.275682220359506</v>
      </c>
    </row>
    <row r="461" spans="1:14" s="214" customFormat="1" ht="31.5" x14ac:dyDescent="0.25">
      <c r="A461" s="333" t="s">
        <v>1205</v>
      </c>
      <c r="B461" s="330">
        <v>903</v>
      </c>
      <c r="C461" s="334" t="s">
        <v>260</v>
      </c>
      <c r="D461" s="334" t="s">
        <v>231</v>
      </c>
      <c r="E461" s="334" t="s">
        <v>981</v>
      </c>
      <c r="F461" s="334"/>
      <c r="G461" s="332">
        <f>G462</f>
        <v>630</v>
      </c>
      <c r="H461" s="332">
        <f t="shared" ref="H461:H463" si="235">H462</f>
        <v>348.45</v>
      </c>
      <c r="I461" s="332">
        <f t="shared" si="233"/>
        <v>55.30952380952381</v>
      </c>
      <c r="J461" s="325"/>
      <c r="K461" s="325"/>
      <c r="L461" s="325"/>
      <c r="M461" s="325"/>
      <c r="N461" s="325"/>
    </row>
    <row r="462" spans="1:14" s="214" customFormat="1" ht="34.5" customHeight="1" x14ac:dyDescent="0.25">
      <c r="A462" s="99" t="s">
        <v>1206</v>
      </c>
      <c r="B462" s="359">
        <v>903</v>
      </c>
      <c r="C462" s="360" t="s">
        <v>260</v>
      </c>
      <c r="D462" s="360" t="s">
        <v>231</v>
      </c>
      <c r="E462" s="360" t="s">
        <v>982</v>
      </c>
      <c r="F462" s="360"/>
      <c r="G462" s="336">
        <f>G463</f>
        <v>630</v>
      </c>
      <c r="H462" s="336">
        <f t="shared" si="235"/>
        <v>348.45</v>
      </c>
      <c r="I462" s="336">
        <f t="shared" si="233"/>
        <v>55.30952380952381</v>
      </c>
      <c r="J462" s="325"/>
      <c r="K462" s="325"/>
      <c r="L462" s="325"/>
      <c r="M462" s="325"/>
      <c r="N462" s="325"/>
    </row>
    <row r="463" spans="1:14" s="214" customFormat="1" ht="15.75" x14ac:dyDescent="0.25">
      <c r="A463" s="361" t="s">
        <v>264</v>
      </c>
      <c r="B463" s="359">
        <v>903</v>
      </c>
      <c r="C463" s="360" t="s">
        <v>260</v>
      </c>
      <c r="D463" s="360" t="s">
        <v>231</v>
      </c>
      <c r="E463" s="360" t="s">
        <v>982</v>
      </c>
      <c r="F463" s="360" t="s">
        <v>265</v>
      </c>
      <c r="G463" s="336">
        <f>G464</f>
        <v>630</v>
      </c>
      <c r="H463" s="336">
        <f t="shared" si="235"/>
        <v>348.45</v>
      </c>
      <c r="I463" s="336">
        <f t="shared" si="233"/>
        <v>55.30952380952381</v>
      </c>
      <c r="J463" s="325"/>
      <c r="K463" s="325"/>
      <c r="L463" s="325"/>
      <c r="M463" s="325"/>
      <c r="N463" s="325"/>
    </row>
    <row r="464" spans="1:14" s="214" customFormat="1" ht="15.75" x14ac:dyDescent="0.25">
      <c r="A464" s="361" t="s">
        <v>364</v>
      </c>
      <c r="B464" s="359">
        <v>903</v>
      </c>
      <c r="C464" s="360" t="s">
        <v>260</v>
      </c>
      <c r="D464" s="360" t="s">
        <v>231</v>
      </c>
      <c r="E464" s="360" t="s">
        <v>982</v>
      </c>
      <c r="F464" s="360" t="s">
        <v>365</v>
      </c>
      <c r="G464" s="336">
        <v>630</v>
      </c>
      <c r="H464" s="336">
        <v>348.45</v>
      </c>
      <c r="I464" s="336">
        <f t="shared" si="233"/>
        <v>55.30952380952381</v>
      </c>
      <c r="J464" s="325"/>
      <c r="K464" s="325"/>
      <c r="L464" s="325"/>
      <c r="M464" s="325"/>
      <c r="N464" s="325"/>
    </row>
    <row r="465" spans="1:14" s="214" customFormat="1" ht="31.5" x14ac:dyDescent="0.25">
      <c r="A465" s="333" t="s">
        <v>980</v>
      </c>
      <c r="B465" s="330">
        <v>903</v>
      </c>
      <c r="C465" s="330">
        <v>10</v>
      </c>
      <c r="D465" s="334" t="s">
        <v>231</v>
      </c>
      <c r="E465" s="334" t="s">
        <v>983</v>
      </c>
      <c r="F465" s="334"/>
      <c r="G465" s="332">
        <f>G466+G469</f>
        <v>443.7</v>
      </c>
      <c r="H465" s="332">
        <f t="shared" ref="H465" si="236">H466+H469</f>
        <v>83.99</v>
      </c>
      <c r="I465" s="332">
        <f t="shared" si="233"/>
        <v>18.929456840207344</v>
      </c>
      <c r="J465" s="325"/>
      <c r="K465" s="325"/>
      <c r="L465" s="325"/>
      <c r="M465" s="325"/>
      <c r="N465" s="325"/>
    </row>
    <row r="466" spans="1:14" ht="15.75" x14ac:dyDescent="0.25">
      <c r="A466" s="361" t="s">
        <v>1149</v>
      </c>
      <c r="B466" s="359">
        <v>903</v>
      </c>
      <c r="C466" s="360" t="s">
        <v>260</v>
      </c>
      <c r="D466" s="360" t="s">
        <v>231</v>
      </c>
      <c r="E466" s="360" t="s">
        <v>984</v>
      </c>
      <c r="F466" s="360"/>
      <c r="G466" s="336">
        <f>G467</f>
        <v>233.7</v>
      </c>
      <c r="H466" s="336">
        <f t="shared" ref="H466:H467" si="237">H467</f>
        <v>83.99</v>
      </c>
      <c r="I466" s="336">
        <f t="shared" si="233"/>
        <v>35.939238339751817</v>
      </c>
    </row>
    <row r="467" spans="1:14" ht="31.5" x14ac:dyDescent="0.25">
      <c r="A467" s="361" t="s">
        <v>147</v>
      </c>
      <c r="B467" s="359">
        <v>903</v>
      </c>
      <c r="C467" s="360" t="s">
        <v>260</v>
      </c>
      <c r="D467" s="360" t="s">
        <v>231</v>
      </c>
      <c r="E467" s="360" t="s">
        <v>984</v>
      </c>
      <c r="F467" s="360" t="s">
        <v>148</v>
      </c>
      <c r="G467" s="336">
        <f>G468</f>
        <v>233.7</v>
      </c>
      <c r="H467" s="336">
        <f t="shared" si="237"/>
        <v>83.99</v>
      </c>
      <c r="I467" s="336">
        <f t="shared" si="233"/>
        <v>35.939238339751817</v>
      </c>
    </row>
    <row r="468" spans="1:14" ht="31.5" x14ac:dyDescent="0.25">
      <c r="A468" s="361" t="s">
        <v>149</v>
      </c>
      <c r="B468" s="359">
        <v>903</v>
      </c>
      <c r="C468" s="360" t="s">
        <v>260</v>
      </c>
      <c r="D468" s="360" t="s">
        <v>231</v>
      </c>
      <c r="E468" s="360" t="s">
        <v>984</v>
      </c>
      <c r="F468" s="360" t="s">
        <v>150</v>
      </c>
      <c r="G468" s="336">
        <f>270-36.3</f>
        <v>233.7</v>
      </c>
      <c r="H468" s="336">
        <v>83.99</v>
      </c>
      <c r="I468" s="336">
        <f t="shared" si="233"/>
        <v>35.939238339751817</v>
      </c>
    </row>
    <row r="469" spans="1:14" s="214" customFormat="1" ht="15.75" x14ac:dyDescent="0.25">
      <c r="A469" s="361" t="s">
        <v>264</v>
      </c>
      <c r="B469" s="359">
        <v>903</v>
      </c>
      <c r="C469" s="360" t="s">
        <v>260</v>
      </c>
      <c r="D469" s="360" t="s">
        <v>231</v>
      </c>
      <c r="E469" s="360" t="s">
        <v>984</v>
      </c>
      <c r="F469" s="360" t="s">
        <v>265</v>
      </c>
      <c r="G469" s="336">
        <f>G470</f>
        <v>210</v>
      </c>
      <c r="H469" s="336">
        <f t="shared" ref="H469" si="238">H470</f>
        <v>0</v>
      </c>
      <c r="I469" s="336">
        <f t="shared" si="233"/>
        <v>0</v>
      </c>
      <c r="J469" s="325"/>
      <c r="K469" s="325"/>
      <c r="L469" s="325"/>
      <c r="M469" s="325"/>
      <c r="N469" s="325"/>
    </row>
    <row r="470" spans="1:14" s="214" customFormat="1" ht="15.75" x14ac:dyDescent="0.25">
      <c r="A470" s="361" t="s">
        <v>364</v>
      </c>
      <c r="B470" s="359">
        <v>903</v>
      </c>
      <c r="C470" s="360" t="s">
        <v>260</v>
      </c>
      <c r="D470" s="360" t="s">
        <v>231</v>
      </c>
      <c r="E470" s="360" t="s">
        <v>984</v>
      </c>
      <c r="F470" s="360" t="s">
        <v>365</v>
      </c>
      <c r="G470" s="336">
        <v>210</v>
      </c>
      <c r="H470" s="336">
        <v>0</v>
      </c>
      <c r="I470" s="336">
        <f t="shared" si="233"/>
        <v>0</v>
      </c>
      <c r="J470" s="325"/>
      <c r="K470" s="325"/>
      <c r="L470" s="325"/>
      <c r="M470" s="325"/>
      <c r="N470" s="325"/>
    </row>
    <row r="471" spans="1:14" ht="37.5" customHeight="1" x14ac:dyDescent="0.25">
      <c r="A471" s="333" t="s">
        <v>377</v>
      </c>
      <c r="B471" s="330">
        <v>903</v>
      </c>
      <c r="C471" s="334" t="s">
        <v>260</v>
      </c>
      <c r="D471" s="334" t="s">
        <v>231</v>
      </c>
      <c r="E471" s="334" t="s">
        <v>378</v>
      </c>
      <c r="F471" s="334"/>
      <c r="G471" s="332">
        <f>G472</f>
        <v>250</v>
      </c>
      <c r="H471" s="332">
        <f t="shared" ref="H471:H474" si="239">H472</f>
        <v>114</v>
      </c>
      <c r="I471" s="332">
        <f t="shared" si="233"/>
        <v>45.6</v>
      </c>
    </row>
    <row r="472" spans="1:14" s="214" customFormat="1" ht="38.25" customHeight="1" x14ac:dyDescent="0.25">
      <c r="A472" s="333" t="s">
        <v>1208</v>
      </c>
      <c r="B472" s="330">
        <v>903</v>
      </c>
      <c r="C472" s="334" t="s">
        <v>260</v>
      </c>
      <c r="D472" s="334" t="s">
        <v>231</v>
      </c>
      <c r="E472" s="334" t="s">
        <v>986</v>
      </c>
      <c r="F472" s="334"/>
      <c r="G472" s="332">
        <f>G473</f>
        <v>250</v>
      </c>
      <c r="H472" s="332">
        <f t="shared" si="239"/>
        <v>114</v>
      </c>
      <c r="I472" s="332">
        <f t="shared" si="233"/>
        <v>45.6</v>
      </c>
      <c r="J472" s="325"/>
      <c r="K472" s="325"/>
      <c r="L472" s="325"/>
      <c r="M472" s="325"/>
      <c r="N472" s="325"/>
    </row>
    <row r="473" spans="1:14" ht="35.450000000000003" customHeight="1" x14ac:dyDescent="0.25">
      <c r="A473" s="361" t="s">
        <v>1207</v>
      </c>
      <c r="B473" s="359">
        <v>903</v>
      </c>
      <c r="C473" s="360" t="s">
        <v>260</v>
      </c>
      <c r="D473" s="360" t="s">
        <v>231</v>
      </c>
      <c r="E473" s="360" t="s">
        <v>985</v>
      </c>
      <c r="F473" s="360"/>
      <c r="G473" s="336">
        <f>G474</f>
        <v>250</v>
      </c>
      <c r="H473" s="336">
        <f t="shared" si="239"/>
        <v>114</v>
      </c>
      <c r="I473" s="336">
        <f t="shared" si="233"/>
        <v>45.6</v>
      </c>
    </row>
    <row r="474" spans="1:14" ht="15.75" x14ac:dyDescent="0.25">
      <c r="A474" s="361" t="s">
        <v>264</v>
      </c>
      <c r="B474" s="359">
        <v>903</v>
      </c>
      <c r="C474" s="360" t="s">
        <v>260</v>
      </c>
      <c r="D474" s="360" t="s">
        <v>231</v>
      </c>
      <c r="E474" s="360" t="s">
        <v>985</v>
      </c>
      <c r="F474" s="360" t="s">
        <v>265</v>
      </c>
      <c r="G474" s="336">
        <f>G475</f>
        <v>250</v>
      </c>
      <c r="H474" s="336">
        <f t="shared" si="239"/>
        <v>114</v>
      </c>
      <c r="I474" s="336">
        <f t="shared" si="233"/>
        <v>45.6</v>
      </c>
    </row>
    <row r="475" spans="1:14" ht="15.75" x14ac:dyDescent="0.25">
      <c r="A475" s="361" t="s">
        <v>364</v>
      </c>
      <c r="B475" s="359">
        <v>903</v>
      </c>
      <c r="C475" s="360" t="s">
        <v>260</v>
      </c>
      <c r="D475" s="360" t="s">
        <v>231</v>
      </c>
      <c r="E475" s="360" t="s">
        <v>985</v>
      </c>
      <c r="F475" s="360" t="s">
        <v>365</v>
      </c>
      <c r="G475" s="336">
        <v>250</v>
      </c>
      <c r="H475" s="336">
        <v>114</v>
      </c>
      <c r="I475" s="336">
        <f t="shared" si="233"/>
        <v>45.6</v>
      </c>
    </row>
    <row r="476" spans="1:14" s="214" customFormat="1" ht="15.75" x14ac:dyDescent="0.25">
      <c r="A476" s="333" t="s">
        <v>598</v>
      </c>
      <c r="B476" s="330">
        <v>903</v>
      </c>
      <c r="C476" s="334" t="s">
        <v>254</v>
      </c>
      <c r="D476" s="360"/>
      <c r="E476" s="360"/>
      <c r="F476" s="360"/>
      <c r="G476" s="332">
        <f>G477</f>
        <v>6721</v>
      </c>
      <c r="H476" s="332">
        <f t="shared" ref="H476" si="240">H477</f>
        <v>4744.5079999999998</v>
      </c>
      <c r="I476" s="332">
        <f t="shared" si="233"/>
        <v>70.592292813569401</v>
      </c>
      <c r="J476" s="325"/>
      <c r="K476" s="325"/>
      <c r="L476" s="325"/>
      <c r="M476" s="325"/>
      <c r="N476" s="325"/>
    </row>
    <row r="477" spans="1:14" s="214" customFormat="1" ht="15.75" x14ac:dyDescent="0.25">
      <c r="A477" s="333" t="s">
        <v>599</v>
      </c>
      <c r="B477" s="330">
        <v>903</v>
      </c>
      <c r="C477" s="334" t="s">
        <v>254</v>
      </c>
      <c r="D477" s="334" t="s">
        <v>229</v>
      </c>
      <c r="E477" s="334"/>
      <c r="F477" s="334"/>
      <c r="G477" s="332">
        <f>G478+G492</f>
        <v>6721</v>
      </c>
      <c r="H477" s="332">
        <f t="shared" ref="H477" si="241">H478+H492</f>
        <v>4744.5079999999998</v>
      </c>
      <c r="I477" s="332">
        <f t="shared" si="233"/>
        <v>70.592292813569401</v>
      </c>
      <c r="J477" s="325"/>
      <c r="K477" s="325"/>
      <c r="L477" s="325"/>
      <c r="M477" s="325"/>
      <c r="N477" s="325"/>
    </row>
    <row r="478" spans="1:14" s="214" customFormat="1" ht="15.75" x14ac:dyDescent="0.25">
      <c r="A478" s="333" t="s">
        <v>157</v>
      </c>
      <c r="B478" s="330">
        <v>903</v>
      </c>
      <c r="C478" s="334" t="s">
        <v>254</v>
      </c>
      <c r="D478" s="334" t="s">
        <v>229</v>
      </c>
      <c r="E478" s="334" t="s">
        <v>912</v>
      </c>
      <c r="F478" s="334"/>
      <c r="G478" s="332">
        <f>G479</f>
        <v>6649</v>
      </c>
      <c r="H478" s="332">
        <f t="shared" ref="H478" si="242">H479</f>
        <v>4690.5079999999998</v>
      </c>
      <c r="I478" s="332">
        <f t="shared" si="233"/>
        <v>70.544563092194309</v>
      </c>
      <c r="J478" s="325"/>
      <c r="K478" s="325"/>
      <c r="L478" s="325"/>
      <c r="M478" s="325"/>
      <c r="N478" s="325"/>
    </row>
    <row r="479" spans="1:14" s="214" customFormat="1" ht="15.75" x14ac:dyDescent="0.25">
      <c r="A479" s="333" t="s">
        <v>1090</v>
      </c>
      <c r="B479" s="330">
        <v>903</v>
      </c>
      <c r="C479" s="334" t="s">
        <v>254</v>
      </c>
      <c r="D479" s="334" t="s">
        <v>229</v>
      </c>
      <c r="E479" s="334" t="s">
        <v>1089</v>
      </c>
      <c r="F479" s="334"/>
      <c r="G479" s="332">
        <f>G480+G489</f>
        <v>6649</v>
      </c>
      <c r="H479" s="332">
        <f t="shared" ref="H479" si="243">H480+H489</f>
        <v>4690.5079999999998</v>
      </c>
      <c r="I479" s="332">
        <f t="shared" si="233"/>
        <v>70.544563092194309</v>
      </c>
      <c r="J479" s="325"/>
      <c r="K479" s="325"/>
      <c r="L479" s="325"/>
      <c r="M479" s="325"/>
      <c r="N479" s="325"/>
    </row>
    <row r="480" spans="1:14" s="214" customFormat="1" ht="15.75" x14ac:dyDescent="0.25">
      <c r="A480" s="361" t="s">
        <v>834</v>
      </c>
      <c r="B480" s="359">
        <v>903</v>
      </c>
      <c r="C480" s="360" t="s">
        <v>254</v>
      </c>
      <c r="D480" s="360" t="s">
        <v>229</v>
      </c>
      <c r="E480" s="360" t="s">
        <v>1091</v>
      </c>
      <c r="F480" s="360"/>
      <c r="G480" s="336">
        <f>G481+G483+G487+G485</f>
        <v>6439</v>
      </c>
      <c r="H480" s="336">
        <f t="shared" ref="H480" si="244">H481+H483+H487+H485</f>
        <v>4523.5680000000002</v>
      </c>
      <c r="I480" s="336">
        <f t="shared" si="233"/>
        <v>70.252647926696696</v>
      </c>
      <c r="J480" s="325"/>
      <c r="K480" s="325"/>
      <c r="L480" s="325"/>
      <c r="M480" s="325"/>
      <c r="N480" s="325"/>
    </row>
    <row r="481" spans="1:14" s="214" customFormat="1" ht="63" x14ac:dyDescent="0.25">
      <c r="A481" s="361" t="s">
        <v>143</v>
      </c>
      <c r="B481" s="359">
        <v>903</v>
      </c>
      <c r="C481" s="360" t="s">
        <v>254</v>
      </c>
      <c r="D481" s="360" t="s">
        <v>229</v>
      </c>
      <c r="E481" s="360" t="s">
        <v>1091</v>
      </c>
      <c r="F481" s="360" t="s">
        <v>144</v>
      </c>
      <c r="G481" s="336">
        <f>G482</f>
        <v>4907.1000000000004</v>
      </c>
      <c r="H481" s="336">
        <f t="shared" ref="H481" si="245">H482</f>
        <v>3429.1</v>
      </c>
      <c r="I481" s="336">
        <f t="shared" si="233"/>
        <v>69.880377412320911</v>
      </c>
      <c r="J481" s="325"/>
      <c r="K481" s="325"/>
      <c r="L481" s="325"/>
      <c r="M481" s="325"/>
      <c r="N481" s="325"/>
    </row>
    <row r="482" spans="1:14" s="214" customFormat="1" ht="15.75" x14ac:dyDescent="0.25">
      <c r="A482" s="361" t="s">
        <v>224</v>
      </c>
      <c r="B482" s="359">
        <v>903</v>
      </c>
      <c r="C482" s="360" t="s">
        <v>254</v>
      </c>
      <c r="D482" s="360" t="s">
        <v>229</v>
      </c>
      <c r="E482" s="360" t="s">
        <v>1091</v>
      </c>
      <c r="F482" s="360" t="s">
        <v>225</v>
      </c>
      <c r="G482" s="362">
        <f>5853-357.5-36+280.5-215-617.9</f>
        <v>4907.1000000000004</v>
      </c>
      <c r="H482" s="362">
        <v>3429.1</v>
      </c>
      <c r="I482" s="336">
        <f t="shared" si="233"/>
        <v>69.880377412320911</v>
      </c>
      <c r="J482" s="325"/>
      <c r="K482" s="325"/>
      <c r="L482" s="325"/>
      <c r="M482" s="325"/>
      <c r="N482" s="325"/>
    </row>
    <row r="483" spans="1:14" s="214" customFormat="1" ht="31.5" x14ac:dyDescent="0.25">
      <c r="A483" s="361" t="s">
        <v>147</v>
      </c>
      <c r="B483" s="359">
        <v>903</v>
      </c>
      <c r="C483" s="360" t="s">
        <v>254</v>
      </c>
      <c r="D483" s="360" t="s">
        <v>229</v>
      </c>
      <c r="E483" s="360" t="s">
        <v>1091</v>
      </c>
      <c r="F483" s="360" t="s">
        <v>148</v>
      </c>
      <c r="G483" s="336">
        <f>G484</f>
        <v>864</v>
      </c>
      <c r="H483" s="336">
        <f t="shared" ref="H483" si="246">H484</f>
        <v>456.98</v>
      </c>
      <c r="I483" s="336">
        <f t="shared" si="233"/>
        <v>52.891203703703702</v>
      </c>
      <c r="J483" s="325"/>
      <c r="K483" s="325"/>
      <c r="L483" s="325"/>
      <c r="M483" s="325"/>
      <c r="N483" s="325"/>
    </row>
    <row r="484" spans="1:14" s="214" customFormat="1" ht="31.5" x14ac:dyDescent="0.25">
      <c r="A484" s="361" t="s">
        <v>149</v>
      </c>
      <c r="B484" s="359">
        <v>903</v>
      </c>
      <c r="C484" s="360" t="s">
        <v>254</v>
      </c>
      <c r="D484" s="360" t="s">
        <v>229</v>
      </c>
      <c r="E484" s="360" t="s">
        <v>1091</v>
      </c>
      <c r="F484" s="360" t="s">
        <v>150</v>
      </c>
      <c r="G484" s="362">
        <f>1456-797+145+60</f>
        <v>864</v>
      </c>
      <c r="H484" s="362">
        <v>456.98</v>
      </c>
      <c r="I484" s="336">
        <f t="shared" si="233"/>
        <v>52.891203703703702</v>
      </c>
      <c r="J484" s="325"/>
      <c r="K484" s="325"/>
      <c r="L484" s="325"/>
      <c r="M484" s="325"/>
      <c r="N484" s="325"/>
    </row>
    <row r="485" spans="1:14" s="325" customFormat="1" ht="15.75" x14ac:dyDescent="0.25">
      <c r="A485" s="361" t="s">
        <v>264</v>
      </c>
      <c r="B485" s="359">
        <v>903</v>
      </c>
      <c r="C485" s="360" t="s">
        <v>254</v>
      </c>
      <c r="D485" s="360" t="s">
        <v>229</v>
      </c>
      <c r="E485" s="360" t="s">
        <v>1091</v>
      </c>
      <c r="F485" s="360" t="s">
        <v>265</v>
      </c>
      <c r="G485" s="362">
        <f>G486</f>
        <v>617.9</v>
      </c>
      <c r="H485" s="362">
        <f t="shared" ref="H485" si="247">H486</f>
        <v>617.83799999999997</v>
      </c>
      <c r="I485" s="336">
        <f t="shared" si="233"/>
        <v>99.989966013918107</v>
      </c>
    </row>
    <row r="486" spans="1:14" s="325" customFormat="1" ht="31.5" x14ac:dyDescent="0.25">
      <c r="A486" s="361" t="s">
        <v>266</v>
      </c>
      <c r="B486" s="359">
        <v>903</v>
      </c>
      <c r="C486" s="360" t="s">
        <v>254</v>
      </c>
      <c r="D486" s="360" t="s">
        <v>229</v>
      </c>
      <c r="E486" s="360" t="s">
        <v>1091</v>
      </c>
      <c r="F486" s="360" t="s">
        <v>267</v>
      </c>
      <c r="G486" s="362">
        <v>617.9</v>
      </c>
      <c r="H486" s="362">
        <v>617.83799999999997</v>
      </c>
      <c r="I486" s="336">
        <f t="shared" si="233"/>
        <v>99.989966013918107</v>
      </c>
    </row>
    <row r="487" spans="1:14" s="214" customFormat="1" ht="15.75" x14ac:dyDescent="0.25">
      <c r="A487" s="361" t="s">
        <v>151</v>
      </c>
      <c r="B487" s="359">
        <v>903</v>
      </c>
      <c r="C487" s="360" t="s">
        <v>254</v>
      </c>
      <c r="D487" s="360" t="s">
        <v>229</v>
      </c>
      <c r="E487" s="360" t="s">
        <v>1091</v>
      </c>
      <c r="F487" s="360" t="s">
        <v>161</v>
      </c>
      <c r="G487" s="336">
        <f>G488</f>
        <v>50</v>
      </c>
      <c r="H487" s="336">
        <f t="shared" ref="H487" si="248">H488</f>
        <v>19.649999999999999</v>
      </c>
      <c r="I487" s="336">
        <f t="shared" si="233"/>
        <v>39.299999999999997</v>
      </c>
      <c r="J487" s="325"/>
      <c r="K487" s="325"/>
      <c r="L487" s="325"/>
      <c r="M487" s="325"/>
      <c r="N487" s="325"/>
    </row>
    <row r="488" spans="1:14" s="214" customFormat="1" ht="15.75" x14ac:dyDescent="0.25">
      <c r="A488" s="361" t="s">
        <v>584</v>
      </c>
      <c r="B488" s="359">
        <v>903</v>
      </c>
      <c r="C488" s="360" t="s">
        <v>254</v>
      </c>
      <c r="D488" s="360" t="s">
        <v>229</v>
      </c>
      <c r="E488" s="360" t="s">
        <v>1091</v>
      </c>
      <c r="F488" s="360" t="s">
        <v>154</v>
      </c>
      <c r="G488" s="336">
        <v>50</v>
      </c>
      <c r="H488" s="336">
        <v>19.649999999999999</v>
      </c>
      <c r="I488" s="336">
        <f t="shared" si="233"/>
        <v>39.299999999999997</v>
      </c>
      <c r="J488" s="325"/>
      <c r="K488" s="325"/>
      <c r="L488" s="325"/>
      <c r="M488" s="325"/>
      <c r="N488" s="325"/>
    </row>
    <row r="489" spans="1:14" s="214" customFormat="1" ht="31.5" x14ac:dyDescent="0.25">
      <c r="A489" s="361" t="s">
        <v>885</v>
      </c>
      <c r="B489" s="359">
        <v>903</v>
      </c>
      <c r="C489" s="360" t="s">
        <v>254</v>
      </c>
      <c r="D489" s="360" t="s">
        <v>229</v>
      </c>
      <c r="E489" s="360" t="s">
        <v>1092</v>
      </c>
      <c r="F489" s="360"/>
      <c r="G489" s="336">
        <f>G490</f>
        <v>210</v>
      </c>
      <c r="H489" s="336">
        <f t="shared" ref="H489:H490" si="249">H490</f>
        <v>166.94</v>
      </c>
      <c r="I489" s="336">
        <f t="shared" si="233"/>
        <v>79.495238095238093</v>
      </c>
      <c r="J489" s="325"/>
      <c r="K489" s="325"/>
      <c r="L489" s="325"/>
      <c r="M489" s="325"/>
      <c r="N489" s="325"/>
    </row>
    <row r="490" spans="1:14" s="214" customFormat="1" ht="63" x14ac:dyDescent="0.25">
      <c r="A490" s="361" t="s">
        <v>143</v>
      </c>
      <c r="B490" s="359">
        <v>903</v>
      </c>
      <c r="C490" s="360" t="s">
        <v>254</v>
      </c>
      <c r="D490" s="360" t="s">
        <v>229</v>
      </c>
      <c r="E490" s="360" t="s">
        <v>1092</v>
      </c>
      <c r="F490" s="360" t="s">
        <v>144</v>
      </c>
      <c r="G490" s="336">
        <f>G491</f>
        <v>210</v>
      </c>
      <c r="H490" s="336">
        <f t="shared" si="249"/>
        <v>166.94</v>
      </c>
      <c r="I490" s="336">
        <f t="shared" si="233"/>
        <v>79.495238095238093</v>
      </c>
      <c r="J490" s="325"/>
      <c r="K490" s="325"/>
      <c r="L490" s="325"/>
      <c r="M490" s="325"/>
      <c r="N490" s="325"/>
    </row>
    <row r="491" spans="1:14" s="214" customFormat="1" ht="15.75" x14ac:dyDescent="0.25">
      <c r="A491" s="361" t="s">
        <v>224</v>
      </c>
      <c r="B491" s="359">
        <v>903</v>
      </c>
      <c r="C491" s="360" t="s">
        <v>254</v>
      </c>
      <c r="D491" s="360" t="s">
        <v>229</v>
      </c>
      <c r="E491" s="360" t="s">
        <v>1092</v>
      </c>
      <c r="F491" s="360" t="s">
        <v>225</v>
      </c>
      <c r="G491" s="336">
        <v>210</v>
      </c>
      <c r="H491" s="336">
        <v>166.94</v>
      </c>
      <c r="I491" s="336">
        <f t="shared" si="233"/>
        <v>79.495238095238093</v>
      </c>
      <c r="J491" s="325"/>
      <c r="K491" s="325"/>
      <c r="L491" s="325"/>
      <c r="M491" s="325"/>
      <c r="N491" s="325"/>
    </row>
    <row r="492" spans="1:14" s="214" customFormat="1" ht="47.25" x14ac:dyDescent="0.25">
      <c r="A492" s="41" t="s">
        <v>1179</v>
      </c>
      <c r="B492" s="330">
        <v>903</v>
      </c>
      <c r="C492" s="334" t="s">
        <v>254</v>
      </c>
      <c r="D492" s="334" t="s">
        <v>229</v>
      </c>
      <c r="E492" s="334" t="s">
        <v>728</v>
      </c>
      <c r="F492" s="231"/>
      <c r="G492" s="332">
        <f>G494</f>
        <v>72</v>
      </c>
      <c r="H492" s="332">
        <f t="shared" ref="H492" si="250">H494</f>
        <v>54</v>
      </c>
      <c r="I492" s="332">
        <f t="shared" si="233"/>
        <v>75</v>
      </c>
      <c r="J492" s="325"/>
      <c r="K492" s="325"/>
      <c r="L492" s="325"/>
      <c r="M492" s="325"/>
      <c r="N492" s="325"/>
    </row>
    <row r="493" spans="1:14" s="214" customFormat="1" ht="47.25" x14ac:dyDescent="0.25">
      <c r="A493" s="41" t="s">
        <v>949</v>
      </c>
      <c r="B493" s="330">
        <v>903</v>
      </c>
      <c r="C493" s="334" t="s">
        <v>254</v>
      </c>
      <c r="D493" s="334" t="s">
        <v>229</v>
      </c>
      <c r="E493" s="334" t="s">
        <v>947</v>
      </c>
      <c r="F493" s="231"/>
      <c r="G493" s="332">
        <f>G494</f>
        <v>72</v>
      </c>
      <c r="H493" s="332">
        <f t="shared" ref="H493:H495" si="251">H494</f>
        <v>54</v>
      </c>
      <c r="I493" s="332">
        <f t="shared" si="233"/>
        <v>75</v>
      </c>
      <c r="J493" s="325"/>
      <c r="K493" s="325"/>
      <c r="L493" s="325"/>
      <c r="M493" s="325"/>
      <c r="N493" s="325"/>
    </row>
    <row r="494" spans="1:14" s="214" customFormat="1" ht="31.5" x14ac:dyDescent="0.25">
      <c r="A494" s="99" t="s">
        <v>1157</v>
      </c>
      <c r="B494" s="359">
        <v>903</v>
      </c>
      <c r="C494" s="360" t="s">
        <v>254</v>
      </c>
      <c r="D494" s="360" t="s">
        <v>229</v>
      </c>
      <c r="E494" s="360" t="s">
        <v>948</v>
      </c>
      <c r="F494" s="32"/>
      <c r="G494" s="336">
        <f>G495</f>
        <v>72</v>
      </c>
      <c r="H494" s="336">
        <f t="shared" si="251"/>
        <v>54</v>
      </c>
      <c r="I494" s="336">
        <f t="shared" si="233"/>
        <v>75</v>
      </c>
      <c r="J494" s="325"/>
      <c r="K494" s="325"/>
      <c r="L494" s="325"/>
      <c r="M494" s="325"/>
      <c r="N494" s="325"/>
    </row>
    <row r="495" spans="1:14" s="214" customFormat="1" ht="31.5" x14ac:dyDescent="0.25">
      <c r="A495" s="361" t="s">
        <v>147</v>
      </c>
      <c r="B495" s="359">
        <v>903</v>
      </c>
      <c r="C495" s="360" t="s">
        <v>254</v>
      </c>
      <c r="D495" s="360" t="s">
        <v>229</v>
      </c>
      <c r="E495" s="360" t="s">
        <v>948</v>
      </c>
      <c r="F495" s="32" t="s">
        <v>148</v>
      </c>
      <c r="G495" s="336">
        <f>G496</f>
        <v>72</v>
      </c>
      <c r="H495" s="336">
        <f t="shared" si="251"/>
        <v>54</v>
      </c>
      <c r="I495" s="336">
        <f t="shared" si="233"/>
        <v>75</v>
      </c>
      <c r="J495" s="325"/>
      <c r="K495" s="325"/>
      <c r="L495" s="325"/>
      <c r="M495" s="325"/>
      <c r="N495" s="325"/>
    </row>
    <row r="496" spans="1:14" s="214" customFormat="1" ht="31.5" x14ac:dyDescent="0.25">
      <c r="A496" s="361" t="s">
        <v>149</v>
      </c>
      <c r="B496" s="359">
        <v>903</v>
      </c>
      <c r="C496" s="360" t="s">
        <v>254</v>
      </c>
      <c r="D496" s="360" t="s">
        <v>229</v>
      </c>
      <c r="E496" s="360" t="s">
        <v>948</v>
      </c>
      <c r="F496" s="32" t="s">
        <v>150</v>
      </c>
      <c r="G496" s="336">
        <f>60+12</f>
        <v>72</v>
      </c>
      <c r="H496" s="336">
        <v>54</v>
      </c>
      <c r="I496" s="336">
        <f t="shared" si="233"/>
        <v>75</v>
      </c>
      <c r="J496" s="325"/>
      <c r="K496" s="325"/>
      <c r="L496" s="325"/>
      <c r="M496" s="325"/>
      <c r="N496" s="325"/>
    </row>
    <row r="497" spans="1:14" ht="31.5" x14ac:dyDescent="0.25">
      <c r="A497" s="330" t="s">
        <v>403</v>
      </c>
      <c r="B497" s="330">
        <v>905</v>
      </c>
      <c r="C497" s="360"/>
      <c r="D497" s="360"/>
      <c r="E497" s="360"/>
      <c r="F497" s="360"/>
      <c r="G497" s="332">
        <f>G498+G530+G540</f>
        <v>19729.679999999997</v>
      </c>
      <c r="H497" s="332">
        <f t="shared" ref="H497" si="252">H498+H530+H540</f>
        <v>12238.93</v>
      </c>
      <c r="I497" s="332">
        <f t="shared" si="233"/>
        <v>62.033089234087946</v>
      </c>
    </row>
    <row r="498" spans="1:14" ht="15.75" x14ac:dyDescent="0.25">
      <c r="A498" s="333" t="s">
        <v>133</v>
      </c>
      <c r="B498" s="330">
        <v>905</v>
      </c>
      <c r="C498" s="334" t="s">
        <v>134</v>
      </c>
      <c r="D498" s="360"/>
      <c r="E498" s="360"/>
      <c r="F498" s="360"/>
      <c r="G498" s="332">
        <f>G499+G516</f>
        <v>17017.699999999997</v>
      </c>
      <c r="H498" s="332">
        <f t="shared" ref="H498" si="253">H499+H516</f>
        <v>11508.19</v>
      </c>
      <c r="I498" s="332">
        <f t="shared" si="233"/>
        <v>67.624825916545731</v>
      </c>
    </row>
    <row r="499" spans="1:14" ht="65.25" customHeight="1" x14ac:dyDescent="0.25">
      <c r="A499" s="333" t="s">
        <v>165</v>
      </c>
      <c r="B499" s="330">
        <v>905</v>
      </c>
      <c r="C499" s="334" t="s">
        <v>134</v>
      </c>
      <c r="D499" s="334" t="s">
        <v>166</v>
      </c>
      <c r="E499" s="334"/>
      <c r="F499" s="334"/>
      <c r="G499" s="332">
        <f>G500</f>
        <v>11518.4</v>
      </c>
      <c r="H499" s="332">
        <f t="shared" ref="H499" si="254">H500</f>
        <v>8232.51</v>
      </c>
      <c r="I499" s="332">
        <f t="shared" si="233"/>
        <v>71.472687178774834</v>
      </c>
    </row>
    <row r="500" spans="1:14" ht="31.5" x14ac:dyDescent="0.25">
      <c r="A500" s="333" t="s">
        <v>990</v>
      </c>
      <c r="B500" s="330">
        <v>905</v>
      </c>
      <c r="C500" s="334" t="s">
        <v>134</v>
      </c>
      <c r="D500" s="334" t="s">
        <v>166</v>
      </c>
      <c r="E500" s="334" t="s">
        <v>904</v>
      </c>
      <c r="F500" s="334"/>
      <c r="G500" s="332">
        <f>G501+G512</f>
        <v>11518.4</v>
      </c>
      <c r="H500" s="332">
        <f t="shared" ref="H500" si="255">H501+H512</f>
        <v>8232.51</v>
      </c>
      <c r="I500" s="332">
        <f t="shared" si="233"/>
        <v>71.472687178774834</v>
      </c>
    </row>
    <row r="501" spans="1:14" ht="15.75" x14ac:dyDescent="0.25">
      <c r="A501" s="333" t="s">
        <v>991</v>
      </c>
      <c r="B501" s="330">
        <v>905</v>
      </c>
      <c r="C501" s="334" t="s">
        <v>134</v>
      </c>
      <c r="D501" s="334" t="s">
        <v>166</v>
      </c>
      <c r="E501" s="334" t="s">
        <v>905</v>
      </c>
      <c r="F501" s="334"/>
      <c r="G501" s="332">
        <f>G502+G509</f>
        <v>11496.4</v>
      </c>
      <c r="H501" s="332">
        <f t="shared" ref="H501" si="256">H502+H509</f>
        <v>8232.51</v>
      </c>
      <c r="I501" s="332">
        <f t="shared" si="233"/>
        <v>71.609460352806096</v>
      </c>
    </row>
    <row r="502" spans="1:14" ht="31.5" x14ac:dyDescent="0.25">
      <c r="A502" s="361" t="s">
        <v>967</v>
      </c>
      <c r="B502" s="359">
        <v>905</v>
      </c>
      <c r="C502" s="360" t="s">
        <v>134</v>
      </c>
      <c r="D502" s="360" t="s">
        <v>166</v>
      </c>
      <c r="E502" s="360" t="s">
        <v>906</v>
      </c>
      <c r="F502" s="360"/>
      <c r="G502" s="336">
        <f>G503+G505+G507</f>
        <v>11160.4</v>
      </c>
      <c r="H502" s="336">
        <f t="shared" ref="H502" si="257">H503+H505+H507</f>
        <v>8055.84</v>
      </c>
      <c r="I502" s="336">
        <f t="shared" si="233"/>
        <v>72.182359055230989</v>
      </c>
    </row>
    <row r="503" spans="1:14" ht="63" x14ac:dyDescent="0.25">
      <c r="A503" s="361" t="s">
        <v>143</v>
      </c>
      <c r="B503" s="359">
        <v>905</v>
      </c>
      <c r="C503" s="360" t="s">
        <v>134</v>
      </c>
      <c r="D503" s="360" t="s">
        <v>166</v>
      </c>
      <c r="E503" s="360" t="s">
        <v>906</v>
      </c>
      <c r="F503" s="360" t="s">
        <v>144</v>
      </c>
      <c r="G503" s="336">
        <f>G504</f>
        <v>10559.4</v>
      </c>
      <c r="H503" s="336">
        <f t="shared" ref="H503" si="258">H504</f>
        <v>7699.24</v>
      </c>
      <c r="I503" s="336">
        <f t="shared" si="233"/>
        <v>72.913612515862653</v>
      </c>
    </row>
    <row r="504" spans="1:14" ht="31.5" x14ac:dyDescent="0.25">
      <c r="A504" s="361" t="s">
        <v>145</v>
      </c>
      <c r="B504" s="359">
        <v>905</v>
      </c>
      <c r="C504" s="360" t="s">
        <v>134</v>
      </c>
      <c r="D504" s="360" t="s">
        <v>166</v>
      </c>
      <c r="E504" s="360" t="s">
        <v>906</v>
      </c>
      <c r="F504" s="360" t="s">
        <v>146</v>
      </c>
      <c r="G504" s="362">
        <f>10033+510+16.4</f>
        <v>10559.4</v>
      </c>
      <c r="H504" s="362">
        <v>7699.24</v>
      </c>
      <c r="I504" s="336">
        <f t="shared" si="233"/>
        <v>72.913612515862653</v>
      </c>
    </row>
    <row r="505" spans="1:14" ht="31.5" x14ac:dyDescent="0.25">
      <c r="A505" s="361" t="s">
        <v>147</v>
      </c>
      <c r="B505" s="359">
        <v>905</v>
      </c>
      <c r="C505" s="360" t="s">
        <v>134</v>
      </c>
      <c r="D505" s="360" t="s">
        <v>166</v>
      </c>
      <c r="E505" s="360" t="s">
        <v>906</v>
      </c>
      <c r="F505" s="360" t="s">
        <v>148</v>
      </c>
      <c r="G505" s="336">
        <f>G506</f>
        <v>470</v>
      </c>
      <c r="H505" s="336">
        <f t="shared" ref="H505" si="259">H506</f>
        <v>281.3</v>
      </c>
      <c r="I505" s="336">
        <f t="shared" si="233"/>
        <v>59.851063829787229</v>
      </c>
    </row>
    <row r="506" spans="1:14" ht="31.5" x14ac:dyDescent="0.25">
      <c r="A506" s="361" t="s">
        <v>149</v>
      </c>
      <c r="B506" s="359">
        <v>905</v>
      </c>
      <c r="C506" s="360" t="s">
        <v>134</v>
      </c>
      <c r="D506" s="360" t="s">
        <v>166</v>
      </c>
      <c r="E506" s="360" t="s">
        <v>906</v>
      </c>
      <c r="F506" s="360" t="s">
        <v>150</v>
      </c>
      <c r="G506" s="362">
        <f>440+30</f>
        <v>470</v>
      </c>
      <c r="H506" s="362">
        <v>281.3</v>
      </c>
      <c r="I506" s="336">
        <f t="shared" si="233"/>
        <v>59.851063829787229</v>
      </c>
    </row>
    <row r="507" spans="1:14" ht="15.75" x14ac:dyDescent="0.25">
      <c r="A507" s="361" t="s">
        <v>151</v>
      </c>
      <c r="B507" s="359">
        <v>905</v>
      </c>
      <c r="C507" s="360" t="s">
        <v>134</v>
      </c>
      <c r="D507" s="360" t="s">
        <v>166</v>
      </c>
      <c r="E507" s="360" t="s">
        <v>906</v>
      </c>
      <c r="F507" s="360" t="s">
        <v>161</v>
      </c>
      <c r="G507" s="336">
        <f>G508</f>
        <v>131</v>
      </c>
      <c r="H507" s="336">
        <f t="shared" ref="H507" si="260">H508</f>
        <v>75.3</v>
      </c>
      <c r="I507" s="336">
        <f t="shared" si="233"/>
        <v>57.480916030534345</v>
      </c>
    </row>
    <row r="508" spans="1:14" ht="15.75" x14ac:dyDescent="0.25">
      <c r="A508" s="361" t="s">
        <v>584</v>
      </c>
      <c r="B508" s="359">
        <v>905</v>
      </c>
      <c r="C508" s="360" t="s">
        <v>134</v>
      </c>
      <c r="D508" s="360" t="s">
        <v>166</v>
      </c>
      <c r="E508" s="360" t="s">
        <v>906</v>
      </c>
      <c r="F508" s="360" t="s">
        <v>154</v>
      </c>
      <c r="G508" s="336">
        <f>8.8+7.5+20+30+65-0.3</f>
        <v>131</v>
      </c>
      <c r="H508" s="336">
        <v>75.3</v>
      </c>
      <c r="I508" s="336">
        <f t="shared" si="233"/>
        <v>57.480916030534345</v>
      </c>
    </row>
    <row r="509" spans="1:14" s="214" customFormat="1" ht="31.5" x14ac:dyDescent="0.25">
      <c r="A509" s="361" t="s">
        <v>885</v>
      </c>
      <c r="B509" s="359">
        <v>905</v>
      </c>
      <c r="C509" s="360" t="s">
        <v>134</v>
      </c>
      <c r="D509" s="360" t="s">
        <v>166</v>
      </c>
      <c r="E509" s="360" t="s">
        <v>908</v>
      </c>
      <c r="F509" s="360"/>
      <c r="G509" s="336">
        <f>G510</f>
        <v>336</v>
      </c>
      <c r="H509" s="336">
        <f t="shared" ref="H509:H510" si="261">H510</f>
        <v>176.67</v>
      </c>
      <c r="I509" s="336">
        <f t="shared" si="233"/>
        <v>52.580357142857139</v>
      </c>
      <c r="J509" s="325"/>
      <c r="K509" s="325"/>
      <c r="L509" s="325"/>
      <c r="M509" s="325"/>
      <c r="N509" s="325"/>
    </row>
    <row r="510" spans="1:14" s="214" customFormat="1" ht="63" x14ac:dyDescent="0.25">
      <c r="A510" s="361" t="s">
        <v>143</v>
      </c>
      <c r="B510" s="359">
        <v>905</v>
      </c>
      <c r="C510" s="360" t="s">
        <v>134</v>
      </c>
      <c r="D510" s="360" t="s">
        <v>166</v>
      </c>
      <c r="E510" s="360" t="s">
        <v>908</v>
      </c>
      <c r="F510" s="360" t="s">
        <v>144</v>
      </c>
      <c r="G510" s="336">
        <f>G511</f>
        <v>336</v>
      </c>
      <c r="H510" s="336">
        <f t="shared" si="261"/>
        <v>176.67</v>
      </c>
      <c r="I510" s="336">
        <f t="shared" si="233"/>
        <v>52.580357142857139</v>
      </c>
      <c r="J510" s="325"/>
      <c r="K510" s="325"/>
      <c r="L510" s="325"/>
      <c r="M510" s="325"/>
      <c r="N510" s="325"/>
    </row>
    <row r="511" spans="1:14" s="214" customFormat="1" ht="31.5" x14ac:dyDescent="0.25">
      <c r="A511" s="361" t="s">
        <v>145</v>
      </c>
      <c r="B511" s="359">
        <v>905</v>
      </c>
      <c r="C511" s="360" t="s">
        <v>134</v>
      </c>
      <c r="D511" s="360" t="s">
        <v>166</v>
      </c>
      <c r="E511" s="360" t="s">
        <v>908</v>
      </c>
      <c r="F511" s="360" t="s">
        <v>146</v>
      </c>
      <c r="G511" s="336">
        <v>336</v>
      </c>
      <c r="H511" s="336">
        <v>176.67</v>
      </c>
      <c r="I511" s="336">
        <f t="shared" si="233"/>
        <v>52.580357142857139</v>
      </c>
      <c r="J511" s="325"/>
      <c r="K511" s="325"/>
      <c r="L511" s="325"/>
      <c r="M511" s="325"/>
      <c r="N511" s="325"/>
    </row>
    <row r="512" spans="1:14" s="214" customFormat="1" ht="31.5" x14ac:dyDescent="0.25">
      <c r="A512" s="333" t="s">
        <v>932</v>
      </c>
      <c r="B512" s="330">
        <v>905</v>
      </c>
      <c r="C512" s="334" t="s">
        <v>134</v>
      </c>
      <c r="D512" s="334" t="s">
        <v>166</v>
      </c>
      <c r="E512" s="334" t="s">
        <v>909</v>
      </c>
      <c r="F512" s="334"/>
      <c r="G512" s="332">
        <f>G513</f>
        <v>22</v>
      </c>
      <c r="H512" s="332">
        <f t="shared" ref="H512:H514" si="262">H513</f>
        <v>0</v>
      </c>
      <c r="I512" s="332">
        <f t="shared" si="233"/>
        <v>0</v>
      </c>
      <c r="J512" s="325"/>
      <c r="K512" s="325"/>
      <c r="L512" s="325"/>
      <c r="M512" s="325"/>
      <c r="N512" s="325"/>
    </row>
    <row r="513" spans="1:14" s="214" customFormat="1" ht="78.75" x14ac:dyDescent="0.25">
      <c r="A513" s="31" t="s">
        <v>1408</v>
      </c>
      <c r="B513" s="359">
        <v>905</v>
      </c>
      <c r="C513" s="360" t="s">
        <v>134</v>
      </c>
      <c r="D513" s="360" t="s">
        <v>166</v>
      </c>
      <c r="E513" s="360" t="s">
        <v>1407</v>
      </c>
      <c r="F513" s="360"/>
      <c r="G513" s="336">
        <f>G514</f>
        <v>22</v>
      </c>
      <c r="H513" s="336">
        <f t="shared" si="262"/>
        <v>0</v>
      </c>
      <c r="I513" s="336">
        <f t="shared" si="233"/>
        <v>0</v>
      </c>
      <c r="J513" s="325"/>
      <c r="K513" s="325"/>
      <c r="L513" s="325"/>
      <c r="M513" s="325"/>
      <c r="N513" s="325"/>
    </row>
    <row r="514" spans="1:14" s="214" customFormat="1" ht="63" x14ac:dyDescent="0.25">
      <c r="A514" s="361" t="s">
        <v>143</v>
      </c>
      <c r="B514" s="359">
        <v>905</v>
      </c>
      <c r="C514" s="360" t="s">
        <v>134</v>
      </c>
      <c r="D514" s="360" t="s">
        <v>166</v>
      </c>
      <c r="E514" s="360" t="s">
        <v>1407</v>
      </c>
      <c r="F514" s="360" t="s">
        <v>144</v>
      </c>
      <c r="G514" s="336">
        <f>G515</f>
        <v>22</v>
      </c>
      <c r="H514" s="336">
        <f t="shared" si="262"/>
        <v>0</v>
      </c>
      <c r="I514" s="336">
        <f t="shared" si="233"/>
        <v>0</v>
      </c>
      <c r="J514" s="325"/>
      <c r="K514" s="325"/>
      <c r="L514" s="325"/>
      <c r="M514" s="325"/>
      <c r="N514" s="325"/>
    </row>
    <row r="515" spans="1:14" s="214" customFormat="1" ht="31.5" x14ac:dyDescent="0.25">
      <c r="A515" s="361" t="s">
        <v>145</v>
      </c>
      <c r="B515" s="359">
        <v>905</v>
      </c>
      <c r="C515" s="360" t="s">
        <v>134</v>
      </c>
      <c r="D515" s="360" t="s">
        <v>166</v>
      </c>
      <c r="E515" s="360" t="s">
        <v>1407</v>
      </c>
      <c r="F515" s="360" t="s">
        <v>146</v>
      </c>
      <c r="G515" s="336">
        <v>22</v>
      </c>
      <c r="H515" s="336">
        <v>0</v>
      </c>
      <c r="I515" s="336">
        <f t="shared" si="233"/>
        <v>0</v>
      </c>
      <c r="J515" s="325"/>
      <c r="K515" s="325"/>
      <c r="L515" s="325"/>
      <c r="M515" s="325"/>
      <c r="N515" s="325"/>
    </row>
    <row r="516" spans="1:14" ht="15.75" x14ac:dyDescent="0.25">
      <c r="A516" s="333" t="s">
        <v>155</v>
      </c>
      <c r="B516" s="330">
        <v>905</v>
      </c>
      <c r="C516" s="334" t="s">
        <v>134</v>
      </c>
      <c r="D516" s="334" t="s">
        <v>156</v>
      </c>
      <c r="E516" s="334"/>
      <c r="F516" s="334"/>
      <c r="G516" s="332">
        <f>G517+G525</f>
        <v>5499.2999999999993</v>
      </c>
      <c r="H516" s="332">
        <f t="shared" ref="H516" si="263">H517+H525</f>
        <v>3275.68</v>
      </c>
      <c r="I516" s="332">
        <f t="shared" si="233"/>
        <v>59.565399232629609</v>
      </c>
    </row>
    <row r="517" spans="1:14" s="214" customFormat="1" ht="15.75" x14ac:dyDescent="0.25">
      <c r="A517" s="333" t="s">
        <v>157</v>
      </c>
      <c r="B517" s="330">
        <v>905</v>
      </c>
      <c r="C517" s="334" t="s">
        <v>134</v>
      </c>
      <c r="D517" s="334" t="s">
        <v>156</v>
      </c>
      <c r="E517" s="334" t="s">
        <v>912</v>
      </c>
      <c r="F517" s="334"/>
      <c r="G517" s="332">
        <f>G518</f>
        <v>5499.2999999999993</v>
      </c>
      <c r="H517" s="332">
        <f t="shared" ref="H517" si="264">H518</f>
        <v>3275.68</v>
      </c>
      <c r="I517" s="332">
        <f t="shared" si="233"/>
        <v>59.565399232629609</v>
      </c>
      <c r="J517" s="325"/>
      <c r="K517" s="325"/>
      <c r="L517" s="325"/>
      <c r="M517" s="325"/>
      <c r="N517" s="325"/>
    </row>
    <row r="518" spans="1:14" s="214" customFormat="1" ht="31.5" x14ac:dyDescent="0.25">
      <c r="A518" s="333" t="s">
        <v>916</v>
      </c>
      <c r="B518" s="330">
        <v>905</v>
      </c>
      <c r="C518" s="334" t="s">
        <v>134</v>
      </c>
      <c r="D518" s="334" t="s">
        <v>156</v>
      </c>
      <c r="E518" s="334" t="s">
        <v>911</v>
      </c>
      <c r="F518" s="334"/>
      <c r="G518" s="332">
        <f>G519+G522</f>
        <v>5499.2999999999993</v>
      </c>
      <c r="H518" s="332">
        <f t="shared" ref="H518" si="265">H519+H522</f>
        <v>3275.68</v>
      </c>
      <c r="I518" s="332">
        <f t="shared" si="233"/>
        <v>59.565399232629609</v>
      </c>
      <c r="J518" s="325"/>
      <c r="K518" s="325"/>
      <c r="L518" s="325"/>
      <c r="M518" s="325"/>
      <c r="N518" s="325"/>
    </row>
    <row r="519" spans="1:14" s="214" customFormat="1" ht="47.25" x14ac:dyDescent="0.25">
      <c r="A519" s="361" t="s">
        <v>404</v>
      </c>
      <c r="B519" s="359">
        <v>905</v>
      </c>
      <c r="C519" s="360" t="s">
        <v>134</v>
      </c>
      <c r="D519" s="360" t="s">
        <v>156</v>
      </c>
      <c r="E519" s="360" t="s">
        <v>1169</v>
      </c>
      <c r="F519" s="360"/>
      <c r="G519" s="336">
        <f>G520</f>
        <v>5499.2999999999993</v>
      </c>
      <c r="H519" s="336">
        <f t="shared" ref="H519:H520" si="266">H520</f>
        <v>3275.68</v>
      </c>
      <c r="I519" s="336">
        <f t="shared" si="233"/>
        <v>59.565399232629609</v>
      </c>
      <c r="J519" s="325"/>
      <c r="K519" s="325"/>
      <c r="L519" s="325"/>
      <c r="M519" s="325"/>
      <c r="N519" s="325"/>
    </row>
    <row r="520" spans="1:14" s="214" customFormat="1" ht="31.5" x14ac:dyDescent="0.25">
      <c r="A520" s="361" t="s">
        <v>147</v>
      </c>
      <c r="B520" s="359">
        <v>905</v>
      </c>
      <c r="C520" s="360" t="s">
        <v>134</v>
      </c>
      <c r="D520" s="360" t="s">
        <v>156</v>
      </c>
      <c r="E520" s="360" t="s">
        <v>1169</v>
      </c>
      <c r="F520" s="360" t="s">
        <v>148</v>
      </c>
      <c r="G520" s="336">
        <f>G521</f>
        <v>5499.2999999999993</v>
      </c>
      <c r="H520" s="336">
        <f t="shared" si="266"/>
        <v>3275.68</v>
      </c>
      <c r="I520" s="336">
        <f t="shared" si="233"/>
        <v>59.565399232629609</v>
      </c>
      <c r="J520" s="325"/>
      <c r="K520" s="325"/>
      <c r="L520" s="325"/>
      <c r="M520" s="325"/>
      <c r="N520" s="325"/>
    </row>
    <row r="521" spans="1:14" s="214" customFormat="1" ht="31.5" x14ac:dyDescent="0.25">
      <c r="A521" s="361" t="s">
        <v>149</v>
      </c>
      <c r="B521" s="359">
        <v>905</v>
      </c>
      <c r="C521" s="360" t="s">
        <v>134</v>
      </c>
      <c r="D521" s="360" t="s">
        <v>156</v>
      </c>
      <c r="E521" s="360" t="s">
        <v>1169</v>
      </c>
      <c r="F521" s="360" t="s">
        <v>150</v>
      </c>
      <c r="G521" s="336">
        <f>2900+140+953.1+1064.3+441.9</f>
        <v>5499.2999999999993</v>
      </c>
      <c r="H521" s="336">
        <v>3275.68</v>
      </c>
      <c r="I521" s="336">
        <f t="shared" si="233"/>
        <v>59.565399232629609</v>
      </c>
      <c r="J521" s="325"/>
      <c r="K521" s="325"/>
      <c r="L521" s="325"/>
      <c r="M521" s="325"/>
      <c r="N521" s="325"/>
    </row>
    <row r="522" spans="1:14" s="214" customFormat="1" ht="31.5" hidden="1" x14ac:dyDescent="0.25">
      <c r="A522" s="361" t="s">
        <v>1004</v>
      </c>
      <c r="B522" s="359">
        <v>905</v>
      </c>
      <c r="C522" s="360" t="s">
        <v>134</v>
      </c>
      <c r="D522" s="360" t="s">
        <v>156</v>
      </c>
      <c r="E522" s="360" t="s">
        <v>1170</v>
      </c>
      <c r="F522" s="360"/>
      <c r="G522" s="336">
        <f>G523</f>
        <v>0</v>
      </c>
      <c r="H522" s="336">
        <f t="shared" ref="H522:H523" si="267">H523</f>
        <v>0</v>
      </c>
      <c r="I522" s="336" t="e">
        <f t="shared" si="233"/>
        <v>#DIV/0!</v>
      </c>
      <c r="J522" s="325"/>
      <c r="K522" s="325"/>
      <c r="L522" s="325"/>
      <c r="M522" s="325"/>
      <c r="N522" s="325"/>
    </row>
    <row r="523" spans="1:14" s="214" customFormat="1" ht="31.5" hidden="1" x14ac:dyDescent="0.25">
      <c r="A523" s="361" t="s">
        <v>147</v>
      </c>
      <c r="B523" s="359">
        <v>905</v>
      </c>
      <c r="C523" s="360" t="s">
        <v>134</v>
      </c>
      <c r="D523" s="360" t="s">
        <v>156</v>
      </c>
      <c r="E523" s="360" t="s">
        <v>1170</v>
      </c>
      <c r="F523" s="360" t="s">
        <v>148</v>
      </c>
      <c r="G523" s="336">
        <f>G524</f>
        <v>0</v>
      </c>
      <c r="H523" s="336">
        <f t="shared" si="267"/>
        <v>0</v>
      </c>
      <c r="I523" s="336" t="e">
        <f t="shared" ref="I523:I586" si="268">H523/G523*100</f>
        <v>#DIV/0!</v>
      </c>
      <c r="J523" s="325"/>
      <c r="K523" s="325"/>
      <c r="L523" s="325"/>
      <c r="M523" s="325"/>
      <c r="N523" s="325"/>
    </row>
    <row r="524" spans="1:14" s="214" customFormat="1" ht="31.5" hidden="1" x14ac:dyDescent="0.25">
      <c r="A524" s="361" t="s">
        <v>149</v>
      </c>
      <c r="B524" s="359">
        <v>905</v>
      </c>
      <c r="C524" s="360" t="s">
        <v>134</v>
      </c>
      <c r="D524" s="360" t="s">
        <v>156</v>
      </c>
      <c r="E524" s="360" t="s">
        <v>1170</v>
      </c>
      <c r="F524" s="360" t="s">
        <v>150</v>
      </c>
      <c r="G524" s="336">
        <f>100-100</f>
        <v>0</v>
      </c>
      <c r="H524" s="336">
        <f t="shared" ref="H524" si="269">100-100</f>
        <v>0</v>
      </c>
      <c r="I524" s="336" t="e">
        <f t="shared" si="268"/>
        <v>#DIV/0!</v>
      </c>
      <c r="J524" s="325"/>
      <c r="K524" s="325"/>
      <c r="L524" s="325"/>
      <c r="M524" s="325"/>
      <c r="N524" s="325"/>
    </row>
    <row r="525" spans="1:14" s="112" customFormat="1" ht="69" hidden="1" customHeight="1" x14ac:dyDescent="0.25">
      <c r="A525" s="333" t="s">
        <v>1181</v>
      </c>
      <c r="B525" s="330">
        <v>905</v>
      </c>
      <c r="C525" s="334" t="s">
        <v>134</v>
      </c>
      <c r="D525" s="334" t="s">
        <v>156</v>
      </c>
      <c r="E525" s="334" t="s">
        <v>806</v>
      </c>
      <c r="F525" s="334"/>
      <c r="G525" s="332">
        <f>G526</f>
        <v>0</v>
      </c>
      <c r="H525" s="332">
        <f t="shared" ref="H525:H528" si="270">H526</f>
        <v>0</v>
      </c>
      <c r="I525" s="336" t="e">
        <f t="shared" si="268"/>
        <v>#DIV/0!</v>
      </c>
      <c r="J525" s="216"/>
      <c r="K525" s="216"/>
      <c r="L525" s="216"/>
      <c r="M525" s="216"/>
      <c r="N525" s="216"/>
    </row>
    <row r="526" spans="1:14" s="216" customFormat="1" ht="29.25" hidden="1" customHeight="1" x14ac:dyDescent="0.25">
      <c r="A526" s="333" t="s">
        <v>1003</v>
      </c>
      <c r="B526" s="330">
        <v>905</v>
      </c>
      <c r="C526" s="334" t="s">
        <v>134</v>
      </c>
      <c r="D526" s="334" t="s">
        <v>156</v>
      </c>
      <c r="E526" s="334" t="s">
        <v>1182</v>
      </c>
      <c r="F526" s="334"/>
      <c r="G526" s="332">
        <f>G527</f>
        <v>0</v>
      </c>
      <c r="H526" s="332">
        <f t="shared" si="270"/>
        <v>0</v>
      </c>
      <c r="I526" s="336" t="e">
        <f t="shared" si="268"/>
        <v>#DIV/0!</v>
      </c>
    </row>
    <row r="527" spans="1:14" s="112" customFormat="1" ht="31.7" hidden="1" customHeight="1" x14ac:dyDescent="0.25">
      <c r="A527" s="361" t="s">
        <v>816</v>
      </c>
      <c r="B527" s="359">
        <v>905</v>
      </c>
      <c r="C527" s="360" t="s">
        <v>134</v>
      </c>
      <c r="D527" s="360" t="s">
        <v>156</v>
      </c>
      <c r="E527" s="360" t="s">
        <v>1183</v>
      </c>
      <c r="F527" s="360"/>
      <c r="G527" s="336">
        <f>G528</f>
        <v>0</v>
      </c>
      <c r="H527" s="336">
        <f t="shared" si="270"/>
        <v>0</v>
      </c>
      <c r="I527" s="336" t="e">
        <f t="shared" si="268"/>
        <v>#DIV/0!</v>
      </c>
      <c r="J527" s="216"/>
      <c r="K527" s="216"/>
      <c r="L527" s="216"/>
      <c r="M527" s="216"/>
      <c r="N527" s="216"/>
    </row>
    <row r="528" spans="1:14" s="112" customFormat="1" ht="31.5" hidden="1" x14ac:dyDescent="0.25">
      <c r="A528" s="361" t="s">
        <v>147</v>
      </c>
      <c r="B528" s="359">
        <v>905</v>
      </c>
      <c r="C528" s="360" t="s">
        <v>134</v>
      </c>
      <c r="D528" s="360" t="s">
        <v>156</v>
      </c>
      <c r="E528" s="360" t="s">
        <v>1183</v>
      </c>
      <c r="F528" s="360" t="s">
        <v>148</v>
      </c>
      <c r="G528" s="336">
        <f>G529</f>
        <v>0</v>
      </c>
      <c r="H528" s="336">
        <f t="shared" si="270"/>
        <v>0</v>
      </c>
      <c r="I528" s="336" t="e">
        <f t="shared" si="268"/>
        <v>#DIV/0!</v>
      </c>
      <c r="J528" s="216"/>
      <c r="K528" s="216"/>
      <c r="L528" s="216"/>
      <c r="M528" s="216"/>
      <c r="N528" s="216"/>
    </row>
    <row r="529" spans="1:14" s="112" customFormat="1" ht="31.5" hidden="1" x14ac:dyDescent="0.25">
      <c r="A529" s="361" t="s">
        <v>149</v>
      </c>
      <c r="B529" s="359">
        <v>905</v>
      </c>
      <c r="C529" s="360" t="s">
        <v>134</v>
      </c>
      <c r="D529" s="360" t="s">
        <v>156</v>
      </c>
      <c r="E529" s="360" t="s">
        <v>1183</v>
      </c>
      <c r="F529" s="360" t="s">
        <v>150</v>
      </c>
      <c r="G529" s="336">
        <f>239.82-239.82</f>
        <v>0</v>
      </c>
      <c r="H529" s="336">
        <f t="shared" ref="H529" si="271">239.82-239.82</f>
        <v>0</v>
      </c>
      <c r="I529" s="336" t="e">
        <f t="shared" si="268"/>
        <v>#DIV/0!</v>
      </c>
      <c r="J529" s="216"/>
      <c r="K529" s="216"/>
      <c r="L529" s="216"/>
      <c r="M529" s="216"/>
      <c r="N529" s="216"/>
    </row>
    <row r="530" spans="1:14" ht="15.75" x14ac:dyDescent="0.25">
      <c r="A530" s="41" t="s">
        <v>406</v>
      </c>
      <c r="B530" s="330">
        <v>905</v>
      </c>
      <c r="C530" s="334" t="s">
        <v>250</v>
      </c>
      <c r="D530" s="334"/>
      <c r="E530" s="334"/>
      <c r="F530" s="334"/>
      <c r="G530" s="332">
        <f>G531</f>
        <v>1280.82</v>
      </c>
      <c r="H530" s="332">
        <f t="shared" ref="H530:H532" si="272">H531</f>
        <v>730.74</v>
      </c>
      <c r="I530" s="332">
        <f t="shared" si="268"/>
        <v>57.052513233709654</v>
      </c>
    </row>
    <row r="531" spans="1:14" ht="15.75" x14ac:dyDescent="0.25">
      <c r="A531" s="41" t="s">
        <v>407</v>
      </c>
      <c r="B531" s="330">
        <v>905</v>
      </c>
      <c r="C531" s="334" t="s">
        <v>250</v>
      </c>
      <c r="D531" s="334" t="s">
        <v>134</v>
      </c>
      <c r="E531" s="334"/>
      <c r="F531" s="334"/>
      <c r="G531" s="332">
        <f>G532</f>
        <v>1280.82</v>
      </c>
      <c r="H531" s="332">
        <f t="shared" si="272"/>
        <v>730.74</v>
      </c>
      <c r="I531" s="332">
        <f t="shared" si="268"/>
        <v>57.052513233709654</v>
      </c>
    </row>
    <row r="532" spans="1:14" s="214" customFormat="1" ht="15.75" x14ac:dyDescent="0.25">
      <c r="A532" s="333" t="s">
        <v>157</v>
      </c>
      <c r="B532" s="330">
        <v>905</v>
      </c>
      <c r="C532" s="334" t="s">
        <v>250</v>
      </c>
      <c r="D532" s="334" t="s">
        <v>134</v>
      </c>
      <c r="E532" s="334" t="s">
        <v>912</v>
      </c>
      <c r="F532" s="334"/>
      <c r="G532" s="332">
        <f>G533</f>
        <v>1280.82</v>
      </c>
      <c r="H532" s="332">
        <f t="shared" si="272"/>
        <v>730.74</v>
      </c>
      <c r="I532" s="332">
        <f t="shared" si="268"/>
        <v>57.052513233709654</v>
      </c>
      <c r="J532" s="325"/>
      <c r="K532" s="325"/>
      <c r="L532" s="325"/>
      <c r="M532" s="325"/>
      <c r="N532" s="325"/>
    </row>
    <row r="533" spans="1:14" s="214" customFormat="1" ht="31.5" x14ac:dyDescent="0.25">
      <c r="A533" s="333" t="s">
        <v>916</v>
      </c>
      <c r="B533" s="330">
        <v>905</v>
      </c>
      <c r="C533" s="334" t="s">
        <v>250</v>
      </c>
      <c r="D533" s="334" t="s">
        <v>134</v>
      </c>
      <c r="E533" s="334" t="s">
        <v>911</v>
      </c>
      <c r="F533" s="334"/>
      <c r="G533" s="332">
        <f>G534+G537</f>
        <v>1280.82</v>
      </c>
      <c r="H533" s="332">
        <f t="shared" ref="H533" si="273">H534+H537</f>
        <v>730.74</v>
      </c>
      <c r="I533" s="332">
        <f t="shared" si="268"/>
        <v>57.052513233709654</v>
      </c>
      <c r="J533" s="325"/>
      <c r="K533" s="325"/>
      <c r="L533" s="325"/>
      <c r="M533" s="325"/>
      <c r="N533" s="325"/>
    </row>
    <row r="534" spans="1:14" ht="31.5" x14ac:dyDescent="0.25">
      <c r="A534" s="338" t="s">
        <v>414</v>
      </c>
      <c r="B534" s="359">
        <v>905</v>
      </c>
      <c r="C534" s="360" t="s">
        <v>250</v>
      </c>
      <c r="D534" s="360" t="s">
        <v>134</v>
      </c>
      <c r="E534" s="360" t="s">
        <v>1097</v>
      </c>
      <c r="F534" s="360"/>
      <c r="G534" s="336">
        <f>G535</f>
        <v>347.52</v>
      </c>
      <c r="H534" s="336">
        <f t="shared" ref="H534:H535" si="274">H535</f>
        <v>234.58</v>
      </c>
      <c r="I534" s="336">
        <f t="shared" si="268"/>
        <v>67.501151012891341</v>
      </c>
    </row>
    <row r="535" spans="1:14" ht="31.5" x14ac:dyDescent="0.25">
      <c r="A535" s="361" t="s">
        <v>147</v>
      </c>
      <c r="B535" s="359">
        <v>905</v>
      </c>
      <c r="C535" s="360" t="s">
        <v>250</v>
      </c>
      <c r="D535" s="360" t="s">
        <v>134</v>
      </c>
      <c r="E535" s="360" t="s">
        <v>1097</v>
      </c>
      <c r="F535" s="360" t="s">
        <v>148</v>
      </c>
      <c r="G535" s="336">
        <f>G536</f>
        <v>347.52</v>
      </c>
      <c r="H535" s="336">
        <f t="shared" si="274"/>
        <v>234.58</v>
      </c>
      <c r="I535" s="336">
        <f t="shared" si="268"/>
        <v>67.501151012891341</v>
      </c>
    </row>
    <row r="536" spans="1:14" ht="31.5" x14ac:dyDescent="0.25">
      <c r="A536" s="361" t="s">
        <v>149</v>
      </c>
      <c r="B536" s="359">
        <v>905</v>
      </c>
      <c r="C536" s="360" t="s">
        <v>250</v>
      </c>
      <c r="D536" s="360" t="s">
        <v>134</v>
      </c>
      <c r="E536" s="360" t="s">
        <v>1097</v>
      </c>
      <c r="F536" s="360" t="s">
        <v>150</v>
      </c>
      <c r="G536" s="336">
        <f>263.2+7+0.2+77.12</f>
        <v>347.52</v>
      </c>
      <c r="H536" s="336">
        <v>234.58</v>
      </c>
      <c r="I536" s="336">
        <f t="shared" si="268"/>
        <v>67.501151012891341</v>
      </c>
    </row>
    <row r="537" spans="1:14" ht="31.5" x14ac:dyDescent="0.25">
      <c r="A537" s="338" t="s">
        <v>1005</v>
      </c>
      <c r="B537" s="359">
        <v>905</v>
      </c>
      <c r="C537" s="360" t="s">
        <v>250</v>
      </c>
      <c r="D537" s="360" t="s">
        <v>134</v>
      </c>
      <c r="E537" s="360" t="s">
        <v>1098</v>
      </c>
      <c r="F537" s="360"/>
      <c r="G537" s="336">
        <f>G538</f>
        <v>933.3</v>
      </c>
      <c r="H537" s="336">
        <f t="shared" ref="H537:H538" si="275">H538</f>
        <v>496.16</v>
      </c>
      <c r="I537" s="336">
        <f t="shared" si="268"/>
        <v>53.161898639237123</v>
      </c>
    </row>
    <row r="538" spans="1:14" ht="31.5" x14ac:dyDescent="0.25">
      <c r="A538" s="361" t="s">
        <v>147</v>
      </c>
      <c r="B538" s="359">
        <v>905</v>
      </c>
      <c r="C538" s="360" t="s">
        <v>250</v>
      </c>
      <c r="D538" s="360" t="s">
        <v>134</v>
      </c>
      <c r="E538" s="360" t="s">
        <v>1098</v>
      </c>
      <c r="F538" s="360" t="s">
        <v>148</v>
      </c>
      <c r="G538" s="336">
        <f>G539</f>
        <v>933.3</v>
      </c>
      <c r="H538" s="336">
        <f t="shared" si="275"/>
        <v>496.16</v>
      </c>
      <c r="I538" s="336">
        <f t="shared" si="268"/>
        <v>53.161898639237123</v>
      </c>
    </row>
    <row r="539" spans="1:14" ht="31.5" x14ac:dyDescent="0.25">
      <c r="A539" s="361" t="s">
        <v>149</v>
      </c>
      <c r="B539" s="359">
        <v>905</v>
      </c>
      <c r="C539" s="360" t="s">
        <v>250</v>
      </c>
      <c r="D539" s="360" t="s">
        <v>134</v>
      </c>
      <c r="E539" s="360" t="s">
        <v>1098</v>
      </c>
      <c r="F539" s="360" t="s">
        <v>150</v>
      </c>
      <c r="G539" s="336">
        <f>910.6-140+162.7</f>
        <v>933.3</v>
      </c>
      <c r="H539" s="336">
        <v>496.16</v>
      </c>
      <c r="I539" s="336">
        <f t="shared" si="268"/>
        <v>53.161898639237123</v>
      </c>
    </row>
    <row r="540" spans="1:14" s="214" customFormat="1" ht="15.75" x14ac:dyDescent="0.25">
      <c r="A540" s="333" t="s">
        <v>259</v>
      </c>
      <c r="B540" s="330">
        <v>905</v>
      </c>
      <c r="C540" s="334" t="s">
        <v>260</v>
      </c>
      <c r="D540" s="360"/>
      <c r="E540" s="360"/>
      <c r="F540" s="360"/>
      <c r="G540" s="332">
        <f>G541</f>
        <v>1431.16</v>
      </c>
      <c r="H540" s="332">
        <f t="shared" ref="H540:H544" si="276">H541</f>
        <v>0</v>
      </c>
      <c r="I540" s="332">
        <f t="shared" si="268"/>
        <v>0</v>
      </c>
      <c r="J540" s="325"/>
      <c r="K540" s="325"/>
      <c r="L540" s="325"/>
      <c r="M540" s="325"/>
      <c r="N540" s="325"/>
    </row>
    <row r="541" spans="1:14" s="214" customFormat="1" ht="15.75" x14ac:dyDescent="0.25">
      <c r="A541" s="333" t="s">
        <v>416</v>
      </c>
      <c r="B541" s="330">
        <v>905</v>
      </c>
      <c r="C541" s="334" t="s">
        <v>260</v>
      </c>
      <c r="D541" s="334" t="s">
        <v>166</v>
      </c>
      <c r="E541" s="360"/>
      <c r="F541" s="360"/>
      <c r="G541" s="332">
        <f>G542</f>
        <v>1431.16</v>
      </c>
      <c r="H541" s="332">
        <f t="shared" si="276"/>
        <v>0</v>
      </c>
      <c r="I541" s="332">
        <f t="shared" si="268"/>
        <v>0</v>
      </c>
      <c r="J541" s="325"/>
      <c r="K541" s="325"/>
      <c r="L541" s="325"/>
      <c r="M541" s="325"/>
      <c r="N541" s="325"/>
    </row>
    <row r="542" spans="1:14" s="214" customFormat="1" ht="31.5" x14ac:dyDescent="0.25">
      <c r="A542" s="333" t="s">
        <v>932</v>
      </c>
      <c r="B542" s="330">
        <v>905</v>
      </c>
      <c r="C542" s="334" t="s">
        <v>260</v>
      </c>
      <c r="D542" s="334" t="s">
        <v>166</v>
      </c>
      <c r="E542" s="334" t="s">
        <v>909</v>
      </c>
      <c r="F542" s="360"/>
      <c r="G542" s="332">
        <f>G543</f>
        <v>1431.16</v>
      </c>
      <c r="H542" s="332">
        <f t="shared" si="276"/>
        <v>0</v>
      </c>
      <c r="I542" s="332">
        <f t="shared" si="268"/>
        <v>0</v>
      </c>
      <c r="J542" s="325"/>
      <c r="K542" s="325"/>
      <c r="L542" s="325"/>
      <c r="M542" s="325"/>
      <c r="N542" s="325"/>
    </row>
    <row r="543" spans="1:14" s="214" customFormat="1" ht="47.25" x14ac:dyDescent="0.25">
      <c r="A543" s="361" t="s">
        <v>1410</v>
      </c>
      <c r="B543" s="359">
        <v>905</v>
      </c>
      <c r="C543" s="360" t="s">
        <v>260</v>
      </c>
      <c r="D543" s="360" t="s">
        <v>166</v>
      </c>
      <c r="E543" s="360" t="s">
        <v>1409</v>
      </c>
      <c r="F543" s="360"/>
      <c r="G543" s="336">
        <f>G544</f>
        <v>1431.16</v>
      </c>
      <c r="H543" s="336">
        <f t="shared" si="276"/>
        <v>0</v>
      </c>
      <c r="I543" s="336">
        <f t="shared" si="268"/>
        <v>0</v>
      </c>
      <c r="J543" s="325"/>
      <c r="K543" s="325"/>
      <c r="L543" s="325"/>
      <c r="M543" s="325"/>
      <c r="N543" s="325"/>
    </row>
    <row r="544" spans="1:14" s="214" customFormat="1" ht="31.5" x14ac:dyDescent="0.25">
      <c r="A544" s="361" t="s">
        <v>147</v>
      </c>
      <c r="B544" s="359">
        <v>905</v>
      </c>
      <c r="C544" s="360" t="s">
        <v>260</v>
      </c>
      <c r="D544" s="360" t="s">
        <v>166</v>
      </c>
      <c r="E544" s="360" t="s">
        <v>1409</v>
      </c>
      <c r="F544" s="360" t="s">
        <v>148</v>
      </c>
      <c r="G544" s="336">
        <f>G545</f>
        <v>1431.16</v>
      </c>
      <c r="H544" s="336">
        <f t="shared" si="276"/>
        <v>0</v>
      </c>
      <c r="I544" s="336">
        <f t="shared" si="268"/>
        <v>0</v>
      </c>
      <c r="J544" s="325"/>
      <c r="K544" s="325"/>
      <c r="L544" s="325"/>
      <c r="M544" s="325"/>
      <c r="N544" s="325"/>
    </row>
    <row r="545" spans="1:14" s="214" customFormat="1" ht="31.5" x14ac:dyDescent="0.25">
      <c r="A545" s="361" t="s">
        <v>149</v>
      </c>
      <c r="B545" s="359">
        <v>905</v>
      </c>
      <c r="C545" s="360" t="s">
        <v>260</v>
      </c>
      <c r="D545" s="360" t="s">
        <v>166</v>
      </c>
      <c r="E545" s="360" t="s">
        <v>1409</v>
      </c>
      <c r="F545" s="360" t="s">
        <v>150</v>
      </c>
      <c r="G545" s="336">
        <v>1431.16</v>
      </c>
      <c r="H545" s="336">
        <v>0</v>
      </c>
      <c r="I545" s="336">
        <f t="shared" si="268"/>
        <v>0</v>
      </c>
      <c r="J545" s="325"/>
      <c r="K545" s="325"/>
      <c r="L545" s="325"/>
      <c r="M545" s="325"/>
      <c r="N545" s="325"/>
    </row>
    <row r="546" spans="1:14" ht="31.5" x14ac:dyDescent="0.25">
      <c r="A546" s="330" t="s">
        <v>419</v>
      </c>
      <c r="B546" s="330">
        <v>906</v>
      </c>
      <c r="C546" s="334"/>
      <c r="D546" s="334"/>
      <c r="E546" s="334"/>
      <c r="F546" s="334"/>
      <c r="G546" s="332">
        <f>G557+G547</f>
        <v>357742.73757</v>
      </c>
      <c r="H546" s="332">
        <f t="shared" ref="H546" si="277">H557+H547</f>
        <v>232696.8726</v>
      </c>
      <c r="I546" s="332">
        <f t="shared" si="268"/>
        <v>65.045869045620492</v>
      </c>
    </row>
    <row r="547" spans="1:14" ht="15.75" x14ac:dyDescent="0.25">
      <c r="A547" s="333" t="s">
        <v>133</v>
      </c>
      <c r="B547" s="330">
        <v>906</v>
      </c>
      <c r="C547" s="334" t="s">
        <v>134</v>
      </c>
      <c r="D547" s="334"/>
      <c r="E547" s="334"/>
      <c r="F547" s="334"/>
      <c r="G547" s="332">
        <f t="shared" ref="G547:H552" si="278">G548</f>
        <v>50</v>
      </c>
      <c r="H547" s="332">
        <f t="shared" si="278"/>
        <v>0</v>
      </c>
      <c r="I547" s="332">
        <f t="shared" si="268"/>
        <v>0</v>
      </c>
    </row>
    <row r="548" spans="1:14" ht="15.75" x14ac:dyDescent="0.25">
      <c r="A548" s="34" t="s">
        <v>155</v>
      </c>
      <c r="B548" s="330">
        <v>906</v>
      </c>
      <c r="C548" s="334" t="s">
        <v>134</v>
      </c>
      <c r="D548" s="334" t="s">
        <v>156</v>
      </c>
      <c r="E548" s="334"/>
      <c r="F548" s="334"/>
      <c r="G548" s="332">
        <f t="shared" si="278"/>
        <v>50</v>
      </c>
      <c r="H548" s="332">
        <f t="shared" si="278"/>
        <v>0</v>
      </c>
      <c r="I548" s="332">
        <f t="shared" si="268"/>
        <v>0</v>
      </c>
    </row>
    <row r="549" spans="1:14" ht="47.25" x14ac:dyDescent="0.25">
      <c r="A549" s="333" t="s">
        <v>350</v>
      </c>
      <c r="B549" s="330">
        <v>906</v>
      </c>
      <c r="C549" s="334" t="s">
        <v>134</v>
      </c>
      <c r="D549" s="334" t="s">
        <v>156</v>
      </c>
      <c r="E549" s="334" t="s">
        <v>351</v>
      </c>
      <c r="F549" s="334"/>
      <c r="G549" s="332">
        <f t="shared" si="278"/>
        <v>50</v>
      </c>
      <c r="H549" s="332">
        <f t="shared" si="278"/>
        <v>0</v>
      </c>
      <c r="I549" s="332">
        <f t="shared" si="268"/>
        <v>0</v>
      </c>
    </row>
    <row r="550" spans="1:14" s="214" customFormat="1" ht="31.5" x14ac:dyDescent="0.25">
      <c r="A550" s="221" t="s">
        <v>1225</v>
      </c>
      <c r="B550" s="330">
        <v>906</v>
      </c>
      <c r="C550" s="334" t="s">
        <v>134</v>
      </c>
      <c r="D550" s="334" t="s">
        <v>156</v>
      </c>
      <c r="E550" s="334" t="s">
        <v>1226</v>
      </c>
      <c r="F550" s="334"/>
      <c r="G550" s="332">
        <f t="shared" si="278"/>
        <v>50</v>
      </c>
      <c r="H550" s="332">
        <f t="shared" si="278"/>
        <v>0</v>
      </c>
      <c r="I550" s="332">
        <f t="shared" si="268"/>
        <v>0</v>
      </c>
      <c r="J550" s="325"/>
      <c r="K550" s="325"/>
      <c r="L550" s="325"/>
      <c r="M550" s="325"/>
      <c r="N550" s="325"/>
    </row>
    <row r="551" spans="1:14" ht="31.5" x14ac:dyDescent="0.25">
      <c r="A551" s="98" t="s">
        <v>352</v>
      </c>
      <c r="B551" s="359">
        <v>906</v>
      </c>
      <c r="C551" s="360" t="s">
        <v>134</v>
      </c>
      <c r="D551" s="360" t="s">
        <v>156</v>
      </c>
      <c r="E551" s="360" t="s">
        <v>1227</v>
      </c>
      <c r="F551" s="360"/>
      <c r="G551" s="336">
        <f t="shared" si="278"/>
        <v>50</v>
      </c>
      <c r="H551" s="336">
        <f t="shared" si="278"/>
        <v>0</v>
      </c>
      <c r="I551" s="336">
        <f t="shared" si="268"/>
        <v>0</v>
      </c>
    </row>
    <row r="552" spans="1:14" ht="31.5" x14ac:dyDescent="0.25">
      <c r="A552" s="361" t="s">
        <v>147</v>
      </c>
      <c r="B552" s="359">
        <v>906</v>
      </c>
      <c r="C552" s="360" t="s">
        <v>134</v>
      </c>
      <c r="D552" s="360" t="s">
        <v>156</v>
      </c>
      <c r="E552" s="360" t="s">
        <v>1227</v>
      </c>
      <c r="F552" s="360" t="s">
        <v>148</v>
      </c>
      <c r="G552" s="336">
        <f t="shared" si="278"/>
        <v>50</v>
      </c>
      <c r="H552" s="336">
        <f t="shared" si="278"/>
        <v>0</v>
      </c>
      <c r="I552" s="336">
        <f t="shared" si="268"/>
        <v>0</v>
      </c>
    </row>
    <row r="553" spans="1:14" ht="31.5" x14ac:dyDescent="0.25">
      <c r="A553" s="361" t="s">
        <v>149</v>
      </c>
      <c r="B553" s="359">
        <v>906</v>
      </c>
      <c r="C553" s="360" t="s">
        <v>134</v>
      </c>
      <c r="D553" s="360" t="s">
        <v>156</v>
      </c>
      <c r="E553" s="360" t="s">
        <v>1227</v>
      </c>
      <c r="F553" s="360" t="s">
        <v>150</v>
      </c>
      <c r="G553" s="336">
        <v>50</v>
      </c>
      <c r="H553" s="336">
        <v>0</v>
      </c>
      <c r="I553" s="336">
        <f t="shared" si="268"/>
        <v>0</v>
      </c>
    </row>
    <row r="554" spans="1:14" ht="15.75" hidden="1" x14ac:dyDescent="0.25">
      <c r="A554" s="31" t="s">
        <v>796</v>
      </c>
      <c r="B554" s="359">
        <v>906</v>
      </c>
      <c r="C554" s="360" t="s">
        <v>134</v>
      </c>
      <c r="D554" s="360" t="s">
        <v>156</v>
      </c>
      <c r="E554" s="360" t="s">
        <v>1260</v>
      </c>
      <c r="F554" s="360"/>
      <c r="G554" s="336">
        <f>G555</f>
        <v>0</v>
      </c>
      <c r="H554" s="336">
        <f t="shared" ref="H554:H555" si="279">H555</f>
        <v>0</v>
      </c>
      <c r="I554" s="336" t="e">
        <f t="shared" si="268"/>
        <v>#DIV/0!</v>
      </c>
    </row>
    <row r="555" spans="1:14" ht="31.5" hidden="1" x14ac:dyDescent="0.25">
      <c r="A555" s="361" t="s">
        <v>147</v>
      </c>
      <c r="B555" s="359">
        <v>906</v>
      </c>
      <c r="C555" s="360" t="s">
        <v>134</v>
      </c>
      <c r="D555" s="360" t="s">
        <v>156</v>
      </c>
      <c r="E555" s="360" t="s">
        <v>1260</v>
      </c>
      <c r="F555" s="360" t="s">
        <v>148</v>
      </c>
      <c r="G555" s="336">
        <f>G556</f>
        <v>0</v>
      </c>
      <c r="H555" s="336">
        <f t="shared" si="279"/>
        <v>0</v>
      </c>
      <c r="I555" s="336" t="e">
        <f t="shared" si="268"/>
        <v>#DIV/0!</v>
      </c>
    </row>
    <row r="556" spans="1:14" ht="31.5" hidden="1" x14ac:dyDescent="0.25">
      <c r="A556" s="361" t="s">
        <v>149</v>
      </c>
      <c r="B556" s="359">
        <v>906</v>
      </c>
      <c r="C556" s="360" t="s">
        <v>134</v>
      </c>
      <c r="D556" s="360" t="s">
        <v>156</v>
      </c>
      <c r="E556" s="360" t="s">
        <v>1260</v>
      </c>
      <c r="F556" s="360" t="s">
        <v>150</v>
      </c>
      <c r="G556" s="336">
        <v>0</v>
      </c>
      <c r="H556" s="336">
        <v>0</v>
      </c>
      <c r="I556" s="336" t="e">
        <f t="shared" si="268"/>
        <v>#DIV/0!</v>
      </c>
    </row>
    <row r="557" spans="1:14" ht="15.75" x14ac:dyDescent="0.25">
      <c r="A557" s="333" t="s">
        <v>279</v>
      </c>
      <c r="B557" s="330">
        <v>906</v>
      </c>
      <c r="C557" s="334" t="s">
        <v>280</v>
      </c>
      <c r="D557" s="334"/>
      <c r="E557" s="334"/>
      <c r="F557" s="334"/>
      <c r="G557" s="332">
        <f>G558+G629+G781+G791+G744</f>
        <v>357692.73757</v>
      </c>
      <c r="H557" s="332">
        <f t="shared" ref="H557" si="280">H558+H629+H781+H791+H744</f>
        <v>232696.8726</v>
      </c>
      <c r="I557" s="332">
        <f t="shared" si="268"/>
        <v>65.054961468000599</v>
      </c>
    </row>
    <row r="558" spans="1:14" ht="15.75" x14ac:dyDescent="0.25">
      <c r="A558" s="333" t="s">
        <v>420</v>
      </c>
      <c r="B558" s="330">
        <v>906</v>
      </c>
      <c r="C558" s="334" t="s">
        <v>280</v>
      </c>
      <c r="D558" s="334" t="s">
        <v>134</v>
      </c>
      <c r="E558" s="334"/>
      <c r="F558" s="334"/>
      <c r="G558" s="332">
        <f>G559+G619+G624</f>
        <v>111081.2</v>
      </c>
      <c r="H558" s="332">
        <f t="shared" ref="H558" si="281">H559+H619+H624</f>
        <v>69592.958599999998</v>
      </c>
      <c r="I558" s="332">
        <f t="shared" si="268"/>
        <v>62.650528262208184</v>
      </c>
    </row>
    <row r="559" spans="1:14" ht="51.75" customHeight="1" x14ac:dyDescent="0.25">
      <c r="A559" s="333" t="s">
        <v>421</v>
      </c>
      <c r="B559" s="330">
        <v>906</v>
      </c>
      <c r="C559" s="334" t="s">
        <v>280</v>
      </c>
      <c r="D559" s="334" t="s">
        <v>134</v>
      </c>
      <c r="E559" s="334" t="s">
        <v>422</v>
      </c>
      <c r="F559" s="334"/>
      <c r="G559" s="332">
        <f>G560+G584</f>
        <v>110522.9</v>
      </c>
      <c r="H559" s="332">
        <f t="shared" ref="H559" si="282">H560+H584</f>
        <v>69203.7886</v>
      </c>
      <c r="I559" s="332">
        <f t="shared" si="268"/>
        <v>62.614886688641</v>
      </c>
    </row>
    <row r="560" spans="1:14" ht="38.25" customHeight="1" x14ac:dyDescent="0.25">
      <c r="A560" s="333" t="s">
        <v>423</v>
      </c>
      <c r="B560" s="330">
        <v>906</v>
      </c>
      <c r="C560" s="334" t="s">
        <v>280</v>
      </c>
      <c r="D560" s="334" t="s">
        <v>134</v>
      </c>
      <c r="E560" s="334" t="s">
        <v>424</v>
      </c>
      <c r="F560" s="334"/>
      <c r="G560" s="332">
        <f>G561+G568</f>
        <v>99136.36</v>
      </c>
      <c r="H560" s="332">
        <f t="shared" ref="H560" si="283">H561+H568</f>
        <v>62395.79</v>
      </c>
      <c r="I560" s="332">
        <f t="shared" si="268"/>
        <v>62.939359484249778</v>
      </c>
    </row>
    <row r="561" spans="1:15" s="214" customFormat="1" ht="38.25" customHeight="1" x14ac:dyDescent="0.25">
      <c r="A561" s="333" t="s">
        <v>1028</v>
      </c>
      <c r="B561" s="330">
        <v>906</v>
      </c>
      <c r="C561" s="334" t="s">
        <v>280</v>
      </c>
      <c r="D561" s="334" t="s">
        <v>134</v>
      </c>
      <c r="E561" s="334" t="s">
        <v>1006</v>
      </c>
      <c r="F561" s="334"/>
      <c r="G561" s="332">
        <f>G562+G565</f>
        <v>13295.859999999999</v>
      </c>
      <c r="H561" s="332">
        <f t="shared" ref="H561" si="284">H562+H565</f>
        <v>8220.0830000000005</v>
      </c>
      <c r="I561" s="332">
        <f t="shared" si="268"/>
        <v>61.824379919764503</v>
      </c>
      <c r="J561" s="325"/>
      <c r="K561" s="325"/>
      <c r="L561" s="325"/>
      <c r="M561" s="325"/>
      <c r="N561" s="325"/>
    </row>
    <row r="562" spans="1:15" ht="47.25" x14ac:dyDescent="0.25">
      <c r="A562" s="361" t="s">
        <v>1063</v>
      </c>
      <c r="B562" s="359">
        <v>906</v>
      </c>
      <c r="C562" s="360" t="s">
        <v>280</v>
      </c>
      <c r="D562" s="360" t="s">
        <v>134</v>
      </c>
      <c r="E562" s="360" t="s">
        <v>1062</v>
      </c>
      <c r="F562" s="360"/>
      <c r="G562" s="336">
        <f>G563</f>
        <v>9050.8599999999988</v>
      </c>
      <c r="H562" s="336">
        <f t="shared" ref="H562:H563" si="285">H563</f>
        <v>5654.2280000000001</v>
      </c>
      <c r="I562" s="336">
        <f t="shared" si="268"/>
        <v>62.471720919338061</v>
      </c>
    </row>
    <row r="563" spans="1:15" ht="31.5" x14ac:dyDescent="0.25">
      <c r="A563" s="361" t="s">
        <v>288</v>
      </c>
      <c r="B563" s="359">
        <v>906</v>
      </c>
      <c r="C563" s="360" t="s">
        <v>280</v>
      </c>
      <c r="D563" s="360" t="s">
        <v>134</v>
      </c>
      <c r="E563" s="360" t="s">
        <v>1062</v>
      </c>
      <c r="F563" s="360" t="s">
        <v>289</v>
      </c>
      <c r="G563" s="336">
        <f>G564</f>
        <v>9050.8599999999988</v>
      </c>
      <c r="H563" s="336">
        <f t="shared" si="285"/>
        <v>5654.2280000000001</v>
      </c>
      <c r="I563" s="336">
        <f t="shared" si="268"/>
        <v>62.471720919338061</v>
      </c>
    </row>
    <row r="564" spans="1:15" ht="15.75" x14ac:dyDescent="0.25">
      <c r="A564" s="361" t="s">
        <v>290</v>
      </c>
      <c r="B564" s="359">
        <v>906</v>
      </c>
      <c r="C564" s="360" t="s">
        <v>280</v>
      </c>
      <c r="D564" s="360" t="s">
        <v>134</v>
      </c>
      <c r="E564" s="360" t="s">
        <v>1062</v>
      </c>
      <c r="F564" s="360" t="s">
        <v>291</v>
      </c>
      <c r="G564" s="362">
        <f>13527-5302.7-1000+990+609.4+95.9+114+17.26</f>
        <v>9050.8599999999988</v>
      </c>
      <c r="H564" s="362">
        <v>5654.2280000000001</v>
      </c>
      <c r="I564" s="336">
        <f t="shared" si="268"/>
        <v>62.471720919338061</v>
      </c>
    </row>
    <row r="565" spans="1:15" s="214" customFormat="1" ht="47.25" x14ac:dyDescent="0.25">
      <c r="A565" s="361" t="s">
        <v>1238</v>
      </c>
      <c r="B565" s="359">
        <v>906</v>
      </c>
      <c r="C565" s="360" t="s">
        <v>280</v>
      </c>
      <c r="D565" s="360" t="s">
        <v>134</v>
      </c>
      <c r="E565" s="360" t="s">
        <v>1064</v>
      </c>
      <c r="F565" s="360"/>
      <c r="G565" s="336">
        <f>G566</f>
        <v>4245</v>
      </c>
      <c r="H565" s="336">
        <f t="shared" ref="H565:H566" si="286">H566</f>
        <v>2565.855</v>
      </c>
      <c r="I565" s="336">
        <f t="shared" si="268"/>
        <v>60.444169611307416</v>
      </c>
      <c r="J565" s="325"/>
      <c r="K565" s="325"/>
      <c r="L565" s="325"/>
      <c r="M565" s="325"/>
      <c r="N565" s="325"/>
    </row>
    <row r="566" spans="1:15" s="214" customFormat="1" ht="31.5" x14ac:dyDescent="0.25">
      <c r="A566" s="361" t="s">
        <v>288</v>
      </c>
      <c r="B566" s="359">
        <v>906</v>
      </c>
      <c r="C566" s="360" t="s">
        <v>280</v>
      </c>
      <c r="D566" s="360" t="s">
        <v>134</v>
      </c>
      <c r="E566" s="360" t="s">
        <v>1064</v>
      </c>
      <c r="F566" s="360" t="s">
        <v>289</v>
      </c>
      <c r="G566" s="336">
        <f>G567</f>
        <v>4245</v>
      </c>
      <c r="H566" s="336">
        <f t="shared" si="286"/>
        <v>2565.855</v>
      </c>
      <c r="I566" s="336">
        <f t="shared" si="268"/>
        <v>60.444169611307416</v>
      </c>
      <c r="J566" s="325"/>
      <c r="K566" s="325"/>
      <c r="L566" s="325"/>
      <c r="M566" s="325"/>
      <c r="N566" s="325"/>
    </row>
    <row r="567" spans="1:15" s="214" customFormat="1" ht="15.75" x14ac:dyDescent="0.25">
      <c r="A567" s="361" t="s">
        <v>290</v>
      </c>
      <c r="B567" s="359">
        <v>906</v>
      </c>
      <c r="C567" s="360" t="s">
        <v>280</v>
      </c>
      <c r="D567" s="360" t="s">
        <v>134</v>
      </c>
      <c r="E567" s="360" t="s">
        <v>1064</v>
      </c>
      <c r="F567" s="360" t="s">
        <v>291</v>
      </c>
      <c r="G567" s="362">
        <f>4802.7-609.4+51.7</f>
        <v>4245</v>
      </c>
      <c r="H567" s="362">
        <v>2565.855</v>
      </c>
      <c r="I567" s="336">
        <f t="shared" si="268"/>
        <v>60.444169611307416</v>
      </c>
      <c r="J567" s="325"/>
      <c r="K567" s="363"/>
      <c r="L567" s="325"/>
      <c r="M567" s="325"/>
      <c r="N567" s="325"/>
    </row>
    <row r="568" spans="1:15" s="214" customFormat="1" ht="31.7" customHeight="1" x14ac:dyDescent="0.25">
      <c r="A568" s="333" t="s">
        <v>971</v>
      </c>
      <c r="B568" s="330">
        <v>906</v>
      </c>
      <c r="C568" s="334" t="s">
        <v>280</v>
      </c>
      <c r="D568" s="334" t="s">
        <v>134</v>
      </c>
      <c r="E568" s="334" t="s">
        <v>1021</v>
      </c>
      <c r="F568" s="334"/>
      <c r="G568" s="44">
        <f>G572+G575+G578+G581+G569</f>
        <v>85840.5</v>
      </c>
      <c r="H568" s="44">
        <f t="shared" ref="H568" si="287">H572+H575+H578+H581+H569</f>
        <v>54175.707000000002</v>
      </c>
      <c r="I568" s="332">
        <f t="shared" si="268"/>
        <v>63.112058993132614</v>
      </c>
      <c r="J568" s="325"/>
      <c r="K568" s="325"/>
      <c r="L568" s="325"/>
      <c r="M568" s="325"/>
      <c r="N568" s="325"/>
    </row>
    <row r="569" spans="1:15" s="325" customFormat="1" ht="80.45" customHeight="1" x14ac:dyDescent="0.25">
      <c r="A569" s="31" t="s">
        <v>309</v>
      </c>
      <c r="B569" s="359">
        <v>906</v>
      </c>
      <c r="C569" s="360" t="s">
        <v>280</v>
      </c>
      <c r="D569" s="360" t="s">
        <v>134</v>
      </c>
      <c r="E569" s="360" t="s">
        <v>1517</v>
      </c>
      <c r="F569" s="360"/>
      <c r="G569" s="362">
        <f>G570</f>
        <v>1966.1</v>
      </c>
      <c r="H569" s="362">
        <f t="shared" ref="H569:H570" si="288">H570</f>
        <v>1700.3</v>
      </c>
      <c r="I569" s="336">
        <f t="shared" si="268"/>
        <v>86.480850414526216</v>
      </c>
      <c r="O569" s="363"/>
    </row>
    <row r="570" spans="1:15" s="325" customFormat="1" ht="31.7" customHeight="1" x14ac:dyDescent="0.25">
      <c r="A570" s="361" t="s">
        <v>288</v>
      </c>
      <c r="B570" s="359">
        <v>906</v>
      </c>
      <c r="C570" s="360" t="s">
        <v>280</v>
      </c>
      <c r="D570" s="360" t="s">
        <v>134</v>
      </c>
      <c r="E570" s="360" t="s">
        <v>1517</v>
      </c>
      <c r="F570" s="360" t="s">
        <v>289</v>
      </c>
      <c r="G570" s="362">
        <f>G571</f>
        <v>1966.1</v>
      </c>
      <c r="H570" s="362">
        <f t="shared" si="288"/>
        <v>1700.3</v>
      </c>
      <c r="I570" s="336">
        <f t="shared" si="268"/>
        <v>86.480850414526216</v>
      </c>
    </row>
    <row r="571" spans="1:15" s="325" customFormat="1" ht="15.75" x14ac:dyDescent="0.25">
      <c r="A571" s="361" t="s">
        <v>290</v>
      </c>
      <c r="B571" s="359">
        <v>906</v>
      </c>
      <c r="C571" s="360" t="s">
        <v>280</v>
      </c>
      <c r="D571" s="360" t="s">
        <v>134</v>
      </c>
      <c r="E571" s="360" t="s">
        <v>1517</v>
      </c>
      <c r="F571" s="360" t="s">
        <v>291</v>
      </c>
      <c r="G571" s="362">
        <v>1966.1</v>
      </c>
      <c r="H571" s="362">
        <v>1700.3</v>
      </c>
      <c r="I571" s="336">
        <f t="shared" si="268"/>
        <v>86.480850414526216</v>
      </c>
    </row>
    <row r="572" spans="1:15" s="214" customFormat="1" ht="61.5" customHeight="1" x14ac:dyDescent="0.25">
      <c r="A572" s="31" t="s">
        <v>305</v>
      </c>
      <c r="B572" s="359">
        <v>906</v>
      </c>
      <c r="C572" s="360" t="s">
        <v>280</v>
      </c>
      <c r="D572" s="360" t="s">
        <v>134</v>
      </c>
      <c r="E572" s="360" t="s">
        <v>1020</v>
      </c>
      <c r="F572" s="360"/>
      <c r="G572" s="336">
        <f>G573</f>
        <v>559.70000000000005</v>
      </c>
      <c r="H572" s="336">
        <f t="shared" ref="H572:H573" si="289">H573</f>
        <v>328.7</v>
      </c>
      <c r="I572" s="336">
        <f t="shared" si="268"/>
        <v>58.727889941039834</v>
      </c>
      <c r="J572" s="325"/>
      <c r="K572" s="325"/>
      <c r="L572" s="325"/>
      <c r="M572" s="325"/>
      <c r="N572" s="325"/>
    </row>
    <row r="573" spans="1:15" s="214" customFormat="1" ht="31.5" x14ac:dyDescent="0.25">
      <c r="A573" s="361" t="s">
        <v>288</v>
      </c>
      <c r="B573" s="359">
        <v>906</v>
      </c>
      <c r="C573" s="360" t="s">
        <v>280</v>
      </c>
      <c r="D573" s="360" t="s">
        <v>134</v>
      </c>
      <c r="E573" s="360" t="s">
        <v>1020</v>
      </c>
      <c r="F573" s="360" t="s">
        <v>289</v>
      </c>
      <c r="G573" s="336">
        <f>G574</f>
        <v>559.70000000000005</v>
      </c>
      <c r="H573" s="336">
        <f t="shared" si="289"/>
        <v>328.7</v>
      </c>
      <c r="I573" s="336">
        <f t="shared" si="268"/>
        <v>58.727889941039834</v>
      </c>
      <c r="J573" s="325"/>
      <c r="K573" s="325"/>
      <c r="L573" s="325"/>
      <c r="M573" s="325"/>
      <c r="N573" s="325"/>
    </row>
    <row r="574" spans="1:15" s="214" customFormat="1" ht="15.75" x14ac:dyDescent="0.25">
      <c r="A574" s="361" t="s">
        <v>290</v>
      </c>
      <c r="B574" s="359">
        <v>906</v>
      </c>
      <c r="C574" s="360" t="s">
        <v>280</v>
      </c>
      <c r="D574" s="360" t="s">
        <v>134</v>
      </c>
      <c r="E574" s="360" t="s">
        <v>1020</v>
      </c>
      <c r="F574" s="360" t="s">
        <v>291</v>
      </c>
      <c r="G574" s="336">
        <f>559.71-0.01</f>
        <v>559.70000000000005</v>
      </c>
      <c r="H574" s="336">
        <v>328.7</v>
      </c>
      <c r="I574" s="336">
        <f t="shared" si="268"/>
        <v>58.727889941039834</v>
      </c>
      <c r="J574" s="325"/>
      <c r="K574" s="325"/>
      <c r="L574" s="325"/>
      <c r="M574" s="325"/>
      <c r="N574" s="325"/>
    </row>
    <row r="575" spans="1:15" s="214" customFormat="1" ht="63" x14ac:dyDescent="0.25">
      <c r="A575" s="31" t="s">
        <v>436</v>
      </c>
      <c r="B575" s="359">
        <v>906</v>
      </c>
      <c r="C575" s="360" t="s">
        <v>280</v>
      </c>
      <c r="D575" s="360" t="s">
        <v>134</v>
      </c>
      <c r="E575" s="360" t="s">
        <v>1023</v>
      </c>
      <c r="F575" s="360"/>
      <c r="G575" s="336">
        <f>G576</f>
        <v>1629.3</v>
      </c>
      <c r="H575" s="336">
        <f t="shared" ref="H575:H576" si="290">H576</f>
        <v>1030.07</v>
      </c>
      <c r="I575" s="336">
        <f t="shared" si="268"/>
        <v>63.221628920395254</v>
      </c>
      <c r="J575" s="325"/>
      <c r="K575" s="325"/>
      <c r="L575" s="325"/>
      <c r="M575" s="325"/>
      <c r="N575" s="325"/>
    </row>
    <row r="576" spans="1:15" s="214" customFormat="1" ht="31.5" x14ac:dyDescent="0.25">
      <c r="A576" s="361" t="s">
        <v>288</v>
      </c>
      <c r="B576" s="359">
        <v>906</v>
      </c>
      <c r="C576" s="360" t="s">
        <v>280</v>
      </c>
      <c r="D576" s="360" t="s">
        <v>134</v>
      </c>
      <c r="E576" s="360" t="s">
        <v>1023</v>
      </c>
      <c r="F576" s="360" t="s">
        <v>289</v>
      </c>
      <c r="G576" s="336">
        <f>G577</f>
        <v>1629.3</v>
      </c>
      <c r="H576" s="336">
        <f t="shared" si="290"/>
        <v>1030.07</v>
      </c>
      <c r="I576" s="336">
        <f t="shared" si="268"/>
        <v>63.221628920395254</v>
      </c>
      <c r="J576" s="325"/>
      <c r="K576" s="325"/>
      <c r="L576" s="325"/>
      <c r="M576" s="325"/>
      <c r="N576" s="325"/>
    </row>
    <row r="577" spans="1:14" s="214" customFormat="1" ht="15.75" x14ac:dyDescent="0.25">
      <c r="A577" s="361" t="s">
        <v>290</v>
      </c>
      <c r="B577" s="359">
        <v>906</v>
      </c>
      <c r="C577" s="360" t="s">
        <v>280</v>
      </c>
      <c r="D577" s="360" t="s">
        <v>134</v>
      </c>
      <c r="E577" s="360" t="s">
        <v>1023</v>
      </c>
      <c r="F577" s="360" t="s">
        <v>291</v>
      </c>
      <c r="G577" s="336">
        <f>1629.37-0.07</f>
        <v>1629.3</v>
      </c>
      <c r="H577" s="336">
        <v>1030.07</v>
      </c>
      <c r="I577" s="336">
        <f t="shared" si="268"/>
        <v>63.221628920395254</v>
      </c>
      <c r="J577" s="325"/>
      <c r="K577" s="325"/>
      <c r="L577" s="325"/>
      <c r="M577" s="325"/>
      <c r="N577" s="325"/>
    </row>
    <row r="578" spans="1:14" s="214" customFormat="1" ht="78.75" x14ac:dyDescent="0.25">
      <c r="A578" s="31" t="s">
        <v>437</v>
      </c>
      <c r="B578" s="359">
        <v>906</v>
      </c>
      <c r="C578" s="360" t="s">
        <v>280</v>
      </c>
      <c r="D578" s="360" t="s">
        <v>134</v>
      </c>
      <c r="E578" s="360" t="s">
        <v>1022</v>
      </c>
      <c r="F578" s="360"/>
      <c r="G578" s="336">
        <f>G579</f>
        <v>80735.399999999994</v>
      </c>
      <c r="H578" s="336">
        <f t="shared" ref="H578:H579" si="291">H579</f>
        <v>50166.637000000002</v>
      </c>
      <c r="I578" s="336">
        <f t="shared" si="268"/>
        <v>62.137100949521532</v>
      </c>
      <c r="J578" s="325"/>
      <c r="K578" s="325"/>
      <c r="L578" s="325"/>
      <c r="M578" s="325"/>
      <c r="N578" s="325"/>
    </row>
    <row r="579" spans="1:14" s="214" customFormat="1" ht="31.5" x14ac:dyDescent="0.25">
      <c r="A579" s="361" t="s">
        <v>288</v>
      </c>
      <c r="B579" s="359">
        <v>906</v>
      </c>
      <c r="C579" s="360" t="s">
        <v>280</v>
      </c>
      <c r="D579" s="360" t="s">
        <v>134</v>
      </c>
      <c r="E579" s="360" t="s">
        <v>1022</v>
      </c>
      <c r="F579" s="360" t="s">
        <v>289</v>
      </c>
      <c r="G579" s="336">
        <f>G580</f>
        <v>80735.399999999994</v>
      </c>
      <c r="H579" s="336">
        <f t="shared" si="291"/>
        <v>50166.637000000002</v>
      </c>
      <c r="I579" s="336">
        <f t="shared" si="268"/>
        <v>62.137100949521532</v>
      </c>
      <c r="J579" s="325"/>
      <c r="K579" s="325"/>
      <c r="L579" s="325"/>
      <c r="M579" s="325"/>
      <c r="N579" s="325"/>
    </row>
    <row r="580" spans="1:14" s="214" customFormat="1" ht="15.75" x14ac:dyDescent="0.25">
      <c r="A580" s="361" t="s">
        <v>290</v>
      </c>
      <c r="B580" s="359">
        <v>906</v>
      </c>
      <c r="C580" s="360" t="s">
        <v>280</v>
      </c>
      <c r="D580" s="360" t="s">
        <v>134</v>
      </c>
      <c r="E580" s="360" t="s">
        <v>1022</v>
      </c>
      <c r="F580" s="360" t="s">
        <v>291</v>
      </c>
      <c r="G580" s="362">
        <v>80735.399999999994</v>
      </c>
      <c r="H580" s="362">
        <v>50166.637000000002</v>
      </c>
      <c r="I580" s="336">
        <f t="shared" si="268"/>
        <v>62.137100949521532</v>
      </c>
      <c r="J580" s="325"/>
      <c r="K580" s="325"/>
      <c r="L580" s="325"/>
      <c r="M580" s="325"/>
      <c r="N580" s="325"/>
    </row>
    <row r="581" spans="1:14" s="214" customFormat="1" ht="84.75" customHeight="1" x14ac:dyDescent="0.25">
      <c r="A581" s="31" t="s">
        <v>309</v>
      </c>
      <c r="B581" s="359">
        <v>906</v>
      </c>
      <c r="C581" s="360" t="s">
        <v>280</v>
      </c>
      <c r="D581" s="360" t="s">
        <v>134</v>
      </c>
      <c r="E581" s="360" t="s">
        <v>1024</v>
      </c>
      <c r="F581" s="360"/>
      <c r="G581" s="336">
        <f>G582</f>
        <v>950.00000000000045</v>
      </c>
      <c r="H581" s="336">
        <f t="shared" ref="H581:H582" si="292">H582</f>
        <v>950</v>
      </c>
      <c r="I581" s="336">
        <f t="shared" si="268"/>
        <v>99.999999999999957</v>
      </c>
      <c r="J581" s="325"/>
      <c r="K581" s="325"/>
      <c r="L581" s="325"/>
      <c r="M581" s="325"/>
      <c r="N581" s="325"/>
    </row>
    <row r="582" spans="1:14" s="214" customFormat="1" ht="31.5" x14ac:dyDescent="0.25">
      <c r="A582" s="361" t="s">
        <v>288</v>
      </c>
      <c r="B582" s="359">
        <v>906</v>
      </c>
      <c r="C582" s="360" t="s">
        <v>280</v>
      </c>
      <c r="D582" s="360" t="s">
        <v>134</v>
      </c>
      <c r="E582" s="360" t="s">
        <v>1024</v>
      </c>
      <c r="F582" s="360" t="s">
        <v>289</v>
      </c>
      <c r="G582" s="336">
        <f>G583</f>
        <v>950.00000000000045</v>
      </c>
      <c r="H582" s="336">
        <f t="shared" si="292"/>
        <v>950</v>
      </c>
      <c r="I582" s="336">
        <f t="shared" si="268"/>
        <v>99.999999999999957</v>
      </c>
      <c r="J582" s="325"/>
      <c r="K582" s="325"/>
      <c r="L582" s="325"/>
      <c r="M582" s="325"/>
      <c r="N582" s="325"/>
    </row>
    <row r="583" spans="1:14" s="214" customFormat="1" ht="15.75" x14ac:dyDescent="0.25">
      <c r="A583" s="361" t="s">
        <v>290</v>
      </c>
      <c r="B583" s="359">
        <v>906</v>
      </c>
      <c r="C583" s="360" t="s">
        <v>280</v>
      </c>
      <c r="D583" s="360" t="s">
        <v>134</v>
      </c>
      <c r="E583" s="360" t="s">
        <v>1024</v>
      </c>
      <c r="F583" s="360" t="s">
        <v>291</v>
      </c>
      <c r="G583" s="362">
        <f>2916.07+0.03-1966.1</f>
        <v>950.00000000000045</v>
      </c>
      <c r="H583" s="362">
        <v>950</v>
      </c>
      <c r="I583" s="336">
        <f t="shared" si="268"/>
        <v>99.999999999999957</v>
      </c>
      <c r="J583" s="325"/>
      <c r="K583" s="325"/>
      <c r="L583" s="325"/>
      <c r="M583" s="325"/>
      <c r="N583" s="325"/>
    </row>
    <row r="584" spans="1:14" ht="30.2" customHeight="1" x14ac:dyDescent="0.25">
      <c r="A584" s="333" t="s">
        <v>427</v>
      </c>
      <c r="B584" s="330">
        <v>906</v>
      </c>
      <c r="C584" s="334" t="s">
        <v>280</v>
      </c>
      <c r="D584" s="334" t="s">
        <v>134</v>
      </c>
      <c r="E584" s="334" t="s">
        <v>428</v>
      </c>
      <c r="F584" s="334"/>
      <c r="G584" s="332">
        <f>G585+G595+G605+G612</f>
        <v>11386.54</v>
      </c>
      <c r="H584" s="332">
        <f t="shared" ref="H584" si="293">H585+H595+H605+H612</f>
        <v>6807.9986000000008</v>
      </c>
      <c r="I584" s="332">
        <f t="shared" si="268"/>
        <v>59.789879981100491</v>
      </c>
    </row>
    <row r="585" spans="1:14" s="214" customFormat="1" ht="30.2" customHeight="1" x14ac:dyDescent="0.25">
      <c r="A585" s="333" t="s">
        <v>1007</v>
      </c>
      <c r="B585" s="330">
        <v>906</v>
      </c>
      <c r="C585" s="334" t="s">
        <v>280</v>
      </c>
      <c r="D585" s="334" t="s">
        <v>134</v>
      </c>
      <c r="E585" s="334" t="s">
        <v>1008</v>
      </c>
      <c r="F585" s="334"/>
      <c r="G585" s="332">
        <f>G586+G589+G592</f>
        <v>4747.54</v>
      </c>
      <c r="H585" s="332">
        <f t="shared" ref="H585" si="294">H586+H589+H592</f>
        <v>3064.1356000000001</v>
      </c>
      <c r="I585" s="332">
        <f t="shared" si="268"/>
        <v>64.541543620485569</v>
      </c>
      <c r="J585" s="325"/>
      <c r="K585" s="325"/>
      <c r="L585" s="325"/>
      <c r="M585" s="325"/>
      <c r="N585" s="325"/>
    </row>
    <row r="586" spans="1:14" ht="35.450000000000003" customHeight="1" x14ac:dyDescent="0.25">
      <c r="A586" s="361" t="s">
        <v>294</v>
      </c>
      <c r="B586" s="359">
        <v>906</v>
      </c>
      <c r="C586" s="360" t="s">
        <v>280</v>
      </c>
      <c r="D586" s="360" t="s">
        <v>134</v>
      </c>
      <c r="E586" s="360" t="s">
        <v>1009</v>
      </c>
      <c r="F586" s="360"/>
      <c r="G586" s="336">
        <f>G587</f>
        <v>574</v>
      </c>
      <c r="H586" s="336">
        <f t="shared" ref="H586:H587" si="295">H587</f>
        <v>374</v>
      </c>
      <c r="I586" s="336">
        <f t="shared" si="268"/>
        <v>65.156794425087099</v>
      </c>
    </row>
    <row r="587" spans="1:14" ht="35.450000000000003" customHeight="1" x14ac:dyDescent="0.25">
      <c r="A587" s="361" t="s">
        <v>288</v>
      </c>
      <c r="B587" s="359">
        <v>906</v>
      </c>
      <c r="C587" s="360" t="s">
        <v>280</v>
      </c>
      <c r="D587" s="360" t="s">
        <v>134</v>
      </c>
      <c r="E587" s="360" t="s">
        <v>1009</v>
      </c>
      <c r="F587" s="360" t="s">
        <v>289</v>
      </c>
      <c r="G587" s="336">
        <f>G588</f>
        <v>574</v>
      </c>
      <c r="H587" s="336">
        <f t="shared" si="295"/>
        <v>374</v>
      </c>
      <c r="I587" s="336">
        <f t="shared" ref="I587:I650" si="296">H587/G587*100</f>
        <v>65.156794425087099</v>
      </c>
    </row>
    <row r="588" spans="1:14" ht="15.75" customHeight="1" x14ac:dyDescent="0.25">
      <c r="A588" s="361" t="s">
        <v>290</v>
      </c>
      <c r="B588" s="359">
        <v>906</v>
      </c>
      <c r="C588" s="360" t="s">
        <v>280</v>
      </c>
      <c r="D588" s="360" t="s">
        <v>134</v>
      </c>
      <c r="E588" s="360" t="s">
        <v>1009</v>
      </c>
      <c r="F588" s="360" t="s">
        <v>291</v>
      </c>
      <c r="G588" s="336">
        <f>200+374</f>
        <v>574</v>
      </c>
      <c r="H588" s="336">
        <v>374</v>
      </c>
      <c r="I588" s="336">
        <f t="shared" si="296"/>
        <v>65.156794425087099</v>
      </c>
    </row>
    <row r="589" spans="1:14" ht="39.200000000000003" customHeight="1" x14ac:dyDescent="0.25">
      <c r="A589" s="361" t="s">
        <v>296</v>
      </c>
      <c r="B589" s="359">
        <v>906</v>
      </c>
      <c r="C589" s="360" t="s">
        <v>280</v>
      </c>
      <c r="D589" s="360" t="s">
        <v>134</v>
      </c>
      <c r="E589" s="360" t="s">
        <v>1010</v>
      </c>
      <c r="F589" s="360"/>
      <c r="G589" s="336">
        <f>G590</f>
        <v>67.400000000000006</v>
      </c>
      <c r="H589" s="336">
        <f t="shared" ref="H589:H590" si="297">H590</f>
        <v>67.315600000000003</v>
      </c>
      <c r="I589" s="336">
        <f t="shared" si="296"/>
        <v>99.874777448071214</v>
      </c>
    </row>
    <row r="590" spans="1:14" ht="31.5" x14ac:dyDescent="0.25">
      <c r="A590" s="361" t="s">
        <v>288</v>
      </c>
      <c r="B590" s="359">
        <v>906</v>
      </c>
      <c r="C590" s="360" t="s">
        <v>280</v>
      </c>
      <c r="D590" s="360" t="s">
        <v>134</v>
      </c>
      <c r="E590" s="360" t="s">
        <v>1010</v>
      </c>
      <c r="F590" s="360" t="s">
        <v>289</v>
      </c>
      <c r="G590" s="336">
        <f>G591</f>
        <v>67.400000000000006</v>
      </c>
      <c r="H590" s="336">
        <f t="shared" si="297"/>
        <v>67.315600000000003</v>
      </c>
      <c r="I590" s="336">
        <f t="shared" si="296"/>
        <v>99.874777448071214</v>
      </c>
    </row>
    <row r="591" spans="1:14" ht="15.75" x14ac:dyDescent="0.25">
      <c r="A591" s="361" t="s">
        <v>290</v>
      </c>
      <c r="B591" s="359">
        <v>906</v>
      </c>
      <c r="C591" s="360" t="s">
        <v>280</v>
      </c>
      <c r="D591" s="360" t="s">
        <v>134</v>
      </c>
      <c r="E591" s="360" t="s">
        <v>1010</v>
      </c>
      <c r="F591" s="360" t="s">
        <v>291</v>
      </c>
      <c r="G591" s="336">
        <v>67.400000000000006</v>
      </c>
      <c r="H591" s="336">
        <v>67.315600000000003</v>
      </c>
      <c r="I591" s="336">
        <f t="shared" si="296"/>
        <v>99.874777448071214</v>
      </c>
    </row>
    <row r="592" spans="1:14" ht="31.5" x14ac:dyDescent="0.25">
      <c r="A592" s="338" t="s">
        <v>431</v>
      </c>
      <c r="B592" s="359">
        <v>906</v>
      </c>
      <c r="C592" s="360" t="s">
        <v>280</v>
      </c>
      <c r="D592" s="360" t="s">
        <v>134</v>
      </c>
      <c r="E592" s="360" t="s">
        <v>1011</v>
      </c>
      <c r="F592" s="360"/>
      <c r="G592" s="336">
        <f>G593</f>
        <v>4106.1400000000003</v>
      </c>
      <c r="H592" s="336">
        <f>H593</f>
        <v>2622.82</v>
      </c>
      <c r="I592" s="336">
        <f t="shared" si="296"/>
        <v>63.875561963303738</v>
      </c>
    </row>
    <row r="593" spans="1:14" ht="31.5" x14ac:dyDescent="0.25">
      <c r="A593" s="361" t="s">
        <v>288</v>
      </c>
      <c r="B593" s="359">
        <v>906</v>
      </c>
      <c r="C593" s="360" t="s">
        <v>280</v>
      </c>
      <c r="D593" s="360" t="s">
        <v>134</v>
      </c>
      <c r="E593" s="360" t="s">
        <v>1011</v>
      </c>
      <c r="F593" s="360" t="s">
        <v>289</v>
      </c>
      <c r="G593" s="336">
        <f>G594</f>
        <v>4106.1400000000003</v>
      </c>
      <c r="H593" s="336">
        <f t="shared" ref="H593" si="298">H594</f>
        <v>2622.82</v>
      </c>
      <c r="I593" s="336">
        <f t="shared" si="296"/>
        <v>63.875561963303738</v>
      </c>
    </row>
    <row r="594" spans="1:14" ht="15.75" x14ac:dyDescent="0.25">
      <c r="A594" s="361" t="s">
        <v>290</v>
      </c>
      <c r="B594" s="359">
        <v>906</v>
      </c>
      <c r="C594" s="360" t="s">
        <v>280</v>
      </c>
      <c r="D594" s="360" t="s">
        <v>134</v>
      </c>
      <c r="E594" s="360" t="s">
        <v>1011</v>
      </c>
      <c r="F594" s="360" t="s">
        <v>291</v>
      </c>
      <c r="G594" s="362">
        <f>4430-45-95.9-114-17.26-51.7</f>
        <v>4106.1400000000003</v>
      </c>
      <c r="H594" s="362">
        <v>2622.82</v>
      </c>
      <c r="I594" s="336">
        <f t="shared" si="296"/>
        <v>63.875561963303738</v>
      </c>
    </row>
    <row r="595" spans="1:14" s="214" customFormat="1" ht="31.5" x14ac:dyDescent="0.25">
      <c r="A595" s="227" t="s">
        <v>1077</v>
      </c>
      <c r="B595" s="330">
        <v>906</v>
      </c>
      <c r="C595" s="334" t="s">
        <v>280</v>
      </c>
      <c r="D595" s="334" t="s">
        <v>134</v>
      </c>
      <c r="E595" s="334" t="s">
        <v>1012</v>
      </c>
      <c r="F595" s="334"/>
      <c r="G595" s="44">
        <f>G596+G599+G602</f>
        <v>4610</v>
      </c>
      <c r="H595" s="44">
        <f t="shared" ref="H595" si="299">H596+H599+H602</f>
        <v>3537.2</v>
      </c>
      <c r="I595" s="332">
        <f t="shared" si="296"/>
        <v>76.728850325379611</v>
      </c>
      <c r="J595" s="325"/>
      <c r="K595" s="325"/>
      <c r="L595" s="325"/>
      <c r="M595" s="325"/>
      <c r="N595" s="325"/>
    </row>
    <row r="596" spans="1:14" ht="31.7" hidden="1" customHeight="1" x14ac:dyDescent="0.25">
      <c r="A596" s="361" t="s">
        <v>300</v>
      </c>
      <c r="B596" s="359">
        <v>906</v>
      </c>
      <c r="C596" s="360" t="s">
        <v>280</v>
      </c>
      <c r="D596" s="360" t="s">
        <v>134</v>
      </c>
      <c r="E596" s="360" t="s">
        <v>1013</v>
      </c>
      <c r="F596" s="360"/>
      <c r="G596" s="336">
        <f>G597</f>
        <v>0</v>
      </c>
      <c r="H596" s="336">
        <f t="shared" ref="H596:H597" si="300">H597</f>
        <v>0</v>
      </c>
      <c r="I596" s="336" t="e">
        <f t="shared" si="296"/>
        <v>#DIV/0!</v>
      </c>
    </row>
    <row r="597" spans="1:14" ht="38.25" hidden="1" customHeight="1" x14ac:dyDescent="0.25">
      <c r="A597" s="361" t="s">
        <v>288</v>
      </c>
      <c r="B597" s="359">
        <v>906</v>
      </c>
      <c r="C597" s="360" t="s">
        <v>280</v>
      </c>
      <c r="D597" s="360" t="s">
        <v>134</v>
      </c>
      <c r="E597" s="360" t="s">
        <v>1013</v>
      </c>
      <c r="F597" s="360" t="s">
        <v>289</v>
      </c>
      <c r="G597" s="336">
        <f>G598</f>
        <v>0</v>
      </c>
      <c r="H597" s="336">
        <f t="shared" si="300"/>
        <v>0</v>
      </c>
      <c r="I597" s="336" t="e">
        <f t="shared" si="296"/>
        <v>#DIV/0!</v>
      </c>
    </row>
    <row r="598" spans="1:14" ht="15.75" hidden="1" customHeight="1" x14ac:dyDescent="0.25">
      <c r="A598" s="361" t="s">
        <v>290</v>
      </c>
      <c r="B598" s="359">
        <v>906</v>
      </c>
      <c r="C598" s="360" t="s">
        <v>280</v>
      </c>
      <c r="D598" s="360" t="s">
        <v>134</v>
      </c>
      <c r="E598" s="360" t="s">
        <v>1013</v>
      </c>
      <c r="F598" s="360" t="s">
        <v>291</v>
      </c>
      <c r="G598" s="336">
        <v>0</v>
      </c>
      <c r="H598" s="336">
        <v>0</v>
      </c>
      <c r="I598" s="336" t="e">
        <f t="shared" si="296"/>
        <v>#DIV/0!</v>
      </c>
    </row>
    <row r="599" spans="1:14" ht="34.5" customHeight="1" x14ac:dyDescent="0.25">
      <c r="A599" s="60" t="s">
        <v>787</v>
      </c>
      <c r="B599" s="359">
        <v>906</v>
      </c>
      <c r="C599" s="360" t="s">
        <v>280</v>
      </c>
      <c r="D599" s="360" t="s">
        <v>134</v>
      </c>
      <c r="E599" s="360" t="s">
        <v>1014</v>
      </c>
      <c r="F599" s="360"/>
      <c r="G599" s="336">
        <f>G600</f>
        <v>2850</v>
      </c>
      <c r="H599" s="336">
        <f t="shared" ref="H599:H600" si="301">H600</f>
        <v>2800</v>
      </c>
      <c r="I599" s="336">
        <f t="shared" si="296"/>
        <v>98.245614035087712</v>
      </c>
    </row>
    <row r="600" spans="1:14" ht="32.25" customHeight="1" x14ac:dyDescent="0.25">
      <c r="A600" s="338" t="s">
        <v>288</v>
      </c>
      <c r="B600" s="359">
        <v>906</v>
      </c>
      <c r="C600" s="360" t="s">
        <v>280</v>
      </c>
      <c r="D600" s="360" t="s">
        <v>134</v>
      </c>
      <c r="E600" s="360" t="s">
        <v>1014</v>
      </c>
      <c r="F600" s="360" t="s">
        <v>289</v>
      </c>
      <c r="G600" s="336">
        <f>G601</f>
        <v>2850</v>
      </c>
      <c r="H600" s="336">
        <f t="shared" si="301"/>
        <v>2800</v>
      </c>
      <c r="I600" s="336">
        <f t="shared" si="296"/>
        <v>98.245614035087712</v>
      </c>
    </row>
    <row r="601" spans="1:14" ht="15.75" customHeight="1" x14ac:dyDescent="0.25">
      <c r="A601" s="192" t="s">
        <v>290</v>
      </c>
      <c r="B601" s="359">
        <v>906</v>
      </c>
      <c r="C601" s="360" t="s">
        <v>280</v>
      </c>
      <c r="D601" s="360" t="s">
        <v>134</v>
      </c>
      <c r="E601" s="360" t="s">
        <v>1014</v>
      </c>
      <c r="F601" s="360" t="s">
        <v>291</v>
      </c>
      <c r="G601" s="336">
        <f>2500+350</f>
        <v>2850</v>
      </c>
      <c r="H601" s="336">
        <v>2800</v>
      </c>
      <c r="I601" s="336">
        <f t="shared" si="296"/>
        <v>98.245614035087712</v>
      </c>
    </row>
    <row r="602" spans="1:14" ht="50.25" customHeight="1" x14ac:dyDescent="0.25">
      <c r="A602" s="60" t="s">
        <v>788</v>
      </c>
      <c r="B602" s="359">
        <v>906</v>
      </c>
      <c r="C602" s="360" t="s">
        <v>280</v>
      </c>
      <c r="D602" s="360" t="s">
        <v>134</v>
      </c>
      <c r="E602" s="360" t="s">
        <v>1015</v>
      </c>
      <c r="F602" s="360"/>
      <c r="G602" s="336">
        <f>G603</f>
        <v>1760</v>
      </c>
      <c r="H602" s="336">
        <f t="shared" ref="H602:H603" si="302">H603</f>
        <v>737.2</v>
      </c>
      <c r="I602" s="336">
        <f t="shared" si="296"/>
        <v>41.88636363636364</v>
      </c>
    </row>
    <row r="603" spans="1:14" ht="31.5" x14ac:dyDescent="0.25">
      <c r="A603" s="338" t="s">
        <v>288</v>
      </c>
      <c r="B603" s="359">
        <v>906</v>
      </c>
      <c r="C603" s="360" t="s">
        <v>280</v>
      </c>
      <c r="D603" s="360" t="s">
        <v>134</v>
      </c>
      <c r="E603" s="360" t="s">
        <v>1015</v>
      </c>
      <c r="F603" s="360" t="s">
        <v>289</v>
      </c>
      <c r="G603" s="336">
        <f>G604</f>
        <v>1760</v>
      </c>
      <c r="H603" s="336">
        <f t="shared" si="302"/>
        <v>737.2</v>
      </c>
      <c r="I603" s="336">
        <f t="shared" si="296"/>
        <v>41.88636363636364</v>
      </c>
    </row>
    <row r="604" spans="1:14" ht="15.75" x14ac:dyDescent="0.25">
      <c r="A604" s="192" t="s">
        <v>290</v>
      </c>
      <c r="B604" s="359">
        <v>906</v>
      </c>
      <c r="C604" s="360" t="s">
        <v>280</v>
      </c>
      <c r="D604" s="360" t="s">
        <v>134</v>
      </c>
      <c r="E604" s="360" t="s">
        <v>1015</v>
      </c>
      <c r="F604" s="360" t="s">
        <v>291</v>
      </c>
      <c r="G604" s="336">
        <v>1760</v>
      </c>
      <c r="H604" s="336">
        <v>737.2</v>
      </c>
      <c r="I604" s="336">
        <f t="shared" si="296"/>
        <v>41.88636363636364</v>
      </c>
    </row>
    <row r="605" spans="1:14" s="214" customFormat="1" ht="63" x14ac:dyDescent="0.25">
      <c r="A605" s="333" t="s">
        <v>1016</v>
      </c>
      <c r="B605" s="330">
        <v>906</v>
      </c>
      <c r="C605" s="334" t="s">
        <v>280</v>
      </c>
      <c r="D605" s="334" t="s">
        <v>134</v>
      </c>
      <c r="E605" s="334" t="s">
        <v>1017</v>
      </c>
      <c r="F605" s="334"/>
      <c r="G605" s="332">
        <f>G606+G609</f>
        <v>291.10000000000002</v>
      </c>
      <c r="H605" s="332">
        <f t="shared" ref="H605" si="303">H606+H609</f>
        <v>25</v>
      </c>
      <c r="I605" s="332">
        <f t="shared" si="296"/>
        <v>8.5881140501545854</v>
      </c>
      <c r="J605" s="325"/>
      <c r="K605" s="325"/>
      <c r="L605" s="325"/>
      <c r="M605" s="325"/>
      <c r="N605" s="325"/>
    </row>
    <row r="606" spans="1:14" ht="108.75" customHeight="1" x14ac:dyDescent="0.25">
      <c r="A606" s="361" t="s">
        <v>1463</v>
      </c>
      <c r="B606" s="359">
        <v>906</v>
      </c>
      <c r="C606" s="360" t="s">
        <v>280</v>
      </c>
      <c r="D606" s="360" t="s">
        <v>134</v>
      </c>
      <c r="E606" s="360" t="s">
        <v>1018</v>
      </c>
      <c r="F606" s="360"/>
      <c r="G606" s="336">
        <f>G607</f>
        <v>124.4</v>
      </c>
      <c r="H606" s="336">
        <f t="shared" ref="H606:H607" si="304">H607</f>
        <v>0</v>
      </c>
      <c r="I606" s="336">
        <f t="shared" si="296"/>
        <v>0</v>
      </c>
    </row>
    <row r="607" spans="1:14" ht="31.5" x14ac:dyDescent="0.25">
      <c r="A607" s="338" t="s">
        <v>288</v>
      </c>
      <c r="B607" s="359">
        <v>906</v>
      </c>
      <c r="C607" s="360" t="s">
        <v>280</v>
      </c>
      <c r="D607" s="360" t="s">
        <v>134</v>
      </c>
      <c r="E607" s="360" t="s">
        <v>1018</v>
      </c>
      <c r="F607" s="360" t="s">
        <v>289</v>
      </c>
      <c r="G607" s="336">
        <f>G608</f>
        <v>124.4</v>
      </c>
      <c r="H607" s="336">
        <f t="shared" si="304"/>
        <v>0</v>
      </c>
      <c r="I607" s="336">
        <f t="shared" si="296"/>
        <v>0</v>
      </c>
    </row>
    <row r="608" spans="1:14" ht="18.75" customHeight="1" x14ac:dyDescent="0.25">
      <c r="A608" s="192" t="s">
        <v>290</v>
      </c>
      <c r="B608" s="359">
        <v>906</v>
      </c>
      <c r="C608" s="360" t="s">
        <v>280</v>
      </c>
      <c r="D608" s="360" t="s">
        <v>134</v>
      </c>
      <c r="E608" s="360" t="s">
        <v>1018</v>
      </c>
      <c r="F608" s="360" t="s">
        <v>291</v>
      </c>
      <c r="G608" s="336">
        <v>124.4</v>
      </c>
      <c r="H608" s="336">
        <v>0</v>
      </c>
      <c r="I608" s="336">
        <f t="shared" si="296"/>
        <v>0</v>
      </c>
    </row>
    <row r="609" spans="1:14" s="214" customFormat="1" ht="117.75" customHeight="1" x14ac:dyDescent="0.25">
      <c r="A609" s="361" t="s">
        <v>439</v>
      </c>
      <c r="B609" s="359">
        <v>906</v>
      </c>
      <c r="C609" s="360" t="s">
        <v>280</v>
      </c>
      <c r="D609" s="360" t="s">
        <v>134</v>
      </c>
      <c r="E609" s="360" t="s">
        <v>1019</v>
      </c>
      <c r="F609" s="360"/>
      <c r="G609" s="336">
        <f>G610</f>
        <v>166.7</v>
      </c>
      <c r="H609" s="336">
        <f t="shared" ref="H609:H610" si="305">H610</f>
        <v>25</v>
      </c>
      <c r="I609" s="336">
        <f t="shared" si="296"/>
        <v>14.997000599880025</v>
      </c>
      <c r="J609" s="325"/>
      <c r="K609" s="325"/>
      <c r="L609" s="325"/>
      <c r="M609" s="325"/>
      <c r="N609" s="325"/>
    </row>
    <row r="610" spans="1:14" s="214" customFormat="1" ht="32.25" customHeight="1" x14ac:dyDescent="0.25">
      <c r="A610" s="361" t="s">
        <v>288</v>
      </c>
      <c r="B610" s="359">
        <v>906</v>
      </c>
      <c r="C610" s="360" t="s">
        <v>280</v>
      </c>
      <c r="D610" s="360" t="s">
        <v>134</v>
      </c>
      <c r="E610" s="360" t="s">
        <v>1019</v>
      </c>
      <c r="F610" s="360" t="s">
        <v>289</v>
      </c>
      <c r="G610" s="336">
        <f>G611</f>
        <v>166.7</v>
      </c>
      <c r="H610" s="336">
        <f t="shared" si="305"/>
        <v>25</v>
      </c>
      <c r="I610" s="336">
        <f t="shared" si="296"/>
        <v>14.997000599880025</v>
      </c>
      <c r="J610" s="325"/>
      <c r="K610" s="325"/>
      <c r="L610" s="325"/>
      <c r="M610" s="325"/>
      <c r="N610" s="325"/>
    </row>
    <row r="611" spans="1:14" s="214" customFormat="1" ht="18.75" customHeight="1" x14ac:dyDescent="0.25">
      <c r="A611" s="361" t="s">
        <v>290</v>
      </c>
      <c r="B611" s="359">
        <v>906</v>
      </c>
      <c r="C611" s="360" t="s">
        <v>280</v>
      </c>
      <c r="D611" s="360" t="s">
        <v>134</v>
      </c>
      <c r="E611" s="360" t="s">
        <v>1019</v>
      </c>
      <c r="F611" s="360" t="s">
        <v>291</v>
      </c>
      <c r="G611" s="336">
        <v>166.7</v>
      </c>
      <c r="H611" s="336">
        <v>25</v>
      </c>
      <c r="I611" s="336">
        <f t="shared" si="296"/>
        <v>14.997000599880025</v>
      </c>
      <c r="J611" s="325"/>
      <c r="K611" s="325"/>
      <c r="L611" s="325"/>
      <c r="M611" s="325"/>
      <c r="N611" s="325"/>
    </row>
    <row r="612" spans="1:14" s="214" customFormat="1" ht="84.2" customHeight="1" x14ac:dyDescent="0.25">
      <c r="A612" s="333" t="s">
        <v>1543</v>
      </c>
      <c r="B612" s="330">
        <v>906</v>
      </c>
      <c r="C612" s="334" t="s">
        <v>280</v>
      </c>
      <c r="D612" s="334" t="s">
        <v>134</v>
      </c>
      <c r="E612" s="334" t="s">
        <v>1398</v>
      </c>
      <c r="F612" s="334"/>
      <c r="G612" s="332">
        <f>G613+G616</f>
        <v>1737.8999999999999</v>
      </c>
      <c r="H612" s="332">
        <f t="shared" ref="H612" si="306">H613+H616</f>
        <v>181.66300000000001</v>
      </c>
      <c r="I612" s="332">
        <f t="shared" si="296"/>
        <v>10.453018010242248</v>
      </c>
      <c r="J612" s="325"/>
      <c r="K612" s="325"/>
      <c r="L612" s="325"/>
      <c r="M612" s="325"/>
      <c r="N612" s="325"/>
    </row>
    <row r="613" spans="1:14" s="214" customFormat="1" ht="79.5" customHeight="1" x14ac:dyDescent="0.25">
      <c r="A613" s="151" t="s">
        <v>1540</v>
      </c>
      <c r="B613" s="359">
        <v>906</v>
      </c>
      <c r="C613" s="360" t="s">
        <v>280</v>
      </c>
      <c r="D613" s="360" t="s">
        <v>134</v>
      </c>
      <c r="E613" s="360" t="s">
        <v>1402</v>
      </c>
      <c r="F613" s="360"/>
      <c r="G613" s="336">
        <f>G614</f>
        <v>71.3</v>
      </c>
      <c r="H613" s="336">
        <f t="shared" ref="H613:H614" si="307">H614</f>
        <v>0</v>
      </c>
      <c r="I613" s="336">
        <f t="shared" si="296"/>
        <v>0</v>
      </c>
      <c r="J613" s="325"/>
      <c r="K613" s="325"/>
      <c r="L613" s="325"/>
      <c r="M613" s="325"/>
      <c r="N613" s="325"/>
    </row>
    <row r="614" spans="1:14" s="214" customFormat="1" ht="35.450000000000003" customHeight="1" x14ac:dyDescent="0.25">
      <c r="A614" s="361" t="s">
        <v>288</v>
      </c>
      <c r="B614" s="359">
        <v>906</v>
      </c>
      <c r="C614" s="360" t="s">
        <v>280</v>
      </c>
      <c r="D614" s="360" t="s">
        <v>134</v>
      </c>
      <c r="E614" s="360" t="s">
        <v>1402</v>
      </c>
      <c r="F614" s="360" t="s">
        <v>289</v>
      </c>
      <c r="G614" s="336">
        <f>G615</f>
        <v>71.3</v>
      </c>
      <c r="H614" s="336">
        <f t="shared" si="307"/>
        <v>0</v>
      </c>
      <c r="I614" s="336">
        <f t="shared" si="296"/>
        <v>0</v>
      </c>
      <c r="J614" s="325"/>
      <c r="K614" s="325"/>
      <c r="L614" s="325"/>
      <c r="M614" s="325"/>
      <c r="N614" s="325"/>
    </row>
    <row r="615" spans="1:14" s="214" customFormat="1" ht="18.75" customHeight="1" x14ac:dyDescent="0.25">
      <c r="A615" s="361" t="s">
        <v>290</v>
      </c>
      <c r="B615" s="359">
        <v>906</v>
      </c>
      <c r="C615" s="360" t="s">
        <v>280</v>
      </c>
      <c r="D615" s="360" t="s">
        <v>134</v>
      </c>
      <c r="E615" s="360" t="s">
        <v>1402</v>
      </c>
      <c r="F615" s="360" t="s">
        <v>291</v>
      </c>
      <c r="G615" s="336">
        <v>71.3</v>
      </c>
      <c r="H615" s="336">
        <v>0</v>
      </c>
      <c r="I615" s="336">
        <f t="shared" si="296"/>
        <v>0</v>
      </c>
      <c r="J615" s="325"/>
      <c r="K615" s="325"/>
      <c r="L615" s="325"/>
      <c r="M615" s="325"/>
      <c r="N615" s="325"/>
    </row>
    <row r="616" spans="1:14" s="214" customFormat="1" ht="82.5" customHeight="1" x14ac:dyDescent="0.25">
      <c r="A616" s="151" t="s">
        <v>1399</v>
      </c>
      <c r="B616" s="359">
        <v>906</v>
      </c>
      <c r="C616" s="360" t="s">
        <v>280</v>
      </c>
      <c r="D616" s="360" t="s">
        <v>134</v>
      </c>
      <c r="E616" s="360" t="s">
        <v>1401</v>
      </c>
      <c r="F616" s="360"/>
      <c r="G616" s="336">
        <f>G617</f>
        <v>1666.6</v>
      </c>
      <c r="H616" s="336">
        <f t="shared" ref="H616:H617" si="308">H617</f>
        <v>181.66300000000001</v>
      </c>
      <c r="I616" s="336">
        <f t="shared" si="296"/>
        <v>10.900216008640347</v>
      </c>
      <c r="J616" s="325"/>
      <c r="K616" s="325"/>
      <c r="L616" s="325"/>
      <c r="M616" s="325"/>
      <c r="N616" s="325"/>
    </row>
    <row r="617" spans="1:14" s="214" customFormat="1" ht="36.75" customHeight="1" x14ac:dyDescent="0.25">
      <c r="A617" s="361" t="s">
        <v>288</v>
      </c>
      <c r="B617" s="359">
        <v>906</v>
      </c>
      <c r="C617" s="360" t="s">
        <v>280</v>
      </c>
      <c r="D617" s="360" t="s">
        <v>134</v>
      </c>
      <c r="E617" s="360" t="s">
        <v>1401</v>
      </c>
      <c r="F617" s="360" t="s">
        <v>289</v>
      </c>
      <c r="G617" s="336">
        <f>G618</f>
        <v>1666.6</v>
      </c>
      <c r="H617" s="336">
        <f t="shared" si="308"/>
        <v>181.66300000000001</v>
      </c>
      <c r="I617" s="336">
        <f t="shared" si="296"/>
        <v>10.900216008640347</v>
      </c>
      <c r="J617" s="325"/>
      <c r="K617" s="325"/>
      <c r="L617" s="325"/>
      <c r="M617" s="325"/>
      <c r="N617" s="325"/>
    </row>
    <row r="618" spans="1:14" s="214" customFormat="1" ht="18.75" customHeight="1" x14ac:dyDescent="0.25">
      <c r="A618" s="361" t="s">
        <v>290</v>
      </c>
      <c r="B618" s="359">
        <v>906</v>
      </c>
      <c r="C618" s="360" t="s">
        <v>280</v>
      </c>
      <c r="D618" s="360" t="s">
        <v>134</v>
      </c>
      <c r="E618" s="360" t="s">
        <v>1401</v>
      </c>
      <c r="F618" s="360" t="s">
        <v>291</v>
      </c>
      <c r="G618" s="336">
        <v>1666.6</v>
      </c>
      <c r="H618" s="336">
        <v>181.66300000000001</v>
      </c>
      <c r="I618" s="336">
        <f t="shared" si="296"/>
        <v>10.900216008640347</v>
      </c>
      <c r="J618" s="325"/>
      <c r="K618" s="325"/>
      <c r="L618" s="325"/>
      <c r="M618" s="325"/>
      <c r="N618" s="325"/>
    </row>
    <row r="619" spans="1:14" ht="43.5" hidden="1" customHeight="1" x14ac:dyDescent="0.25">
      <c r="A619" s="34" t="s">
        <v>805</v>
      </c>
      <c r="B619" s="330">
        <v>906</v>
      </c>
      <c r="C619" s="334" t="s">
        <v>280</v>
      </c>
      <c r="D619" s="334" t="s">
        <v>134</v>
      </c>
      <c r="E619" s="334" t="s">
        <v>340</v>
      </c>
      <c r="F619" s="334"/>
      <c r="G619" s="332">
        <f>G620</f>
        <v>0</v>
      </c>
      <c r="H619" s="332">
        <f t="shared" ref="H619:H622" si="309">H620</f>
        <v>0</v>
      </c>
      <c r="I619" s="336" t="e">
        <f t="shared" si="296"/>
        <v>#DIV/0!</v>
      </c>
    </row>
    <row r="620" spans="1:14" s="214" customFormat="1" ht="49.7" hidden="1" customHeight="1" x14ac:dyDescent="0.25">
      <c r="A620" s="34" t="s">
        <v>1162</v>
      </c>
      <c r="B620" s="330">
        <v>906</v>
      </c>
      <c r="C620" s="334" t="s">
        <v>280</v>
      </c>
      <c r="D620" s="334" t="s">
        <v>134</v>
      </c>
      <c r="E620" s="334" t="s">
        <v>1025</v>
      </c>
      <c r="F620" s="334"/>
      <c r="G620" s="332">
        <f>G621</f>
        <v>0</v>
      </c>
      <c r="H620" s="332">
        <f t="shared" si="309"/>
        <v>0</v>
      </c>
      <c r="I620" s="336" t="e">
        <f t="shared" si="296"/>
        <v>#DIV/0!</v>
      </c>
      <c r="J620" s="325"/>
      <c r="K620" s="325"/>
      <c r="L620" s="325"/>
      <c r="M620" s="325"/>
      <c r="N620" s="325"/>
    </row>
    <row r="621" spans="1:14" ht="50.25" hidden="1" customHeight="1" x14ac:dyDescent="0.25">
      <c r="A621" s="31" t="s">
        <v>1274</v>
      </c>
      <c r="B621" s="359">
        <v>906</v>
      </c>
      <c r="C621" s="360" t="s">
        <v>280</v>
      </c>
      <c r="D621" s="360" t="s">
        <v>134</v>
      </c>
      <c r="E621" s="360" t="s">
        <v>1026</v>
      </c>
      <c r="F621" s="360"/>
      <c r="G621" s="336">
        <f>G622</f>
        <v>0</v>
      </c>
      <c r="H621" s="336">
        <f t="shared" si="309"/>
        <v>0</v>
      </c>
      <c r="I621" s="336" t="e">
        <f t="shared" si="296"/>
        <v>#DIV/0!</v>
      </c>
    </row>
    <row r="622" spans="1:14" ht="42" hidden="1" customHeight="1" x14ac:dyDescent="0.25">
      <c r="A622" s="31" t="s">
        <v>288</v>
      </c>
      <c r="B622" s="359">
        <v>906</v>
      </c>
      <c r="C622" s="360" t="s">
        <v>280</v>
      </c>
      <c r="D622" s="360" t="s">
        <v>134</v>
      </c>
      <c r="E622" s="360" t="s">
        <v>1026</v>
      </c>
      <c r="F622" s="360" t="s">
        <v>289</v>
      </c>
      <c r="G622" s="336">
        <f>G623</f>
        <v>0</v>
      </c>
      <c r="H622" s="336">
        <f t="shared" si="309"/>
        <v>0</v>
      </c>
      <c r="I622" s="336" t="e">
        <f t="shared" si="296"/>
        <v>#DIV/0!</v>
      </c>
    </row>
    <row r="623" spans="1:14" ht="16.5" hidden="1" customHeight="1" x14ac:dyDescent="0.25">
      <c r="A623" s="31" t="s">
        <v>290</v>
      </c>
      <c r="B623" s="359">
        <v>906</v>
      </c>
      <c r="C623" s="360" t="s">
        <v>280</v>
      </c>
      <c r="D623" s="360" t="s">
        <v>134</v>
      </c>
      <c r="E623" s="360" t="s">
        <v>1026</v>
      </c>
      <c r="F623" s="360" t="s">
        <v>291</v>
      </c>
      <c r="G623" s="336">
        <v>0</v>
      </c>
      <c r="H623" s="336">
        <v>0</v>
      </c>
      <c r="I623" s="336" t="e">
        <f t="shared" si="296"/>
        <v>#DIV/0!</v>
      </c>
    </row>
    <row r="624" spans="1:14" ht="46.5" customHeight="1" x14ac:dyDescent="0.25">
      <c r="A624" s="41" t="s">
        <v>1371</v>
      </c>
      <c r="B624" s="330">
        <v>906</v>
      </c>
      <c r="C624" s="334" t="s">
        <v>280</v>
      </c>
      <c r="D624" s="334" t="s">
        <v>134</v>
      </c>
      <c r="E624" s="334" t="s">
        <v>728</v>
      </c>
      <c r="F624" s="231"/>
      <c r="G624" s="332">
        <f>G626</f>
        <v>558.29999999999995</v>
      </c>
      <c r="H624" s="332">
        <f t="shared" ref="H624" si="310">H626</f>
        <v>389.17</v>
      </c>
      <c r="I624" s="332">
        <f t="shared" si="296"/>
        <v>69.706251119469826</v>
      </c>
    </row>
    <row r="625" spans="1:14" s="214" customFormat="1" ht="46.5" customHeight="1" x14ac:dyDescent="0.25">
      <c r="A625" s="41" t="s">
        <v>949</v>
      </c>
      <c r="B625" s="330">
        <v>906</v>
      </c>
      <c r="C625" s="334" t="s">
        <v>280</v>
      </c>
      <c r="D625" s="334" t="s">
        <v>134</v>
      </c>
      <c r="E625" s="334" t="s">
        <v>947</v>
      </c>
      <c r="F625" s="231"/>
      <c r="G625" s="332">
        <f>G626</f>
        <v>558.29999999999995</v>
      </c>
      <c r="H625" s="332">
        <f t="shared" ref="H625:H627" si="311">H626</f>
        <v>389.17</v>
      </c>
      <c r="I625" s="332">
        <f t="shared" si="296"/>
        <v>69.706251119469826</v>
      </c>
      <c r="J625" s="325"/>
      <c r="K625" s="325"/>
      <c r="L625" s="325"/>
      <c r="M625" s="325"/>
      <c r="N625" s="325"/>
    </row>
    <row r="626" spans="1:14" ht="36" customHeight="1" x14ac:dyDescent="0.25">
      <c r="A626" s="99" t="s">
        <v>803</v>
      </c>
      <c r="B626" s="359">
        <v>906</v>
      </c>
      <c r="C626" s="360" t="s">
        <v>280</v>
      </c>
      <c r="D626" s="360" t="s">
        <v>134</v>
      </c>
      <c r="E626" s="360" t="s">
        <v>1027</v>
      </c>
      <c r="F626" s="32"/>
      <c r="G626" s="336">
        <f>G627</f>
        <v>558.29999999999995</v>
      </c>
      <c r="H626" s="336">
        <f t="shared" si="311"/>
        <v>389.17</v>
      </c>
      <c r="I626" s="336">
        <f t="shared" si="296"/>
        <v>69.706251119469826</v>
      </c>
    </row>
    <row r="627" spans="1:14" ht="35.450000000000003" customHeight="1" x14ac:dyDescent="0.25">
      <c r="A627" s="338" t="s">
        <v>288</v>
      </c>
      <c r="B627" s="359">
        <v>906</v>
      </c>
      <c r="C627" s="360" t="s">
        <v>280</v>
      </c>
      <c r="D627" s="360" t="s">
        <v>134</v>
      </c>
      <c r="E627" s="360" t="s">
        <v>1027</v>
      </c>
      <c r="F627" s="32" t="s">
        <v>289</v>
      </c>
      <c r="G627" s="336">
        <f>G628</f>
        <v>558.29999999999995</v>
      </c>
      <c r="H627" s="336">
        <f t="shared" si="311"/>
        <v>389.17</v>
      </c>
      <c r="I627" s="336">
        <f t="shared" si="296"/>
        <v>69.706251119469826</v>
      </c>
    </row>
    <row r="628" spans="1:14" ht="15.75" customHeight="1" x14ac:dyDescent="0.25">
      <c r="A628" s="192" t="s">
        <v>290</v>
      </c>
      <c r="B628" s="359">
        <v>906</v>
      </c>
      <c r="C628" s="360" t="s">
        <v>280</v>
      </c>
      <c r="D628" s="360" t="s">
        <v>134</v>
      </c>
      <c r="E628" s="360" t="s">
        <v>1027</v>
      </c>
      <c r="F628" s="32" t="s">
        <v>291</v>
      </c>
      <c r="G628" s="336">
        <f>464.3+45+49</f>
        <v>558.29999999999995</v>
      </c>
      <c r="H628" s="336">
        <v>389.17</v>
      </c>
      <c r="I628" s="336">
        <f t="shared" si="296"/>
        <v>69.706251119469826</v>
      </c>
    </row>
    <row r="629" spans="1:14" ht="15.75" x14ac:dyDescent="0.25">
      <c r="A629" s="333" t="s">
        <v>441</v>
      </c>
      <c r="B629" s="330">
        <v>906</v>
      </c>
      <c r="C629" s="334" t="s">
        <v>280</v>
      </c>
      <c r="D629" s="334" t="s">
        <v>229</v>
      </c>
      <c r="E629" s="334"/>
      <c r="F629" s="334"/>
      <c r="G629" s="332">
        <f>G630+G734+G739</f>
        <v>183999.23757</v>
      </c>
      <c r="H629" s="332">
        <f t="shared" ref="H629" si="312">H630+H734+H739</f>
        <v>119573.52</v>
      </c>
      <c r="I629" s="332">
        <f t="shared" si="296"/>
        <v>64.985877973820351</v>
      </c>
    </row>
    <row r="630" spans="1:14" ht="50.25" customHeight="1" x14ac:dyDescent="0.25">
      <c r="A630" s="333" t="s">
        <v>442</v>
      </c>
      <c r="B630" s="330">
        <v>906</v>
      </c>
      <c r="C630" s="334" t="s">
        <v>280</v>
      </c>
      <c r="D630" s="334" t="s">
        <v>229</v>
      </c>
      <c r="E630" s="334" t="s">
        <v>422</v>
      </c>
      <c r="F630" s="334"/>
      <c r="G630" s="332">
        <f>G631+G664</f>
        <v>183125.93757000001</v>
      </c>
      <c r="H630" s="332">
        <f t="shared" ref="H630" si="313">H631+H664</f>
        <v>118885.262</v>
      </c>
      <c r="I630" s="332">
        <f t="shared" si="296"/>
        <v>64.919947210949317</v>
      </c>
    </row>
    <row r="631" spans="1:14" ht="37.5" customHeight="1" x14ac:dyDescent="0.25">
      <c r="A631" s="333" t="s">
        <v>423</v>
      </c>
      <c r="B631" s="330">
        <v>906</v>
      </c>
      <c r="C631" s="334" t="s">
        <v>280</v>
      </c>
      <c r="D631" s="334" t="s">
        <v>229</v>
      </c>
      <c r="E631" s="334" t="s">
        <v>424</v>
      </c>
      <c r="F631" s="334"/>
      <c r="G631" s="332">
        <f>G632+G642</f>
        <v>166083.49857</v>
      </c>
      <c r="H631" s="332">
        <f t="shared" ref="H631" si="314">H632+H642</f>
        <v>112362.311</v>
      </c>
      <c r="I631" s="332">
        <f t="shared" si="296"/>
        <v>67.654108907539737</v>
      </c>
    </row>
    <row r="632" spans="1:14" s="214" customFormat="1" ht="37.5" customHeight="1" x14ac:dyDescent="0.25">
      <c r="A632" s="333" t="s">
        <v>1028</v>
      </c>
      <c r="B632" s="330">
        <v>906</v>
      </c>
      <c r="C632" s="334" t="s">
        <v>280</v>
      </c>
      <c r="D632" s="334" t="s">
        <v>229</v>
      </c>
      <c r="E632" s="334" t="s">
        <v>1006</v>
      </c>
      <c r="F632" s="334"/>
      <c r="G632" s="332">
        <f>G633+G636+G639</f>
        <v>27339.028570000002</v>
      </c>
      <c r="H632" s="332">
        <f t="shared" ref="H632" si="315">H633+H636+H639</f>
        <v>16770.868000000002</v>
      </c>
      <c r="I632" s="332">
        <f t="shared" si="296"/>
        <v>61.344052357453606</v>
      </c>
      <c r="J632" s="325"/>
      <c r="K632" s="325"/>
      <c r="L632" s="325"/>
      <c r="M632" s="325"/>
      <c r="N632" s="325"/>
    </row>
    <row r="633" spans="1:14" ht="47.25" x14ac:dyDescent="0.25">
      <c r="A633" s="361" t="s">
        <v>1457</v>
      </c>
      <c r="B633" s="359">
        <v>906</v>
      </c>
      <c r="C633" s="360" t="s">
        <v>280</v>
      </c>
      <c r="D633" s="360" t="s">
        <v>229</v>
      </c>
      <c r="E633" s="360" t="s">
        <v>1065</v>
      </c>
      <c r="F633" s="360"/>
      <c r="G633" s="336">
        <f>G634</f>
        <v>9301.4285700000019</v>
      </c>
      <c r="H633" s="336">
        <f t="shared" ref="H633:H634" si="316">H634</f>
        <v>6122.4759999999997</v>
      </c>
      <c r="I633" s="336">
        <f t="shared" si="296"/>
        <v>65.822964224515886</v>
      </c>
    </row>
    <row r="634" spans="1:14" ht="32.25" customHeight="1" x14ac:dyDescent="0.25">
      <c r="A634" s="361" t="s">
        <v>288</v>
      </c>
      <c r="B634" s="359">
        <v>906</v>
      </c>
      <c r="C634" s="360" t="s">
        <v>280</v>
      </c>
      <c r="D634" s="360" t="s">
        <v>229</v>
      </c>
      <c r="E634" s="360" t="s">
        <v>1065</v>
      </c>
      <c r="F634" s="360" t="s">
        <v>289</v>
      </c>
      <c r="G634" s="336">
        <f>G635</f>
        <v>9301.4285700000019</v>
      </c>
      <c r="H634" s="336">
        <f t="shared" si="316"/>
        <v>6122.4759999999997</v>
      </c>
      <c r="I634" s="336">
        <f t="shared" si="296"/>
        <v>65.822964224515886</v>
      </c>
    </row>
    <row r="635" spans="1:14" ht="15.75" x14ac:dyDescent="0.25">
      <c r="A635" s="361" t="s">
        <v>290</v>
      </c>
      <c r="B635" s="359">
        <v>906</v>
      </c>
      <c r="C635" s="360" t="s">
        <v>280</v>
      </c>
      <c r="D635" s="360" t="s">
        <v>229</v>
      </c>
      <c r="E635" s="360" t="s">
        <v>1065</v>
      </c>
      <c r="F635" s="360" t="s">
        <v>291</v>
      </c>
      <c r="G635" s="362">
        <f>29802.4+0.6-20027.6-10-464+0.02857</f>
        <v>9301.4285700000019</v>
      </c>
      <c r="H635" s="362">
        <v>6122.4759999999997</v>
      </c>
      <c r="I635" s="336">
        <f t="shared" si="296"/>
        <v>65.822964224515886</v>
      </c>
    </row>
    <row r="636" spans="1:14" s="214" customFormat="1" ht="47.25" x14ac:dyDescent="0.25">
      <c r="A636" s="361" t="s">
        <v>1458</v>
      </c>
      <c r="B636" s="359">
        <v>906</v>
      </c>
      <c r="C636" s="360" t="s">
        <v>280</v>
      </c>
      <c r="D636" s="360" t="s">
        <v>229</v>
      </c>
      <c r="E636" s="360" t="s">
        <v>1066</v>
      </c>
      <c r="F636" s="360"/>
      <c r="G636" s="336">
        <f t="shared" ref="G636:H637" si="317">G637</f>
        <v>11361.7</v>
      </c>
      <c r="H636" s="336">
        <f t="shared" si="317"/>
        <v>6401.2929999999997</v>
      </c>
      <c r="I636" s="336">
        <f t="shared" si="296"/>
        <v>56.340978902805027</v>
      </c>
      <c r="J636" s="325"/>
      <c r="K636" s="325"/>
      <c r="L636" s="325"/>
      <c r="M636" s="325"/>
      <c r="N636" s="325"/>
    </row>
    <row r="637" spans="1:14" s="214" customFormat="1" ht="31.5" x14ac:dyDescent="0.25">
      <c r="A637" s="361" t="s">
        <v>288</v>
      </c>
      <c r="B637" s="359">
        <v>906</v>
      </c>
      <c r="C637" s="360" t="s">
        <v>280</v>
      </c>
      <c r="D637" s="360" t="s">
        <v>229</v>
      </c>
      <c r="E637" s="360" t="s">
        <v>1066</v>
      </c>
      <c r="F637" s="360" t="s">
        <v>289</v>
      </c>
      <c r="G637" s="336">
        <f t="shared" si="317"/>
        <v>11361.7</v>
      </c>
      <c r="H637" s="336">
        <f t="shared" si="317"/>
        <v>6401.2929999999997</v>
      </c>
      <c r="I637" s="336">
        <f t="shared" si="296"/>
        <v>56.340978902805027</v>
      </c>
      <c r="J637" s="325"/>
      <c r="K637" s="325"/>
      <c r="L637" s="325"/>
      <c r="M637" s="325"/>
      <c r="N637" s="325"/>
    </row>
    <row r="638" spans="1:14" s="214" customFormat="1" ht="15.75" x14ac:dyDescent="0.25">
      <c r="A638" s="361" t="s">
        <v>290</v>
      </c>
      <c r="B638" s="359">
        <v>906</v>
      </c>
      <c r="C638" s="360" t="s">
        <v>280</v>
      </c>
      <c r="D638" s="360" t="s">
        <v>229</v>
      </c>
      <c r="E638" s="360" t="s">
        <v>1066</v>
      </c>
      <c r="F638" s="360" t="s">
        <v>291</v>
      </c>
      <c r="G638" s="362">
        <f>12351.7-990</f>
        <v>11361.7</v>
      </c>
      <c r="H638" s="362">
        <v>6401.2929999999997</v>
      </c>
      <c r="I638" s="336">
        <f t="shared" si="296"/>
        <v>56.340978902805027</v>
      </c>
      <c r="J638" s="325"/>
      <c r="K638" s="325"/>
      <c r="L638" s="325"/>
      <c r="M638" s="325"/>
      <c r="N638" s="325"/>
    </row>
    <row r="639" spans="1:14" s="214" customFormat="1" ht="47.25" x14ac:dyDescent="0.25">
      <c r="A639" s="361" t="s">
        <v>1459</v>
      </c>
      <c r="B639" s="359">
        <v>906</v>
      </c>
      <c r="C639" s="360" t="s">
        <v>280</v>
      </c>
      <c r="D639" s="360" t="s">
        <v>229</v>
      </c>
      <c r="E639" s="360" t="s">
        <v>1067</v>
      </c>
      <c r="F639" s="360"/>
      <c r="G639" s="336">
        <f t="shared" ref="G639:H640" si="318">G640</f>
        <v>6675.9</v>
      </c>
      <c r="H639" s="336">
        <f t="shared" si="318"/>
        <v>4247.0990000000002</v>
      </c>
      <c r="I639" s="336">
        <f t="shared" si="296"/>
        <v>63.618373552629613</v>
      </c>
      <c r="J639" s="325"/>
      <c r="K639" s="325"/>
      <c r="L639" s="325"/>
      <c r="M639" s="325"/>
      <c r="N639" s="325"/>
    </row>
    <row r="640" spans="1:14" s="214" customFormat="1" ht="31.5" x14ac:dyDescent="0.25">
      <c r="A640" s="361" t="s">
        <v>288</v>
      </c>
      <c r="B640" s="359">
        <v>906</v>
      </c>
      <c r="C640" s="360" t="s">
        <v>280</v>
      </c>
      <c r="D640" s="360" t="s">
        <v>229</v>
      </c>
      <c r="E640" s="360" t="s">
        <v>1067</v>
      </c>
      <c r="F640" s="360" t="s">
        <v>289</v>
      </c>
      <c r="G640" s="336">
        <f t="shared" si="318"/>
        <v>6675.9</v>
      </c>
      <c r="H640" s="336">
        <f t="shared" si="318"/>
        <v>4247.0990000000002</v>
      </c>
      <c r="I640" s="336">
        <f t="shared" si="296"/>
        <v>63.618373552629613</v>
      </c>
      <c r="J640" s="325"/>
      <c r="K640" s="325"/>
      <c r="L640" s="325"/>
      <c r="M640" s="325"/>
      <c r="N640" s="325"/>
    </row>
    <row r="641" spans="1:14" s="214" customFormat="1" ht="15.75" x14ac:dyDescent="0.25">
      <c r="A641" s="361" t="s">
        <v>290</v>
      </c>
      <c r="B641" s="359">
        <v>906</v>
      </c>
      <c r="C641" s="360" t="s">
        <v>280</v>
      </c>
      <c r="D641" s="360" t="s">
        <v>229</v>
      </c>
      <c r="E641" s="360" t="s">
        <v>1067</v>
      </c>
      <c r="F641" s="360" t="s">
        <v>291</v>
      </c>
      <c r="G641" s="362">
        <f>6675.9</f>
        <v>6675.9</v>
      </c>
      <c r="H641" s="362">
        <v>4247.0990000000002</v>
      </c>
      <c r="I641" s="336">
        <f t="shared" si="296"/>
        <v>63.618373552629613</v>
      </c>
      <c r="J641" s="325"/>
      <c r="K641" s="325"/>
      <c r="L641" s="325"/>
      <c r="M641" s="325"/>
      <c r="N641" s="325"/>
    </row>
    <row r="642" spans="1:14" s="214" customFormat="1" ht="39.200000000000003" customHeight="1" x14ac:dyDescent="0.25">
      <c r="A642" s="333" t="s">
        <v>971</v>
      </c>
      <c r="B642" s="330">
        <v>906</v>
      </c>
      <c r="C642" s="334" t="s">
        <v>280</v>
      </c>
      <c r="D642" s="334" t="s">
        <v>229</v>
      </c>
      <c r="E642" s="334" t="s">
        <v>1021</v>
      </c>
      <c r="F642" s="334"/>
      <c r="G642" s="44">
        <f>G649+G652+G655+G658+G661+G646+G643</f>
        <v>138744.47</v>
      </c>
      <c r="H642" s="44">
        <f t="shared" ref="H642" si="319">H649+H652+H655+H658+H661+H646+H643</f>
        <v>95591.442999999999</v>
      </c>
      <c r="I642" s="332">
        <f t="shared" si="296"/>
        <v>68.897479661711927</v>
      </c>
      <c r="J642" s="325"/>
      <c r="K642" s="325"/>
      <c r="L642" s="325"/>
      <c r="M642" s="325"/>
      <c r="N642" s="325"/>
    </row>
    <row r="643" spans="1:14" s="216" customFormat="1" ht="49.7" customHeight="1" x14ac:dyDescent="0.25">
      <c r="A643" s="361" t="s">
        <v>1525</v>
      </c>
      <c r="B643" s="359">
        <v>906</v>
      </c>
      <c r="C643" s="360" t="s">
        <v>280</v>
      </c>
      <c r="D643" s="360" t="s">
        <v>229</v>
      </c>
      <c r="E643" s="360" t="s">
        <v>1526</v>
      </c>
      <c r="F643" s="360"/>
      <c r="G643" s="362">
        <f>G644</f>
        <v>1125.9000000000001</v>
      </c>
      <c r="H643" s="362">
        <f t="shared" ref="H643:H644" si="320">H644</f>
        <v>341.8</v>
      </c>
      <c r="I643" s="336">
        <f t="shared" si="296"/>
        <v>30.357935873523402</v>
      </c>
    </row>
    <row r="644" spans="1:14" s="216" customFormat="1" ht="44.45" customHeight="1" x14ac:dyDescent="0.25">
      <c r="A644" s="361" t="s">
        <v>288</v>
      </c>
      <c r="B644" s="359">
        <v>906</v>
      </c>
      <c r="C644" s="360" t="s">
        <v>280</v>
      </c>
      <c r="D644" s="360" t="s">
        <v>229</v>
      </c>
      <c r="E644" s="360" t="s">
        <v>1526</v>
      </c>
      <c r="F644" s="360" t="s">
        <v>289</v>
      </c>
      <c r="G644" s="362">
        <f>G645</f>
        <v>1125.9000000000001</v>
      </c>
      <c r="H644" s="362">
        <f t="shared" si="320"/>
        <v>341.8</v>
      </c>
      <c r="I644" s="336">
        <f t="shared" si="296"/>
        <v>30.357935873523402</v>
      </c>
    </row>
    <row r="645" spans="1:14" s="216" customFormat="1" ht="35.450000000000003" customHeight="1" x14ac:dyDescent="0.25">
      <c r="A645" s="361" t="s">
        <v>290</v>
      </c>
      <c r="B645" s="359">
        <v>906</v>
      </c>
      <c r="C645" s="360" t="s">
        <v>280</v>
      </c>
      <c r="D645" s="360" t="s">
        <v>229</v>
      </c>
      <c r="E645" s="360" t="s">
        <v>1526</v>
      </c>
      <c r="F645" s="360" t="s">
        <v>291</v>
      </c>
      <c r="G645" s="362">
        <v>1125.9000000000001</v>
      </c>
      <c r="H645" s="362">
        <v>341.8</v>
      </c>
      <c r="I645" s="336">
        <f t="shared" si="296"/>
        <v>30.357935873523402</v>
      </c>
    </row>
    <row r="646" spans="1:14" s="325" customFormat="1" ht="78.75" x14ac:dyDescent="0.25">
      <c r="A646" s="31" t="s">
        <v>309</v>
      </c>
      <c r="B646" s="359">
        <v>906</v>
      </c>
      <c r="C646" s="360" t="s">
        <v>280</v>
      </c>
      <c r="D646" s="360" t="s">
        <v>229</v>
      </c>
      <c r="E646" s="360" t="s">
        <v>1517</v>
      </c>
      <c r="F646" s="360"/>
      <c r="G646" s="362">
        <f>G647</f>
        <v>3821</v>
      </c>
      <c r="H646" s="362">
        <f t="shared" ref="H646:H647" si="321">H647</f>
        <v>2595.3560000000002</v>
      </c>
      <c r="I646" s="336">
        <f t="shared" si="296"/>
        <v>67.923475529965984</v>
      </c>
    </row>
    <row r="647" spans="1:14" s="325" customFormat="1" ht="31.5" x14ac:dyDescent="0.25">
      <c r="A647" s="361" t="s">
        <v>288</v>
      </c>
      <c r="B647" s="359">
        <v>906</v>
      </c>
      <c r="C647" s="360" t="s">
        <v>280</v>
      </c>
      <c r="D647" s="360" t="s">
        <v>229</v>
      </c>
      <c r="E647" s="360" t="s">
        <v>1517</v>
      </c>
      <c r="F647" s="360" t="s">
        <v>289</v>
      </c>
      <c r="G647" s="362">
        <f>G648</f>
        <v>3821</v>
      </c>
      <c r="H647" s="362">
        <f t="shared" si="321"/>
        <v>2595.3560000000002</v>
      </c>
      <c r="I647" s="336">
        <f t="shared" si="296"/>
        <v>67.923475529965984</v>
      </c>
    </row>
    <row r="648" spans="1:14" s="325" customFormat="1" ht="15.75" x14ac:dyDescent="0.25">
      <c r="A648" s="361" t="s">
        <v>290</v>
      </c>
      <c r="B648" s="359">
        <v>906</v>
      </c>
      <c r="C648" s="360" t="s">
        <v>280</v>
      </c>
      <c r="D648" s="360" t="s">
        <v>229</v>
      </c>
      <c r="E648" s="360" t="s">
        <v>1517</v>
      </c>
      <c r="F648" s="360" t="s">
        <v>291</v>
      </c>
      <c r="G648" s="362">
        <v>3821</v>
      </c>
      <c r="H648" s="362">
        <v>2595.3560000000002</v>
      </c>
      <c r="I648" s="336">
        <f t="shared" si="296"/>
        <v>67.923475529965984</v>
      </c>
    </row>
    <row r="649" spans="1:14" s="214" customFormat="1" ht="63" x14ac:dyDescent="0.25">
      <c r="A649" s="31" t="s">
        <v>476</v>
      </c>
      <c r="B649" s="359">
        <v>906</v>
      </c>
      <c r="C649" s="360" t="s">
        <v>280</v>
      </c>
      <c r="D649" s="360" t="s">
        <v>229</v>
      </c>
      <c r="E649" s="360" t="s">
        <v>1049</v>
      </c>
      <c r="F649" s="360"/>
      <c r="G649" s="336">
        <f>G650</f>
        <v>128341.87</v>
      </c>
      <c r="H649" s="336">
        <f t="shared" ref="H649:H650" si="322">H650</f>
        <v>88824.786999999997</v>
      </c>
      <c r="I649" s="336">
        <f t="shared" si="296"/>
        <v>69.209515959211132</v>
      </c>
      <c r="J649" s="325"/>
      <c r="K649" s="325"/>
      <c r="L649" s="325"/>
      <c r="M649" s="325"/>
      <c r="N649" s="325"/>
    </row>
    <row r="650" spans="1:14" s="214" customFormat="1" ht="31.5" x14ac:dyDescent="0.25">
      <c r="A650" s="361" t="s">
        <v>288</v>
      </c>
      <c r="B650" s="359">
        <v>906</v>
      </c>
      <c r="C650" s="360" t="s">
        <v>280</v>
      </c>
      <c r="D650" s="360" t="s">
        <v>229</v>
      </c>
      <c r="E650" s="360" t="s">
        <v>1049</v>
      </c>
      <c r="F650" s="360" t="s">
        <v>289</v>
      </c>
      <c r="G650" s="336">
        <f>G651</f>
        <v>128341.87</v>
      </c>
      <c r="H650" s="336">
        <f t="shared" si="322"/>
        <v>88824.786999999997</v>
      </c>
      <c r="I650" s="336">
        <f t="shared" si="296"/>
        <v>69.209515959211132</v>
      </c>
      <c r="J650" s="325"/>
      <c r="K650" s="325"/>
      <c r="L650" s="325"/>
      <c r="M650" s="325"/>
      <c r="N650" s="325"/>
    </row>
    <row r="651" spans="1:14" s="214" customFormat="1" ht="15.75" x14ac:dyDescent="0.25">
      <c r="A651" s="361" t="s">
        <v>290</v>
      </c>
      <c r="B651" s="359">
        <v>906</v>
      </c>
      <c r="C651" s="360" t="s">
        <v>280</v>
      </c>
      <c r="D651" s="360" t="s">
        <v>229</v>
      </c>
      <c r="E651" s="360" t="s">
        <v>1049</v>
      </c>
      <c r="F651" s="360" t="s">
        <v>291</v>
      </c>
      <c r="G651" s="362">
        <v>128341.87</v>
      </c>
      <c r="H651" s="362">
        <v>88824.786999999997</v>
      </c>
      <c r="I651" s="336">
        <f t="shared" ref="I651:I714" si="323">H651/G651*100</f>
        <v>69.209515959211132</v>
      </c>
      <c r="J651" s="325"/>
      <c r="K651" s="325"/>
      <c r="L651" s="325"/>
      <c r="M651" s="325"/>
      <c r="N651" s="325"/>
    </row>
    <row r="652" spans="1:14" s="214" customFormat="1" ht="63" x14ac:dyDescent="0.25">
      <c r="A652" s="31" t="s">
        <v>305</v>
      </c>
      <c r="B652" s="359">
        <v>906</v>
      </c>
      <c r="C652" s="360" t="s">
        <v>280</v>
      </c>
      <c r="D652" s="360" t="s">
        <v>229</v>
      </c>
      <c r="E652" s="360" t="s">
        <v>1020</v>
      </c>
      <c r="F652" s="360"/>
      <c r="G652" s="336">
        <f>G653</f>
        <v>1245.5999999999999</v>
      </c>
      <c r="H652" s="336">
        <f t="shared" ref="H652:H653" si="324">H653</f>
        <v>649.6</v>
      </c>
      <c r="I652" s="336">
        <f t="shared" si="323"/>
        <v>52.15157353885678</v>
      </c>
      <c r="J652" s="325"/>
      <c r="K652" s="325"/>
      <c r="L652" s="325"/>
      <c r="M652" s="325"/>
      <c r="N652" s="325"/>
    </row>
    <row r="653" spans="1:14" s="214" customFormat="1" ht="31.5" x14ac:dyDescent="0.25">
      <c r="A653" s="361" t="s">
        <v>288</v>
      </c>
      <c r="B653" s="359">
        <v>906</v>
      </c>
      <c r="C653" s="360" t="s">
        <v>280</v>
      </c>
      <c r="D653" s="360" t="s">
        <v>229</v>
      </c>
      <c r="E653" s="360" t="s">
        <v>1020</v>
      </c>
      <c r="F653" s="360" t="s">
        <v>289</v>
      </c>
      <c r="G653" s="336">
        <f>G654</f>
        <v>1245.5999999999999</v>
      </c>
      <c r="H653" s="336">
        <f t="shared" si="324"/>
        <v>649.6</v>
      </c>
      <c r="I653" s="336">
        <f t="shared" si="323"/>
        <v>52.15157353885678</v>
      </c>
      <c r="J653" s="325"/>
      <c r="K653" s="325"/>
      <c r="L653" s="325"/>
      <c r="M653" s="325"/>
      <c r="N653" s="325"/>
    </row>
    <row r="654" spans="1:14" s="214" customFormat="1" ht="15.75" x14ac:dyDescent="0.25">
      <c r="A654" s="361" t="s">
        <v>290</v>
      </c>
      <c r="B654" s="359">
        <v>906</v>
      </c>
      <c r="C654" s="360" t="s">
        <v>280</v>
      </c>
      <c r="D654" s="360" t="s">
        <v>229</v>
      </c>
      <c r="E654" s="360" t="s">
        <v>1020</v>
      </c>
      <c r="F654" s="360" t="s">
        <v>291</v>
      </c>
      <c r="G654" s="362">
        <f>1245.61-0.01</f>
        <v>1245.5999999999999</v>
      </c>
      <c r="H654" s="362">
        <v>649.6</v>
      </c>
      <c r="I654" s="336">
        <f t="shared" si="323"/>
        <v>52.15157353885678</v>
      </c>
      <c r="J654" s="325"/>
      <c r="K654" s="325"/>
      <c r="L654" s="325"/>
      <c r="M654" s="325"/>
      <c r="N654" s="325"/>
    </row>
    <row r="655" spans="1:14" s="214" customFormat="1" ht="63" x14ac:dyDescent="0.25">
      <c r="A655" s="31" t="s">
        <v>307</v>
      </c>
      <c r="B655" s="359">
        <v>906</v>
      </c>
      <c r="C655" s="360" t="s">
        <v>280</v>
      </c>
      <c r="D655" s="360" t="s">
        <v>229</v>
      </c>
      <c r="E655" s="360" t="s">
        <v>1023</v>
      </c>
      <c r="F655" s="360"/>
      <c r="G655" s="336">
        <f>G656</f>
        <v>2266.6999999999998</v>
      </c>
      <c r="H655" s="336">
        <f t="shared" ref="H655:H656" si="325">H656</f>
        <v>1488.9</v>
      </c>
      <c r="I655" s="336">
        <f t="shared" si="323"/>
        <v>65.685798738253851</v>
      </c>
      <c r="J655" s="325"/>
      <c r="K655" s="325"/>
      <c r="L655" s="243"/>
      <c r="M655" s="243"/>
      <c r="N655" s="243"/>
    </row>
    <row r="656" spans="1:14" s="214" customFormat="1" ht="31.5" x14ac:dyDescent="0.25">
      <c r="A656" s="361" t="s">
        <v>288</v>
      </c>
      <c r="B656" s="359">
        <v>906</v>
      </c>
      <c r="C656" s="360" t="s">
        <v>280</v>
      </c>
      <c r="D656" s="360" t="s">
        <v>229</v>
      </c>
      <c r="E656" s="360" t="s">
        <v>1023</v>
      </c>
      <c r="F656" s="360" t="s">
        <v>289</v>
      </c>
      <c r="G656" s="336">
        <f>G657</f>
        <v>2266.6999999999998</v>
      </c>
      <c r="H656" s="336">
        <f t="shared" si="325"/>
        <v>1488.9</v>
      </c>
      <c r="I656" s="336">
        <f t="shared" si="323"/>
        <v>65.685798738253851</v>
      </c>
      <c r="J656" s="325"/>
      <c r="K656" s="325"/>
      <c r="L656" s="325"/>
      <c r="M656" s="325"/>
      <c r="N656" s="325"/>
    </row>
    <row r="657" spans="1:14" s="214" customFormat="1" ht="15.75" x14ac:dyDescent="0.25">
      <c r="A657" s="361" t="s">
        <v>290</v>
      </c>
      <c r="B657" s="359">
        <v>906</v>
      </c>
      <c r="C657" s="360" t="s">
        <v>280</v>
      </c>
      <c r="D657" s="360" t="s">
        <v>229</v>
      </c>
      <c r="E657" s="360" t="s">
        <v>1023</v>
      </c>
      <c r="F657" s="360" t="s">
        <v>291</v>
      </c>
      <c r="G657" s="362">
        <f>2266.72-0.02</f>
        <v>2266.6999999999998</v>
      </c>
      <c r="H657" s="362">
        <v>1488.9</v>
      </c>
      <c r="I657" s="336">
        <f t="shared" si="323"/>
        <v>65.685798738253851</v>
      </c>
      <c r="J657" s="325"/>
      <c r="K657" s="325"/>
      <c r="L657" s="325"/>
      <c r="M657" s="325"/>
      <c r="N657" s="325"/>
    </row>
    <row r="658" spans="1:14" s="214" customFormat="1" ht="47.25" x14ac:dyDescent="0.25">
      <c r="A658" s="31" t="s">
        <v>478</v>
      </c>
      <c r="B658" s="359">
        <v>906</v>
      </c>
      <c r="C658" s="360" t="s">
        <v>280</v>
      </c>
      <c r="D658" s="360" t="s">
        <v>229</v>
      </c>
      <c r="E658" s="360" t="s">
        <v>1050</v>
      </c>
      <c r="F658" s="360"/>
      <c r="G658" s="336">
        <f>G659</f>
        <v>923.4</v>
      </c>
      <c r="H658" s="336">
        <f t="shared" ref="H658:H659" si="326">H659</f>
        <v>671</v>
      </c>
      <c r="I658" s="336">
        <f t="shared" si="323"/>
        <v>72.666233484946943</v>
      </c>
      <c r="J658" s="325"/>
      <c r="K658" s="325"/>
      <c r="L658" s="325"/>
      <c r="M658" s="325"/>
      <c r="N658" s="325"/>
    </row>
    <row r="659" spans="1:14" s="214" customFormat="1" ht="31.5" x14ac:dyDescent="0.25">
      <c r="A659" s="361" t="s">
        <v>288</v>
      </c>
      <c r="B659" s="359">
        <v>906</v>
      </c>
      <c r="C659" s="360" t="s">
        <v>280</v>
      </c>
      <c r="D659" s="360" t="s">
        <v>229</v>
      </c>
      <c r="E659" s="360" t="s">
        <v>1050</v>
      </c>
      <c r="F659" s="360" t="s">
        <v>289</v>
      </c>
      <c r="G659" s="336">
        <f>G660</f>
        <v>923.4</v>
      </c>
      <c r="H659" s="336">
        <f t="shared" si="326"/>
        <v>671</v>
      </c>
      <c r="I659" s="336">
        <f t="shared" si="323"/>
        <v>72.666233484946943</v>
      </c>
      <c r="J659" s="325"/>
      <c r="K659" s="325"/>
      <c r="L659" s="325"/>
      <c r="M659" s="325"/>
      <c r="N659" s="325"/>
    </row>
    <row r="660" spans="1:14" s="214" customFormat="1" ht="15.75" x14ac:dyDescent="0.25">
      <c r="A660" s="361" t="s">
        <v>290</v>
      </c>
      <c r="B660" s="359">
        <v>906</v>
      </c>
      <c r="C660" s="360" t="s">
        <v>280</v>
      </c>
      <c r="D660" s="360" t="s">
        <v>229</v>
      </c>
      <c r="E660" s="360" t="s">
        <v>1050</v>
      </c>
      <c r="F660" s="360" t="s">
        <v>291</v>
      </c>
      <c r="G660" s="362">
        <v>923.4</v>
      </c>
      <c r="H660" s="362">
        <v>671</v>
      </c>
      <c r="I660" s="336">
        <f t="shared" si="323"/>
        <v>72.666233484946943</v>
      </c>
      <c r="J660" s="325"/>
      <c r="K660" s="325"/>
      <c r="L660" s="325"/>
      <c r="M660" s="325"/>
      <c r="N660" s="325"/>
    </row>
    <row r="661" spans="1:14" s="214" customFormat="1" ht="78.75" x14ac:dyDescent="0.25">
      <c r="A661" s="31" t="s">
        <v>309</v>
      </c>
      <c r="B661" s="359">
        <v>906</v>
      </c>
      <c r="C661" s="360" t="s">
        <v>280</v>
      </c>
      <c r="D661" s="360" t="s">
        <v>229</v>
      </c>
      <c r="E661" s="360" t="s">
        <v>1024</v>
      </c>
      <c r="F661" s="360"/>
      <c r="G661" s="336">
        <f>G662</f>
        <v>1019.9999999999991</v>
      </c>
      <c r="H661" s="336">
        <f t="shared" ref="H661:H662" si="327">H662</f>
        <v>1020</v>
      </c>
      <c r="I661" s="336">
        <f t="shared" si="323"/>
        <v>100.00000000000009</v>
      </c>
      <c r="J661" s="325"/>
      <c r="K661" s="325"/>
      <c r="L661" s="325"/>
      <c r="M661" s="325"/>
      <c r="N661" s="325"/>
    </row>
    <row r="662" spans="1:14" s="214" customFormat="1" ht="31.5" x14ac:dyDescent="0.25">
      <c r="A662" s="361" t="s">
        <v>288</v>
      </c>
      <c r="B662" s="359">
        <v>906</v>
      </c>
      <c r="C662" s="360" t="s">
        <v>280</v>
      </c>
      <c r="D662" s="360" t="s">
        <v>229</v>
      </c>
      <c r="E662" s="360" t="s">
        <v>1024</v>
      </c>
      <c r="F662" s="360" t="s">
        <v>289</v>
      </c>
      <c r="G662" s="336">
        <f>G663</f>
        <v>1019.9999999999991</v>
      </c>
      <c r="H662" s="336">
        <f t="shared" si="327"/>
        <v>1020</v>
      </c>
      <c r="I662" s="336">
        <f t="shared" si="323"/>
        <v>100.00000000000009</v>
      </c>
      <c r="J662" s="325"/>
      <c r="K662" s="325"/>
      <c r="L662" s="325"/>
      <c r="M662" s="325"/>
      <c r="N662" s="325"/>
    </row>
    <row r="663" spans="1:14" s="214" customFormat="1" ht="15.75" x14ac:dyDescent="0.25">
      <c r="A663" s="361" t="s">
        <v>290</v>
      </c>
      <c r="B663" s="359">
        <v>906</v>
      </c>
      <c r="C663" s="360" t="s">
        <v>280</v>
      </c>
      <c r="D663" s="360" t="s">
        <v>229</v>
      </c>
      <c r="E663" s="360" t="s">
        <v>1024</v>
      </c>
      <c r="F663" s="360" t="s">
        <v>291</v>
      </c>
      <c r="G663" s="362">
        <f>5020.23-179.18-0.05-3821</f>
        <v>1019.9999999999991</v>
      </c>
      <c r="H663" s="362">
        <v>1020</v>
      </c>
      <c r="I663" s="336">
        <f t="shared" si="323"/>
        <v>100.00000000000009</v>
      </c>
      <c r="J663" s="325"/>
      <c r="K663" s="325"/>
      <c r="L663" s="325"/>
      <c r="M663" s="325"/>
      <c r="N663" s="325"/>
    </row>
    <row r="664" spans="1:14" ht="36" customHeight="1" x14ac:dyDescent="0.25">
      <c r="A664" s="269" t="s">
        <v>446</v>
      </c>
      <c r="B664" s="330">
        <v>906</v>
      </c>
      <c r="C664" s="334" t="s">
        <v>280</v>
      </c>
      <c r="D664" s="334" t="s">
        <v>229</v>
      </c>
      <c r="E664" s="334" t="s">
        <v>447</v>
      </c>
      <c r="F664" s="334"/>
      <c r="G664" s="332">
        <f>G665+G678+G685+G692+G699+G727+G706+G713+G720</f>
        <v>17042.438999999998</v>
      </c>
      <c r="H664" s="332">
        <f t="shared" ref="H664" si="328">H665+H678+H685+H692+H699+H727+H706+H713+H720</f>
        <v>6522.951</v>
      </c>
      <c r="I664" s="332">
        <f t="shared" si="323"/>
        <v>38.274750462653849</v>
      </c>
    </row>
    <row r="665" spans="1:14" s="214" customFormat="1" ht="35.450000000000003" customHeight="1" x14ac:dyDescent="0.25">
      <c r="A665" s="333" t="s">
        <v>1029</v>
      </c>
      <c r="B665" s="272">
        <v>906</v>
      </c>
      <c r="C665" s="334" t="s">
        <v>280</v>
      </c>
      <c r="D665" s="334" t="s">
        <v>229</v>
      </c>
      <c r="E665" s="334" t="s">
        <v>1030</v>
      </c>
      <c r="F665" s="334"/>
      <c r="G665" s="332">
        <f>G666+G669+G672+G675</f>
        <v>2271.33</v>
      </c>
      <c r="H665" s="332">
        <f t="shared" ref="H665" si="329">H666+H669+H672+H675</f>
        <v>1969.1310000000001</v>
      </c>
      <c r="I665" s="332">
        <f t="shared" si="323"/>
        <v>86.69506412542431</v>
      </c>
      <c r="J665" s="325"/>
      <c r="K665" s="325"/>
      <c r="L665" s="325"/>
      <c r="M665" s="325"/>
      <c r="N665" s="325"/>
    </row>
    <row r="666" spans="1:14" s="214" customFormat="1" ht="35.450000000000003" hidden="1" customHeight="1" x14ac:dyDescent="0.25">
      <c r="A666" s="361" t="s">
        <v>456</v>
      </c>
      <c r="B666" s="37">
        <v>906</v>
      </c>
      <c r="C666" s="360" t="s">
        <v>280</v>
      </c>
      <c r="D666" s="360" t="s">
        <v>229</v>
      </c>
      <c r="E666" s="360" t="s">
        <v>1034</v>
      </c>
      <c r="F666" s="360"/>
      <c r="G666" s="336">
        <f>G667</f>
        <v>0</v>
      </c>
      <c r="H666" s="336">
        <f t="shared" ref="H666:H667" si="330">H667</f>
        <v>0</v>
      </c>
      <c r="I666" s="336" t="e">
        <f t="shared" si="323"/>
        <v>#DIV/0!</v>
      </c>
      <c r="J666" s="325"/>
      <c r="K666" s="325"/>
      <c r="L666" s="325"/>
      <c r="M666" s="325"/>
      <c r="N666" s="325"/>
    </row>
    <row r="667" spans="1:14" s="214" customFormat="1" ht="39.75" hidden="1" customHeight="1" x14ac:dyDescent="0.25">
      <c r="A667" s="361" t="s">
        <v>288</v>
      </c>
      <c r="B667" s="37">
        <v>906</v>
      </c>
      <c r="C667" s="360" t="s">
        <v>280</v>
      </c>
      <c r="D667" s="360" t="s">
        <v>229</v>
      </c>
      <c r="E667" s="360" t="s">
        <v>1034</v>
      </c>
      <c r="F667" s="360" t="s">
        <v>289</v>
      </c>
      <c r="G667" s="336">
        <f>G668</f>
        <v>0</v>
      </c>
      <c r="H667" s="336">
        <f t="shared" si="330"/>
        <v>0</v>
      </c>
      <c r="I667" s="336" t="e">
        <f t="shared" si="323"/>
        <v>#DIV/0!</v>
      </c>
      <c r="J667" s="325"/>
      <c r="K667" s="325"/>
      <c r="L667" s="325"/>
      <c r="M667" s="325"/>
      <c r="N667" s="325"/>
    </row>
    <row r="668" spans="1:14" s="214" customFormat="1" ht="18.75" hidden="1" customHeight="1" x14ac:dyDescent="0.25">
      <c r="A668" s="361" t="s">
        <v>290</v>
      </c>
      <c r="B668" s="37">
        <v>906</v>
      </c>
      <c r="C668" s="360" t="s">
        <v>280</v>
      </c>
      <c r="D668" s="360" t="s">
        <v>229</v>
      </c>
      <c r="E668" s="360" t="s">
        <v>1034</v>
      </c>
      <c r="F668" s="360" t="s">
        <v>291</v>
      </c>
      <c r="G668" s="336">
        <v>0</v>
      </c>
      <c r="H668" s="336">
        <v>0</v>
      </c>
      <c r="I668" s="336" t="e">
        <f t="shared" si="323"/>
        <v>#DIV/0!</v>
      </c>
      <c r="J668" s="325"/>
      <c r="K668" s="325"/>
      <c r="L668" s="325"/>
      <c r="M668" s="325"/>
      <c r="N668" s="325"/>
    </row>
    <row r="669" spans="1:14" s="214" customFormat="1" ht="41.25" customHeight="1" x14ac:dyDescent="0.25">
      <c r="A669" s="361" t="s">
        <v>294</v>
      </c>
      <c r="B669" s="37">
        <v>906</v>
      </c>
      <c r="C669" s="360" t="s">
        <v>280</v>
      </c>
      <c r="D669" s="360" t="s">
        <v>229</v>
      </c>
      <c r="E669" s="360" t="s">
        <v>1035</v>
      </c>
      <c r="F669" s="360"/>
      <c r="G669" s="336">
        <f>G670</f>
        <v>1522</v>
      </c>
      <c r="H669" s="336">
        <f t="shared" ref="H669:H670" si="331">H670</f>
        <v>1322</v>
      </c>
      <c r="I669" s="336">
        <f t="shared" si="323"/>
        <v>86.859395532194483</v>
      </c>
      <c r="J669" s="325"/>
      <c r="K669" s="325"/>
      <c r="L669" s="325"/>
      <c r="M669" s="325"/>
      <c r="N669" s="325"/>
    </row>
    <row r="670" spans="1:14" s="214" customFormat="1" ht="33" customHeight="1" x14ac:dyDescent="0.25">
      <c r="A670" s="361" t="s">
        <v>288</v>
      </c>
      <c r="B670" s="37">
        <v>906</v>
      </c>
      <c r="C670" s="360" t="s">
        <v>280</v>
      </c>
      <c r="D670" s="360" t="s">
        <v>229</v>
      </c>
      <c r="E670" s="360" t="s">
        <v>1035</v>
      </c>
      <c r="F670" s="360" t="s">
        <v>289</v>
      </c>
      <c r="G670" s="336">
        <f>G671</f>
        <v>1522</v>
      </c>
      <c r="H670" s="336">
        <f t="shared" si="331"/>
        <v>1322</v>
      </c>
      <c r="I670" s="336">
        <f t="shared" si="323"/>
        <v>86.859395532194483</v>
      </c>
      <c r="J670" s="325"/>
      <c r="K670" s="325"/>
      <c r="L670" s="325"/>
      <c r="M670" s="325"/>
      <c r="N670" s="325"/>
    </row>
    <row r="671" spans="1:14" s="214" customFormat="1" ht="18.75" customHeight="1" x14ac:dyDescent="0.25">
      <c r="A671" s="361" t="s">
        <v>290</v>
      </c>
      <c r="B671" s="37">
        <v>906</v>
      </c>
      <c r="C671" s="360" t="s">
        <v>280</v>
      </c>
      <c r="D671" s="360" t="s">
        <v>229</v>
      </c>
      <c r="E671" s="360" t="s">
        <v>1035</v>
      </c>
      <c r="F671" s="360" t="s">
        <v>291</v>
      </c>
      <c r="G671" s="336">
        <f>300+514+450+258</f>
        <v>1522</v>
      </c>
      <c r="H671" s="336">
        <v>1322</v>
      </c>
      <c r="I671" s="336">
        <f t="shared" si="323"/>
        <v>86.859395532194483</v>
      </c>
      <c r="J671" s="325"/>
      <c r="K671" s="325"/>
      <c r="L671" s="325"/>
      <c r="M671" s="325"/>
      <c r="N671" s="325"/>
    </row>
    <row r="672" spans="1:14" s="214" customFormat="1" ht="31.7" customHeight="1" x14ac:dyDescent="0.25">
      <c r="A672" s="361" t="s">
        <v>296</v>
      </c>
      <c r="B672" s="37">
        <v>906</v>
      </c>
      <c r="C672" s="360" t="s">
        <v>280</v>
      </c>
      <c r="D672" s="360" t="s">
        <v>229</v>
      </c>
      <c r="E672" s="360" t="s">
        <v>1036</v>
      </c>
      <c r="F672" s="360"/>
      <c r="G672" s="336">
        <f>G673</f>
        <v>525.33000000000004</v>
      </c>
      <c r="H672" s="336">
        <f t="shared" ref="H672:H673" si="332">H673</f>
        <v>525.33100000000002</v>
      </c>
      <c r="I672" s="336">
        <f t="shared" si="323"/>
        <v>100.0001903565378</v>
      </c>
      <c r="J672" s="325"/>
      <c r="K672" s="325"/>
      <c r="L672" s="325"/>
      <c r="M672" s="325"/>
      <c r="N672" s="325"/>
    </row>
    <row r="673" spans="1:14" s="214" customFormat="1" ht="29.25" customHeight="1" x14ac:dyDescent="0.25">
      <c r="A673" s="361" t="s">
        <v>288</v>
      </c>
      <c r="B673" s="37">
        <v>906</v>
      </c>
      <c r="C673" s="360" t="s">
        <v>280</v>
      </c>
      <c r="D673" s="360" t="s">
        <v>229</v>
      </c>
      <c r="E673" s="360" t="s">
        <v>1036</v>
      </c>
      <c r="F673" s="360" t="s">
        <v>289</v>
      </c>
      <c r="G673" s="336">
        <f>G674</f>
        <v>525.33000000000004</v>
      </c>
      <c r="H673" s="336">
        <f t="shared" si="332"/>
        <v>525.33100000000002</v>
      </c>
      <c r="I673" s="336">
        <f t="shared" si="323"/>
        <v>100.0001903565378</v>
      </c>
      <c r="J673" s="325"/>
      <c r="K673" s="325"/>
      <c r="L673" s="325"/>
      <c r="M673" s="325"/>
      <c r="N673" s="325"/>
    </row>
    <row r="674" spans="1:14" s="214" customFormat="1" ht="18.75" customHeight="1" x14ac:dyDescent="0.25">
      <c r="A674" s="361" t="s">
        <v>290</v>
      </c>
      <c r="B674" s="37">
        <v>906</v>
      </c>
      <c r="C674" s="360" t="s">
        <v>280</v>
      </c>
      <c r="D674" s="360" t="s">
        <v>229</v>
      </c>
      <c r="E674" s="360" t="s">
        <v>1036</v>
      </c>
      <c r="F674" s="360" t="s">
        <v>291</v>
      </c>
      <c r="G674" s="336">
        <f>464+7+54.33</f>
        <v>525.33000000000004</v>
      </c>
      <c r="H674" s="336">
        <v>525.33100000000002</v>
      </c>
      <c r="I674" s="336">
        <f t="shared" si="323"/>
        <v>100.0001903565378</v>
      </c>
      <c r="J674" s="325"/>
      <c r="K674" s="325"/>
      <c r="L674" s="325"/>
      <c r="M674" s="325"/>
      <c r="N674" s="325"/>
    </row>
    <row r="675" spans="1:14" s="214" customFormat="1" ht="36" customHeight="1" x14ac:dyDescent="0.25">
      <c r="A675" s="361" t="s">
        <v>298</v>
      </c>
      <c r="B675" s="37">
        <v>906</v>
      </c>
      <c r="C675" s="360" t="s">
        <v>280</v>
      </c>
      <c r="D675" s="360" t="s">
        <v>229</v>
      </c>
      <c r="E675" s="360" t="s">
        <v>1037</v>
      </c>
      <c r="F675" s="360"/>
      <c r="G675" s="336">
        <f>G676</f>
        <v>224</v>
      </c>
      <c r="H675" s="336">
        <f t="shared" ref="H675:H676" si="333">H676</f>
        <v>121.8</v>
      </c>
      <c r="I675" s="336">
        <f t="shared" si="323"/>
        <v>54.374999999999993</v>
      </c>
      <c r="J675" s="325"/>
      <c r="K675" s="325"/>
      <c r="L675" s="325"/>
      <c r="M675" s="325"/>
      <c r="N675" s="325"/>
    </row>
    <row r="676" spans="1:14" s="214" customFormat="1" ht="39.75" customHeight="1" x14ac:dyDescent="0.25">
      <c r="A676" s="361" t="s">
        <v>288</v>
      </c>
      <c r="B676" s="37">
        <v>906</v>
      </c>
      <c r="C676" s="360" t="s">
        <v>280</v>
      </c>
      <c r="D676" s="360" t="s">
        <v>229</v>
      </c>
      <c r="E676" s="360" t="s">
        <v>1037</v>
      </c>
      <c r="F676" s="360" t="s">
        <v>289</v>
      </c>
      <c r="G676" s="336">
        <f>G677</f>
        <v>224</v>
      </c>
      <c r="H676" s="336">
        <f t="shared" si="333"/>
        <v>121.8</v>
      </c>
      <c r="I676" s="336">
        <f t="shared" si="323"/>
        <v>54.374999999999993</v>
      </c>
      <c r="J676" s="325"/>
      <c r="K676" s="325"/>
      <c r="L676" s="325"/>
      <c r="M676" s="325"/>
      <c r="N676" s="325"/>
    </row>
    <row r="677" spans="1:14" s="214" customFormat="1" ht="18.75" customHeight="1" x14ac:dyDescent="0.25">
      <c r="A677" s="361" t="s">
        <v>290</v>
      </c>
      <c r="B677" s="37">
        <v>906</v>
      </c>
      <c r="C677" s="360" t="s">
        <v>280</v>
      </c>
      <c r="D677" s="360" t="s">
        <v>229</v>
      </c>
      <c r="E677" s="360" t="s">
        <v>1037</v>
      </c>
      <c r="F677" s="360" t="s">
        <v>291</v>
      </c>
      <c r="G677" s="336">
        <f>127-72+72+97.2-0.2</f>
        <v>224</v>
      </c>
      <c r="H677" s="336">
        <v>121.8</v>
      </c>
      <c r="I677" s="336">
        <f t="shared" si="323"/>
        <v>54.374999999999993</v>
      </c>
      <c r="J677" s="325"/>
      <c r="K677" s="325"/>
      <c r="L677" s="325"/>
      <c r="M677" s="325"/>
      <c r="N677" s="325"/>
    </row>
    <row r="678" spans="1:14" s="214" customFormat="1" ht="33" customHeight="1" x14ac:dyDescent="0.25">
      <c r="A678" s="333" t="s">
        <v>1031</v>
      </c>
      <c r="B678" s="272">
        <v>906</v>
      </c>
      <c r="C678" s="334" t="s">
        <v>280</v>
      </c>
      <c r="D678" s="334" t="s">
        <v>229</v>
      </c>
      <c r="E678" s="334" t="s">
        <v>1032</v>
      </c>
      <c r="F678" s="334"/>
      <c r="G678" s="332">
        <f>G679+G682</f>
        <v>3865.2</v>
      </c>
      <c r="H678" s="332">
        <f t="shared" ref="H678" si="334">H679+H682</f>
        <v>370.28499999999997</v>
      </c>
      <c r="I678" s="332">
        <f t="shared" si="323"/>
        <v>9.5799699886163712</v>
      </c>
      <c r="J678" s="325"/>
      <c r="K678" s="325"/>
      <c r="L678" s="325"/>
      <c r="M678" s="325"/>
      <c r="N678" s="325"/>
    </row>
    <row r="679" spans="1:14" ht="49.7" customHeight="1" x14ac:dyDescent="0.25">
      <c r="A679" s="338" t="s">
        <v>619</v>
      </c>
      <c r="B679" s="37">
        <v>906</v>
      </c>
      <c r="C679" s="360" t="s">
        <v>280</v>
      </c>
      <c r="D679" s="360" t="s">
        <v>229</v>
      </c>
      <c r="E679" s="360" t="s">
        <v>1038</v>
      </c>
      <c r="F679" s="360"/>
      <c r="G679" s="336">
        <f>G680</f>
        <v>2200</v>
      </c>
      <c r="H679" s="336">
        <f t="shared" ref="H679:H680" si="335">H680</f>
        <v>233.505</v>
      </c>
      <c r="I679" s="336">
        <f t="shared" si="323"/>
        <v>10.613863636363636</v>
      </c>
    </row>
    <row r="680" spans="1:14" ht="31.5" x14ac:dyDescent="0.25">
      <c r="A680" s="361" t="s">
        <v>288</v>
      </c>
      <c r="B680" s="37">
        <v>906</v>
      </c>
      <c r="C680" s="360" t="s">
        <v>280</v>
      </c>
      <c r="D680" s="360" t="s">
        <v>229</v>
      </c>
      <c r="E680" s="360" t="s">
        <v>1038</v>
      </c>
      <c r="F680" s="360" t="s">
        <v>289</v>
      </c>
      <c r="G680" s="336">
        <f>G681</f>
        <v>2200</v>
      </c>
      <c r="H680" s="336">
        <f t="shared" si="335"/>
        <v>233.505</v>
      </c>
      <c r="I680" s="336">
        <f t="shared" si="323"/>
        <v>10.613863636363636</v>
      </c>
    </row>
    <row r="681" spans="1:14" ht="15.75" x14ac:dyDescent="0.25">
      <c r="A681" s="361" t="s">
        <v>290</v>
      </c>
      <c r="B681" s="37">
        <v>906</v>
      </c>
      <c r="C681" s="360" t="s">
        <v>280</v>
      </c>
      <c r="D681" s="360" t="s">
        <v>229</v>
      </c>
      <c r="E681" s="360" t="s">
        <v>1038</v>
      </c>
      <c r="F681" s="360" t="s">
        <v>291</v>
      </c>
      <c r="G681" s="362">
        <v>2200</v>
      </c>
      <c r="H681" s="362">
        <v>233.505</v>
      </c>
      <c r="I681" s="336">
        <f t="shared" si="323"/>
        <v>10.613863636363636</v>
      </c>
    </row>
    <row r="682" spans="1:14" s="214" customFormat="1" ht="31.5" x14ac:dyDescent="0.25">
      <c r="A682" s="361" t="s">
        <v>472</v>
      </c>
      <c r="B682" s="37">
        <v>906</v>
      </c>
      <c r="C682" s="360" t="s">
        <v>280</v>
      </c>
      <c r="D682" s="360" t="s">
        <v>229</v>
      </c>
      <c r="E682" s="360" t="s">
        <v>1039</v>
      </c>
      <c r="F682" s="360"/>
      <c r="G682" s="336">
        <f>G683</f>
        <v>1665.2</v>
      </c>
      <c r="H682" s="336">
        <f t="shared" ref="H682:H683" si="336">H683</f>
        <v>136.78</v>
      </c>
      <c r="I682" s="336">
        <f t="shared" si="323"/>
        <v>8.2140283449435501</v>
      </c>
      <c r="J682" s="325"/>
      <c r="K682" s="325"/>
      <c r="L682" s="325"/>
      <c r="M682" s="325"/>
      <c r="N682" s="325"/>
    </row>
    <row r="683" spans="1:14" s="214" customFormat="1" ht="31.5" x14ac:dyDescent="0.25">
      <c r="A683" s="361" t="s">
        <v>288</v>
      </c>
      <c r="B683" s="37">
        <v>906</v>
      </c>
      <c r="C683" s="360" t="s">
        <v>280</v>
      </c>
      <c r="D683" s="360" t="s">
        <v>229</v>
      </c>
      <c r="E683" s="360" t="s">
        <v>1039</v>
      </c>
      <c r="F683" s="360" t="s">
        <v>289</v>
      </c>
      <c r="G683" s="336">
        <f>G684</f>
        <v>1665.2</v>
      </c>
      <c r="H683" s="336">
        <f t="shared" si="336"/>
        <v>136.78</v>
      </c>
      <c r="I683" s="336">
        <f t="shared" si="323"/>
        <v>8.2140283449435501</v>
      </c>
      <c r="J683" s="325"/>
      <c r="K683" s="325"/>
      <c r="L683" s="325"/>
      <c r="M683" s="325"/>
      <c r="N683" s="325"/>
    </row>
    <row r="684" spans="1:14" s="214" customFormat="1" ht="15.75" x14ac:dyDescent="0.25">
      <c r="A684" s="361" t="s">
        <v>290</v>
      </c>
      <c r="B684" s="37">
        <v>906</v>
      </c>
      <c r="C684" s="360" t="s">
        <v>280</v>
      </c>
      <c r="D684" s="360" t="s">
        <v>229</v>
      </c>
      <c r="E684" s="360" t="s">
        <v>1039</v>
      </c>
      <c r="F684" s="360" t="s">
        <v>291</v>
      </c>
      <c r="G684" s="362">
        <f>1740-74.8</f>
        <v>1665.2</v>
      </c>
      <c r="H684" s="362">
        <v>136.78</v>
      </c>
      <c r="I684" s="336">
        <f t="shared" si="323"/>
        <v>8.2140283449435501</v>
      </c>
      <c r="J684" s="325"/>
      <c r="K684" s="325"/>
      <c r="L684" s="325"/>
      <c r="M684" s="325"/>
      <c r="N684" s="325"/>
    </row>
    <row r="685" spans="1:14" s="214" customFormat="1" ht="34.5" customHeight="1" x14ac:dyDescent="0.25">
      <c r="A685" s="333" t="s">
        <v>1033</v>
      </c>
      <c r="B685" s="272">
        <v>906</v>
      </c>
      <c r="C685" s="334" t="s">
        <v>280</v>
      </c>
      <c r="D685" s="334" t="s">
        <v>229</v>
      </c>
      <c r="E685" s="334" t="s">
        <v>1040</v>
      </c>
      <c r="F685" s="334"/>
      <c r="G685" s="44">
        <f>G686+G689</f>
        <v>1364.7</v>
      </c>
      <c r="H685" s="44">
        <f t="shared" ref="H685" si="337">H686+H689</f>
        <v>311.59800000000001</v>
      </c>
      <c r="I685" s="332">
        <f t="shared" si="323"/>
        <v>22.83271048582106</v>
      </c>
      <c r="J685" s="325"/>
      <c r="K685" s="325"/>
      <c r="L685" s="325"/>
      <c r="M685" s="325"/>
      <c r="N685" s="325"/>
    </row>
    <row r="686" spans="1:14" ht="47.25" x14ac:dyDescent="0.25">
      <c r="A686" s="361" t="s">
        <v>454</v>
      </c>
      <c r="B686" s="37">
        <v>906</v>
      </c>
      <c r="C686" s="360" t="s">
        <v>280</v>
      </c>
      <c r="D686" s="360" t="s">
        <v>229</v>
      </c>
      <c r="E686" s="360" t="s">
        <v>1041</v>
      </c>
      <c r="F686" s="360"/>
      <c r="G686" s="336">
        <f>G687</f>
        <v>868</v>
      </c>
      <c r="H686" s="336">
        <f t="shared" ref="H686:H687" si="338">H687</f>
        <v>239.554</v>
      </c>
      <c r="I686" s="336">
        <f t="shared" si="323"/>
        <v>27.598387096774196</v>
      </c>
    </row>
    <row r="687" spans="1:14" ht="31.5" x14ac:dyDescent="0.25">
      <c r="A687" s="361" t="s">
        <v>288</v>
      </c>
      <c r="B687" s="37">
        <v>906</v>
      </c>
      <c r="C687" s="360" t="s">
        <v>280</v>
      </c>
      <c r="D687" s="360" t="s">
        <v>229</v>
      </c>
      <c r="E687" s="360" t="s">
        <v>1041</v>
      </c>
      <c r="F687" s="360" t="s">
        <v>289</v>
      </c>
      <c r="G687" s="336">
        <f>G688</f>
        <v>868</v>
      </c>
      <c r="H687" s="336">
        <f t="shared" si="338"/>
        <v>239.554</v>
      </c>
      <c r="I687" s="336">
        <f t="shared" si="323"/>
        <v>27.598387096774196</v>
      </c>
    </row>
    <row r="688" spans="1:14" ht="15.75" x14ac:dyDescent="0.25">
      <c r="A688" s="361" t="s">
        <v>290</v>
      </c>
      <c r="B688" s="37">
        <v>906</v>
      </c>
      <c r="C688" s="360" t="s">
        <v>280</v>
      </c>
      <c r="D688" s="360" t="s">
        <v>229</v>
      </c>
      <c r="E688" s="360" t="s">
        <v>1041</v>
      </c>
      <c r="F688" s="360" t="s">
        <v>291</v>
      </c>
      <c r="G688" s="336">
        <v>868</v>
      </c>
      <c r="H688" s="336">
        <v>239.554</v>
      </c>
      <c r="I688" s="336">
        <f t="shared" si="323"/>
        <v>27.598387096774196</v>
      </c>
    </row>
    <row r="689" spans="1:14" s="214" customFormat="1" ht="31.5" x14ac:dyDescent="0.25">
      <c r="A689" s="361" t="s">
        <v>474</v>
      </c>
      <c r="B689" s="37">
        <v>906</v>
      </c>
      <c r="C689" s="360" t="s">
        <v>280</v>
      </c>
      <c r="D689" s="360" t="s">
        <v>229</v>
      </c>
      <c r="E689" s="360" t="s">
        <v>1042</v>
      </c>
      <c r="F689" s="360"/>
      <c r="G689" s="362">
        <f>G690</f>
        <v>496.7</v>
      </c>
      <c r="H689" s="362">
        <f t="shared" ref="H689:H690" si="339">H690</f>
        <v>72.043999999999997</v>
      </c>
      <c r="I689" s="336">
        <f t="shared" si="323"/>
        <v>14.504529897322326</v>
      </c>
      <c r="J689" s="325"/>
      <c r="K689" s="325"/>
      <c r="L689" s="325"/>
      <c r="M689" s="325"/>
      <c r="N689" s="325"/>
    </row>
    <row r="690" spans="1:14" s="214" customFormat="1" ht="31.5" x14ac:dyDescent="0.25">
      <c r="A690" s="270" t="s">
        <v>288</v>
      </c>
      <c r="B690" s="359">
        <v>906</v>
      </c>
      <c r="C690" s="360" t="s">
        <v>280</v>
      </c>
      <c r="D690" s="360" t="s">
        <v>229</v>
      </c>
      <c r="E690" s="360" t="s">
        <v>1042</v>
      </c>
      <c r="F690" s="360" t="s">
        <v>289</v>
      </c>
      <c r="G690" s="362">
        <f>G691</f>
        <v>496.7</v>
      </c>
      <c r="H690" s="362">
        <f t="shared" si="339"/>
        <v>72.043999999999997</v>
      </c>
      <c r="I690" s="336">
        <f t="shared" si="323"/>
        <v>14.504529897322326</v>
      </c>
      <c r="J690" s="325"/>
      <c r="K690" s="325"/>
      <c r="L690" s="325"/>
      <c r="M690" s="325"/>
      <c r="N690" s="325"/>
    </row>
    <row r="691" spans="1:14" s="214" customFormat="1" ht="15.75" x14ac:dyDescent="0.25">
      <c r="A691" s="361" t="s">
        <v>290</v>
      </c>
      <c r="B691" s="359">
        <v>906</v>
      </c>
      <c r="C691" s="360" t="s">
        <v>280</v>
      </c>
      <c r="D691" s="360" t="s">
        <v>229</v>
      </c>
      <c r="E691" s="360" t="s">
        <v>1042</v>
      </c>
      <c r="F691" s="360" t="s">
        <v>291</v>
      </c>
      <c r="G691" s="362">
        <f>733.5-244.8+8</f>
        <v>496.7</v>
      </c>
      <c r="H691" s="362">
        <v>72.043999999999997</v>
      </c>
      <c r="I691" s="336">
        <f t="shared" si="323"/>
        <v>14.504529897322326</v>
      </c>
      <c r="J691" s="325"/>
      <c r="K691" s="325"/>
      <c r="L691" s="325"/>
      <c r="M691" s="325"/>
      <c r="N691" s="325"/>
    </row>
    <row r="692" spans="1:14" s="214" customFormat="1" ht="31.5" x14ac:dyDescent="0.25">
      <c r="A692" s="227" t="s">
        <v>1077</v>
      </c>
      <c r="B692" s="330">
        <v>906</v>
      </c>
      <c r="C692" s="334" t="s">
        <v>280</v>
      </c>
      <c r="D692" s="334" t="s">
        <v>229</v>
      </c>
      <c r="E692" s="334" t="s">
        <v>1043</v>
      </c>
      <c r="F692" s="334"/>
      <c r="G692" s="44">
        <f>G693+G696</f>
        <v>2634</v>
      </c>
      <c r="H692" s="44">
        <f t="shared" ref="H692" si="340">H693+H696</f>
        <v>2567</v>
      </c>
      <c r="I692" s="332">
        <f t="shared" si="323"/>
        <v>97.456340167046321</v>
      </c>
      <c r="J692" s="325"/>
      <c r="K692" s="325"/>
      <c r="L692" s="325"/>
      <c r="M692" s="325"/>
      <c r="N692" s="325"/>
    </row>
    <row r="693" spans="1:14" ht="31.5" hidden="1" x14ac:dyDescent="0.25">
      <c r="A693" s="361" t="s">
        <v>817</v>
      </c>
      <c r="B693" s="359">
        <v>906</v>
      </c>
      <c r="C693" s="360" t="s">
        <v>280</v>
      </c>
      <c r="D693" s="360" t="s">
        <v>229</v>
      </c>
      <c r="E693" s="360" t="s">
        <v>1045</v>
      </c>
      <c r="F693" s="360"/>
      <c r="G693" s="336">
        <f>G694</f>
        <v>0</v>
      </c>
      <c r="H693" s="336">
        <f t="shared" ref="H693:H694" si="341">H694</f>
        <v>0</v>
      </c>
      <c r="I693" s="336" t="e">
        <f t="shared" si="323"/>
        <v>#DIV/0!</v>
      </c>
    </row>
    <row r="694" spans="1:14" ht="31.5" hidden="1" x14ac:dyDescent="0.25">
      <c r="A694" s="361" t="s">
        <v>288</v>
      </c>
      <c r="B694" s="359">
        <v>906</v>
      </c>
      <c r="C694" s="360" t="s">
        <v>280</v>
      </c>
      <c r="D694" s="360" t="s">
        <v>229</v>
      </c>
      <c r="E694" s="360" t="s">
        <v>1045</v>
      </c>
      <c r="F694" s="360" t="s">
        <v>289</v>
      </c>
      <c r="G694" s="336">
        <f>G695</f>
        <v>0</v>
      </c>
      <c r="H694" s="336">
        <f t="shared" si="341"/>
        <v>0</v>
      </c>
      <c r="I694" s="336" t="e">
        <f t="shared" si="323"/>
        <v>#DIV/0!</v>
      </c>
    </row>
    <row r="695" spans="1:14" ht="15.75" hidden="1" x14ac:dyDescent="0.25">
      <c r="A695" s="361" t="s">
        <v>290</v>
      </c>
      <c r="B695" s="359">
        <v>906</v>
      </c>
      <c r="C695" s="360" t="s">
        <v>280</v>
      </c>
      <c r="D695" s="360" t="s">
        <v>229</v>
      </c>
      <c r="E695" s="360" t="s">
        <v>1045</v>
      </c>
      <c r="F695" s="360" t="s">
        <v>291</v>
      </c>
      <c r="G695" s="336">
        <v>0</v>
      </c>
      <c r="H695" s="336">
        <v>0</v>
      </c>
      <c r="I695" s="336" t="e">
        <f t="shared" si="323"/>
        <v>#DIV/0!</v>
      </c>
    </row>
    <row r="696" spans="1:14" ht="38.25" customHeight="1" x14ac:dyDescent="0.25">
      <c r="A696" s="60" t="s">
        <v>787</v>
      </c>
      <c r="B696" s="359">
        <v>906</v>
      </c>
      <c r="C696" s="360" t="s">
        <v>280</v>
      </c>
      <c r="D696" s="360" t="s">
        <v>229</v>
      </c>
      <c r="E696" s="360" t="s">
        <v>1046</v>
      </c>
      <c r="F696" s="360"/>
      <c r="G696" s="336">
        <f>G697</f>
        <v>2634</v>
      </c>
      <c r="H696" s="336">
        <f t="shared" ref="H696:H697" si="342">H697</f>
        <v>2567</v>
      </c>
      <c r="I696" s="336">
        <f t="shared" si="323"/>
        <v>97.456340167046321</v>
      </c>
    </row>
    <row r="697" spans="1:14" ht="31.5" x14ac:dyDescent="0.25">
      <c r="A697" s="338" t="s">
        <v>288</v>
      </c>
      <c r="B697" s="359">
        <v>906</v>
      </c>
      <c r="C697" s="360" t="s">
        <v>280</v>
      </c>
      <c r="D697" s="360" t="s">
        <v>229</v>
      </c>
      <c r="E697" s="360" t="s">
        <v>1046</v>
      </c>
      <c r="F697" s="360" t="s">
        <v>289</v>
      </c>
      <c r="G697" s="336">
        <f>G698</f>
        <v>2634</v>
      </c>
      <c r="H697" s="336">
        <f t="shared" si="342"/>
        <v>2567</v>
      </c>
      <c r="I697" s="336">
        <f t="shared" si="323"/>
        <v>97.456340167046321</v>
      </c>
    </row>
    <row r="698" spans="1:14" ht="15.75" x14ac:dyDescent="0.25">
      <c r="A698" s="192" t="s">
        <v>290</v>
      </c>
      <c r="B698" s="359">
        <v>906</v>
      </c>
      <c r="C698" s="360" t="s">
        <v>280</v>
      </c>
      <c r="D698" s="360" t="s">
        <v>229</v>
      </c>
      <c r="E698" s="360" t="s">
        <v>1046</v>
      </c>
      <c r="F698" s="360" t="s">
        <v>291</v>
      </c>
      <c r="G698" s="336">
        <f>2634</f>
        <v>2634</v>
      </c>
      <c r="H698" s="336">
        <v>2567</v>
      </c>
      <c r="I698" s="336">
        <f t="shared" si="323"/>
        <v>97.456340167046321</v>
      </c>
    </row>
    <row r="699" spans="1:14" s="214" customFormat="1" ht="31.5" x14ac:dyDescent="0.25">
      <c r="A699" s="225" t="s">
        <v>1048</v>
      </c>
      <c r="B699" s="330">
        <v>906</v>
      </c>
      <c r="C699" s="334" t="s">
        <v>280</v>
      </c>
      <c r="D699" s="334" t="s">
        <v>229</v>
      </c>
      <c r="E699" s="334" t="s">
        <v>1044</v>
      </c>
      <c r="F699" s="334"/>
      <c r="G699" s="332">
        <f>G700+G703</f>
        <v>752.8</v>
      </c>
      <c r="H699" s="332">
        <f t="shared" ref="H699" si="343">H700+H703</f>
        <v>131.09800000000001</v>
      </c>
      <c r="I699" s="332">
        <f t="shared" si="323"/>
        <v>17.414718384697135</v>
      </c>
      <c r="J699" s="325"/>
      <c r="K699" s="325"/>
      <c r="L699" s="325"/>
      <c r="M699" s="325"/>
      <c r="N699" s="325"/>
    </row>
    <row r="700" spans="1:14" s="214" customFormat="1" ht="47.25" x14ac:dyDescent="0.25">
      <c r="A700" s="192" t="s">
        <v>874</v>
      </c>
      <c r="B700" s="359">
        <v>906</v>
      </c>
      <c r="C700" s="360" t="s">
        <v>280</v>
      </c>
      <c r="D700" s="360" t="s">
        <v>229</v>
      </c>
      <c r="E700" s="360" t="s">
        <v>1515</v>
      </c>
      <c r="F700" s="360"/>
      <c r="G700" s="336">
        <f>G701</f>
        <v>678</v>
      </c>
      <c r="H700" s="336">
        <f t="shared" ref="H700:H701" si="344">H701</f>
        <v>116.298</v>
      </c>
      <c r="I700" s="336">
        <f t="shared" si="323"/>
        <v>17.153097345132743</v>
      </c>
      <c r="J700" s="325"/>
      <c r="K700" s="325"/>
      <c r="L700" s="325"/>
      <c r="M700" s="325"/>
      <c r="N700" s="325"/>
    </row>
    <row r="701" spans="1:14" s="214" customFormat="1" ht="31.5" x14ac:dyDescent="0.25">
      <c r="A701" s="31" t="s">
        <v>288</v>
      </c>
      <c r="B701" s="359">
        <v>906</v>
      </c>
      <c r="C701" s="360" t="s">
        <v>280</v>
      </c>
      <c r="D701" s="360" t="s">
        <v>229</v>
      </c>
      <c r="E701" s="360" t="s">
        <v>1515</v>
      </c>
      <c r="F701" s="360" t="s">
        <v>289</v>
      </c>
      <c r="G701" s="336">
        <f>G702</f>
        <v>678</v>
      </c>
      <c r="H701" s="336">
        <f t="shared" si="344"/>
        <v>116.298</v>
      </c>
      <c r="I701" s="336">
        <f t="shared" si="323"/>
        <v>17.153097345132743</v>
      </c>
      <c r="J701" s="325"/>
      <c r="K701" s="325"/>
      <c r="L701" s="325"/>
      <c r="M701" s="325"/>
      <c r="N701" s="325"/>
    </row>
    <row r="702" spans="1:14" s="214" customFormat="1" ht="15.75" x14ac:dyDescent="0.25">
      <c r="A702" s="31" t="s">
        <v>290</v>
      </c>
      <c r="B702" s="359">
        <v>906</v>
      </c>
      <c r="C702" s="360" t="s">
        <v>280</v>
      </c>
      <c r="D702" s="360" t="s">
        <v>229</v>
      </c>
      <c r="E702" s="360" t="s">
        <v>1515</v>
      </c>
      <c r="F702" s="360" t="s">
        <v>291</v>
      </c>
      <c r="G702" s="336">
        <f>678</f>
        <v>678</v>
      </c>
      <c r="H702" s="336">
        <v>116.298</v>
      </c>
      <c r="I702" s="336">
        <f t="shared" si="323"/>
        <v>17.153097345132743</v>
      </c>
      <c r="J702" s="325"/>
      <c r="K702" s="325"/>
      <c r="L702" s="325"/>
      <c r="M702" s="325"/>
      <c r="N702" s="325"/>
    </row>
    <row r="703" spans="1:14" s="325" customFormat="1" ht="31.5" x14ac:dyDescent="0.25">
      <c r="A703" s="31" t="s">
        <v>1514</v>
      </c>
      <c r="B703" s="359">
        <v>906</v>
      </c>
      <c r="C703" s="360" t="s">
        <v>280</v>
      </c>
      <c r="D703" s="360" t="s">
        <v>229</v>
      </c>
      <c r="E703" s="360" t="s">
        <v>1516</v>
      </c>
      <c r="F703" s="360"/>
      <c r="G703" s="336">
        <f>G704</f>
        <v>74.8</v>
      </c>
      <c r="H703" s="336">
        <f t="shared" ref="H703:H704" si="345">H704</f>
        <v>14.8</v>
      </c>
      <c r="I703" s="336">
        <f t="shared" si="323"/>
        <v>19.786096256684495</v>
      </c>
    </row>
    <row r="704" spans="1:14" s="325" customFormat="1" ht="31.5" x14ac:dyDescent="0.25">
      <c r="A704" s="31" t="s">
        <v>288</v>
      </c>
      <c r="B704" s="359">
        <v>906</v>
      </c>
      <c r="C704" s="360" t="s">
        <v>280</v>
      </c>
      <c r="D704" s="360" t="s">
        <v>229</v>
      </c>
      <c r="E704" s="360" t="s">
        <v>1516</v>
      </c>
      <c r="F704" s="360" t="s">
        <v>289</v>
      </c>
      <c r="G704" s="336">
        <f>G705</f>
        <v>74.8</v>
      </c>
      <c r="H704" s="336">
        <f t="shared" si="345"/>
        <v>14.8</v>
      </c>
      <c r="I704" s="336">
        <f t="shared" si="323"/>
        <v>19.786096256684495</v>
      </c>
    </row>
    <row r="705" spans="1:9" s="325" customFormat="1" ht="15.75" x14ac:dyDescent="0.25">
      <c r="A705" s="31" t="s">
        <v>290</v>
      </c>
      <c r="B705" s="359">
        <v>906</v>
      </c>
      <c r="C705" s="360" t="s">
        <v>280</v>
      </c>
      <c r="D705" s="360" t="s">
        <v>229</v>
      </c>
      <c r="E705" s="360" t="s">
        <v>1516</v>
      </c>
      <c r="F705" s="360" t="s">
        <v>291</v>
      </c>
      <c r="G705" s="336">
        <v>74.8</v>
      </c>
      <c r="H705" s="336">
        <v>14.8</v>
      </c>
      <c r="I705" s="336">
        <f t="shared" si="323"/>
        <v>19.786096256684495</v>
      </c>
    </row>
    <row r="706" spans="1:9" s="325" customFormat="1" ht="31.5" x14ac:dyDescent="0.25">
      <c r="A706" s="225" t="s">
        <v>1564</v>
      </c>
      <c r="B706" s="330">
        <v>906</v>
      </c>
      <c r="C706" s="334" t="s">
        <v>280</v>
      </c>
      <c r="D706" s="334" t="s">
        <v>229</v>
      </c>
      <c r="E706" s="334" t="s">
        <v>1555</v>
      </c>
      <c r="F706" s="334"/>
      <c r="G706" s="332">
        <f>G707+G710</f>
        <v>2372.5</v>
      </c>
      <c r="H706" s="332">
        <f t="shared" ref="H706" si="346">H707+H710</f>
        <v>0</v>
      </c>
      <c r="I706" s="332">
        <f t="shared" si="323"/>
        <v>0</v>
      </c>
    </row>
    <row r="707" spans="1:9" s="325" customFormat="1" ht="31.5" x14ac:dyDescent="0.25">
      <c r="A707" s="31" t="s">
        <v>1565</v>
      </c>
      <c r="B707" s="359">
        <v>906</v>
      </c>
      <c r="C707" s="360" t="s">
        <v>280</v>
      </c>
      <c r="D707" s="360" t="s">
        <v>229</v>
      </c>
      <c r="E707" s="360" t="s">
        <v>1556</v>
      </c>
      <c r="F707" s="360"/>
      <c r="G707" s="336">
        <f>G708</f>
        <v>97.3</v>
      </c>
      <c r="H707" s="336">
        <f t="shared" ref="H707:H708" si="347">H708</f>
        <v>0</v>
      </c>
      <c r="I707" s="336">
        <f t="shared" si="323"/>
        <v>0</v>
      </c>
    </row>
    <row r="708" spans="1:9" s="325" customFormat="1" ht="31.5" x14ac:dyDescent="0.25">
      <c r="A708" s="31" t="s">
        <v>288</v>
      </c>
      <c r="B708" s="359">
        <v>906</v>
      </c>
      <c r="C708" s="360" t="s">
        <v>280</v>
      </c>
      <c r="D708" s="360" t="s">
        <v>229</v>
      </c>
      <c r="E708" s="360" t="s">
        <v>1556</v>
      </c>
      <c r="F708" s="360" t="s">
        <v>289</v>
      </c>
      <c r="G708" s="336">
        <f>G709</f>
        <v>97.3</v>
      </c>
      <c r="H708" s="336">
        <f t="shared" si="347"/>
        <v>0</v>
      </c>
      <c r="I708" s="336">
        <f t="shared" si="323"/>
        <v>0</v>
      </c>
    </row>
    <row r="709" spans="1:9" s="325" customFormat="1" ht="15.75" x14ac:dyDescent="0.25">
      <c r="A709" s="31" t="s">
        <v>290</v>
      </c>
      <c r="B709" s="359">
        <v>906</v>
      </c>
      <c r="C709" s="360" t="s">
        <v>280</v>
      </c>
      <c r="D709" s="360" t="s">
        <v>229</v>
      </c>
      <c r="E709" s="360" t="s">
        <v>1556</v>
      </c>
      <c r="F709" s="360" t="s">
        <v>291</v>
      </c>
      <c r="G709" s="336">
        <v>97.3</v>
      </c>
      <c r="H709" s="336">
        <v>0</v>
      </c>
      <c r="I709" s="336">
        <f t="shared" si="323"/>
        <v>0</v>
      </c>
    </row>
    <row r="710" spans="1:9" s="325" customFormat="1" ht="32.25" customHeight="1" x14ac:dyDescent="0.25">
      <c r="A710" s="31" t="s">
        <v>1566</v>
      </c>
      <c r="B710" s="359">
        <v>906</v>
      </c>
      <c r="C710" s="360" t="s">
        <v>280</v>
      </c>
      <c r="D710" s="360" t="s">
        <v>229</v>
      </c>
      <c r="E710" s="360" t="s">
        <v>1557</v>
      </c>
      <c r="F710" s="360"/>
      <c r="G710" s="336">
        <f>G711</f>
        <v>2275.1999999999998</v>
      </c>
      <c r="H710" s="336">
        <f t="shared" ref="H710:H711" si="348">H711</f>
        <v>0</v>
      </c>
      <c r="I710" s="336">
        <f t="shared" si="323"/>
        <v>0</v>
      </c>
    </row>
    <row r="711" spans="1:9" s="325" customFormat="1" ht="31.5" x14ac:dyDescent="0.25">
      <c r="A711" s="31" t="s">
        <v>288</v>
      </c>
      <c r="B711" s="359">
        <v>906</v>
      </c>
      <c r="C711" s="360" t="s">
        <v>280</v>
      </c>
      <c r="D711" s="360" t="s">
        <v>229</v>
      </c>
      <c r="E711" s="360" t="s">
        <v>1557</v>
      </c>
      <c r="F711" s="360" t="s">
        <v>289</v>
      </c>
      <c r="G711" s="336">
        <f>G712</f>
        <v>2275.1999999999998</v>
      </c>
      <c r="H711" s="336">
        <f t="shared" si="348"/>
        <v>0</v>
      </c>
      <c r="I711" s="336">
        <f t="shared" si="323"/>
        <v>0</v>
      </c>
    </row>
    <row r="712" spans="1:9" s="325" customFormat="1" ht="15.75" x14ac:dyDescent="0.25">
      <c r="A712" s="31" t="s">
        <v>290</v>
      </c>
      <c r="B712" s="359">
        <v>906</v>
      </c>
      <c r="C712" s="360" t="s">
        <v>280</v>
      </c>
      <c r="D712" s="360" t="s">
        <v>229</v>
      </c>
      <c r="E712" s="360" t="s">
        <v>1557</v>
      </c>
      <c r="F712" s="360" t="s">
        <v>291</v>
      </c>
      <c r="G712" s="336">
        <v>2275.1999999999998</v>
      </c>
      <c r="H712" s="336">
        <v>0</v>
      </c>
      <c r="I712" s="336">
        <f t="shared" si="323"/>
        <v>0</v>
      </c>
    </row>
    <row r="713" spans="1:9" s="325" customFormat="1" ht="31.5" x14ac:dyDescent="0.25">
      <c r="A713" s="225" t="s">
        <v>1558</v>
      </c>
      <c r="B713" s="330">
        <v>906</v>
      </c>
      <c r="C713" s="334" t="s">
        <v>280</v>
      </c>
      <c r="D713" s="334" t="s">
        <v>229</v>
      </c>
      <c r="E713" s="334" t="s">
        <v>1561</v>
      </c>
      <c r="F713" s="334"/>
      <c r="G713" s="332">
        <f>G714+G717</f>
        <v>641.29999999999995</v>
      </c>
      <c r="H713" s="332">
        <f t="shared" ref="H713" si="349">H714+H717</f>
        <v>9</v>
      </c>
      <c r="I713" s="332">
        <f t="shared" si="323"/>
        <v>1.4033993450803057</v>
      </c>
    </row>
    <row r="714" spans="1:9" s="325" customFormat="1" ht="47.25" x14ac:dyDescent="0.25">
      <c r="A714" s="31" t="s">
        <v>1559</v>
      </c>
      <c r="B714" s="359">
        <v>906</v>
      </c>
      <c r="C714" s="360" t="s">
        <v>280</v>
      </c>
      <c r="D714" s="360" t="s">
        <v>229</v>
      </c>
      <c r="E714" s="360" t="s">
        <v>1562</v>
      </c>
      <c r="F714" s="360"/>
      <c r="G714" s="336">
        <f>G715</f>
        <v>26.3</v>
      </c>
      <c r="H714" s="336">
        <f t="shared" ref="H714:H715" si="350">H715</f>
        <v>9</v>
      </c>
      <c r="I714" s="336">
        <f t="shared" si="323"/>
        <v>34.22053231939163</v>
      </c>
    </row>
    <row r="715" spans="1:9" s="325" customFormat="1" ht="31.5" x14ac:dyDescent="0.25">
      <c r="A715" s="31" t="s">
        <v>288</v>
      </c>
      <c r="B715" s="359">
        <v>906</v>
      </c>
      <c r="C715" s="360" t="s">
        <v>280</v>
      </c>
      <c r="D715" s="360" t="s">
        <v>229</v>
      </c>
      <c r="E715" s="360" t="s">
        <v>1562</v>
      </c>
      <c r="F715" s="360" t="s">
        <v>289</v>
      </c>
      <c r="G715" s="336">
        <f>G716</f>
        <v>26.3</v>
      </c>
      <c r="H715" s="336">
        <f t="shared" si="350"/>
        <v>9</v>
      </c>
      <c r="I715" s="336">
        <f t="shared" ref="I715:I778" si="351">H715/G715*100</f>
        <v>34.22053231939163</v>
      </c>
    </row>
    <row r="716" spans="1:9" s="325" customFormat="1" ht="15.75" x14ac:dyDescent="0.25">
      <c r="A716" s="31" t="s">
        <v>290</v>
      </c>
      <c r="B716" s="359">
        <v>906</v>
      </c>
      <c r="C716" s="360" t="s">
        <v>280</v>
      </c>
      <c r="D716" s="360" t="s">
        <v>229</v>
      </c>
      <c r="E716" s="360" t="s">
        <v>1562</v>
      </c>
      <c r="F716" s="360" t="s">
        <v>291</v>
      </c>
      <c r="G716" s="336">
        <v>26.3</v>
      </c>
      <c r="H716" s="336">
        <v>9</v>
      </c>
      <c r="I716" s="336">
        <f t="shared" si="351"/>
        <v>34.22053231939163</v>
      </c>
    </row>
    <row r="717" spans="1:9" s="325" customFormat="1" ht="31.5" x14ac:dyDescent="0.25">
      <c r="A717" s="31" t="s">
        <v>1560</v>
      </c>
      <c r="B717" s="359">
        <v>906</v>
      </c>
      <c r="C717" s="360" t="s">
        <v>280</v>
      </c>
      <c r="D717" s="360" t="s">
        <v>229</v>
      </c>
      <c r="E717" s="360" t="s">
        <v>1563</v>
      </c>
      <c r="F717" s="360"/>
      <c r="G717" s="336">
        <f>G718</f>
        <v>615</v>
      </c>
      <c r="H717" s="336">
        <f t="shared" ref="H717:H718" si="352">H718</f>
        <v>0</v>
      </c>
      <c r="I717" s="336">
        <f t="shared" si="351"/>
        <v>0</v>
      </c>
    </row>
    <row r="718" spans="1:9" s="325" customFormat="1" ht="31.5" x14ac:dyDescent="0.25">
      <c r="A718" s="31" t="s">
        <v>288</v>
      </c>
      <c r="B718" s="359">
        <v>906</v>
      </c>
      <c r="C718" s="360" t="s">
        <v>280</v>
      </c>
      <c r="D718" s="360" t="s">
        <v>229</v>
      </c>
      <c r="E718" s="360" t="s">
        <v>1563</v>
      </c>
      <c r="F718" s="360" t="s">
        <v>289</v>
      </c>
      <c r="G718" s="336">
        <f>G719</f>
        <v>615</v>
      </c>
      <c r="H718" s="336">
        <f t="shared" si="352"/>
        <v>0</v>
      </c>
      <c r="I718" s="336">
        <f t="shared" si="351"/>
        <v>0</v>
      </c>
    </row>
    <row r="719" spans="1:9" s="325" customFormat="1" ht="15.75" x14ac:dyDescent="0.25">
      <c r="A719" s="31" t="s">
        <v>290</v>
      </c>
      <c r="B719" s="359">
        <v>906</v>
      </c>
      <c r="C719" s="360" t="s">
        <v>280</v>
      </c>
      <c r="D719" s="360" t="s">
        <v>229</v>
      </c>
      <c r="E719" s="360" t="s">
        <v>1563</v>
      </c>
      <c r="F719" s="360" t="s">
        <v>291</v>
      </c>
      <c r="G719" s="336">
        <v>615</v>
      </c>
      <c r="H719" s="336">
        <v>0</v>
      </c>
      <c r="I719" s="336">
        <f t="shared" si="351"/>
        <v>0</v>
      </c>
    </row>
    <row r="720" spans="1:9" s="325" customFormat="1" ht="31.5" x14ac:dyDescent="0.25">
      <c r="A720" s="365" t="s">
        <v>1567</v>
      </c>
      <c r="B720" s="330">
        <v>906</v>
      </c>
      <c r="C720" s="334" t="s">
        <v>280</v>
      </c>
      <c r="D720" s="334" t="s">
        <v>229</v>
      </c>
      <c r="E720" s="334" t="s">
        <v>1568</v>
      </c>
      <c r="F720" s="334"/>
      <c r="G720" s="332">
        <f>G721+G724</f>
        <v>1975.75</v>
      </c>
      <c r="H720" s="332">
        <f t="shared" ref="H720" si="353">H721+H724</f>
        <v>0</v>
      </c>
      <c r="I720" s="332">
        <f t="shared" si="351"/>
        <v>0</v>
      </c>
    </row>
    <row r="721" spans="1:21" s="325" customFormat="1" ht="63" x14ac:dyDescent="0.25">
      <c r="A721" s="364" t="s">
        <v>1569</v>
      </c>
      <c r="B721" s="359">
        <v>906</v>
      </c>
      <c r="C721" s="360" t="s">
        <v>280</v>
      </c>
      <c r="D721" s="360" t="s">
        <v>229</v>
      </c>
      <c r="E721" s="360" t="s">
        <v>1570</v>
      </c>
      <c r="F721" s="360"/>
      <c r="G721" s="336">
        <f>G722</f>
        <v>81.05</v>
      </c>
      <c r="H721" s="336">
        <f t="shared" ref="H721:H722" si="354">H722</f>
        <v>0</v>
      </c>
      <c r="I721" s="336">
        <f t="shared" si="351"/>
        <v>0</v>
      </c>
    </row>
    <row r="722" spans="1:21" s="325" customFormat="1" ht="31.5" x14ac:dyDescent="0.25">
      <c r="A722" s="31" t="s">
        <v>288</v>
      </c>
      <c r="B722" s="359">
        <v>906</v>
      </c>
      <c r="C722" s="360" t="s">
        <v>280</v>
      </c>
      <c r="D722" s="360" t="s">
        <v>229</v>
      </c>
      <c r="E722" s="360" t="s">
        <v>1570</v>
      </c>
      <c r="F722" s="360" t="s">
        <v>289</v>
      </c>
      <c r="G722" s="336">
        <f>G723</f>
        <v>81.05</v>
      </c>
      <c r="H722" s="336">
        <f t="shared" si="354"/>
        <v>0</v>
      </c>
      <c r="I722" s="336">
        <f t="shared" si="351"/>
        <v>0</v>
      </c>
    </row>
    <row r="723" spans="1:21" s="325" customFormat="1" ht="15.75" x14ac:dyDescent="0.25">
      <c r="A723" s="31" t="s">
        <v>290</v>
      </c>
      <c r="B723" s="359">
        <v>906</v>
      </c>
      <c r="C723" s="360" t="s">
        <v>280</v>
      </c>
      <c r="D723" s="360" t="s">
        <v>229</v>
      </c>
      <c r="E723" s="360" t="s">
        <v>1570</v>
      </c>
      <c r="F723" s="360" t="s">
        <v>291</v>
      </c>
      <c r="G723" s="336">
        <v>81.05</v>
      </c>
      <c r="H723" s="336">
        <v>0</v>
      </c>
      <c r="I723" s="336">
        <f t="shared" si="351"/>
        <v>0</v>
      </c>
      <c r="U723" s="325" t="s">
        <v>1575</v>
      </c>
    </row>
    <row r="724" spans="1:21" s="325" customFormat="1" ht="63" x14ac:dyDescent="0.25">
      <c r="A724" s="364" t="s">
        <v>1572</v>
      </c>
      <c r="B724" s="359">
        <v>906</v>
      </c>
      <c r="C724" s="360" t="s">
        <v>280</v>
      </c>
      <c r="D724" s="360" t="s">
        <v>229</v>
      </c>
      <c r="E724" s="360" t="s">
        <v>1571</v>
      </c>
      <c r="F724" s="360"/>
      <c r="G724" s="336">
        <f>G725</f>
        <v>1894.7</v>
      </c>
      <c r="H724" s="336">
        <f t="shared" ref="H724:H725" si="355">H725</f>
        <v>0</v>
      </c>
      <c r="I724" s="336">
        <f t="shared" si="351"/>
        <v>0</v>
      </c>
    </row>
    <row r="725" spans="1:21" s="325" customFormat="1" ht="31.5" x14ac:dyDescent="0.25">
      <c r="A725" s="31" t="s">
        <v>288</v>
      </c>
      <c r="B725" s="359">
        <v>906</v>
      </c>
      <c r="C725" s="360" t="s">
        <v>280</v>
      </c>
      <c r="D725" s="360" t="s">
        <v>229</v>
      </c>
      <c r="E725" s="360" t="s">
        <v>1571</v>
      </c>
      <c r="F725" s="360" t="s">
        <v>289</v>
      </c>
      <c r="G725" s="336">
        <f>G726</f>
        <v>1894.7</v>
      </c>
      <c r="H725" s="336">
        <f t="shared" si="355"/>
        <v>0</v>
      </c>
      <c r="I725" s="336">
        <f t="shared" si="351"/>
        <v>0</v>
      </c>
    </row>
    <row r="726" spans="1:21" s="325" customFormat="1" ht="15.75" x14ac:dyDescent="0.25">
      <c r="A726" s="31" t="s">
        <v>290</v>
      </c>
      <c r="B726" s="359">
        <v>906</v>
      </c>
      <c r="C726" s="360" t="s">
        <v>280</v>
      </c>
      <c r="D726" s="360" t="s">
        <v>229</v>
      </c>
      <c r="E726" s="360" t="s">
        <v>1571</v>
      </c>
      <c r="F726" s="360" t="s">
        <v>291</v>
      </c>
      <c r="G726" s="336">
        <v>1894.7</v>
      </c>
      <c r="H726" s="336">
        <v>0</v>
      </c>
      <c r="I726" s="336">
        <f t="shared" si="351"/>
        <v>0</v>
      </c>
    </row>
    <row r="727" spans="1:21" s="325" customFormat="1" ht="38.1" customHeight="1" x14ac:dyDescent="0.25">
      <c r="A727" s="225" t="s">
        <v>1413</v>
      </c>
      <c r="B727" s="330">
        <v>906</v>
      </c>
      <c r="C727" s="334" t="s">
        <v>280</v>
      </c>
      <c r="D727" s="334" t="s">
        <v>229</v>
      </c>
      <c r="E727" s="334" t="s">
        <v>1411</v>
      </c>
      <c r="F727" s="334"/>
      <c r="G727" s="332">
        <f>G728+G731</f>
        <v>1164.8589999999999</v>
      </c>
      <c r="H727" s="332">
        <f t="shared" ref="H727" si="356">H728+H731</f>
        <v>1164.8389999999999</v>
      </c>
      <c r="I727" s="332">
        <f t="shared" si="351"/>
        <v>99.998283054000524</v>
      </c>
    </row>
    <row r="728" spans="1:21" s="325" customFormat="1" ht="47.25" x14ac:dyDescent="0.25">
      <c r="A728" s="192" t="s">
        <v>1452</v>
      </c>
      <c r="B728" s="359">
        <v>906</v>
      </c>
      <c r="C728" s="360" t="s">
        <v>280</v>
      </c>
      <c r="D728" s="360" t="s">
        <v>229</v>
      </c>
      <c r="E728" s="360" t="s">
        <v>1412</v>
      </c>
      <c r="F728" s="360"/>
      <c r="G728" s="336">
        <f>G729</f>
        <v>1164.8589999999999</v>
      </c>
      <c r="H728" s="336">
        <f t="shared" ref="H728:H729" si="357">H729</f>
        <v>1164.8389999999999</v>
      </c>
      <c r="I728" s="336">
        <f t="shared" si="351"/>
        <v>99.998283054000524</v>
      </c>
    </row>
    <row r="729" spans="1:21" s="325" customFormat="1" ht="31.5" x14ac:dyDescent="0.25">
      <c r="A729" s="31" t="s">
        <v>288</v>
      </c>
      <c r="B729" s="359">
        <v>906</v>
      </c>
      <c r="C729" s="360" t="s">
        <v>280</v>
      </c>
      <c r="D729" s="360" t="s">
        <v>229</v>
      </c>
      <c r="E729" s="360" t="s">
        <v>1412</v>
      </c>
      <c r="F729" s="360" t="s">
        <v>289</v>
      </c>
      <c r="G729" s="336">
        <f>G730</f>
        <v>1164.8589999999999</v>
      </c>
      <c r="H729" s="336">
        <f t="shared" si="357"/>
        <v>1164.8389999999999</v>
      </c>
      <c r="I729" s="336">
        <f t="shared" si="351"/>
        <v>99.998283054000524</v>
      </c>
    </row>
    <row r="730" spans="1:21" s="325" customFormat="1" ht="15.75" x14ac:dyDescent="0.25">
      <c r="A730" s="31" t="s">
        <v>290</v>
      </c>
      <c r="B730" s="359">
        <v>906</v>
      </c>
      <c r="C730" s="360" t="s">
        <v>280</v>
      </c>
      <c r="D730" s="360" t="s">
        <v>229</v>
      </c>
      <c r="E730" s="360" t="s">
        <v>1412</v>
      </c>
      <c r="F730" s="360" t="s">
        <v>291</v>
      </c>
      <c r="G730" s="336">
        <f>1117.1+10+37.759</f>
        <v>1164.8589999999999</v>
      </c>
      <c r="H730" s="336">
        <v>1164.8389999999999</v>
      </c>
      <c r="I730" s="336">
        <f t="shared" si="351"/>
        <v>99.998283054000524</v>
      </c>
    </row>
    <row r="731" spans="1:21" s="325" customFormat="1" ht="63" hidden="1" x14ac:dyDescent="0.25">
      <c r="A731" s="192" t="s">
        <v>1539</v>
      </c>
      <c r="B731" s="359">
        <v>906</v>
      </c>
      <c r="C731" s="360" t="s">
        <v>280</v>
      </c>
      <c r="D731" s="360" t="s">
        <v>229</v>
      </c>
      <c r="E731" s="360" t="s">
        <v>1534</v>
      </c>
      <c r="F731" s="360"/>
      <c r="G731" s="351">
        <f>G732</f>
        <v>0</v>
      </c>
      <c r="H731" s="351">
        <f t="shared" ref="H731:H732" si="358">H732</f>
        <v>0</v>
      </c>
      <c r="I731" s="336" t="e">
        <f t="shared" si="351"/>
        <v>#DIV/0!</v>
      </c>
      <c r="L731" s="353"/>
    </row>
    <row r="732" spans="1:21" s="325" customFormat="1" ht="31.5" hidden="1" x14ac:dyDescent="0.25">
      <c r="A732" s="31" t="s">
        <v>288</v>
      </c>
      <c r="B732" s="359">
        <v>906</v>
      </c>
      <c r="C732" s="360" t="s">
        <v>280</v>
      </c>
      <c r="D732" s="360" t="s">
        <v>229</v>
      </c>
      <c r="E732" s="360" t="s">
        <v>1534</v>
      </c>
      <c r="F732" s="360" t="s">
        <v>289</v>
      </c>
      <c r="G732" s="351">
        <f>G733</f>
        <v>0</v>
      </c>
      <c r="H732" s="351">
        <f t="shared" si="358"/>
        <v>0</v>
      </c>
      <c r="I732" s="336" t="e">
        <f t="shared" si="351"/>
        <v>#DIV/0!</v>
      </c>
    </row>
    <row r="733" spans="1:21" s="325" customFormat="1" ht="15.75" hidden="1" x14ac:dyDescent="0.25">
      <c r="A733" s="31" t="s">
        <v>290</v>
      </c>
      <c r="B733" s="359">
        <v>906</v>
      </c>
      <c r="C733" s="360" t="s">
        <v>280</v>
      </c>
      <c r="D733" s="360" t="s">
        <v>229</v>
      </c>
      <c r="E733" s="360" t="s">
        <v>1534</v>
      </c>
      <c r="F733" s="360" t="s">
        <v>291</v>
      </c>
      <c r="G733" s="351">
        <v>0</v>
      </c>
      <c r="H733" s="351">
        <v>0</v>
      </c>
      <c r="I733" s="336" t="e">
        <f t="shared" si="351"/>
        <v>#DIV/0!</v>
      </c>
    </row>
    <row r="734" spans="1:21" ht="47.25" x14ac:dyDescent="0.25">
      <c r="A734" s="34" t="s">
        <v>805</v>
      </c>
      <c r="B734" s="330">
        <v>906</v>
      </c>
      <c r="C734" s="334" t="s">
        <v>280</v>
      </c>
      <c r="D734" s="334" t="s">
        <v>229</v>
      </c>
      <c r="E734" s="334" t="s">
        <v>340</v>
      </c>
      <c r="F734" s="334"/>
      <c r="G734" s="332">
        <f>G735</f>
        <v>150</v>
      </c>
      <c r="H734" s="332">
        <f t="shared" ref="H734:H737" si="359">H735</f>
        <v>150</v>
      </c>
      <c r="I734" s="332">
        <f t="shared" si="351"/>
        <v>100</v>
      </c>
    </row>
    <row r="735" spans="1:21" s="214" customFormat="1" ht="47.25" x14ac:dyDescent="0.25">
      <c r="A735" s="34" t="s">
        <v>1190</v>
      </c>
      <c r="B735" s="330">
        <v>906</v>
      </c>
      <c r="C735" s="334" t="s">
        <v>280</v>
      </c>
      <c r="D735" s="334" t="s">
        <v>229</v>
      </c>
      <c r="E735" s="334" t="s">
        <v>1025</v>
      </c>
      <c r="F735" s="334"/>
      <c r="G735" s="332">
        <f>G736</f>
        <v>150</v>
      </c>
      <c r="H735" s="332">
        <f t="shared" si="359"/>
        <v>150</v>
      </c>
      <c r="I735" s="332">
        <f t="shared" si="351"/>
        <v>100</v>
      </c>
      <c r="J735" s="325"/>
      <c r="K735" s="325"/>
      <c r="L735" s="325"/>
      <c r="M735" s="325"/>
      <c r="N735" s="325"/>
    </row>
    <row r="736" spans="1:21" ht="47.25" x14ac:dyDescent="0.25">
      <c r="A736" s="31" t="s">
        <v>1274</v>
      </c>
      <c r="B736" s="359">
        <v>906</v>
      </c>
      <c r="C736" s="360" t="s">
        <v>280</v>
      </c>
      <c r="D736" s="360" t="s">
        <v>229</v>
      </c>
      <c r="E736" s="360" t="s">
        <v>1026</v>
      </c>
      <c r="F736" s="360"/>
      <c r="G736" s="336">
        <f>G737</f>
        <v>150</v>
      </c>
      <c r="H736" s="336">
        <f t="shared" si="359"/>
        <v>150</v>
      </c>
      <c r="I736" s="336">
        <f t="shared" si="351"/>
        <v>100</v>
      </c>
    </row>
    <row r="737" spans="1:14" ht="31.5" x14ac:dyDescent="0.25">
      <c r="A737" s="31" t="s">
        <v>288</v>
      </c>
      <c r="B737" s="359">
        <v>906</v>
      </c>
      <c r="C737" s="360" t="s">
        <v>280</v>
      </c>
      <c r="D737" s="360" t="s">
        <v>229</v>
      </c>
      <c r="E737" s="360" t="s">
        <v>1026</v>
      </c>
      <c r="F737" s="360" t="s">
        <v>289</v>
      </c>
      <c r="G737" s="336">
        <f>G738</f>
        <v>150</v>
      </c>
      <c r="H737" s="336">
        <f t="shared" si="359"/>
        <v>150</v>
      </c>
      <c r="I737" s="336">
        <f t="shared" si="351"/>
        <v>100</v>
      </c>
    </row>
    <row r="738" spans="1:14" ht="15.75" x14ac:dyDescent="0.25">
      <c r="A738" s="31" t="s">
        <v>290</v>
      </c>
      <c r="B738" s="359">
        <v>906</v>
      </c>
      <c r="C738" s="360" t="s">
        <v>280</v>
      </c>
      <c r="D738" s="360" t="s">
        <v>229</v>
      </c>
      <c r="E738" s="360" t="s">
        <v>1026</v>
      </c>
      <c r="F738" s="360" t="s">
        <v>291</v>
      </c>
      <c r="G738" s="336">
        <v>150</v>
      </c>
      <c r="H738" s="336">
        <v>150</v>
      </c>
      <c r="I738" s="336">
        <f t="shared" si="351"/>
        <v>100</v>
      </c>
    </row>
    <row r="739" spans="1:14" ht="47.25" x14ac:dyDescent="0.25">
      <c r="A739" s="41" t="s">
        <v>1179</v>
      </c>
      <c r="B739" s="330">
        <v>906</v>
      </c>
      <c r="C739" s="334" t="s">
        <v>280</v>
      </c>
      <c r="D739" s="334" t="s">
        <v>229</v>
      </c>
      <c r="E739" s="334" t="s">
        <v>728</v>
      </c>
      <c r="F739" s="231"/>
      <c r="G739" s="332">
        <f>G740</f>
        <v>723.3</v>
      </c>
      <c r="H739" s="332">
        <f t="shared" ref="H739:H742" si="360">H740</f>
        <v>538.25800000000004</v>
      </c>
      <c r="I739" s="332">
        <f t="shared" si="351"/>
        <v>74.416977740909729</v>
      </c>
    </row>
    <row r="740" spans="1:14" s="214" customFormat="1" ht="47.25" x14ac:dyDescent="0.25">
      <c r="A740" s="41" t="s">
        <v>949</v>
      </c>
      <c r="B740" s="330">
        <v>906</v>
      </c>
      <c r="C740" s="334" t="s">
        <v>280</v>
      </c>
      <c r="D740" s="334" t="s">
        <v>229</v>
      </c>
      <c r="E740" s="334" t="s">
        <v>947</v>
      </c>
      <c r="F740" s="231"/>
      <c r="G740" s="332">
        <f>G741</f>
        <v>723.3</v>
      </c>
      <c r="H740" s="332">
        <f t="shared" si="360"/>
        <v>538.25800000000004</v>
      </c>
      <c r="I740" s="332">
        <f t="shared" si="351"/>
        <v>74.416977740909729</v>
      </c>
      <c r="J740" s="325"/>
      <c r="K740" s="325"/>
      <c r="L740" s="325"/>
      <c r="M740" s="325"/>
      <c r="N740" s="325"/>
    </row>
    <row r="741" spans="1:14" ht="35.450000000000003" customHeight="1" x14ac:dyDescent="0.25">
      <c r="A741" s="99" t="s">
        <v>803</v>
      </c>
      <c r="B741" s="359">
        <v>906</v>
      </c>
      <c r="C741" s="360" t="s">
        <v>280</v>
      </c>
      <c r="D741" s="360" t="s">
        <v>229</v>
      </c>
      <c r="E741" s="360" t="s">
        <v>1027</v>
      </c>
      <c r="F741" s="32"/>
      <c r="G741" s="336">
        <f>G742</f>
        <v>723.3</v>
      </c>
      <c r="H741" s="336">
        <f t="shared" si="360"/>
        <v>538.25800000000004</v>
      </c>
      <c r="I741" s="336">
        <f t="shared" si="351"/>
        <v>74.416977740909729</v>
      </c>
    </row>
    <row r="742" spans="1:14" ht="39.75" customHeight="1" x14ac:dyDescent="0.25">
      <c r="A742" s="338" t="s">
        <v>288</v>
      </c>
      <c r="B742" s="359">
        <v>906</v>
      </c>
      <c r="C742" s="360" t="s">
        <v>280</v>
      </c>
      <c r="D742" s="360" t="s">
        <v>229</v>
      </c>
      <c r="E742" s="360" t="s">
        <v>1027</v>
      </c>
      <c r="F742" s="32" t="s">
        <v>289</v>
      </c>
      <c r="G742" s="336">
        <f>G743</f>
        <v>723.3</v>
      </c>
      <c r="H742" s="336">
        <f t="shared" si="360"/>
        <v>538.25800000000004</v>
      </c>
      <c r="I742" s="336">
        <f t="shared" si="351"/>
        <v>74.416977740909729</v>
      </c>
    </row>
    <row r="743" spans="1:14" ht="15.75" x14ac:dyDescent="0.25">
      <c r="A743" s="192" t="s">
        <v>290</v>
      </c>
      <c r="B743" s="359">
        <v>906</v>
      </c>
      <c r="C743" s="360" t="s">
        <v>280</v>
      </c>
      <c r="D743" s="360" t="s">
        <v>229</v>
      </c>
      <c r="E743" s="360" t="s">
        <v>1027</v>
      </c>
      <c r="F743" s="32" t="s">
        <v>291</v>
      </c>
      <c r="G743" s="336">
        <f>723.3</f>
        <v>723.3</v>
      </c>
      <c r="H743" s="336">
        <v>538.25800000000004</v>
      </c>
      <c r="I743" s="336">
        <f t="shared" si="351"/>
        <v>74.416977740909729</v>
      </c>
    </row>
    <row r="744" spans="1:14" ht="15.75" x14ac:dyDescent="0.25">
      <c r="A744" s="333" t="s">
        <v>281</v>
      </c>
      <c r="B744" s="330">
        <v>906</v>
      </c>
      <c r="C744" s="334" t="s">
        <v>280</v>
      </c>
      <c r="D744" s="334" t="s">
        <v>231</v>
      </c>
      <c r="E744" s="334"/>
      <c r="F744" s="334"/>
      <c r="G744" s="44">
        <f>G745+G776</f>
        <v>35302.099999999991</v>
      </c>
      <c r="H744" s="44">
        <f t="shared" ref="H744" si="361">H745+H776</f>
        <v>25989.346000000001</v>
      </c>
      <c r="I744" s="332">
        <f t="shared" si="351"/>
        <v>73.619829981785813</v>
      </c>
    </row>
    <row r="745" spans="1:14" ht="54" customHeight="1" x14ac:dyDescent="0.25">
      <c r="A745" s="333" t="s">
        <v>442</v>
      </c>
      <c r="B745" s="330">
        <v>906</v>
      </c>
      <c r="C745" s="334" t="s">
        <v>280</v>
      </c>
      <c r="D745" s="334" t="s">
        <v>231</v>
      </c>
      <c r="E745" s="334" t="s">
        <v>422</v>
      </c>
      <c r="F745" s="334"/>
      <c r="G745" s="44">
        <f>G746+G764</f>
        <v>35001.399999999994</v>
      </c>
      <c r="H745" s="44">
        <f t="shared" ref="H745" si="362">H746+H764</f>
        <v>25773.053</v>
      </c>
      <c r="I745" s="332">
        <f t="shared" si="351"/>
        <v>73.634348911757826</v>
      </c>
    </row>
    <row r="746" spans="1:14" ht="36.75" customHeight="1" x14ac:dyDescent="0.25">
      <c r="A746" s="333" t="s">
        <v>423</v>
      </c>
      <c r="B746" s="330">
        <v>906</v>
      </c>
      <c r="C746" s="334" t="s">
        <v>280</v>
      </c>
      <c r="D746" s="334" t="s">
        <v>231</v>
      </c>
      <c r="E746" s="334" t="s">
        <v>424</v>
      </c>
      <c r="F746" s="334"/>
      <c r="G746" s="44">
        <f>G748+G751</f>
        <v>34237.199999999997</v>
      </c>
      <c r="H746" s="44">
        <f t="shared" ref="H746" si="363">H748+H751</f>
        <v>25173.053</v>
      </c>
      <c r="I746" s="332">
        <f t="shared" si="351"/>
        <v>73.525443085299031</v>
      </c>
    </row>
    <row r="747" spans="1:14" s="214" customFormat="1" ht="36.75" customHeight="1" x14ac:dyDescent="0.25">
      <c r="A747" s="333" t="s">
        <v>1028</v>
      </c>
      <c r="B747" s="330">
        <v>906</v>
      </c>
      <c r="C747" s="334" t="s">
        <v>280</v>
      </c>
      <c r="D747" s="334" t="s">
        <v>231</v>
      </c>
      <c r="E747" s="334" t="s">
        <v>1006</v>
      </c>
      <c r="F747" s="334"/>
      <c r="G747" s="44">
        <f>G748</f>
        <v>32614.999999999996</v>
      </c>
      <c r="H747" s="44">
        <f t="shared" ref="H747:H749" si="364">H748</f>
        <v>23644.352999999999</v>
      </c>
      <c r="I747" s="332">
        <f t="shared" si="351"/>
        <v>72.495333435535798</v>
      </c>
      <c r="J747" s="325"/>
      <c r="K747" s="325"/>
      <c r="L747" s="325"/>
      <c r="M747" s="325"/>
      <c r="N747" s="325"/>
    </row>
    <row r="748" spans="1:14" ht="31.5" x14ac:dyDescent="0.25">
      <c r="A748" s="361" t="s">
        <v>286</v>
      </c>
      <c r="B748" s="359">
        <v>906</v>
      </c>
      <c r="C748" s="360" t="s">
        <v>280</v>
      </c>
      <c r="D748" s="360" t="s">
        <v>231</v>
      </c>
      <c r="E748" s="360" t="s">
        <v>1051</v>
      </c>
      <c r="F748" s="360"/>
      <c r="G748" s="362">
        <f>G749</f>
        <v>32614.999999999996</v>
      </c>
      <c r="H748" s="362">
        <f t="shared" si="364"/>
        <v>23644.352999999999</v>
      </c>
      <c r="I748" s="336">
        <f t="shared" si="351"/>
        <v>72.495333435535798</v>
      </c>
    </row>
    <row r="749" spans="1:14" ht="36.75" customHeight="1" x14ac:dyDescent="0.25">
      <c r="A749" s="361" t="s">
        <v>288</v>
      </c>
      <c r="B749" s="359">
        <v>906</v>
      </c>
      <c r="C749" s="360" t="s">
        <v>280</v>
      </c>
      <c r="D749" s="360" t="s">
        <v>231</v>
      </c>
      <c r="E749" s="360" t="s">
        <v>1051</v>
      </c>
      <c r="F749" s="360" t="s">
        <v>289</v>
      </c>
      <c r="G749" s="362">
        <f>G750</f>
        <v>32614.999999999996</v>
      </c>
      <c r="H749" s="362">
        <f t="shared" si="364"/>
        <v>23644.352999999999</v>
      </c>
      <c r="I749" s="336">
        <f t="shared" si="351"/>
        <v>72.495333435535798</v>
      </c>
    </row>
    <row r="750" spans="1:14" ht="15.75" x14ac:dyDescent="0.25">
      <c r="A750" s="361" t="s">
        <v>290</v>
      </c>
      <c r="B750" s="359">
        <v>906</v>
      </c>
      <c r="C750" s="360" t="s">
        <v>280</v>
      </c>
      <c r="D750" s="360" t="s">
        <v>231</v>
      </c>
      <c r="E750" s="360" t="s">
        <v>1051</v>
      </c>
      <c r="F750" s="360" t="s">
        <v>291</v>
      </c>
      <c r="G750" s="362">
        <f>27381+1173.6+2213.8+0.6+1846</f>
        <v>32614.999999999996</v>
      </c>
      <c r="H750" s="362">
        <v>23644.352999999999</v>
      </c>
      <c r="I750" s="336">
        <f t="shared" si="351"/>
        <v>72.495333435535798</v>
      </c>
    </row>
    <row r="751" spans="1:14" s="214" customFormat="1" ht="44.45" customHeight="1" x14ac:dyDescent="0.25">
      <c r="A751" s="333" t="s">
        <v>971</v>
      </c>
      <c r="B751" s="330">
        <v>906</v>
      </c>
      <c r="C751" s="334" t="s">
        <v>280</v>
      </c>
      <c r="D751" s="334" t="s">
        <v>231</v>
      </c>
      <c r="E751" s="334" t="s">
        <v>1021</v>
      </c>
      <c r="F751" s="334"/>
      <c r="G751" s="44">
        <f>G755+G758+G761+G752</f>
        <v>1622.2</v>
      </c>
      <c r="H751" s="44">
        <f t="shared" ref="H751" si="365">H755+H758+H761+H752</f>
        <v>1528.7</v>
      </c>
      <c r="I751" s="332">
        <f t="shared" si="351"/>
        <v>94.236222414005681</v>
      </c>
      <c r="J751" s="325"/>
      <c r="K751" s="325"/>
      <c r="L751" s="325"/>
      <c r="M751" s="325"/>
      <c r="N751" s="325"/>
    </row>
    <row r="752" spans="1:14" s="325" customFormat="1" ht="77.25" customHeight="1" x14ac:dyDescent="0.25">
      <c r="A752" s="31" t="s">
        <v>309</v>
      </c>
      <c r="B752" s="359">
        <v>906</v>
      </c>
      <c r="C752" s="360" t="s">
        <v>280</v>
      </c>
      <c r="D752" s="360" t="s">
        <v>231</v>
      </c>
      <c r="E752" s="360" t="s">
        <v>1517</v>
      </c>
      <c r="F752" s="360"/>
      <c r="G752" s="362">
        <f>G753</f>
        <v>216.9</v>
      </c>
      <c r="H752" s="362">
        <f t="shared" ref="H752:H753" si="366">H753</f>
        <v>216.9</v>
      </c>
      <c r="I752" s="336">
        <f t="shared" si="351"/>
        <v>100</v>
      </c>
    </row>
    <row r="753" spans="1:14" s="325" customFormat="1" ht="36" customHeight="1" x14ac:dyDescent="0.25">
      <c r="A753" s="361" t="s">
        <v>288</v>
      </c>
      <c r="B753" s="359">
        <v>906</v>
      </c>
      <c r="C753" s="360" t="s">
        <v>280</v>
      </c>
      <c r="D753" s="360" t="s">
        <v>231</v>
      </c>
      <c r="E753" s="360" t="s">
        <v>1517</v>
      </c>
      <c r="F753" s="360" t="s">
        <v>289</v>
      </c>
      <c r="G753" s="362">
        <f>G754</f>
        <v>216.9</v>
      </c>
      <c r="H753" s="362">
        <f t="shared" si="366"/>
        <v>216.9</v>
      </c>
      <c r="I753" s="336">
        <f t="shared" si="351"/>
        <v>100</v>
      </c>
    </row>
    <row r="754" spans="1:14" s="325" customFormat="1" ht="36" customHeight="1" x14ac:dyDescent="0.25">
      <c r="A754" s="361" t="s">
        <v>290</v>
      </c>
      <c r="B754" s="359">
        <v>906</v>
      </c>
      <c r="C754" s="360" t="s">
        <v>280</v>
      </c>
      <c r="D754" s="360" t="s">
        <v>231</v>
      </c>
      <c r="E754" s="360" t="s">
        <v>1517</v>
      </c>
      <c r="F754" s="360" t="s">
        <v>291</v>
      </c>
      <c r="G754" s="362">
        <v>216.9</v>
      </c>
      <c r="H754" s="362">
        <v>216.9</v>
      </c>
      <c r="I754" s="336">
        <f t="shared" si="351"/>
        <v>100</v>
      </c>
    </row>
    <row r="755" spans="1:14" s="214" customFormat="1" ht="60.75" customHeight="1" x14ac:dyDescent="0.25">
      <c r="A755" s="31" t="s">
        <v>305</v>
      </c>
      <c r="B755" s="359">
        <v>906</v>
      </c>
      <c r="C755" s="360" t="s">
        <v>280</v>
      </c>
      <c r="D755" s="360" t="s">
        <v>231</v>
      </c>
      <c r="E755" s="360" t="s">
        <v>1020</v>
      </c>
      <c r="F755" s="360"/>
      <c r="G755" s="362">
        <f>G756</f>
        <v>169.3</v>
      </c>
      <c r="H755" s="362">
        <f t="shared" ref="H755:H756" si="367">H756</f>
        <v>161.30000000000001</v>
      </c>
      <c r="I755" s="336">
        <f t="shared" si="351"/>
        <v>95.274660366213823</v>
      </c>
      <c r="J755" s="325"/>
      <c r="K755" s="325"/>
      <c r="L755" s="325"/>
      <c r="M755" s="325"/>
      <c r="N755" s="325"/>
    </row>
    <row r="756" spans="1:14" s="214" customFormat="1" ht="31.5" x14ac:dyDescent="0.25">
      <c r="A756" s="361" t="s">
        <v>288</v>
      </c>
      <c r="B756" s="359">
        <v>906</v>
      </c>
      <c r="C756" s="360" t="s">
        <v>280</v>
      </c>
      <c r="D756" s="360" t="s">
        <v>231</v>
      </c>
      <c r="E756" s="360" t="s">
        <v>1020</v>
      </c>
      <c r="F756" s="360" t="s">
        <v>289</v>
      </c>
      <c r="G756" s="362">
        <f>G757</f>
        <v>169.3</v>
      </c>
      <c r="H756" s="362">
        <f t="shared" si="367"/>
        <v>161.30000000000001</v>
      </c>
      <c r="I756" s="336">
        <f t="shared" si="351"/>
        <v>95.274660366213823</v>
      </c>
      <c r="J756" s="325"/>
      <c r="K756" s="325"/>
      <c r="L756" s="325"/>
      <c r="M756" s="325"/>
      <c r="N756" s="325"/>
    </row>
    <row r="757" spans="1:14" s="214" customFormat="1" ht="15.75" x14ac:dyDescent="0.25">
      <c r="A757" s="361" t="s">
        <v>290</v>
      </c>
      <c r="B757" s="359">
        <v>906</v>
      </c>
      <c r="C757" s="360" t="s">
        <v>280</v>
      </c>
      <c r="D757" s="360" t="s">
        <v>231</v>
      </c>
      <c r="E757" s="360" t="s">
        <v>1020</v>
      </c>
      <c r="F757" s="360" t="s">
        <v>291</v>
      </c>
      <c r="G757" s="362">
        <f>169.28+0.02</f>
        <v>169.3</v>
      </c>
      <c r="H757" s="362">
        <v>161.30000000000001</v>
      </c>
      <c r="I757" s="336">
        <f t="shared" si="351"/>
        <v>95.274660366213823</v>
      </c>
      <c r="J757" s="325"/>
      <c r="K757" s="325"/>
      <c r="L757" s="325"/>
      <c r="M757" s="325"/>
      <c r="N757" s="325"/>
    </row>
    <row r="758" spans="1:14" s="214" customFormat="1" ht="63" x14ac:dyDescent="0.25">
      <c r="A758" s="31" t="s">
        <v>307</v>
      </c>
      <c r="B758" s="359">
        <v>906</v>
      </c>
      <c r="C758" s="360" t="s">
        <v>280</v>
      </c>
      <c r="D758" s="360" t="s">
        <v>231</v>
      </c>
      <c r="E758" s="360" t="s">
        <v>1023</v>
      </c>
      <c r="F758" s="360"/>
      <c r="G758" s="362">
        <f>G759</f>
        <v>549.5</v>
      </c>
      <c r="H758" s="362">
        <f t="shared" ref="H758:H759" si="368">H759</f>
        <v>464</v>
      </c>
      <c r="I758" s="336">
        <f t="shared" si="351"/>
        <v>84.440400363967242</v>
      </c>
      <c r="J758" s="325"/>
      <c r="K758" s="325"/>
      <c r="L758" s="325"/>
      <c r="M758" s="325"/>
      <c r="N758" s="325"/>
    </row>
    <row r="759" spans="1:14" s="214" customFormat="1" ht="31.5" x14ac:dyDescent="0.25">
      <c r="A759" s="361" t="s">
        <v>288</v>
      </c>
      <c r="B759" s="359">
        <v>906</v>
      </c>
      <c r="C759" s="360" t="s">
        <v>280</v>
      </c>
      <c r="D759" s="360" t="s">
        <v>231</v>
      </c>
      <c r="E759" s="360" t="s">
        <v>1023</v>
      </c>
      <c r="F759" s="360" t="s">
        <v>289</v>
      </c>
      <c r="G759" s="362">
        <f>G760</f>
        <v>549.5</v>
      </c>
      <c r="H759" s="362">
        <f t="shared" si="368"/>
        <v>464</v>
      </c>
      <c r="I759" s="336">
        <f t="shared" si="351"/>
        <v>84.440400363967242</v>
      </c>
      <c r="J759" s="325"/>
      <c r="K759" s="325"/>
      <c r="L759" s="325"/>
      <c r="M759" s="325"/>
      <c r="N759" s="325"/>
    </row>
    <row r="760" spans="1:14" s="214" customFormat="1" ht="15.75" x14ac:dyDescent="0.25">
      <c r="A760" s="361" t="s">
        <v>290</v>
      </c>
      <c r="B760" s="359">
        <v>906</v>
      </c>
      <c r="C760" s="360" t="s">
        <v>280</v>
      </c>
      <c r="D760" s="360" t="s">
        <v>231</v>
      </c>
      <c r="E760" s="360" t="s">
        <v>1023</v>
      </c>
      <c r="F760" s="360" t="s">
        <v>291</v>
      </c>
      <c r="G760" s="362">
        <f>549.46+0.04</f>
        <v>549.5</v>
      </c>
      <c r="H760" s="362">
        <v>464</v>
      </c>
      <c r="I760" s="336">
        <f t="shared" si="351"/>
        <v>84.440400363967242</v>
      </c>
      <c r="J760" s="325"/>
      <c r="K760" s="325"/>
      <c r="L760" s="325"/>
      <c r="M760" s="325"/>
      <c r="N760" s="325"/>
    </row>
    <row r="761" spans="1:14" s="214" customFormat="1" ht="78.75" x14ac:dyDescent="0.25">
      <c r="A761" s="31" t="s">
        <v>309</v>
      </c>
      <c r="B761" s="359">
        <v>906</v>
      </c>
      <c r="C761" s="360" t="s">
        <v>280</v>
      </c>
      <c r="D761" s="360" t="s">
        <v>231</v>
      </c>
      <c r="E761" s="360" t="s">
        <v>1024</v>
      </c>
      <c r="F761" s="360"/>
      <c r="G761" s="362">
        <f>G762</f>
        <v>686.5</v>
      </c>
      <c r="H761" s="362">
        <f t="shared" ref="H761:H762" si="369">H762</f>
        <v>686.5</v>
      </c>
      <c r="I761" s="336">
        <f t="shared" si="351"/>
        <v>100</v>
      </c>
      <c r="J761" s="325"/>
      <c r="K761" s="325"/>
      <c r="L761" s="325"/>
      <c r="M761" s="325"/>
      <c r="N761" s="325"/>
    </row>
    <row r="762" spans="1:14" s="214" customFormat="1" ht="31.5" x14ac:dyDescent="0.25">
      <c r="A762" s="361" t="s">
        <v>288</v>
      </c>
      <c r="B762" s="359">
        <v>906</v>
      </c>
      <c r="C762" s="360" t="s">
        <v>280</v>
      </c>
      <c r="D762" s="360" t="s">
        <v>231</v>
      </c>
      <c r="E762" s="360" t="s">
        <v>1024</v>
      </c>
      <c r="F762" s="360" t="s">
        <v>289</v>
      </c>
      <c r="G762" s="362">
        <f>G763</f>
        <v>686.5</v>
      </c>
      <c r="H762" s="362">
        <f t="shared" si="369"/>
        <v>686.5</v>
      </c>
      <c r="I762" s="336">
        <f t="shared" si="351"/>
        <v>100</v>
      </c>
      <c r="J762" s="325"/>
      <c r="K762" s="325"/>
      <c r="L762" s="325"/>
      <c r="M762" s="325"/>
      <c r="N762" s="325"/>
    </row>
    <row r="763" spans="1:14" s="214" customFormat="1" ht="15.75" x14ac:dyDescent="0.25">
      <c r="A763" s="361" t="s">
        <v>290</v>
      </c>
      <c r="B763" s="359">
        <v>906</v>
      </c>
      <c r="C763" s="360" t="s">
        <v>280</v>
      </c>
      <c r="D763" s="360" t="s">
        <v>231</v>
      </c>
      <c r="E763" s="360" t="s">
        <v>1024</v>
      </c>
      <c r="F763" s="360" t="s">
        <v>291</v>
      </c>
      <c r="G763" s="362">
        <f>903.4-216.9</f>
        <v>686.5</v>
      </c>
      <c r="H763" s="362">
        <v>686.5</v>
      </c>
      <c r="I763" s="336">
        <f t="shared" si="351"/>
        <v>100</v>
      </c>
      <c r="J763" s="325"/>
      <c r="K763" s="325"/>
      <c r="L763" s="325"/>
      <c r="M763" s="325"/>
      <c r="N763" s="325"/>
    </row>
    <row r="764" spans="1:14" ht="38.25" customHeight="1" x14ac:dyDescent="0.25">
      <c r="A764" s="34" t="s">
        <v>721</v>
      </c>
      <c r="B764" s="330">
        <v>906</v>
      </c>
      <c r="C764" s="334" t="s">
        <v>280</v>
      </c>
      <c r="D764" s="334" t="s">
        <v>231</v>
      </c>
      <c r="E764" s="334" t="s">
        <v>463</v>
      </c>
      <c r="F764" s="334"/>
      <c r="G764" s="44">
        <f>G765+G769</f>
        <v>764.2</v>
      </c>
      <c r="H764" s="44">
        <f t="shared" ref="H764" si="370">H765+H769</f>
        <v>600</v>
      </c>
      <c r="I764" s="332">
        <f t="shared" si="351"/>
        <v>78.513478147081912</v>
      </c>
    </row>
    <row r="765" spans="1:14" s="214" customFormat="1" ht="30.75" customHeight="1" x14ac:dyDescent="0.25">
      <c r="A765" s="333" t="s">
        <v>1052</v>
      </c>
      <c r="B765" s="330">
        <v>906</v>
      </c>
      <c r="C765" s="334" t="s">
        <v>280</v>
      </c>
      <c r="D765" s="334" t="s">
        <v>231</v>
      </c>
      <c r="E765" s="334" t="s">
        <v>1233</v>
      </c>
      <c r="F765" s="334"/>
      <c r="G765" s="44">
        <f>G766</f>
        <v>50</v>
      </c>
      <c r="H765" s="44">
        <f t="shared" ref="H765:H767" si="371">H766</f>
        <v>0</v>
      </c>
      <c r="I765" s="332">
        <f t="shared" si="351"/>
        <v>0</v>
      </c>
      <c r="J765" s="325"/>
      <c r="K765" s="325"/>
      <c r="L765" s="325"/>
      <c r="M765" s="325"/>
      <c r="N765" s="325"/>
    </row>
    <row r="766" spans="1:14" ht="31.5" x14ac:dyDescent="0.25">
      <c r="A766" s="361" t="s">
        <v>294</v>
      </c>
      <c r="B766" s="359">
        <v>906</v>
      </c>
      <c r="C766" s="360" t="s">
        <v>280</v>
      </c>
      <c r="D766" s="360" t="s">
        <v>231</v>
      </c>
      <c r="E766" s="360" t="s">
        <v>1552</v>
      </c>
      <c r="F766" s="360"/>
      <c r="G766" s="362">
        <f>G767</f>
        <v>50</v>
      </c>
      <c r="H766" s="362">
        <f t="shared" si="371"/>
        <v>0</v>
      </c>
      <c r="I766" s="336">
        <f t="shared" si="351"/>
        <v>0</v>
      </c>
    </row>
    <row r="767" spans="1:14" ht="31.5" x14ac:dyDescent="0.25">
      <c r="A767" s="31" t="s">
        <v>288</v>
      </c>
      <c r="B767" s="359">
        <v>906</v>
      </c>
      <c r="C767" s="360" t="s">
        <v>280</v>
      </c>
      <c r="D767" s="360" t="s">
        <v>231</v>
      </c>
      <c r="E767" s="360" t="s">
        <v>1552</v>
      </c>
      <c r="F767" s="360" t="s">
        <v>289</v>
      </c>
      <c r="G767" s="362">
        <f>G768</f>
        <v>50</v>
      </c>
      <c r="H767" s="362">
        <f t="shared" si="371"/>
        <v>0</v>
      </c>
      <c r="I767" s="336">
        <f t="shared" si="351"/>
        <v>0</v>
      </c>
    </row>
    <row r="768" spans="1:14" ht="15.75" x14ac:dyDescent="0.25">
      <c r="A768" s="31" t="s">
        <v>290</v>
      </c>
      <c r="B768" s="359">
        <v>906</v>
      </c>
      <c r="C768" s="360" t="s">
        <v>280</v>
      </c>
      <c r="D768" s="360" t="s">
        <v>231</v>
      </c>
      <c r="E768" s="360" t="s">
        <v>1552</v>
      </c>
      <c r="F768" s="360" t="s">
        <v>291</v>
      </c>
      <c r="G768" s="362">
        <v>50</v>
      </c>
      <c r="H768" s="362">
        <v>0</v>
      </c>
      <c r="I768" s="336">
        <f t="shared" si="351"/>
        <v>0</v>
      </c>
    </row>
    <row r="769" spans="1:14" s="214" customFormat="1" ht="31.5" x14ac:dyDescent="0.25">
      <c r="A769" s="227" t="s">
        <v>1077</v>
      </c>
      <c r="B769" s="330">
        <v>906</v>
      </c>
      <c r="C769" s="334" t="s">
        <v>280</v>
      </c>
      <c r="D769" s="334" t="s">
        <v>231</v>
      </c>
      <c r="E769" s="334" t="s">
        <v>1053</v>
      </c>
      <c r="F769" s="334"/>
      <c r="G769" s="44">
        <f>G773+G770</f>
        <v>714.2</v>
      </c>
      <c r="H769" s="44">
        <f t="shared" ref="H769" si="372">H773+H770</f>
        <v>600</v>
      </c>
      <c r="I769" s="332">
        <f t="shared" si="351"/>
        <v>84.010081209745167</v>
      </c>
      <c r="J769" s="325"/>
      <c r="K769" s="325"/>
      <c r="L769" s="325"/>
      <c r="M769" s="325"/>
      <c r="N769" s="325"/>
    </row>
    <row r="770" spans="1:14" s="325" customFormat="1" ht="15.75" x14ac:dyDescent="0.25">
      <c r="A770" s="355" t="s">
        <v>1553</v>
      </c>
      <c r="B770" s="359">
        <v>906</v>
      </c>
      <c r="C770" s="360" t="s">
        <v>280</v>
      </c>
      <c r="D770" s="360" t="s">
        <v>231</v>
      </c>
      <c r="E770" s="360" t="s">
        <v>1554</v>
      </c>
      <c r="F770" s="360"/>
      <c r="G770" s="362">
        <f>G771</f>
        <v>25.2</v>
      </c>
      <c r="H770" s="362">
        <f t="shared" ref="H770:H771" si="373">H771</f>
        <v>0</v>
      </c>
      <c r="I770" s="336">
        <f t="shared" si="351"/>
        <v>0</v>
      </c>
    </row>
    <row r="771" spans="1:14" s="325" customFormat="1" ht="31.5" x14ac:dyDescent="0.25">
      <c r="A771" s="361" t="s">
        <v>288</v>
      </c>
      <c r="B771" s="359">
        <v>906</v>
      </c>
      <c r="C771" s="360" t="s">
        <v>280</v>
      </c>
      <c r="D771" s="360" t="s">
        <v>231</v>
      </c>
      <c r="E771" s="360" t="s">
        <v>1554</v>
      </c>
      <c r="F771" s="360" t="s">
        <v>289</v>
      </c>
      <c r="G771" s="362">
        <f>G772</f>
        <v>25.2</v>
      </c>
      <c r="H771" s="362">
        <f t="shared" si="373"/>
        <v>0</v>
      </c>
      <c r="I771" s="336">
        <f t="shared" si="351"/>
        <v>0</v>
      </c>
    </row>
    <row r="772" spans="1:14" s="325" customFormat="1" ht="15.75" x14ac:dyDescent="0.25">
      <c r="A772" s="31" t="s">
        <v>290</v>
      </c>
      <c r="B772" s="359">
        <v>906</v>
      </c>
      <c r="C772" s="360" t="s">
        <v>280</v>
      </c>
      <c r="D772" s="360" t="s">
        <v>231</v>
      </c>
      <c r="E772" s="360" t="s">
        <v>1554</v>
      </c>
      <c r="F772" s="360" t="s">
        <v>291</v>
      </c>
      <c r="G772" s="362">
        <v>25.2</v>
      </c>
      <c r="H772" s="362">
        <v>0</v>
      </c>
      <c r="I772" s="336">
        <f t="shared" si="351"/>
        <v>0</v>
      </c>
    </row>
    <row r="773" spans="1:14" ht="37.5" customHeight="1" x14ac:dyDescent="0.25">
      <c r="A773" s="45" t="s">
        <v>787</v>
      </c>
      <c r="B773" s="359">
        <v>906</v>
      </c>
      <c r="C773" s="360" t="s">
        <v>280</v>
      </c>
      <c r="D773" s="360" t="s">
        <v>231</v>
      </c>
      <c r="E773" s="360" t="s">
        <v>1054</v>
      </c>
      <c r="F773" s="360"/>
      <c r="G773" s="362">
        <f>G774</f>
        <v>689</v>
      </c>
      <c r="H773" s="362">
        <f t="shared" ref="H773:H774" si="374">H774</f>
        <v>600</v>
      </c>
      <c r="I773" s="336">
        <f t="shared" si="351"/>
        <v>87.082728592162553</v>
      </c>
    </row>
    <row r="774" spans="1:14" ht="32.25" customHeight="1" x14ac:dyDescent="0.25">
      <c r="A774" s="361" t="s">
        <v>288</v>
      </c>
      <c r="B774" s="359">
        <v>906</v>
      </c>
      <c r="C774" s="360" t="s">
        <v>280</v>
      </c>
      <c r="D774" s="360" t="s">
        <v>231</v>
      </c>
      <c r="E774" s="360" t="s">
        <v>1054</v>
      </c>
      <c r="F774" s="360" t="s">
        <v>289</v>
      </c>
      <c r="G774" s="362">
        <f>G775</f>
        <v>689</v>
      </c>
      <c r="H774" s="362">
        <f t="shared" si="374"/>
        <v>600</v>
      </c>
      <c r="I774" s="336">
        <f t="shared" si="351"/>
        <v>87.082728592162553</v>
      </c>
    </row>
    <row r="775" spans="1:14" ht="15.75" x14ac:dyDescent="0.25">
      <c r="A775" s="31" t="s">
        <v>290</v>
      </c>
      <c r="B775" s="359">
        <v>906</v>
      </c>
      <c r="C775" s="360" t="s">
        <v>280</v>
      </c>
      <c r="D775" s="360" t="s">
        <v>231</v>
      </c>
      <c r="E775" s="360" t="s">
        <v>1054</v>
      </c>
      <c r="F775" s="360" t="s">
        <v>291</v>
      </c>
      <c r="G775" s="362">
        <f>689</f>
        <v>689</v>
      </c>
      <c r="H775" s="362">
        <v>600</v>
      </c>
      <c r="I775" s="336">
        <f t="shared" si="351"/>
        <v>87.082728592162553</v>
      </c>
    </row>
    <row r="776" spans="1:14" ht="54.75" customHeight="1" x14ac:dyDescent="0.25">
      <c r="A776" s="41" t="s">
        <v>1179</v>
      </c>
      <c r="B776" s="330">
        <v>906</v>
      </c>
      <c r="C776" s="334" t="s">
        <v>280</v>
      </c>
      <c r="D776" s="334" t="s">
        <v>231</v>
      </c>
      <c r="E776" s="334" t="s">
        <v>728</v>
      </c>
      <c r="F776" s="231"/>
      <c r="G776" s="44">
        <f>G778</f>
        <v>300.7</v>
      </c>
      <c r="H776" s="44">
        <f t="shared" ref="H776" si="375">H778</f>
        <v>216.29300000000001</v>
      </c>
      <c r="I776" s="332">
        <f t="shared" si="351"/>
        <v>71.929830395743267</v>
      </c>
    </row>
    <row r="777" spans="1:14" s="214" customFormat="1" ht="54.75" customHeight="1" x14ac:dyDescent="0.25">
      <c r="A777" s="41" t="s">
        <v>949</v>
      </c>
      <c r="B777" s="330">
        <v>906</v>
      </c>
      <c r="C777" s="334" t="s">
        <v>280</v>
      </c>
      <c r="D777" s="334" t="s">
        <v>1055</v>
      </c>
      <c r="E777" s="334" t="s">
        <v>947</v>
      </c>
      <c r="F777" s="231"/>
      <c r="G777" s="44">
        <f>G778</f>
        <v>300.7</v>
      </c>
      <c r="H777" s="44">
        <f t="shared" ref="H777:H779" si="376">H778</f>
        <v>216.29300000000001</v>
      </c>
      <c r="I777" s="332">
        <f t="shared" si="351"/>
        <v>71.929830395743267</v>
      </c>
      <c r="J777" s="325"/>
      <c r="K777" s="325"/>
      <c r="L777" s="325"/>
      <c r="M777" s="325"/>
      <c r="N777" s="325"/>
    </row>
    <row r="778" spans="1:14" ht="38.25" customHeight="1" x14ac:dyDescent="0.25">
      <c r="A778" s="99" t="s">
        <v>803</v>
      </c>
      <c r="B778" s="359">
        <v>906</v>
      </c>
      <c r="C778" s="360" t="s">
        <v>280</v>
      </c>
      <c r="D778" s="360" t="s">
        <v>231</v>
      </c>
      <c r="E778" s="360" t="s">
        <v>1027</v>
      </c>
      <c r="F778" s="32"/>
      <c r="G778" s="362">
        <f>G779</f>
        <v>300.7</v>
      </c>
      <c r="H778" s="362">
        <f t="shared" si="376"/>
        <v>216.29300000000001</v>
      </c>
      <c r="I778" s="336">
        <f t="shared" si="351"/>
        <v>71.929830395743267</v>
      </c>
    </row>
    <row r="779" spans="1:14" ht="34.5" customHeight="1" x14ac:dyDescent="0.25">
      <c r="A779" s="338" t="s">
        <v>288</v>
      </c>
      <c r="B779" s="359">
        <v>906</v>
      </c>
      <c r="C779" s="360" t="s">
        <v>280</v>
      </c>
      <c r="D779" s="360" t="s">
        <v>231</v>
      </c>
      <c r="E779" s="360" t="s">
        <v>1027</v>
      </c>
      <c r="F779" s="32" t="s">
        <v>289</v>
      </c>
      <c r="G779" s="362">
        <f>G780</f>
        <v>300.7</v>
      </c>
      <c r="H779" s="362">
        <f t="shared" si="376"/>
        <v>216.29300000000001</v>
      </c>
      <c r="I779" s="336">
        <f t="shared" ref="I779:I842" si="377">H779/G779*100</f>
        <v>71.929830395743267</v>
      </c>
    </row>
    <row r="780" spans="1:14" ht="15.75" x14ac:dyDescent="0.25">
      <c r="A780" s="192" t="s">
        <v>290</v>
      </c>
      <c r="B780" s="359">
        <v>906</v>
      </c>
      <c r="C780" s="360" t="s">
        <v>280</v>
      </c>
      <c r="D780" s="360" t="s">
        <v>231</v>
      </c>
      <c r="E780" s="360" t="s">
        <v>1027</v>
      </c>
      <c r="F780" s="32" t="s">
        <v>291</v>
      </c>
      <c r="G780" s="362">
        <v>300.7</v>
      </c>
      <c r="H780" s="362">
        <v>216.29300000000001</v>
      </c>
      <c r="I780" s="336">
        <f t="shared" si="377"/>
        <v>71.929830395743267</v>
      </c>
    </row>
    <row r="781" spans="1:14" ht="21.2" customHeight="1" x14ac:dyDescent="0.25">
      <c r="A781" s="333" t="s">
        <v>482</v>
      </c>
      <c r="B781" s="330">
        <v>906</v>
      </c>
      <c r="C781" s="334" t="s">
        <v>280</v>
      </c>
      <c r="D781" s="334" t="s">
        <v>280</v>
      </c>
      <c r="E781" s="334"/>
      <c r="F781" s="334"/>
      <c r="G781" s="332">
        <f>G782</f>
        <v>6662.8</v>
      </c>
      <c r="H781" s="332">
        <f t="shared" ref="H781" si="378">H782</f>
        <v>3598.2570000000001</v>
      </c>
      <c r="I781" s="332">
        <f t="shared" si="377"/>
        <v>54.00517800324188</v>
      </c>
    </row>
    <row r="782" spans="1:14" ht="47.25" x14ac:dyDescent="0.25">
      <c r="A782" s="333" t="s">
        <v>442</v>
      </c>
      <c r="B782" s="330">
        <v>906</v>
      </c>
      <c r="C782" s="334" t="s">
        <v>280</v>
      </c>
      <c r="D782" s="334" t="s">
        <v>280</v>
      </c>
      <c r="E782" s="334" t="s">
        <v>422</v>
      </c>
      <c r="F782" s="334"/>
      <c r="G782" s="332">
        <f t="shared" ref="G782:H789" si="379">G783</f>
        <v>6662.8</v>
      </c>
      <c r="H782" s="332">
        <f t="shared" si="379"/>
        <v>3598.2570000000001</v>
      </c>
      <c r="I782" s="332">
        <f t="shared" si="377"/>
        <v>54.00517800324188</v>
      </c>
    </row>
    <row r="783" spans="1:14" ht="31.5" x14ac:dyDescent="0.25">
      <c r="A783" s="333" t="s">
        <v>483</v>
      </c>
      <c r="B783" s="330">
        <v>906</v>
      </c>
      <c r="C783" s="334" t="s">
        <v>280</v>
      </c>
      <c r="D783" s="334" t="s">
        <v>484</v>
      </c>
      <c r="E783" s="334" t="s">
        <v>485</v>
      </c>
      <c r="F783" s="334"/>
      <c r="G783" s="332">
        <f>G784</f>
        <v>6662.8</v>
      </c>
      <c r="H783" s="332">
        <f t="shared" si="379"/>
        <v>3598.2570000000001</v>
      </c>
      <c r="I783" s="332">
        <f t="shared" si="377"/>
        <v>54.00517800324188</v>
      </c>
    </row>
    <row r="784" spans="1:14" s="214" customFormat="1" ht="31.5" x14ac:dyDescent="0.25">
      <c r="A784" s="333" t="s">
        <v>1056</v>
      </c>
      <c r="B784" s="330">
        <v>906</v>
      </c>
      <c r="C784" s="334" t="s">
        <v>280</v>
      </c>
      <c r="D784" s="334" t="s">
        <v>280</v>
      </c>
      <c r="E784" s="334" t="s">
        <v>1057</v>
      </c>
      <c r="F784" s="334"/>
      <c r="G784" s="332">
        <f>G785+G788</f>
        <v>6662.8</v>
      </c>
      <c r="H784" s="332">
        <f t="shared" ref="H784" si="380">H785+H788</f>
        <v>3598.2570000000001</v>
      </c>
      <c r="I784" s="332">
        <f t="shared" si="377"/>
        <v>54.00517800324188</v>
      </c>
      <c r="J784" s="325"/>
      <c r="K784" s="325"/>
      <c r="L784" s="325"/>
      <c r="M784" s="325"/>
      <c r="N784" s="325"/>
    </row>
    <row r="785" spans="1:14" ht="31.5" x14ac:dyDescent="0.25">
      <c r="A785" s="31" t="s">
        <v>1235</v>
      </c>
      <c r="B785" s="359">
        <v>906</v>
      </c>
      <c r="C785" s="360" t="s">
        <v>280</v>
      </c>
      <c r="D785" s="360" t="s">
        <v>280</v>
      </c>
      <c r="E785" s="360" t="s">
        <v>1058</v>
      </c>
      <c r="F785" s="360"/>
      <c r="G785" s="336">
        <f t="shared" si="379"/>
        <v>3584</v>
      </c>
      <c r="H785" s="336">
        <f t="shared" si="379"/>
        <v>1693</v>
      </c>
      <c r="I785" s="336">
        <f t="shared" si="377"/>
        <v>47.237723214285715</v>
      </c>
    </row>
    <row r="786" spans="1:14" ht="36" customHeight="1" x14ac:dyDescent="0.25">
      <c r="A786" s="361" t="s">
        <v>288</v>
      </c>
      <c r="B786" s="359">
        <v>906</v>
      </c>
      <c r="C786" s="360" t="s">
        <v>280</v>
      </c>
      <c r="D786" s="360" t="s">
        <v>280</v>
      </c>
      <c r="E786" s="360" t="s">
        <v>1058</v>
      </c>
      <c r="F786" s="360" t="s">
        <v>289</v>
      </c>
      <c r="G786" s="336">
        <f t="shared" si="379"/>
        <v>3584</v>
      </c>
      <c r="H786" s="336">
        <f t="shared" si="379"/>
        <v>1693</v>
      </c>
      <c r="I786" s="336">
        <f t="shared" si="377"/>
        <v>47.237723214285715</v>
      </c>
    </row>
    <row r="787" spans="1:14" ht="15.75" x14ac:dyDescent="0.25">
      <c r="A787" s="361" t="s">
        <v>290</v>
      </c>
      <c r="B787" s="359">
        <v>906</v>
      </c>
      <c r="C787" s="360" t="s">
        <v>280</v>
      </c>
      <c r="D787" s="360" t="s">
        <v>280</v>
      </c>
      <c r="E787" s="360" t="s">
        <v>1058</v>
      </c>
      <c r="F787" s="360" t="s">
        <v>291</v>
      </c>
      <c r="G787" s="362">
        <f>3485+99</f>
        <v>3584</v>
      </c>
      <c r="H787" s="362">
        <v>1693</v>
      </c>
      <c r="I787" s="336">
        <f t="shared" si="377"/>
        <v>47.237723214285715</v>
      </c>
    </row>
    <row r="788" spans="1:14" ht="38.25" customHeight="1" x14ac:dyDescent="0.25">
      <c r="A788" s="31" t="s">
        <v>490</v>
      </c>
      <c r="B788" s="359">
        <v>906</v>
      </c>
      <c r="C788" s="360" t="s">
        <v>280</v>
      </c>
      <c r="D788" s="360" t="s">
        <v>280</v>
      </c>
      <c r="E788" s="360" t="s">
        <v>1059</v>
      </c>
      <c r="F788" s="360"/>
      <c r="G788" s="336">
        <f t="shared" si="379"/>
        <v>3078.8</v>
      </c>
      <c r="H788" s="336">
        <f t="shared" si="379"/>
        <v>1905.2570000000001</v>
      </c>
      <c r="I788" s="336">
        <f t="shared" si="377"/>
        <v>61.883103806677923</v>
      </c>
    </row>
    <row r="789" spans="1:14" ht="36.75" customHeight="1" x14ac:dyDescent="0.25">
      <c r="A789" s="361" t="s">
        <v>288</v>
      </c>
      <c r="B789" s="359">
        <v>906</v>
      </c>
      <c r="C789" s="360" t="s">
        <v>280</v>
      </c>
      <c r="D789" s="360" t="s">
        <v>280</v>
      </c>
      <c r="E789" s="360" t="s">
        <v>1059</v>
      </c>
      <c r="F789" s="360" t="s">
        <v>289</v>
      </c>
      <c r="G789" s="336">
        <f t="shared" si="379"/>
        <v>3078.8</v>
      </c>
      <c r="H789" s="336">
        <f t="shared" si="379"/>
        <v>1905.2570000000001</v>
      </c>
      <c r="I789" s="336">
        <f t="shared" si="377"/>
        <v>61.883103806677923</v>
      </c>
    </row>
    <row r="790" spans="1:14" ht="15.75" x14ac:dyDescent="0.25">
      <c r="A790" s="361" t="s">
        <v>290</v>
      </c>
      <c r="B790" s="359">
        <v>906</v>
      </c>
      <c r="C790" s="360" t="s">
        <v>280</v>
      </c>
      <c r="D790" s="360" t="s">
        <v>280</v>
      </c>
      <c r="E790" s="360" t="s">
        <v>1059</v>
      </c>
      <c r="F790" s="360" t="s">
        <v>291</v>
      </c>
      <c r="G790" s="362">
        <f>2220.9+857.9</f>
        <v>3078.8</v>
      </c>
      <c r="H790" s="362">
        <v>1905.2570000000001</v>
      </c>
      <c r="I790" s="336">
        <f t="shared" si="377"/>
        <v>61.883103806677923</v>
      </c>
    </row>
    <row r="791" spans="1:14" ht="15.75" x14ac:dyDescent="0.25">
      <c r="A791" s="333" t="s">
        <v>311</v>
      </c>
      <c r="B791" s="330">
        <v>906</v>
      </c>
      <c r="C791" s="334" t="s">
        <v>280</v>
      </c>
      <c r="D791" s="334" t="s">
        <v>235</v>
      </c>
      <c r="E791" s="334"/>
      <c r="F791" s="334"/>
      <c r="G791" s="332">
        <f>G792+G802</f>
        <v>20647.399999999998</v>
      </c>
      <c r="H791" s="332">
        <f t="shared" ref="H791" si="381">H792+H802</f>
        <v>13942.790999999997</v>
      </c>
      <c r="I791" s="332">
        <f t="shared" si="377"/>
        <v>67.528071331015042</v>
      </c>
    </row>
    <row r="792" spans="1:14" ht="31.5" x14ac:dyDescent="0.25">
      <c r="A792" s="333" t="s">
        <v>990</v>
      </c>
      <c r="B792" s="330">
        <v>906</v>
      </c>
      <c r="C792" s="334" t="s">
        <v>280</v>
      </c>
      <c r="D792" s="334" t="s">
        <v>235</v>
      </c>
      <c r="E792" s="334" t="s">
        <v>904</v>
      </c>
      <c r="F792" s="334"/>
      <c r="G792" s="332">
        <f>G793</f>
        <v>5934.2</v>
      </c>
      <c r="H792" s="332">
        <f t="shared" ref="H792" si="382">H793</f>
        <v>4310.1559999999999</v>
      </c>
      <c r="I792" s="332">
        <f t="shared" si="377"/>
        <v>72.632469414579887</v>
      </c>
    </row>
    <row r="793" spans="1:14" ht="15.75" x14ac:dyDescent="0.25">
      <c r="A793" s="333" t="s">
        <v>991</v>
      </c>
      <c r="B793" s="330">
        <v>906</v>
      </c>
      <c r="C793" s="334" t="s">
        <v>280</v>
      </c>
      <c r="D793" s="334" t="s">
        <v>235</v>
      </c>
      <c r="E793" s="334" t="s">
        <v>905</v>
      </c>
      <c r="F793" s="334"/>
      <c r="G793" s="332">
        <f>G794+G799</f>
        <v>5934.2</v>
      </c>
      <c r="H793" s="332">
        <f t="shared" ref="H793" si="383">H794+H799</f>
        <v>4310.1559999999999</v>
      </c>
      <c r="I793" s="332">
        <f t="shared" si="377"/>
        <v>72.632469414579887</v>
      </c>
    </row>
    <row r="794" spans="1:14" ht="36.75" customHeight="1" x14ac:dyDescent="0.25">
      <c r="A794" s="361" t="s">
        <v>967</v>
      </c>
      <c r="B794" s="359">
        <v>906</v>
      </c>
      <c r="C794" s="360" t="s">
        <v>280</v>
      </c>
      <c r="D794" s="360" t="s">
        <v>235</v>
      </c>
      <c r="E794" s="360" t="s">
        <v>906</v>
      </c>
      <c r="F794" s="360"/>
      <c r="G794" s="336">
        <f>G795+G797</f>
        <v>5808.2</v>
      </c>
      <c r="H794" s="336">
        <f t="shared" ref="H794" si="384">H795+H797</f>
        <v>4268.1559999999999</v>
      </c>
      <c r="I794" s="336">
        <f t="shared" si="377"/>
        <v>73.485003959918743</v>
      </c>
    </row>
    <row r="795" spans="1:14" ht="72" customHeight="1" x14ac:dyDescent="0.25">
      <c r="A795" s="361" t="s">
        <v>143</v>
      </c>
      <c r="B795" s="359">
        <v>906</v>
      </c>
      <c r="C795" s="360" t="s">
        <v>280</v>
      </c>
      <c r="D795" s="360" t="s">
        <v>235</v>
      </c>
      <c r="E795" s="360" t="s">
        <v>906</v>
      </c>
      <c r="F795" s="360" t="s">
        <v>144</v>
      </c>
      <c r="G795" s="336">
        <f>G796</f>
        <v>5577.2</v>
      </c>
      <c r="H795" s="336">
        <f t="shared" ref="H795" si="385">H796</f>
        <v>4130</v>
      </c>
      <c r="I795" s="336">
        <f t="shared" si="377"/>
        <v>74.051495374022807</v>
      </c>
    </row>
    <row r="796" spans="1:14" ht="31.5" x14ac:dyDescent="0.25">
      <c r="A796" s="361" t="s">
        <v>145</v>
      </c>
      <c r="B796" s="359">
        <v>906</v>
      </c>
      <c r="C796" s="360" t="s">
        <v>280</v>
      </c>
      <c r="D796" s="360" t="s">
        <v>235</v>
      </c>
      <c r="E796" s="360" t="s">
        <v>906</v>
      </c>
      <c r="F796" s="360" t="s">
        <v>146</v>
      </c>
      <c r="G796" s="362">
        <f>5247+267+82.2-19</f>
        <v>5577.2</v>
      </c>
      <c r="H796" s="362">
        <v>4130</v>
      </c>
      <c r="I796" s="336">
        <f t="shared" si="377"/>
        <v>74.051495374022807</v>
      </c>
    </row>
    <row r="797" spans="1:14" ht="31.5" x14ac:dyDescent="0.25">
      <c r="A797" s="361" t="s">
        <v>147</v>
      </c>
      <c r="B797" s="359">
        <v>906</v>
      </c>
      <c r="C797" s="360" t="s">
        <v>280</v>
      </c>
      <c r="D797" s="360" t="s">
        <v>235</v>
      </c>
      <c r="E797" s="360" t="s">
        <v>906</v>
      </c>
      <c r="F797" s="360" t="s">
        <v>148</v>
      </c>
      <c r="G797" s="336">
        <f>G798</f>
        <v>231</v>
      </c>
      <c r="H797" s="336">
        <f t="shared" ref="H797" si="386">H798</f>
        <v>138.15600000000001</v>
      </c>
      <c r="I797" s="336">
        <f t="shared" si="377"/>
        <v>59.807792207792211</v>
      </c>
    </row>
    <row r="798" spans="1:14" ht="31.5" x14ac:dyDescent="0.25">
      <c r="A798" s="361" t="s">
        <v>149</v>
      </c>
      <c r="B798" s="359">
        <v>906</v>
      </c>
      <c r="C798" s="360" t="s">
        <v>280</v>
      </c>
      <c r="D798" s="360" t="s">
        <v>235</v>
      </c>
      <c r="E798" s="360" t="s">
        <v>906</v>
      </c>
      <c r="F798" s="360" t="s">
        <v>150</v>
      </c>
      <c r="G798" s="336">
        <f>212+19</f>
        <v>231</v>
      </c>
      <c r="H798" s="336">
        <v>138.15600000000001</v>
      </c>
      <c r="I798" s="336">
        <f t="shared" si="377"/>
        <v>59.807792207792211</v>
      </c>
    </row>
    <row r="799" spans="1:14" s="214" customFormat="1" ht="31.5" x14ac:dyDescent="0.25">
      <c r="A799" s="361" t="s">
        <v>885</v>
      </c>
      <c r="B799" s="359">
        <v>906</v>
      </c>
      <c r="C799" s="360" t="s">
        <v>280</v>
      </c>
      <c r="D799" s="360" t="s">
        <v>235</v>
      </c>
      <c r="E799" s="360" t="s">
        <v>908</v>
      </c>
      <c r="F799" s="360"/>
      <c r="G799" s="336">
        <f>G800</f>
        <v>126</v>
      </c>
      <c r="H799" s="336">
        <f t="shared" ref="H799:H800" si="387">H800</f>
        <v>42</v>
      </c>
      <c r="I799" s="336">
        <f t="shared" si="377"/>
        <v>33.333333333333329</v>
      </c>
      <c r="J799" s="325"/>
      <c r="K799" s="325"/>
      <c r="L799" s="325"/>
      <c r="M799" s="325"/>
      <c r="N799" s="325"/>
    </row>
    <row r="800" spans="1:14" s="214" customFormat="1" ht="63" x14ac:dyDescent="0.25">
      <c r="A800" s="361" t="s">
        <v>143</v>
      </c>
      <c r="B800" s="359">
        <v>906</v>
      </c>
      <c r="C800" s="360" t="s">
        <v>280</v>
      </c>
      <c r="D800" s="360" t="s">
        <v>235</v>
      </c>
      <c r="E800" s="360" t="s">
        <v>908</v>
      </c>
      <c r="F800" s="360" t="s">
        <v>144</v>
      </c>
      <c r="G800" s="336">
        <f>G801</f>
        <v>126</v>
      </c>
      <c r="H800" s="336">
        <f t="shared" si="387"/>
        <v>42</v>
      </c>
      <c r="I800" s="336">
        <f t="shared" si="377"/>
        <v>33.333333333333329</v>
      </c>
      <c r="J800" s="325"/>
      <c r="K800" s="325"/>
      <c r="L800" s="325"/>
      <c r="M800" s="325"/>
      <c r="N800" s="325"/>
    </row>
    <row r="801" spans="1:14" s="214" customFormat="1" ht="31.5" x14ac:dyDescent="0.25">
      <c r="A801" s="361" t="s">
        <v>145</v>
      </c>
      <c r="B801" s="359">
        <v>906</v>
      </c>
      <c r="C801" s="360" t="s">
        <v>280</v>
      </c>
      <c r="D801" s="360" t="s">
        <v>235</v>
      </c>
      <c r="E801" s="360" t="s">
        <v>908</v>
      </c>
      <c r="F801" s="360" t="s">
        <v>146</v>
      </c>
      <c r="G801" s="336">
        <v>126</v>
      </c>
      <c r="H801" s="336">
        <v>42</v>
      </c>
      <c r="I801" s="336">
        <f t="shared" si="377"/>
        <v>33.333333333333329</v>
      </c>
      <c r="J801" s="325"/>
      <c r="K801" s="325"/>
      <c r="L801" s="325"/>
      <c r="M801" s="325"/>
      <c r="N801" s="325"/>
    </row>
    <row r="802" spans="1:14" ht="15.75" x14ac:dyDescent="0.25">
      <c r="A802" s="333" t="s">
        <v>157</v>
      </c>
      <c r="B802" s="330">
        <v>906</v>
      </c>
      <c r="C802" s="334" t="s">
        <v>280</v>
      </c>
      <c r="D802" s="334" t="s">
        <v>235</v>
      </c>
      <c r="E802" s="334" t="s">
        <v>912</v>
      </c>
      <c r="F802" s="334"/>
      <c r="G802" s="332">
        <f>G803+G807</f>
        <v>14713.199999999999</v>
      </c>
      <c r="H802" s="332">
        <f t="shared" ref="H802" si="388">H803+H807</f>
        <v>9632.6349999999984</v>
      </c>
      <c r="I802" s="332">
        <f t="shared" si="377"/>
        <v>65.469340456189002</v>
      </c>
    </row>
    <row r="803" spans="1:14" s="214" customFormat="1" ht="31.5" x14ac:dyDescent="0.25">
      <c r="A803" s="333" t="s">
        <v>916</v>
      </c>
      <c r="B803" s="330">
        <v>906</v>
      </c>
      <c r="C803" s="334" t="s">
        <v>280</v>
      </c>
      <c r="D803" s="334" t="s">
        <v>235</v>
      </c>
      <c r="E803" s="334" t="s">
        <v>911</v>
      </c>
      <c r="F803" s="334"/>
      <c r="G803" s="332">
        <f>G804</f>
        <v>550</v>
      </c>
      <c r="H803" s="332">
        <f t="shared" ref="H803:H805" si="389">H804</f>
        <v>328.185</v>
      </c>
      <c r="I803" s="332">
        <f t="shared" si="377"/>
        <v>59.67</v>
      </c>
      <c r="J803" s="325"/>
      <c r="K803" s="325"/>
      <c r="L803" s="325"/>
      <c r="M803" s="325"/>
      <c r="N803" s="325"/>
    </row>
    <row r="804" spans="1:14" ht="15.75" x14ac:dyDescent="0.25">
      <c r="A804" s="361" t="s">
        <v>494</v>
      </c>
      <c r="B804" s="359">
        <v>906</v>
      </c>
      <c r="C804" s="360" t="s">
        <v>280</v>
      </c>
      <c r="D804" s="360" t="s">
        <v>235</v>
      </c>
      <c r="E804" s="360" t="s">
        <v>1060</v>
      </c>
      <c r="F804" s="360"/>
      <c r="G804" s="336">
        <f>G805</f>
        <v>550</v>
      </c>
      <c r="H804" s="336">
        <f t="shared" si="389"/>
        <v>328.185</v>
      </c>
      <c r="I804" s="336">
        <f t="shared" si="377"/>
        <v>59.67</v>
      </c>
    </row>
    <row r="805" spans="1:14" ht="31.5" x14ac:dyDescent="0.25">
      <c r="A805" s="361" t="s">
        <v>147</v>
      </c>
      <c r="B805" s="359">
        <v>906</v>
      </c>
      <c r="C805" s="360" t="s">
        <v>280</v>
      </c>
      <c r="D805" s="360" t="s">
        <v>235</v>
      </c>
      <c r="E805" s="360" t="s">
        <v>1060</v>
      </c>
      <c r="F805" s="360" t="s">
        <v>148</v>
      </c>
      <c r="G805" s="336">
        <f>G806</f>
        <v>550</v>
      </c>
      <c r="H805" s="336">
        <f t="shared" si="389"/>
        <v>328.185</v>
      </c>
      <c r="I805" s="336">
        <f t="shared" si="377"/>
        <v>59.67</v>
      </c>
    </row>
    <row r="806" spans="1:14" ht="31.5" x14ac:dyDescent="0.25">
      <c r="A806" s="361" t="s">
        <v>149</v>
      </c>
      <c r="B806" s="359">
        <v>906</v>
      </c>
      <c r="C806" s="360" t="s">
        <v>280</v>
      </c>
      <c r="D806" s="360" t="s">
        <v>235</v>
      </c>
      <c r="E806" s="360" t="s">
        <v>1060</v>
      </c>
      <c r="F806" s="360" t="s">
        <v>150</v>
      </c>
      <c r="G806" s="336">
        <f>300+250</f>
        <v>550</v>
      </c>
      <c r="H806" s="336">
        <v>328.185</v>
      </c>
      <c r="I806" s="336">
        <f t="shared" si="377"/>
        <v>59.67</v>
      </c>
    </row>
    <row r="807" spans="1:14" s="214" customFormat="1" ht="31.5" x14ac:dyDescent="0.25">
      <c r="A807" s="333" t="s">
        <v>1002</v>
      </c>
      <c r="B807" s="330">
        <v>906</v>
      </c>
      <c r="C807" s="334" t="s">
        <v>280</v>
      </c>
      <c r="D807" s="334" t="s">
        <v>235</v>
      </c>
      <c r="E807" s="334" t="s">
        <v>987</v>
      </c>
      <c r="F807" s="334"/>
      <c r="G807" s="332">
        <f>G808+G815</f>
        <v>14163.199999999999</v>
      </c>
      <c r="H807" s="332">
        <f t="shared" ref="H807" si="390">H808+H815</f>
        <v>9304.4499999999989</v>
      </c>
      <c r="I807" s="332">
        <f t="shared" si="377"/>
        <v>65.69454643018527</v>
      </c>
      <c r="J807" s="325"/>
      <c r="K807" s="325"/>
      <c r="L807" s="325"/>
      <c r="M807" s="325"/>
      <c r="N807" s="325"/>
    </row>
    <row r="808" spans="1:14" ht="31.5" x14ac:dyDescent="0.25">
      <c r="A808" s="361" t="s">
        <v>1280</v>
      </c>
      <c r="B808" s="359">
        <v>906</v>
      </c>
      <c r="C808" s="360" t="s">
        <v>280</v>
      </c>
      <c r="D808" s="360" t="s">
        <v>235</v>
      </c>
      <c r="E808" s="360" t="s">
        <v>988</v>
      </c>
      <c r="F808" s="360"/>
      <c r="G808" s="336">
        <f>G809+G811+G813</f>
        <v>13827.199999999999</v>
      </c>
      <c r="H808" s="336">
        <f t="shared" ref="H808" si="391">H809+H811+H813</f>
        <v>9082.4499999999989</v>
      </c>
      <c r="I808" s="336">
        <f t="shared" si="377"/>
        <v>65.685388220319368</v>
      </c>
    </row>
    <row r="809" spans="1:14" ht="61.5" customHeight="1" x14ac:dyDescent="0.25">
      <c r="A809" s="361" t="s">
        <v>143</v>
      </c>
      <c r="B809" s="359">
        <v>906</v>
      </c>
      <c r="C809" s="360" t="s">
        <v>280</v>
      </c>
      <c r="D809" s="360" t="s">
        <v>235</v>
      </c>
      <c r="E809" s="360" t="s">
        <v>988</v>
      </c>
      <c r="F809" s="360" t="s">
        <v>144</v>
      </c>
      <c r="G809" s="336">
        <f>G810</f>
        <v>12735.199999999999</v>
      </c>
      <c r="H809" s="336">
        <f t="shared" ref="H809" si="392">H810</f>
        <v>8593.7749999999996</v>
      </c>
      <c r="I809" s="336">
        <f t="shared" si="377"/>
        <v>67.480487153715686</v>
      </c>
    </row>
    <row r="810" spans="1:14" ht="15.75" x14ac:dyDescent="0.25">
      <c r="A810" s="361" t="s">
        <v>358</v>
      </c>
      <c r="B810" s="359">
        <v>906</v>
      </c>
      <c r="C810" s="360" t="s">
        <v>280</v>
      </c>
      <c r="D810" s="360" t="s">
        <v>235</v>
      </c>
      <c r="E810" s="360" t="s">
        <v>988</v>
      </c>
      <c r="F810" s="360" t="s">
        <v>225</v>
      </c>
      <c r="G810" s="362">
        <f>12517+180.9+25.3+12</f>
        <v>12735.199999999999</v>
      </c>
      <c r="H810" s="362">
        <v>8593.7749999999996</v>
      </c>
      <c r="I810" s="336">
        <f t="shared" si="377"/>
        <v>67.480487153715686</v>
      </c>
    </row>
    <row r="811" spans="1:14" ht="31.5" x14ac:dyDescent="0.25">
      <c r="A811" s="361" t="s">
        <v>147</v>
      </c>
      <c r="B811" s="359">
        <v>906</v>
      </c>
      <c r="C811" s="360" t="s">
        <v>280</v>
      </c>
      <c r="D811" s="360" t="s">
        <v>235</v>
      </c>
      <c r="E811" s="360" t="s">
        <v>988</v>
      </c>
      <c r="F811" s="360" t="s">
        <v>148</v>
      </c>
      <c r="G811" s="336">
        <f>G812</f>
        <v>1077</v>
      </c>
      <c r="H811" s="336">
        <f t="shared" ref="H811" si="393">H812</f>
        <v>487.375</v>
      </c>
      <c r="I811" s="336">
        <f t="shared" si="377"/>
        <v>45.253017641597026</v>
      </c>
    </row>
    <row r="812" spans="1:14" ht="33" customHeight="1" x14ac:dyDescent="0.25">
      <c r="A812" s="361" t="s">
        <v>149</v>
      </c>
      <c r="B812" s="359">
        <v>906</v>
      </c>
      <c r="C812" s="360" t="s">
        <v>280</v>
      </c>
      <c r="D812" s="360" t="s">
        <v>235</v>
      </c>
      <c r="E812" s="360" t="s">
        <v>988</v>
      </c>
      <c r="F812" s="360" t="s">
        <v>150</v>
      </c>
      <c r="G812" s="336">
        <f>1077</f>
        <v>1077</v>
      </c>
      <c r="H812" s="336">
        <v>487.375</v>
      </c>
      <c r="I812" s="336">
        <f t="shared" si="377"/>
        <v>45.253017641597026</v>
      </c>
    </row>
    <row r="813" spans="1:14" ht="15.75" x14ac:dyDescent="0.25">
      <c r="A813" s="361" t="s">
        <v>151</v>
      </c>
      <c r="B813" s="359">
        <v>906</v>
      </c>
      <c r="C813" s="360" t="s">
        <v>280</v>
      </c>
      <c r="D813" s="360" t="s">
        <v>235</v>
      </c>
      <c r="E813" s="360" t="s">
        <v>988</v>
      </c>
      <c r="F813" s="360" t="s">
        <v>161</v>
      </c>
      <c r="G813" s="336">
        <f>G814</f>
        <v>15</v>
      </c>
      <c r="H813" s="336">
        <f t="shared" ref="H813" si="394">H814</f>
        <v>1.3</v>
      </c>
      <c r="I813" s="336">
        <f t="shared" si="377"/>
        <v>8.6666666666666679</v>
      </c>
    </row>
    <row r="814" spans="1:14" ht="15.75" x14ac:dyDescent="0.25">
      <c r="A814" s="361" t="s">
        <v>584</v>
      </c>
      <c r="B814" s="359">
        <v>906</v>
      </c>
      <c r="C814" s="360" t="s">
        <v>280</v>
      </c>
      <c r="D814" s="360" t="s">
        <v>235</v>
      </c>
      <c r="E814" s="360" t="s">
        <v>988</v>
      </c>
      <c r="F814" s="360" t="s">
        <v>154</v>
      </c>
      <c r="G814" s="336">
        <f>15.4-0.4</f>
        <v>15</v>
      </c>
      <c r="H814" s="336">
        <v>1.3</v>
      </c>
      <c r="I814" s="336">
        <f t="shared" si="377"/>
        <v>8.6666666666666679</v>
      </c>
    </row>
    <row r="815" spans="1:14" s="214" customFormat="1" ht="31.5" x14ac:dyDescent="0.25">
      <c r="A815" s="361" t="s">
        <v>885</v>
      </c>
      <c r="B815" s="359">
        <v>906</v>
      </c>
      <c r="C815" s="360" t="s">
        <v>280</v>
      </c>
      <c r="D815" s="360" t="s">
        <v>235</v>
      </c>
      <c r="E815" s="360" t="s">
        <v>989</v>
      </c>
      <c r="F815" s="360"/>
      <c r="G815" s="336">
        <f>G816</f>
        <v>336</v>
      </c>
      <c r="H815" s="336">
        <f t="shared" ref="H815:H816" si="395">H816</f>
        <v>222</v>
      </c>
      <c r="I815" s="336">
        <f t="shared" si="377"/>
        <v>66.071428571428569</v>
      </c>
      <c r="J815" s="325"/>
      <c r="K815" s="325"/>
      <c r="L815" s="325"/>
      <c r="M815" s="325"/>
      <c r="N815" s="325"/>
    </row>
    <row r="816" spans="1:14" s="214" customFormat="1" ht="63" x14ac:dyDescent="0.25">
      <c r="A816" s="361" t="s">
        <v>143</v>
      </c>
      <c r="B816" s="359">
        <v>906</v>
      </c>
      <c r="C816" s="360" t="s">
        <v>280</v>
      </c>
      <c r="D816" s="360" t="s">
        <v>235</v>
      </c>
      <c r="E816" s="360" t="s">
        <v>989</v>
      </c>
      <c r="F816" s="360" t="s">
        <v>144</v>
      </c>
      <c r="G816" s="336">
        <f>G817</f>
        <v>336</v>
      </c>
      <c r="H816" s="336">
        <f t="shared" si="395"/>
        <v>222</v>
      </c>
      <c r="I816" s="336">
        <f t="shared" si="377"/>
        <v>66.071428571428569</v>
      </c>
      <c r="J816" s="325"/>
      <c r="K816" s="325"/>
      <c r="L816" s="325"/>
      <c r="M816" s="325"/>
      <c r="N816" s="325"/>
    </row>
    <row r="817" spans="1:14" s="214" customFormat="1" ht="15.75" x14ac:dyDescent="0.25">
      <c r="A817" s="361" t="s">
        <v>358</v>
      </c>
      <c r="B817" s="359">
        <v>906</v>
      </c>
      <c r="C817" s="360" t="s">
        <v>280</v>
      </c>
      <c r="D817" s="360" t="s">
        <v>235</v>
      </c>
      <c r="E817" s="360" t="s">
        <v>989</v>
      </c>
      <c r="F817" s="360" t="s">
        <v>225</v>
      </c>
      <c r="G817" s="336">
        <v>336</v>
      </c>
      <c r="H817" s="336">
        <v>222</v>
      </c>
      <c r="I817" s="336">
        <f t="shared" si="377"/>
        <v>66.071428571428569</v>
      </c>
      <c r="J817" s="325"/>
      <c r="K817" s="325"/>
      <c r="L817" s="325"/>
      <c r="M817" s="325"/>
      <c r="N817" s="325"/>
    </row>
    <row r="818" spans="1:14" ht="36.75" customHeight="1" x14ac:dyDescent="0.25">
      <c r="A818" s="330" t="s">
        <v>496</v>
      </c>
      <c r="B818" s="330">
        <v>907</v>
      </c>
      <c r="C818" s="360"/>
      <c r="D818" s="360"/>
      <c r="E818" s="360"/>
      <c r="F818" s="360"/>
      <c r="G818" s="332">
        <f>G826+G819</f>
        <v>66212.130400000009</v>
      </c>
      <c r="H818" s="332">
        <f t="shared" ref="H818" si="396">H826+H819</f>
        <v>45892.797999999995</v>
      </c>
      <c r="I818" s="332">
        <f t="shared" si="377"/>
        <v>69.311767681772082</v>
      </c>
    </row>
    <row r="819" spans="1:14" s="214" customFormat="1" ht="18.75" customHeight="1" x14ac:dyDescent="0.25">
      <c r="A819" s="333" t="s">
        <v>133</v>
      </c>
      <c r="B819" s="330">
        <v>907</v>
      </c>
      <c r="C819" s="334" t="s">
        <v>134</v>
      </c>
      <c r="D819" s="334"/>
      <c r="E819" s="334"/>
      <c r="F819" s="334"/>
      <c r="G819" s="332">
        <f t="shared" ref="G819:H824" si="397">G820</f>
        <v>70</v>
      </c>
      <c r="H819" s="332">
        <f t="shared" si="397"/>
        <v>70</v>
      </c>
      <c r="I819" s="332">
        <f t="shared" si="377"/>
        <v>100</v>
      </c>
      <c r="J819" s="325"/>
      <c r="K819" s="325"/>
      <c r="L819" s="325"/>
      <c r="M819" s="325"/>
      <c r="N819" s="325"/>
    </row>
    <row r="820" spans="1:14" s="214" customFormat="1" ht="21.75" customHeight="1" x14ac:dyDescent="0.25">
      <c r="A820" s="34" t="s">
        <v>155</v>
      </c>
      <c r="B820" s="330">
        <v>907</v>
      </c>
      <c r="C820" s="334" t="s">
        <v>134</v>
      </c>
      <c r="D820" s="334" t="s">
        <v>156</v>
      </c>
      <c r="E820" s="334"/>
      <c r="F820" s="334"/>
      <c r="G820" s="332">
        <f t="shared" si="397"/>
        <v>70</v>
      </c>
      <c r="H820" s="332">
        <f t="shared" si="397"/>
        <v>70</v>
      </c>
      <c r="I820" s="332">
        <f t="shared" si="377"/>
        <v>100</v>
      </c>
      <c r="J820" s="325"/>
      <c r="K820" s="325"/>
      <c r="L820" s="325"/>
      <c r="M820" s="325"/>
      <c r="N820" s="325"/>
    </row>
    <row r="821" spans="1:14" s="214" customFormat="1" ht="56.25" customHeight="1" x14ac:dyDescent="0.25">
      <c r="A821" s="333" t="s">
        <v>350</v>
      </c>
      <c r="B821" s="330">
        <v>907</v>
      </c>
      <c r="C821" s="334" t="s">
        <v>134</v>
      </c>
      <c r="D821" s="334" t="s">
        <v>156</v>
      </c>
      <c r="E821" s="334" t="s">
        <v>351</v>
      </c>
      <c r="F821" s="334"/>
      <c r="G821" s="332">
        <f>G822</f>
        <v>70</v>
      </c>
      <c r="H821" s="332">
        <f t="shared" si="397"/>
        <v>70</v>
      </c>
      <c r="I821" s="332">
        <f t="shared" si="377"/>
        <v>100</v>
      </c>
      <c r="J821" s="325"/>
      <c r="K821" s="325"/>
      <c r="L821" s="325"/>
      <c r="M821" s="325"/>
      <c r="N821" s="325"/>
    </row>
    <row r="822" spans="1:14" s="214" customFormat="1" ht="36.75" customHeight="1" x14ac:dyDescent="0.25">
      <c r="A822" s="221" t="s">
        <v>1225</v>
      </c>
      <c r="B822" s="330">
        <v>907</v>
      </c>
      <c r="C822" s="334" t="s">
        <v>134</v>
      </c>
      <c r="D822" s="334" t="s">
        <v>156</v>
      </c>
      <c r="E822" s="334" t="s">
        <v>1226</v>
      </c>
      <c r="F822" s="334"/>
      <c r="G822" s="332">
        <f>G823</f>
        <v>70</v>
      </c>
      <c r="H822" s="332">
        <f t="shared" si="397"/>
        <v>70</v>
      </c>
      <c r="I822" s="332">
        <f t="shared" si="377"/>
        <v>100</v>
      </c>
      <c r="J822" s="325"/>
      <c r="K822" s="325"/>
      <c r="L822" s="325"/>
      <c r="M822" s="325"/>
      <c r="N822" s="325"/>
    </row>
    <row r="823" spans="1:14" s="214" customFormat="1" ht="36.75" customHeight="1" x14ac:dyDescent="0.25">
      <c r="A823" s="98" t="s">
        <v>352</v>
      </c>
      <c r="B823" s="359">
        <v>907</v>
      </c>
      <c r="C823" s="360" t="s">
        <v>134</v>
      </c>
      <c r="D823" s="360" t="s">
        <v>156</v>
      </c>
      <c r="E823" s="360" t="s">
        <v>1227</v>
      </c>
      <c r="F823" s="360"/>
      <c r="G823" s="336">
        <f>G824</f>
        <v>70</v>
      </c>
      <c r="H823" s="336">
        <f t="shared" si="397"/>
        <v>70</v>
      </c>
      <c r="I823" s="336">
        <f t="shared" si="377"/>
        <v>100</v>
      </c>
      <c r="J823" s="325"/>
      <c r="K823" s="325"/>
      <c r="L823" s="325"/>
      <c r="M823" s="325"/>
      <c r="N823" s="325"/>
    </row>
    <row r="824" spans="1:14" s="214" customFormat="1" ht="36.75" customHeight="1" x14ac:dyDescent="0.25">
      <c r="A824" s="361" t="s">
        <v>147</v>
      </c>
      <c r="B824" s="359">
        <v>907</v>
      </c>
      <c r="C824" s="360" t="s">
        <v>134</v>
      </c>
      <c r="D824" s="360" t="s">
        <v>156</v>
      </c>
      <c r="E824" s="360" t="s">
        <v>1227</v>
      </c>
      <c r="F824" s="360" t="s">
        <v>148</v>
      </c>
      <c r="G824" s="336">
        <f>G825</f>
        <v>70</v>
      </c>
      <c r="H824" s="336">
        <f t="shared" si="397"/>
        <v>70</v>
      </c>
      <c r="I824" s="336">
        <f t="shared" si="377"/>
        <v>100</v>
      </c>
      <c r="J824" s="325"/>
      <c r="K824" s="325"/>
      <c r="L824" s="325"/>
      <c r="M824" s="325"/>
      <c r="N824" s="325"/>
    </row>
    <row r="825" spans="1:14" s="214" customFormat="1" ht="36.75" customHeight="1" x14ac:dyDescent="0.25">
      <c r="A825" s="361" t="s">
        <v>149</v>
      </c>
      <c r="B825" s="359">
        <v>907</v>
      </c>
      <c r="C825" s="360" t="s">
        <v>134</v>
      </c>
      <c r="D825" s="360" t="s">
        <v>156</v>
      </c>
      <c r="E825" s="360" t="s">
        <v>1227</v>
      </c>
      <c r="F825" s="360" t="s">
        <v>150</v>
      </c>
      <c r="G825" s="336">
        <v>70</v>
      </c>
      <c r="H825" s="336">
        <v>70</v>
      </c>
      <c r="I825" s="336">
        <f t="shared" si="377"/>
        <v>100</v>
      </c>
      <c r="J825" s="325"/>
      <c r="K825" s="325"/>
      <c r="L825" s="325"/>
      <c r="M825" s="325"/>
      <c r="N825" s="325"/>
    </row>
    <row r="826" spans="1:14" ht="15.75" x14ac:dyDescent="0.25">
      <c r="A826" s="333" t="s">
        <v>506</v>
      </c>
      <c r="B826" s="330">
        <v>907</v>
      </c>
      <c r="C826" s="334" t="s">
        <v>507</v>
      </c>
      <c r="D826" s="360"/>
      <c r="E826" s="360"/>
      <c r="F826" s="360"/>
      <c r="G826" s="332">
        <f>G827+G889</f>
        <v>66142.130400000009</v>
      </c>
      <c r="H826" s="332">
        <f t="shared" ref="H826" si="398">H827+H889</f>
        <v>45822.797999999995</v>
      </c>
      <c r="I826" s="332">
        <f t="shared" si="377"/>
        <v>69.279289498059455</v>
      </c>
    </row>
    <row r="827" spans="1:14" s="214" customFormat="1" ht="15.75" x14ac:dyDescent="0.25">
      <c r="A827" s="333" t="s">
        <v>508</v>
      </c>
      <c r="B827" s="330">
        <v>907</v>
      </c>
      <c r="C827" s="334" t="s">
        <v>507</v>
      </c>
      <c r="D827" s="334" t="s">
        <v>134</v>
      </c>
      <c r="E827" s="360"/>
      <c r="F827" s="360"/>
      <c r="G827" s="332">
        <f>G832+G884+G879</f>
        <v>53175.930400000005</v>
      </c>
      <c r="H827" s="332">
        <f t="shared" ref="H827" si="399">H832+H884+H879</f>
        <v>37642.988999999994</v>
      </c>
      <c r="I827" s="332">
        <f t="shared" si="377"/>
        <v>70.789525856608222</v>
      </c>
      <c r="J827" s="325"/>
      <c r="K827" s="325"/>
      <c r="L827" s="325"/>
      <c r="M827" s="325"/>
      <c r="N827" s="325"/>
    </row>
    <row r="828" spans="1:14" s="214" customFormat="1" ht="47.25" hidden="1" x14ac:dyDescent="0.25">
      <c r="A828" s="333" t="s">
        <v>1171</v>
      </c>
      <c r="B828" s="330">
        <v>907</v>
      </c>
      <c r="C828" s="334" t="s">
        <v>507</v>
      </c>
      <c r="D828" s="334" t="s">
        <v>134</v>
      </c>
      <c r="E828" s="334" t="s">
        <v>1116</v>
      </c>
      <c r="F828" s="360"/>
      <c r="G828" s="332">
        <f>G829</f>
        <v>0</v>
      </c>
      <c r="H828" s="332">
        <f t="shared" ref="H828:H830" si="400">H829</f>
        <v>0</v>
      </c>
      <c r="I828" s="332" t="e">
        <f t="shared" si="377"/>
        <v>#DIV/0!</v>
      </c>
      <c r="J828" s="325"/>
      <c r="K828" s="325"/>
      <c r="L828" s="325"/>
      <c r="M828" s="325"/>
      <c r="N828" s="325"/>
    </row>
    <row r="829" spans="1:14" s="214" customFormat="1" ht="31.5" hidden="1" x14ac:dyDescent="0.25">
      <c r="A829" s="361" t="s">
        <v>1504</v>
      </c>
      <c r="B829" s="359">
        <v>907</v>
      </c>
      <c r="C829" s="360" t="s">
        <v>507</v>
      </c>
      <c r="D829" s="360" t="s">
        <v>134</v>
      </c>
      <c r="E829" s="360" t="s">
        <v>1503</v>
      </c>
      <c r="F829" s="360"/>
      <c r="G829" s="336">
        <f>G830</f>
        <v>0</v>
      </c>
      <c r="H829" s="336">
        <f t="shared" si="400"/>
        <v>0</v>
      </c>
      <c r="I829" s="332" t="e">
        <f t="shared" si="377"/>
        <v>#DIV/0!</v>
      </c>
      <c r="J829" s="325"/>
      <c r="K829" s="325"/>
      <c r="L829" s="325"/>
      <c r="M829" s="325"/>
      <c r="N829" s="325"/>
    </row>
    <row r="830" spans="1:14" s="214" customFormat="1" ht="31.5" hidden="1" x14ac:dyDescent="0.25">
      <c r="A830" s="361" t="s">
        <v>147</v>
      </c>
      <c r="B830" s="359">
        <v>907</v>
      </c>
      <c r="C830" s="360" t="s">
        <v>507</v>
      </c>
      <c r="D830" s="360" t="s">
        <v>134</v>
      </c>
      <c r="E830" s="360" t="s">
        <v>1503</v>
      </c>
      <c r="F830" s="360" t="s">
        <v>148</v>
      </c>
      <c r="G830" s="336">
        <f>G831</f>
        <v>0</v>
      </c>
      <c r="H830" s="336">
        <f t="shared" si="400"/>
        <v>0</v>
      </c>
      <c r="I830" s="332" t="e">
        <f t="shared" si="377"/>
        <v>#DIV/0!</v>
      </c>
      <c r="J830" s="325"/>
      <c r="K830" s="325"/>
      <c r="L830" s="325"/>
      <c r="M830" s="325"/>
      <c r="N830" s="325"/>
    </row>
    <row r="831" spans="1:14" s="214" customFormat="1" ht="31.5" hidden="1" x14ac:dyDescent="0.25">
      <c r="A831" s="361" t="s">
        <v>149</v>
      </c>
      <c r="B831" s="359">
        <v>907</v>
      </c>
      <c r="C831" s="360" t="s">
        <v>507</v>
      </c>
      <c r="D831" s="360" t="s">
        <v>134</v>
      </c>
      <c r="E831" s="360" t="s">
        <v>1503</v>
      </c>
      <c r="F831" s="360" t="s">
        <v>150</v>
      </c>
      <c r="G831" s="336">
        <v>0</v>
      </c>
      <c r="H831" s="336">
        <v>0</v>
      </c>
      <c r="I831" s="332" t="e">
        <f t="shared" si="377"/>
        <v>#DIV/0!</v>
      </c>
      <c r="J831" s="325"/>
      <c r="K831" s="325"/>
      <c r="L831" s="325"/>
      <c r="M831" s="325"/>
      <c r="N831" s="325"/>
    </row>
    <row r="832" spans="1:14" s="214" customFormat="1" ht="47.25" x14ac:dyDescent="0.25">
      <c r="A832" s="333" t="s">
        <v>497</v>
      </c>
      <c r="B832" s="330">
        <v>907</v>
      </c>
      <c r="C832" s="334" t="s">
        <v>507</v>
      </c>
      <c r="D832" s="334" t="s">
        <v>134</v>
      </c>
      <c r="E832" s="334" t="s">
        <v>498</v>
      </c>
      <c r="F832" s="334"/>
      <c r="G832" s="332">
        <f>G833</f>
        <v>52558.430400000005</v>
      </c>
      <c r="H832" s="332">
        <f t="shared" ref="H832" si="401">H833</f>
        <v>37299.547999999995</v>
      </c>
      <c r="I832" s="332">
        <f t="shared" si="377"/>
        <v>70.967773801707736</v>
      </c>
      <c r="J832" s="325"/>
      <c r="K832" s="325"/>
      <c r="L832" s="325"/>
      <c r="M832" s="325"/>
      <c r="N832" s="325"/>
    </row>
    <row r="833" spans="1:14" ht="47.25" x14ac:dyDescent="0.25">
      <c r="A833" s="333" t="s">
        <v>509</v>
      </c>
      <c r="B833" s="330">
        <v>907</v>
      </c>
      <c r="C833" s="334" t="s">
        <v>507</v>
      </c>
      <c r="D833" s="334" t="s">
        <v>134</v>
      </c>
      <c r="E833" s="334" t="s">
        <v>510</v>
      </c>
      <c r="F833" s="334"/>
      <c r="G833" s="332">
        <f>G834+G844+G854+G861+G868+G872</f>
        <v>52558.430400000005</v>
      </c>
      <c r="H833" s="332">
        <f t="shared" ref="H833" si="402">H834+H844+H854+H861+H868+H872</f>
        <v>37299.547999999995</v>
      </c>
      <c r="I833" s="332">
        <f t="shared" si="377"/>
        <v>70.967773801707736</v>
      </c>
    </row>
    <row r="834" spans="1:14" ht="31.5" x14ac:dyDescent="0.25">
      <c r="A834" s="333" t="s">
        <v>1028</v>
      </c>
      <c r="B834" s="330">
        <v>907</v>
      </c>
      <c r="C834" s="334" t="s">
        <v>507</v>
      </c>
      <c r="D834" s="334" t="s">
        <v>134</v>
      </c>
      <c r="E834" s="334" t="s">
        <v>1061</v>
      </c>
      <c r="F834" s="334"/>
      <c r="G834" s="332">
        <f>G835+G838+G841</f>
        <v>44780.4</v>
      </c>
      <c r="H834" s="332">
        <f t="shared" ref="H834" si="403">H835+H838+H841</f>
        <v>30645.095999999998</v>
      </c>
      <c r="I834" s="332">
        <f t="shared" si="377"/>
        <v>68.434172093147879</v>
      </c>
    </row>
    <row r="835" spans="1:14" ht="47.25" x14ac:dyDescent="0.25">
      <c r="A835" s="361" t="s">
        <v>1462</v>
      </c>
      <c r="B835" s="359">
        <v>907</v>
      </c>
      <c r="C835" s="360" t="s">
        <v>507</v>
      </c>
      <c r="D835" s="360" t="s">
        <v>134</v>
      </c>
      <c r="E835" s="360" t="s">
        <v>1071</v>
      </c>
      <c r="F835" s="360"/>
      <c r="G835" s="336">
        <f>G836</f>
        <v>12963.2</v>
      </c>
      <c r="H835" s="336">
        <f t="shared" ref="H835:H836" si="404">H836</f>
        <v>8482.4</v>
      </c>
      <c r="I835" s="336">
        <f t="shared" si="377"/>
        <v>65.434460627005677</v>
      </c>
    </row>
    <row r="836" spans="1:14" ht="36" customHeight="1" x14ac:dyDescent="0.25">
      <c r="A836" s="361" t="s">
        <v>288</v>
      </c>
      <c r="B836" s="359">
        <v>907</v>
      </c>
      <c r="C836" s="360" t="s">
        <v>507</v>
      </c>
      <c r="D836" s="360" t="s">
        <v>134</v>
      </c>
      <c r="E836" s="360" t="s">
        <v>1071</v>
      </c>
      <c r="F836" s="360" t="s">
        <v>289</v>
      </c>
      <c r="G836" s="336">
        <f>G837</f>
        <v>12963.2</v>
      </c>
      <c r="H836" s="336">
        <f t="shared" si="404"/>
        <v>8482.4</v>
      </c>
      <c r="I836" s="336">
        <f t="shared" si="377"/>
        <v>65.434460627005677</v>
      </c>
    </row>
    <row r="837" spans="1:14" ht="15.75" x14ac:dyDescent="0.25">
      <c r="A837" s="361" t="s">
        <v>290</v>
      </c>
      <c r="B837" s="359">
        <v>907</v>
      </c>
      <c r="C837" s="360" t="s">
        <v>507</v>
      </c>
      <c r="D837" s="360" t="s">
        <v>134</v>
      </c>
      <c r="E837" s="360" t="s">
        <v>1071</v>
      </c>
      <c r="F837" s="360" t="s">
        <v>291</v>
      </c>
      <c r="G837" s="362">
        <f>12832.4-0.4+776-500-55.5-89.3</f>
        <v>12963.2</v>
      </c>
      <c r="H837" s="362">
        <v>8482.4</v>
      </c>
      <c r="I837" s="336">
        <f t="shared" si="377"/>
        <v>65.434460627005677</v>
      </c>
      <c r="J837" s="109"/>
    </row>
    <row r="838" spans="1:14" s="214" customFormat="1" ht="47.25" x14ac:dyDescent="0.25">
      <c r="A838" s="361" t="s">
        <v>1460</v>
      </c>
      <c r="B838" s="359">
        <v>907</v>
      </c>
      <c r="C838" s="360" t="s">
        <v>507</v>
      </c>
      <c r="D838" s="360" t="s">
        <v>134</v>
      </c>
      <c r="E838" s="360" t="s">
        <v>1072</v>
      </c>
      <c r="F838" s="360"/>
      <c r="G838" s="336">
        <f>G839</f>
        <v>13290.199999999999</v>
      </c>
      <c r="H838" s="336">
        <f t="shared" ref="H838:H839" si="405">H839</f>
        <v>10034.219999999999</v>
      </c>
      <c r="I838" s="336">
        <f t="shared" si="377"/>
        <v>75.50089539660803</v>
      </c>
      <c r="J838" s="109"/>
      <c r="K838" s="325"/>
      <c r="L838" s="325"/>
      <c r="M838" s="325"/>
      <c r="N838" s="325"/>
    </row>
    <row r="839" spans="1:14" s="214" customFormat="1" ht="31.5" x14ac:dyDescent="0.25">
      <c r="A839" s="361" t="s">
        <v>288</v>
      </c>
      <c r="B839" s="359">
        <v>907</v>
      </c>
      <c r="C839" s="360" t="s">
        <v>507</v>
      </c>
      <c r="D839" s="360" t="s">
        <v>134</v>
      </c>
      <c r="E839" s="360" t="s">
        <v>1072</v>
      </c>
      <c r="F839" s="360" t="s">
        <v>289</v>
      </c>
      <c r="G839" s="336">
        <f>G840</f>
        <v>13290.199999999999</v>
      </c>
      <c r="H839" s="336">
        <f t="shared" si="405"/>
        <v>10034.219999999999</v>
      </c>
      <c r="I839" s="336">
        <f t="shared" si="377"/>
        <v>75.50089539660803</v>
      </c>
      <c r="J839" s="109"/>
      <c r="K839" s="325"/>
      <c r="L839" s="325"/>
      <c r="M839" s="325"/>
      <c r="N839" s="325"/>
    </row>
    <row r="840" spans="1:14" s="214" customFormat="1" ht="15.75" x14ac:dyDescent="0.25">
      <c r="A840" s="361" t="s">
        <v>290</v>
      </c>
      <c r="B840" s="359">
        <v>907</v>
      </c>
      <c r="C840" s="360" t="s">
        <v>507</v>
      </c>
      <c r="D840" s="360" t="s">
        <v>134</v>
      </c>
      <c r="E840" s="360" t="s">
        <v>1072</v>
      </c>
      <c r="F840" s="360" t="s">
        <v>291</v>
      </c>
      <c r="G840" s="336">
        <f>12897+253.9+89.3+50</f>
        <v>13290.199999999999</v>
      </c>
      <c r="H840" s="336">
        <v>10034.219999999999</v>
      </c>
      <c r="I840" s="336">
        <f t="shared" si="377"/>
        <v>75.50089539660803</v>
      </c>
      <c r="J840" s="109"/>
      <c r="K840" s="325"/>
      <c r="L840" s="325"/>
      <c r="M840" s="325"/>
      <c r="N840" s="325"/>
    </row>
    <row r="841" spans="1:14" s="214" customFormat="1" ht="47.25" x14ac:dyDescent="0.25">
      <c r="A841" s="361" t="s">
        <v>1461</v>
      </c>
      <c r="B841" s="359">
        <v>907</v>
      </c>
      <c r="C841" s="360" t="s">
        <v>507</v>
      </c>
      <c r="D841" s="360" t="s">
        <v>134</v>
      </c>
      <c r="E841" s="360" t="s">
        <v>1073</v>
      </c>
      <c r="F841" s="360"/>
      <c r="G841" s="336">
        <f>G842</f>
        <v>18527</v>
      </c>
      <c r="H841" s="336">
        <f t="shared" ref="H841:H842" si="406">H842</f>
        <v>12128.476000000001</v>
      </c>
      <c r="I841" s="336">
        <f t="shared" si="377"/>
        <v>65.463787985102826</v>
      </c>
      <c r="J841" s="109"/>
      <c r="K841" s="325"/>
      <c r="L841" s="325"/>
      <c r="M841" s="325"/>
      <c r="N841" s="325"/>
    </row>
    <row r="842" spans="1:14" s="214" customFormat="1" ht="31.5" x14ac:dyDescent="0.25">
      <c r="A842" s="361" t="s">
        <v>288</v>
      </c>
      <c r="B842" s="359">
        <v>907</v>
      </c>
      <c r="C842" s="360" t="s">
        <v>507</v>
      </c>
      <c r="D842" s="360" t="s">
        <v>134</v>
      </c>
      <c r="E842" s="360" t="s">
        <v>1073</v>
      </c>
      <c r="F842" s="360" t="s">
        <v>289</v>
      </c>
      <c r="G842" s="336">
        <f>G843</f>
        <v>18527</v>
      </c>
      <c r="H842" s="336">
        <f t="shared" si="406"/>
        <v>12128.476000000001</v>
      </c>
      <c r="I842" s="336">
        <f t="shared" si="377"/>
        <v>65.463787985102826</v>
      </c>
      <c r="J842" s="109"/>
      <c r="K842" s="325"/>
      <c r="L842" s="325"/>
      <c r="M842" s="325"/>
      <c r="N842" s="325"/>
    </row>
    <row r="843" spans="1:14" s="214" customFormat="1" ht="15.75" x14ac:dyDescent="0.25">
      <c r="A843" s="361" t="s">
        <v>290</v>
      </c>
      <c r="B843" s="359">
        <v>907</v>
      </c>
      <c r="C843" s="360" t="s">
        <v>507</v>
      </c>
      <c r="D843" s="360" t="s">
        <v>134</v>
      </c>
      <c r="E843" s="360" t="s">
        <v>1073</v>
      </c>
      <c r="F843" s="360" t="s">
        <v>291</v>
      </c>
      <c r="G843" s="336">
        <f>18577-50</f>
        <v>18527</v>
      </c>
      <c r="H843" s="336">
        <v>12128.476000000001</v>
      </c>
      <c r="I843" s="336">
        <f t="shared" ref="I843:I906" si="407">H843/G843*100</f>
        <v>65.463787985102826</v>
      </c>
      <c r="J843" s="109"/>
      <c r="K843" s="325"/>
      <c r="L843" s="325"/>
      <c r="M843" s="325"/>
      <c r="N843" s="325"/>
    </row>
    <row r="844" spans="1:14" s="214" customFormat="1" ht="15.75" x14ac:dyDescent="0.25">
      <c r="A844" s="333" t="s">
        <v>1074</v>
      </c>
      <c r="B844" s="330">
        <v>907</v>
      </c>
      <c r="C844" s="334" t="s">
        <v>507</v>
      </c>
      <c r="D844" s="334" t="s">
        <v>134</v>
      </c>
      <c r="E844" s="334" t="s">
        <v>1075</v>
      </c>
      <c r="F844" s="334"/>
      <c r="G844" s="44">
        <f>G845+G848+G851</f>
        <v>288</v>
      </c>
      <c r="H844" s="44">
        <f t="shared" ref="H844" si="408">H845+H848+H851</f>
        <v>288</v>
      </c>
      <c r="I844" s="332">
        <f t="shared" si="407"/>
        <v>100</v>
      </c>
      <c r="J844" s="109"/>
      <c r="K844" s="325"/>
      <c r="L844" s="325"/>
      <c r="M844" s="325"/>
      <c r="N844" s="325"/>
    </row>
    <row r="845" spans="1:14" ht="31.7" customHeight="1" x14ac:dyDescent="0.25">
      <c r="A845" s="361" t="s">
        <v>294</v>
      </c>
      <c r="B845" s="359">
        <v>907</v>
      </c>
      <c r="C845" s="360" t="s">
        <v>507</v>
      </c>
      <c r="D845" s="360" t="s">
        <v>134</v>
      </c>
      <c r="E845" s="360" t="s">
        <v>1079</v>
      </c>
      <c r="F845" s="360"/>
      <c r="G845" s="336">
        <f>G846</f>
        <v>252</v>
      </c>
      <c r="H845" s="336">
        <f t="shared" ref="H845:H846" si="409">H846</f>
        <v>252</v>
      </c>
      <c r="I845" s="336">
        <f t="shared" si="407"/>
        <v>100</v>
      </c>
      <c r="J845" s="318"/>
    </row>
    <row r="846" spans="1:14" ht="31.5" x14ac:dyDescent="0.25">
      <c r="A846" s="361" t="s">
        <v>288</v>
      </c>
      <c r="B846" s="359">
        <v>907</v>
      </c>
      <c r="C846" s="360" t="s">
        <v>507</v>
      </c>
      <c r="D846" s="360" t="s">
        <v>134</v>
      </c>
      <c r="E846" s="360" t="s">
        <v>1079</v>
      </c>
      <c r="F846" s="360" t="s">
        <v>289</v>
      </c>
      <c r="G846" s="336">
        <f>G847</f>
        <v>252</v>
      </c>
      <c r="H846" s="336">
        <f t="shared" si="409"/>
        <v>252</v>
      </c>
      <c r="I846" s="336">
        <f t="shared" si="407"/>
        <v>100</v>
      </c>
      <c r="J846" s="109"/>
    </row>
    <row r="847" spans="1:14" ht="15.75" x14ac:dyDescent="0.25">
      <c r="A847" s="361" t="s">
        <v>290</v>
      </c>
      <c r="B847" s="359">
        <v>907</v>
      </c>
      <c r="C847" s="360" t="s">
        <v>507</v>
      </c>
      <c r="D847" s="360" t="s">
        <v>134</v>
      </c>
      <c r="E847" s="360" t="s">
        <v>1079</v>
      </c>
      <c r="F847" s="360" t="s">
        <v>291</v>
      </c>
      <c r="G847" s="336">
        <v>252</v>
      </c>
      <c r="H847" s="336">
        <v>252</v>
      </c>
      <c r="I847" s="336">
        <f t="shared" si="407"/>
        <v>100</v>
      </c>
      <c r="J847" s="109"/>
    </row>
    <row r="848" spans="1:14" ht="33" hidden="1" customHeight="1" x14ac:dyDescent="0.25">
      <c r="A848" s="361" t="s">
        <v>296</v>
      </c>
      <c r="B848" s="359">
        <v>907</v>
      </c>
      <c r="C848" s="360" t="s">
        <v>507</v>
      </c>
      <c r="D848" s="360" t="s">
        <v>134</v>
      </c>
      <c r="E848" s="360" t="s">
        <v>1080</v>
      </c>
      <c r="F848" s="360"/>
      <c r="G848" s="336">
        <f>G849</f>
        <v>0</v>
      </c>
      <c r="H848" s="336">
        <f t="shared" ref="H848:H849" si="410">H849</f>
        <v>0</v>
      </c>
      <c r="I848" s="336" t="e">
        <f t="shared" si="407"/>
        <v>#DIV/0!</v>
      </c>
      <c r="J848" s="109"/>
    </row>
    <row r="849" spans="1:14" ht="37.5" hidden="1" customHeight="1" x14ac:dyDescent="0.25">
      <c r="A849" s="361" t="s">
        <v>288</v>
      </c>
      <c r="B849" s="359">
        <v>907</v>
      </c>
      <c r="C849" s="360" t="s">
        <v>507</v>
      </c>
      <c r="D849" s="360" t="s">
        <v>134</v>
      </c>
      <c r="E849" s="360" t="s">
        <v>1080</v>
      </c>
      <c r="F849" s="360" t="s">
        <v>289</v>
      </c>
      <c r="G849" s="336">
        <f>G850</f>
        <v>0</v>
      </c>
      <c r="H849" s="336">
        <f t="shared" si="410"/>
        <v>0</v>
      </c>
      <c r="I849" s="336" t="e">
        <f t="shared" si="407"/>
        <v>#DIV/0!</v>
      </c>
      <c r="J849" s="109"/>
    </row>
    <row r="850" spans="1:14" ht="15.75" hidden="1" customHeight="1" x14ac:dyDescent="0.25">
      <c r="A850" s="361" t="s">
        <v>290</v>
      </c>
      <c r="B850" s="359">
        <v>907</v>
      </c>
      <c r="C850" s="360" t="s">
        <v>507</v>
      </c>
      <c r="D850" s="360" t="s">
        <v>134</v>
      </c>
      <c r="E850" s="360" t="s">
        <v>1080</v>
      </c>
      <c r="F850" s="360" t="s">
        <v>291</v>
      </c>
      <c r="G850" s="336">
        <v>0</v>
      </c>
      <c r="H850" s="336">
        <v>0</v>
      </c>
      <c r="I850" s="336" t="e">
        <f t="shared" si="407"/>
        <v>#DIV/0!</v>
      </c>
      <c r="J850" s="109"/>
    </row>
    <row r="851" spans="1:14" s="214" customFormat="1" ht="15.75" customHeight="1" x14ac:dyDescent="0.25">
      <c r="A851" s="361" t="s">
        <v>876</v>
      </c>
      <c r="B851" s="359">
        <v>907</v>
      </c>
      <c r="C851" s="360" t="s">
        <v>507</v>
      </c>
      <c r="D851" s="360" t="s">
        <v>134</v>
      </c>
      <c r="E851" s="360" t="s">
        <v>1081</v>
      </c>
      <c r="F851" s="360"/>
      <c r="G851" s="336">
        <f>G852</f>
        <v>36</v>
      </c>
      <c r="H851" s="336">
        <f t="shared" ref="H851:H852" si="411">H852</f>
        <v>36</v>
      </c>
      <c r="I851" s="336">
        <f t="shared" si="407"/>
        <v>100</v>
      </c>
      <c r="J851" s="109"/>
      <c r="K851" s="325"/>
      <c r="L851" s="325"/>
      <c r="M851" s="325"/>
      <c r="N851" s="325"/>
    </row>
    <row r="852" spans="1:14" s="214" customFormat="1" ht="41.25" customHeight="1" x14ac:dyDescent="0.25">
      <c r="A852" s="361" t="s">
        <v>288</v>
      </c>
      <c r="B852" s="359">
        <v>907</v>
      </c>
      <c r="C852" s="360" t="s">
        <v>507</v>
      </c>
      <c r="D852" s="360" t="s">
        <v>134</v>
      </c>
      <c r="E852" s="360" t="s">
        <v>1081</v>
      </c>
      <c r="F852" s="360" t="s">
        <v>289</v>
      </c>
      <c r="G852" s="336">
        <f>G853</f>
        <v>36</v>
      </c>
      <c r="H852" s="336">
        <f t="shared" si="411"/>
        <v>36</v>
      </c>
      <c r="I852" s="336">
        <f t="shared" si="407"/>
        <v>100</v>
      </c>
      <c r="J852" s="109"/>
      <c r="K852" s="325"/>
      <c r="L852" s="325"/>
      <c r="M852" s="325"/>
      <c r="N852" s="325"/>
    </row>
    <row r="853" spans="1:14" s="214" customFormat="1" ht="15.75" customHeight="1" x14ac:dyDescent="0.25">
      <c r="A853" s="361" t="s">
        <v>290</v>
      </c>
      <c r="B853" s="359">
        <v>907</v>
      </c>
      <c r="C853" s="360" t="s">
        <v>507</v>
      </c>
      <c r="D853" s="360" t="s">
        <v>134</v>
      </c>
      <c r="E853" s="360" t="s">
        <v>1081</v>
      </c>
      <c r="F853" s="360" t="s">
        <v>291</v>
      </c>
      <c r="G853" s="336">
        <v>36</v>
      </c>
      <c r="H853" s="336">
        <v>36</v>
      </c>
      <c r="I853" s="336">
        <f t="shared" si="407"/>
        <v>100</v>
      </c>
      <c r="J853" s="109"/>
      <c r="K853" s="325"/>
      <c r="L853" s="325"/>
      <c r="M853" s="325"/>
      <c r="N853" s="325"/>
    </row>
    <row r="854" spans="1:14" s="214" customFormat="1" ht="35.450000000000003" customHeight="1" x14ac:dyDescent="0.25">
      <c r="A854" s="333" t="s">
        <v>1076</v>
      </c>
      <c r="B854" s="330">
        <v>907</v>
      </c>
      <c r="C854" s="334" t="s">
        <v>507</v>
      </c>
      <c r="D854" s="334" t="s">
        <v>134</v>
      </c>
      <c r="E854" s="334" t="s">
        <v>1078</v>
      </c>
      <c r="F854" s="334"/>
      <c r="G854" s="332">
        <f>G855+G858</f>
        <v>1205.8</v>
      </c>
      <c r="H854" s="332">
        <f t="shared" ref="H854" si="412">H855+H858</f>
        <v>1205.8</v>
      </c>
      <c r="I854" s="332">
        <f t="shared" si="407"/>
        <v>100</v>
      </c>
      <c r="J854" s="109"/>
      <c r="K854" s="325"/>
      <c r="L854" s="325"/>
      <c r="M854" s="325"/>
      <c r="N854" s="325"/>
    </row>
    <row r="855" spans="1:14" ht="33.75" hidden="1" customHeight="1" x14ac:dyDescent="0.25">
      <c r="A855" s="361" t="s">
        <v>817</v>
      </c>
      <c r="B855" s="359">
        <v>907</v>
      </c>
      <c r="C855" s="360" t="s">
        <v>507</v>
      </c>
      <c r="D855" s="360" t="s">
        <v>134</v>
      </c>
      <c r="E855" s="360" t="s">
        <v>1082</v>
      </c>
      <c r="F855" s="360"/>
      <c r="G855" s="336">
        <f>G856</f>
        <v>0</v>
      </c>
      <c r="H855" s="336">
        <f t="shared" ref="H855:H856" si="413">H856</f>
        <v>0</v>
      </c>
      <c r="I855" s="336" t="e">
        <f t="shared" si="407"/>
        <v>#DIV/0!</v>
      </c>
      <c r="J855" s="109"/>
    </row>
    <row r="856" spans="1:14" ht="31.5" hidden="1" x14ac:dyDescent="0.25">
      <c r="A856" s="361" t="s">
        <v>288</v>
      </c>
      <c r="B856" s="359">
        <v>907</v>
      </c>
      <c r="C856" s="360" t="s">
        <v>507</v>
      </c>
      <c r="D856" s="360" t="s">
        <v>134</v>
      </c>
      <c r="E856" s="360" t="s">
        <v>1082</v>
      </c>
      <c r="F856" s="360" t="s">
        <v>289</v>
      </c>
      <c r="G856" s="336">
        <f>G857</f>
        <v>0</v>
      </c>
      <c r="H856" s="336">
        <f t="shared" si="413"/>
        <v>0</v>
      </c>
      <c r="I856" s="336" t="e">
        <f t="shared" si="407"/>
        <v>#DIV/0!</v>
      </c>
      <c r="J856" s="109"/>
    </row>
    <row r="857" spans="1:14" ht="15.75" hidden="1" customHeight="1" x14ac:dyDescent="0.25">
      <c r="A857" s="361" t="s">
        <v>290</v>
      </c>
      <c r="B857" s="359">
        <v>907</v>
      </c>
      <c r="C857" s="360" t="s">
        <v>507</v>
      </c>
      <c r="D857" s="360" t="s">
        <v>134</v>
      </c>
      <c r="E857" s="360" t="s">
        <v>1082</v>
      </c>
      <c r="F857" s="360" t="s">
        <v>291</v>
      </c>
      <c r="G857" s="336">
        <v>0</v>
      </c>
      <c r="H857" s="336">
        <v>0</v>
      </c>
      <c r="I857" s="336" t="e">
        <f t="shared" si="407"/>
        <v>#DIV/0!</v>
      </c>
      <c r="J857" s="109"/>
    </row>
    <row r="858" spans="1:14" ht="34.5" customHeight="1" x14ac:dyDescent="0.25">
      <c r="A858" s="45" t="s">
        <v>787</v>
      </c>
      <c r="B858" s="359">
        <v>907</v>
      </c>
      <c r="C858" s="360" t="s">
        <v>507</v>
      </c>
      <c r="D858" s="360" t="s">
        <v>134</v>
      </c>
      <c r="E858" s="360" t="s">
        <v>1083</v>
      </c>
      <c r="F858" s="360"/>
      <c r="G858" s="336">
        <f>G859</f>
        <v>1205.8</v>
      </c>
      <c r="H858" s="336">
        <f t="shared" ref="H858:H859" si="414">H859</f>
        <v>1205.8</v>
      </c>
      <c r="I858" s="336">
        <f t="shared" si="407"/>
        <v>100</v>
      </c>
      <c r="J858" s="109"/>
    </row>
    <row r="859" spans="1:14" ht="33" customHeight="1" x14ac:dyDescent="0.25">
      <c r="A859" s="31" t="s">
        <v>288</v>
      </c>
      <c r="B859" s="359">
        <v>907</v>
      </c>
      <c r="C859" s="360" t="s">
        <v>507</v>
      </c>
      <c r="D859" s="360" t="s">
        <v>134</v>
      </c>
      <c r="E859" s="360" t="s">
        <v>1083</v>
      </c>
      <c r="F859" s="360" t="s">
        <v>289</v>
      </c>
      <c r="G859" s="336">
        <f>G860</f>
        <v>1205.8</v>
      </c>
      <c r="H859" s="336">
        <f t="shared" si="414"/>
        <v>1205.8</v>
      </c>
      <c r="I859" s="336">
        <f t="shared" si="407"/>
        <v>100</v>
      </c>
      <c r="J859" s="109"/>
    </row>
    <row r="860" spans="1:14" ht="15.75" customHeight="1" x14ac:dyDescent="0.25">
      <c r="A860" s="31" t="s">
        <v>290</v>
      </c>
      <c r="B860" s="359">
        <v>907</v>
      </c>
      <c r="C860" s="360" t="s">
        <v>507</v>
      </c>
      <c r="D860" s="360" t="s">
        <v>134</v>
      </c>
      <c r="E860" s="360" t="s">
        <v>1083</v>
      </c>
      <c r="F860" s="360" t="s">
        <v>291</v>
      </c>
      <c r="G860" s="336">
        <f>756+394.3+55.5</f>
        <v>1205.8</v>
      </c>
      <c r="H860" s="336">
        <v>1205.8</v>
      </c>
      <c r="I860" s="336">
        <f t="shared" si="407"/>
        <v>100</v>
      </c>
      <c r="J860" s="109"/>
    </row>
    <row r="861" spans="1:14" s="214" customFormat="1" ht="44.45" customHeight="1" x14ac:dyDescent="0.25">
      <c r="A861" s="333" t="s">
        <v>971</v>
      </c>
      <c r="B861" s="330">
        <v>907</v>
      </c>
      <c r="C861" s="334" t="s">
        <v>507</v>
      </c>
      <c r="D861" s="334" t="s">
        <v>134</v>
      </c>
      <c r="E861" s="334" t="s">
        <v>1084</v>
      </c>
      <c r="F861" s="334"/>
      <c r="G861" s="332">
        <f>G865+G862</f>
        <v>813.5</v>
      </c>
      <c r="H861" s="332">
        <f t="shared" ref="H861" si="415">H865+H862</f>
        <v>549.83600000000001</v>
      </c>
      <c r="I861" s="332">
        <f t="shared" si="407"/>
        <v>67.588936693300553</v>
      </c>
      <c r="J861" s="109"/>
      <c r="K861" s="325"/>
      <c r="L861" s="325"/>
      <c r="M861" s="325"/>
      <c r="N861" s="325"/>
    </row>
    <row r="862" spans="1:14" s="325" customFormat="1" ht="77.25" customHeight="1" x14ac:dyDescent="0.25">
      <c r="A862" s="31" t="s">
        <v>309</v>
      </c>
      <c r="B862" s="359">
        <v>907</v>
      </c>
      <c r="C862" s="360" t="s">
        <v>507</v>
      </c>
      <c r="D862" s="360" t="s">
        <v>134</v>
      </c>
      <c r="E862" s="360" t="s">
        <v>1519</v>
      </c>
      <c r="F862" s="360"/>
      <c r="G862" s="336">
        <f>G863</f>
        <v>813.5</v>
      </c>
      <c r="H862" s="336">
        <f t="shared" ref="H862:H863" si="416">H863</f>
        <v>549.83600000000001</v>
      </c>
      <c r="I862" s="336">
        <f t="shared" si="407"/>
        <v>67.588936693300553</v>
      </c>
      <c r="J862" s="109"/>
    </row>
    <row r="863" spans="1:14" s="325" customFormat="1" ht="31.5" x14ac:dyDescent="0.25">
      <c r="A863" s="361" t="s">
        <v>288</v>
      </c>
      <c r="B863" s="359">
        <v>907</v>
      </c>
      <c r="C863" s="360" t="s">
        <v>507</v>
      </c>
      <c r="D863" s="360" t="s">
        <v>134</v>
      </c>
      <c r="E863" s="360" t="s">
        <v>1519</v>
      </c>
      <c r="F863" s="360" t="s">
        <v>289</v>
      </c>
      <c r="G863" s="336">
        <f>G864</f>
        <v>813.5</v>
      </c>
      <c r="H863" s="336">
        <f t="shared" si="416"/>
        <v>549.83600000000001</v>
      </c>
      <c r="I863" s="336">
        <f t="shared" si="407"/>
        <v>67.588936693300553</v>
      </c>
      <c r="J863" s="109"/>
    </row>
    <row r="864" spans="1:14" s="325" customFormat="1" ht="15.75" x14ac:dyDescent="0.25">
      <c r="A864" s="361" t="s">
        <v>290</v>
      </c>
      <c r="B864" s="359">
        <v>907</v>
      </c>
      <c r="C864" s="360" t="s">
        <v>507</v>
      </c>
      <c r="D864" s="360" t="s">
        <v>134</v>
      </c>
      <c r="E864" s="360" t="s">
        <v>1519</v>
      </c>
      <c r="F864" s="360" t="s">
        <v>291</v>
      </c>
      <c r="G864" s="336">
        <v>813.5</v>
      </c>
      <c r="H864" s="336">
        <v>549.83600000000001</v>
      </c>
      <c r="I864" s="336">
        <f t="shared" si="407"/>
        <v>67.588936693300553</v>
      </c>
      <c r="J864" s="109"/>
    </row>
    <row r="865" spans="1:14" s="214" customFormat="1" ht="78.75" hidden="1" x14ac:dyDescent="0.25">
      <c r="A865" s="31" t="s">
        <v>480</v>
      </c>
      <c r="B865" s="359">
        <v>907</v>
      </c>
      <c r="C865" s="360" t="s">
        <v>507</v>
      </c>
      <c r="D865" s="360" t="s">
        <v>134</v>
      </c>
      <c r="E865" s="360" t="s">
        <v>1085</v>
      </c>
      <c r="F865" s="360"/>
      <c r="G865" s="336">
        <f>G866</f>
        <v>0</v>
      </c>
      <c r="H865" s="336">
        <f t="shared" ref="H865:H866" si="417">H866</f>
        <v>0</v>
      </c>
      <c r="I865" s="336" t="e">
        <f t="shared" si="407"/>
        <v>#DIV/0!</v>
      </c>
      <c r="J865" s="109"/>
      <c r="K865" s="325"/>
      <c r="L865" s="325"/>
      <c r="M865" s="325"/>
      <c r="N865" s="325"/>
    </row>
    <row r="866" spans="1:14" s="214" customFormat="1" ht="31.5" hidden="1" x14ac:dyDescent="0.25">
      <c r="A866" s="361" t="s">
        <v>288</v>
      </c>
      <c r="B866" s="359">
        <v>907</v>
      </c>
      <c r="C866" s="360" t="s">
        <v>507</v>
      </c>
      <c r="D866" s="360" t="s">
        <v>134</v>
      </c>
      <c r="E866" s="360" t="s">
        <v>1085</v>
      </c>
      <c r="F866" s="360" t="s">
        <v>289</v>
      </c>
      <c r="G866" s="336">
        <f>G867</f>
        <v>0</v>
      </c>
      <c r="H866" s="336">
        <f t="shared" si="417"/>
        <v>0</v>
      </c>
      <c r="I866" s="336" t="e">
        <f t="shared" si="407"/>
        <v>#DIV/0!</v>
      </c>
      <c r="J866" s="109"/>
      <c r="K866" s="325"/>
      <c r="L866" s="325"/>
      <c r="M866" s="325"/>
      <c r="N866" s="325"/>
    </row>
    <row r="867" spans="1:14" s="214" customFormat="1" ht="15.75" hidden="1" x14ac:dyDescent="0.25">
      <c r="A867" s="361" t="s">
        <v>290</v>
      </c>
      <c r="B867" s="359">
        <v>907</v>
      </c>
      <c r="C867" s="360" t="s">
        <v>507</v>
      </c>
      <c r="D867" s="360" t="s">
        <v>134</v>
      </c>
      <c r="E867" s="360" t="s">
        <v>1085</v>
      </c>
      <c r="F867" s="360" t="s">
        <v>291</v>
      </c>
      <c r="G867" s="336"/>
      <c r="H867" s="336"/>
      <c r="I867" s="336" t="e">
        <f t="shared" si="407"/>
        <v>#DIV/0!</v>
      </c>
      <c r="J867" s="109"/>
      <c r="K867" s="325"/>
      <c r="L867" s="325"/>
      <c r="M867" s="325"/>
      <c r="N867" s="325"/>
    </row>
    <row r="868" spans="1:14" s="214" customFormat="1" ht="47.25" x14ac:dyDescent="0.25">
      <c r="A868" s="333" t="s">
        <v>1484</v>
      </c>
      <c r="B868" s="330">
        <v>907</v>
      </c>
      <c r="C868" s="334" t="s">
        <v>507</v>
      </c>
      <c r="D868" s="334" t="s">
        <v>134</v>
      </c>
      <c r="E868" s="334" t="s">
        <v>1481</v>
      </c>
      <c r="F868" s="334"/>
      <c r="G868" s="332">
        <f>G869</f>
        <v>439.56040000000002</v>
      </c>
      <c r="H868" s="332">
        <f t="shared" ref="H868:H870" si="418">H869</f>
        <v>439.56</v>
      </c>
      <c r="I868" s="332">
        <f t="shared" si="407"/>
        <v>99.999908999991803</v>
      </c>
      <c r="J868" s="109"/>
      <c r="K868" s="325"/>
      <c r="L868" s="325"/>
      <c r="M868" s="325"/>
      <c r="N868" s="325"/>
    </row>
    <row r="869" spans="1:14" s="216" customFormat="1" ht="47.25" x14ac:dyDescent="0.25">
      <c r="A869" s="361" t="s">
        <v>1485</v>
      </c>
      <c r="B869" s="359">
        <v>907</v>
      </c>
      <c r="C869" s="360" t="s">
        <v>507</v>
      </c>
      <c r="D869" s="360" t="s">
        <v>134</v>
      </c>
      <c r="E869" s="360" t="s">
        <v>1480</v>
      </c>
      <c r="F869" s="360"/>
      <c r="G869" s="336">
        <f>G870</f>
        <v>439.56040000000002</v>
      </c>
      <c r="H869" s="336">
        <f t="shared" si="418"/>
        <v>439.56</v>
      </c>
      <c r="I869" s="336">
        <f t="shared" si="407"/>
        <v>99.999908999991803</v>
      </c>
      <c r="J869" s="128"/>
    </row>
    <row r="870" spans="1:14" s="216" customFormat="1" ht="31.5" x14ac:dyDescent="0.25">
      <c r="A870" s="361" t="s">
        <v>288</v>
      </c>
      <c r="B870" s="359">
        <v>907</v>
      </c>
      <c r="C870" s="360" t="s">
        <v>507</v>
      </c>
      <c r="D870" s="360" t="s">
        <v>134</v>
      </c>
      <c r="E870" s="360" t="s">
        <v>1480</v>
      </c>
      <c r="F870" s="360" t="s">
        <v>289</v>
      </c>
      <c r="G870" s="336">
        <f>G871</f>
        <v>439.56040000000002</v>
      </c>
      <c r="H870" s="336">
        <f t="shared" si="418"/>
        <v>439.56</v>
      </c>
      <c r="I870" s="336">
        <f t="shared" si="407"/>
        <v>99.999908999991803</v>
      </c>
      <c r="J870" s="128"/>
    </row>
    <row r="871" spans="1:14" s="216" customFormat="1" ht="15.75" x14ac:dyDescent="0.25">
      <c r="A871" s="361" t="s">
        <v>290</v>
      </c>
      <c r="B871" s="359">
        <v>907</v>
      </c>
      <c r="C871" s="360" t="s">
        <v>507</v>
      </c>
      <c r="D871" s="360" t="s">
        <v>134</v>
      </c>
      <c r="E871" s="360" t="s">
        <v>1480</v>
      </c>
      <c r="F871" s="360" t="s">
        <v>291</v>
      </c>
      <c r="G871" s="336">
        <f>400+39.5604</f>
        <v>439.56040000000002</v>
      </c>
      <c r="H871" s="336">
        <v>439.56</v>
      </c>
      <c r="I871" s="336">
        <f t="shared" si="407"/>
        <v>99.999908999991803</v>
      </c>
      <c r="J871" s="128"/>
    </row>
    <row r="872" spans="1:14" s="216" customFormat="1" ht="51.75" customHeight="1" x14ac:dyDescent="0.25">
      <c r="A872" s="333" t="s">
        <v>1513</v>
      </c>
      <c r="B872" s="330">
        <v>907</v>
      </c>
      <c r="C872" s="334" t="s">
        <v>507</v>
      </c>
      <c r="D872" s="334" t="s">
        <v>134</v>
      </c>
      <c r="E872" s="334" t="s">
        <v>1507</v>
      </c>
      <c r="F872" s="360"/>
      <c r="G872" s="332">
        <f>G873+G876</f>
        <v>5031.17</v>
      </c>
      <c r="H872" s="332">
        <f t="shared" ref="H872" si="419">H873+H876</f>
        <v>4171.2559999999994</v>
      </c>
      <c r="I872" s="332">
        <f t="shared" si="407"/>
        <v>82.90826984578139</v>
      </c>
      <c r="J872" s="128"/>
    </row>
    <row r="873" spans="1:14" s="216" customFormat="1" ht="47.25" x14ac:dyDescent="0.25">
      <c r="A873" s="361" t="s">
        <v>1512</v>
      </c>
      <c r="B873" s="359">
        <v>907</v>
      </c>
      <c r="C873" s="360" t="s">
        <v>507</v>
      </c>
      <c r="D873" s="360" t="s">
        <v>134</v>
      </c>
      <c r="E873" s="360" t="s">
        <v>1508</v>
      </c>
      <c r="F873" s="360"/>
      <c r="G873" s="336">
        <f>G874</f>
        <v>206.27</v>
      </c>
      <c r="H873" s="336">
        <f t="shared" ref="H873:H874" si="420">H874</f>
        <v>206.25700000000001</v>
      </c>
      <c r="I873" s="336">
        <f t="shared" si="407"/>
        <v>99.993697580840646</v>
      </c>
      <c r="J873" s="128"/>
    </row>
    <row r="874" spans="1:14" s="216" customFormat="1" ht="31.5" x14ac:dyDescent="0.25">
      <c r="A874" s="361" t="s">
        <v>288</v>
      </c>
      <c r="B874" s="359">
        <v>907</v>
      </c>
      <c r="C874" s="360" t="s">
        <v>507</v>
      </c>
      <c r="D874" s="360" t="s">
        <v>134</v>
      </c>
      <c r="E874" s="360" t="s">
        <v>1508</v>
      </c>
      <c r="F874" s="360" t="s">
        <v>289</v>
      </c>
      <c r="G874" s="336">
        <f>G875</f>
        <v>206.27</v>
      </c>
      <c r="H874" s="336">
        <f t="shared" si="420"/>
        <v>206.25700000000001</v>
      </c>
      <c r="I874" s="336">
        <f t="shared" si="407"/>
        <v>99.993697580840646</v>
      </c>
      <c r="J874" s="128"/>
    </row>
    <row r="875" spans="1:14" s="216" customFormat="1" ht="15.75" x14ac:dyDescent="0.25">
      <c r="A875" s="361" t="s">
        <v>290</v>
      </c>
      <c r="B875" s="359">
        <v>907</v>
      </c>
      <c r="C875" s="360" t="s">
        <v>507</v>
      </c>
      <c r="D875" s="360" t="s">
        <v>134</v>
      </c>
      <c r="E875" s="360" t="s">
        <v>1508</v>
      </c>
      <c r="F875" s="360" t="s">
        <v>291</v>
      </c>
      <c r="G875" s="336">
        <v>206.27</v>
      </c>
      <c r="H875" s="336">
        <v>206.25700000000001</v>
      </c>
      <c r="I875" s="336">
        <f t="shared" si="407"/>
        <v>99.993697580840646</v>
      </c>
      <c r="J875" s="128"/>
    </row>
    <row r="876" spans="1:14" s="216" customFormat="1" ht="31.5" x14ac:dyDescent="0.25">
      <c r="A876" s="361" t="s">
        <v>1504</v>
      </c>
      <c r="B876" s="359">
        <v>907</v>
      </c>
      <c r="C876" s="360" t="s">
        <v>507</v>
      </c>
      <c r="D876" s="360" t="s">
        <v>134</v>
      </c>
      <c r="E876" s="360" t="s">
        <v>1509</v>
      </c>
      <c r="F876" s="360"/>
      <c r="G876" s="336">
        <f>G877</f>
        <v>4824.8999999999996</v>
      </c>
      <c r="H876" s="336">
        <f t="shared" ref="H876:H877" si="421">H877</f>
        <v>3964.9989999999998</v>
      </c>
      <c r="I876" s="336">
        <f t="shared" si="407"/>
        <v>82.177848245559488</v>
      </c>
      <c r="J876" s="128"/>
    </row>
    <row r="877" spans="1:14" s="216" customFormat="1" ht="31.5" x14ac:dyDescent="0.25">
      <c r="A877" s="361" t="s">
        <v>288</v>
      </c>
      <c r="B877" s="359">
        <v>907</v>
      </c>
      <c r="C877" s="360" t="s">
        <v>507</v>
      </c>
      <c r="D877" s="360" t="s">
        <v>134</v>
      </c>
      <c r="E877" s="360" t="s">
        <v>1509</v>
      </c>
      <c r="F877" s="360" t="s">
        <v>289</v>
      </c>
      <c r="G877" s="336">
        <f>G878</f>
        <v>4824.8999999999996</v>
      </c>
      <c r="H877" s="336">
        <f t="shared" si="421"/>
        <v>3964.9989999999998</v>
      </c>
      <c r="I877" s="336">
        <f t="shared" si="407"/>
        <v>82.177848245559488</v>
      </c>
      <c r="J877" s="128"/>
    </row>
    <row r="878" spans="1:14" s="216" customFormat="1" ht="15.75" x14ac:dyDescent="0.25">
      <c r="A878" s="361" t="s">
        <v>290</v>
      </c>
      <c r="B878" s="359">
        <v>907</v>
      </c>
      <c r="C878" s="360" t="s">
        <v>507</v>
      </c>
      <c r="D878" s="360" t="s">
        <v>134</v>
      </c>
      <c r="E878" s="360" t="s">
        <v>1509</v>
      </c>
      <c r="F878" s="360" t="s">
        <v>291</v>
      </c>
      <c r="G878" s="336">
        <v>4824.8999999999996</v>
      </c>
      <c r="H878" s="336">
        <v>3964.9989999999998</v>
      </c>
      <c r="I878" s="336">
        <f t="shared" si="407"/>
        <v>82.177848245559488</v>
      </c>
      <c r="J878" s="128"/>
    </row>
    <row r="879" spans="1:14" s="216" customFormat="1" ht="47.25" x14ac:dyDescent="0.25">
      <c r="A879" s="34" t="s">
        <v>805</v>
      </c>
      <c r="B879" s="330">
        <v>907</v>
      </c>
      <c r="C879" s="334" t="s">
        <v>507</v>
      </c>
      <c r="D879" s="334" t="s">
        <v>134</v>
      </c>
      <c r="E879" s="334" t="s">
        <v>340</v>
      </c>
      <c r="F879" s="360"/>
      <c r="G879" s="332">
        <f>G880</f>
        <v>77.400000000000006</v>
      </c>
      <c r="H879" s="332">
        <f t="shared" ref="H879:H882" si="422">H880</f>
        <v>0</v>
      </c>
      <c r="I879" s="332">
        <f t="shared" si="407"/>
        <v>0</v>
      </c>
      <c r="J879" s="128"/>
    </row>
    <row r="880" spans="1:14" s="216" customFormat="1" ht="47.25" x14ac:dyDescent="0.25">
      <c r="A880" s="34" t="s">
        <v>1162</v>
      </c>
      <c r="B880" s="330">
        <v>907</v>
      </c>
      <c r="C880" s="334" t="s">
        <v>507</v>
      </c>
      <c r="D880" s="334" t="s">
        <v>134</v>
      </c>
      <c r="E880" s="334" t="s">
        <v>1025</v>
      </c>
      <c r="F880" s="360"/>
      <c r="G880" s="332">
        <f>G881</f>
        <v>77.400000000000006</v>
      </c>
      <c r="H880" s="332">
        <f t="shared" si="422"/>
        <v>0</v>
      </c>
      <c r="I880" s="332">
        <f t="shared" si="407"/>
        <v>0</v>
      </c>
      <c r="J880" s="128"/>
    </row>
    <row r="881" spans="1:14" s="216" customFormat="1" ht="47.25" x14ac:dyDescent="0.25">
      <c r="A881" s="31" t="s">
        <v>1161</v>
      </c>
      <c r="B881" s="359">
        <v>907</v>
      </c>
      <c r="C881" s="360" t="s">
        <v>507</v>
      </c>
      <c r="D881" s="360" t="s">
        <v>134</v>
      </c>
      <c r="E881" s="360" t="s">
        <v>1026</v>
      </c>
      <c r="F881" s="360"/>
      <c r="G881" s="336">
        <f>G882</f>
        <v>77.400000000000006</v>
      </c>
      <c r="H881" s="336">
        <f t="shared" si="422"/>
        <v>0</v>
      </c>
      <c r="I881" s="336">
        <f t="shared" si="407"/>
        <v>0</v>
      </c>
      <c r="J881" s="128"/>
    </row>
    <row r="882" spans="1:14" s="216" customFormat="1" ht="31.5" x14ac:dyDescent="0.25">
      <c r="A882" s="361" t="s">
        <v>288</v>
      </c>
      <c r="B882" s="359">
        <v>907</v>
      </c>
      <c r="C882" s="360" t="s">
        <v>507</v>
      </c>
      <c r="D882" s="360" t="s">
        <v>134</v>
      </c>
      <c r="E882" s="360" t="s">
        <v>1026</v>
      </c>
      <c r="F882" s="360" t="s">
        <v>289</v>
      </c>
      <c r="G882" s="336">
        <f>G883</f>
        <v>77.400000000000006</v>
      </c>
      <c r="H882" s="336">
        <f t="shared" si="422"/>
        <v>0</v>
      </c>
      <c r="I882" s="336">
        <f t="shared" si="407"/>
        <v>0</v>
      </c>
      <c r="J882" s="128"/>
    </row>
    <row r="883" spans="1:14" s="216" customFormat="1" ht="15.75" x14ac:dyDescent="0.25">
      <c r="A883" s="361" t="s">
        <v>290</v>
      </c>
      <c r="B883" s="359">
        <v>907</v>
      </c>
      <c r="C883" s="360" t="s">
        <v>507</v>
      </c>
      <c r="D883" s="360" t="s">
        <v>134</v>
      </c>
      <c r="E883" s="360" t="s">
        <v>1026</v>
      </c>
      <c r="F883" s="360" t="s">
        <v>291</v>
      </c>
      <c r="G883" s="336">
        <v>77.400000000000006</v>
      </c>
      <c r="H883" s="336">
        <v>0</v>
      </c>
      <c r="I883" s="336">
        <f t="shared" si="407"/>
        <v>0</v>
      </c>
      <c r="J883" s="128"/>
    </row>
    <row r="884" spans="1:14" ht="47.25" x14ac:dyDescent="0.25">
      <c r="A884" s="41" t="s">
        <v>1179</v>
      </c>
      <c r="B884" s="330">
        <v>907</v>
      </c>
      <c r="C884" s="334" t="s">
        <v>507</v>
      </c>
      <c r="D884" s="334" t="s">
        <v>134</v>
      </c>
      <c r="E884" s="334" t="s">
        <v>728</v>
      </c>
      <c r="F884" s="231"/>
      <c r="G884" s="332">
        <f>G885</f>
        <v>540.1</v>
      </c>
      <c r="H884" s="332">
        <f t="shared" ref="H884:H887" si="423">H885</f>
        <v>343.44099999999997</v>
      </c>
      <c r="I884" s="332">
        <f t="shared" si="407"/>
        <v>63.588409553786327</v>
      </c>
      <c r="J884" s="109"/>
    </row>
    <row r="885" spans="1:14" s="214" customFormat="1" ht="47.25" x14ac:dyDescent="0.25">
      <c r="A885" s="41" t="s">
        <v>949</v>
      </c>
      <c r="B885" s="330">
        <v>907</v>
      </c>
      <c r="C885" s="334" t="s">
        <v>507</v>
      </c>
      <c r="D885" s="334" t="s">
        <v>134</v>
      </c>
      <c r="E885" s="334" t="s">
        <v>947</v>
      </c>
      <c r="F885" s="231"/>
      <c r="G885" s="332">
        <f>G886</f>
        <v>540.1</v>
      </c>
      <c r="H885" s="332">
        <f t="shared" si="423"/>
        <v>343.44099999999997</v>
      </c>
      <c r="I885" s="332">
        <f t="shared" si="407"/>
        <v>63.588409553786327</v>
      </c>
      <c r="J885" s="109"/>
      <c r="K885" s="325"/>
      <c r="L885" s="325"/>
      <c r="M885" s="325"/>
      <c r="N885" s="325"/>
    </row>
    <row r="886" spans="1:14" ht="39.200000000000003" customHeight="1" x14ac:dyDescent="0.25">
      <c r="A886" s="99" t="s">
        <v>803</v>
      </c>
      <c r="B886" s="359">
        <v>907</v>
      </c>
      <c r="C886" s="360" t="s">
        <v>507</v>
      </c>
      <c r="D886" s="360" t="s">
        <v>134</v>
      </c>
      <c r="E886" s="360" t="s">
        <v>1027</v>
      </c>
      <c r="F886" s="32"/>
      <c r="G886" s="336">
        <f>G887</f>
        <v>540.1</v>
      </c>
      <c r="H886" s="336">
        <f t="shared" si="423"/>
        <v>343.44099999999997</v>
      </c>
      <c r="I886" s="336">
        <f t="shared" si="407"/>
        <v>63.588409553786327</v>
      </c>
    </row>
    <row r="887" spans="1:14" ht="31.5" x14ac:dyDescent="0.25">
      <c r="A887" s="338" t="s">
        <v>288</v>
      </c>
      <c r="B887" s="359">
        <v>907</v>
      </c>
      <c r="C887" s="360" t="s">
        <v>507</v>
      </c>
      <c r="D887" s="360" t="s">
        <v>134</v>
      </c>
      <c r="E887" s="360" t="s">
        <v>1027</v>
      </c>
      <c r="F887" s="32" t="s">
        <v>289</v>
      </c>
      <c r="G887" s="336">
        <f>G888</f>
        <v>540.1</v>
      </c>
      <c r="H887" s="336">
        <f t="shared" si="423"/>
        <v>343.44099999999997</v>
      </c>
      <c r="I887" s="336">
        <f t="shared" si="407"/>
        <v>63.588409553786327</v>
      </c>
    </row>
    <row r="888" spans="1:14" ht="15.75" x14ac:dyDescent="0.25">
      <c r="A888" s="192" t="s">
        <v>290</v>
      </c>
      <c r="B888" s="359">
        <v>907</v>
      </c>
      <c r="C888" s="360" t="s">
        <v>507</v>
      </c>
      <c r="D888" s="360" t="s">
        <v>134</v>
      </c>
      <c r="E888" s="360" t="s">
        <v>1027</v>
      </c>
      <c r="F888" s="32" t="s">
        <v>291</v>
      </c>
      <c r="G888" s="336">
        <f>377+163.1</f>
        <v>540.1</v>
      </c>
      <c r="H888" s="336">
        <v>343.44099999999997</v>
      </c>
      <c r="I888" s="336">
        <f t="shared" si="407"/>
        <v>63.588409553786327</v>
      </c>
    </row>
    <row r="889" spans="1:14" ht="19.5" customHeight="1" x14ac:dyDescent="0.25">
      <c r="A889" s="333" t="s">
        <v>516</v>
      </c>
      <c r="B889" s="330">
        <v>907</v>
      </c>
      <c r="C889" s="334" t="s">
        <v>507</v>
      </c>
      <c r="D889" s="334" t="s">
        <v>250</v>
      </c>
      <c r="E889" s="334"/>
      <c r="F889" s="334"/>
      <c r="G889" s="332">
        <f>G890+G898+G910</f>
        <v>12966.2</v>
      </c>
      <c r="H889" s="332">
        <f t="shared" ref="H889" si="424">H890+H898+H910</f>
        <v>8179.8089999999993</v>
      </c>
      <c r="I889" s="332">
        <f t="shared" si="407"/>
        <v>63.085630331168716</v>
      </c>
    </row>
    <row r="890" spans="1:14" ht="31.5" x14ac:dyDescent="0.25">
      <c r="A890" s="333" t="s">
        <v>990</v>
      </c>
      <c r="B890" s="330">
        <v>907</v>
      </c>
      <c r="C890" s="334" t="s">
        <v>507</v>
      </c>
      <c r="D890" s="334" t="s">
        <v>250</v>
      </c>
      <c r="E890" s="334" t="s">
        <v>904</v>
      </c>
      <c r="F890" s="334"/>
      <c r="G890" s="332">
        <f>G891</f>
        <v>5160.8999999999996</v>
      </c>
      <c r="H890" s="332">
        <f t="shared" ref="H890" si="425">H891</f>
        <v>3839.47</v>
      </c>
      <c r="I890" s="332">
        <f t="shared" si="407"/>
        <v>74.3953573989033</v>
      </c>
    </row>
    <row r="891" spans="1:14" ht="15.75" x14ac:dyDescent="0.25">
      <c r="A891" s="333" t="s">
        <v>991</v>
      </c>
      <c r="B891" s="330">
        <v>907</v>
      </c>
      <c r="C891" s="334" t="s">
        <v>507</v>
      </c>
      <c r="D891" s="334" t="s">
        <v>250</v>
      </c>
      <c r="E891" s="334" t="s">
        <v>905</v>
      </c>
      <c r="F891" s="334"/>
      <c r="G891" s="332">
        <f>G892+G895</f>
        <v>5160.8999999999996</v>
      </c>
      <c r="H891" s="332">
        <f t="shared" ref="H891" si="426">H892+H895</f>
        <v>3839.47</v>
      </c>
      <c r="I891" s="332">
        <f t="shared" si="407"/>
        <v>74.3953573989033</v>
      </c>
    </row>
    <row r="892" spans="1:14" ht="33" customHeight="1" x14ac:dyDescent="0.25">
      <c r="A892" s="361" t="s">
        <v>967</v>
      </c>
      <c r="B892" s="359">
        <v>907</v>
      </c>
      <c r="C892" s="360" t="s">
        <v>507</v>
      </c>
      <c r="D892" s="360" t="s">
        <v>250</v>
      </c>
      <c r="E892" s="360" t="s">
        <v>906</v>
      </c>
      <c r="F892" s="360"/>
      <c r="G892" s="336">
        <f>G893</f>
        <v>4798.8999999999996</v>
      </c>
      <c r="H892" s="336">
        <f t="shared" ref="H892:H893" si="427">H893</f>
        <v>3479.33</v>
      </c>
      <c r="I892" s="336">
        <f t="shared" si="407"/>
        <v>72.502656858863489</v>
      </c>
    </row>
    <row r="893" spans="1:14" ht="64.5" customHeight="1" x14ac:dyDescent="0.25">
      <c r="A893" s="361" t="s">
        <v>143</v>
      </c>
      <c r="B893" s="359">
        <v>907</v>
      </c>
      <c r="C893" s="360" t="s">
        <v>507</v>
      </c>
      <c r="D893" s="360" t="s">
        <v>250</v>
      </c>
      <c r="E893" s="360" t="s">
        <v>906</v>
      </c>
      <c r="F893" s="360" t="s">
        <v>144</v>
      </c>
      <c r="G893" s="336">
        <f>G894</f>
        <v>4798.8999999999996</v>
      </c>
      <c r="H893" s="336">
        <f t="shared" si="427"/>
        <v>3479.33</v>
      </c>
      <c r="I893" s="336">
        <f t="shared" si="407"/>
        <v>72.502656858863489</v>
      </c>
    </row>
    <row r="894" spans="1:14" ht="31.5" x14ac:dyDescent="0.25">
      <c r="A894" s="361" t="s">
        <v>145</v>
      </c>
      <c r="B894" s="359">
        <v>907</v>
      </c>
      <c r="C894" s="360" t="s">
        <v>507</v>
      </c>
      <c r="D894" s="360" t="s">
        <v>250</v>
      </c>
      <c r="E894" s="360" t="s">
        <v>906</v>
      </c>
      <c r="F894" s="360" t="s">
        <v>146</v>
      </c>
      <c r="G894" s="362">
        <f>4447+266+85.9</f>
        <v>4798.8999999999996</v>
      </c>
      <c r="H894" s="362">
        <v>3479.33</v>
      </c>
      <c r="I894" s="336">
        <f t="shared" si="407"/>
        <v>72.502656858863489</v>
      </c>
    </row>
    <row r="895" spans="1:14" s="214" customFormat="1" ht="36.75" customHeight="1" x14ac:dyDescent="0.25">
      <c r="A895" s="361" t="s">
        <v>885</v>
      </c>
      <c r="B895" s="359">
        <v>907</v>
      </c>
      <c r="C895" s="360" t="s">
        <v>507</v>
      </c>
      <c r="D895" s="360" t="s">
        <v>250</v>
      </c>
      <c r="E895" s="360" t="s">
        <v>908</v>
      </c>
      <c r="F895" s="360"/>
      <c r="G895" s="336">
        <f>G896</f>
        <v>362</v>
      </c>
      <c r="H895" s="336">
        <f t="shared" ref="H895:H896" si="428">H896</f>
        <v>360.14</v>
      </c>
      <c r="I895" s="336">
        <f t="shared" si="407"/>
        <v>99.48618784530386</v>
      </c>
      <c r="J895" s="325"/>
      <c r="K895" s="325"/>
      <c r="L895" s="325"/>
      <c r="M895" s="325"/>
      <c r="N895" s="325"/>
    </row>
    <row r="896" spans="1:14" s="214" customFormat="1" ht="47.25" customHeight="1" x14ac:dyDescent="0.25">
      <c r="A896" s="361" t="s">
        <v>143</v>
      </c>
      <c r="B896" s="359">
        <v>907</v>
      </c>
      <c r="C896" s="360" t="s">
        <v>507</v>
      </c>
      <c r="D896" s="360" t="s">
        <v>250</v>
      </c>
      <c r="E896" s="360" t="s">
        <v>908</v>
      </c>
      <c r="F896" s="360" t="s">
        <v>144</v>
      </c>
      <c r="G896" s="336">
        <f>G897</f>
        <v>362</v>
      </c>
      <c r="H896" s="336">
        <f t="shared" si="428"/>
        <v>360.14</v>
      </c>
      <c r="I896" s="336">
        <f t="shared" si="407"/>
        <v>99.48618784530386</v>
      </c>
      <c r="J896" s="325"/>
      <c r="K896" s="325"/>
      <c r="L896" s="325"/>
      <c r="M896" s="325"/>
      <c r="N896" s="325"/>
    </row>
    <row r="897" spans="1:14" s="214" customFormat="1" ht="34.5" customHeight="1" x14ac:dyDescent="0.25">
      <c r="A897" s="361" t="s">
        <v>145</v>
      </c>
      <c r="B897" s="359">
        <v>907</v>
      </c>
      <c r="C897" s="360" t="s">
        <v>507</v>
      </c>
      <c r="D897" s="360" t="s">
        <v>250</v>
      </c>
      <c r="E897" s="360" t="s">
        <v>908</v>
      </c>
      <c r="F897" s="360" t="s">
        <v>146</v>
      </c>
      <c r="G897" s="336">
        <f>84+252+26</f>
        <v>362</v>
      </c>
      <c r="H897" s="336">
        <v>360.14</v>
      </c>
      <c r="I897" s="336">
        <f t="shared" si="407"/>
        <v>99.48618784530386</v>
      </c>
      <c r="J897" s="325"/>
      <c r="K897" s="325"/>
      <c r="L897" s="325"/>
      <c r="M897" s="325"/>
      <c r="N897" s="325"/>
    </row>
    <row r="898" spans="1:14" ht="15.75" x14ac:dyDescent="0.25">
      <c r="A898" s="333" t="s">
        <v>157</v>
      </c>
      <c r="B898" s="330">
        <v>907</v>
      </c>
      <c r="C898" s="334" t="s">
        <v>507</v>
      </c>
      <c r="D898" s="334" t="s">
        <v>250</v>
      </c>
      <c r="E898" s="334" t="s">
        <v>912</v>
      </c>
      <c r="F898" s="334"/>
      <c r="G898" s="332">
        <f>G899</f>
        <v>5057.3</v>
      </c>
      <c r="H898" s="332">
        <f t="shared" ref="H898" si="429">H899</f>
        <v>3422.6689999999999</v>
      </c>
      <c r="I898" s="332">
        <f t="shared" si="407"/>
        <v>67.677792497973215</v>
      </c>
    </row>
    <row r="899" spans="1:14" s="214" customFormat="1" ht="31.5" x14ac:dyDescent="0.25">
      <c r="A899" s="333" t="s">
        <v>1002</v>
      </c>
      <c r="B899" s="330">
        <v>907</v>
      </c>
      <c r="C899" s="334" t="s">
        <v>507</v>
      </c>
      <c r="D899" s="334" t="s">
        <v>250</v>
      </c>
      <c r="E899" s="334" t="s">
        <v>987</v>
      </c>
      <c r="F899" s="334"/>
      <c r="G899" s="332">
        <f>G900+G907</f>
        <v>5057.3</v>
      </c>
      <c r="H899" s="332">
        <f t="shared" ref="H899" si="430">H900+H907</f>
        <v>3422.6689999999999</v>
      </c>
      <c r="I899" s="332">
        <f t="shared" si="407"/>
        <v>67.677792497973215</v>
      </c>
      <c r="J899" s="325"/>
      <c r="K899" s="325"/>
      <c r="L899" s="325"/>
      <c r="M899" s="325"/>
      <c r="N899" s="325"/>
    </row>
    <row r="900" spans="1:14" ht="31.5" x14ac:dyDescent="0.25">
      <c r="A900" s="361" t="s">
        <v>974</v>
      </c>
      <c r="B900" s="359">
        <v>907</v>
      </c>
      <c r="C900" s="360" t="s">
        <v>507</v>
      </c>
      <c r="D900" s="360" t="s">
        <v>250</v>
      </c>
      <c r="E900" s="360" t="s">
        <v>988</v>
      </c>
      <c r="F900" s="360"/>
      <c r="G900" s="336">
        <f>G901+G903+G905</f>
        <v>4973.3</v>
      </c>
      <c r="H900" s="336">
        <f t="shared" ref="H900" si="431">H901+H903+H905</f>
        <v>3338.6689999999999</v>
      </c>
      <c r="I900" s="336">
        <f t="shared" si="407"/>
        <v>67.131864154585486</v>
      </c>
    </row>
    <row r="901" spans="1:14" ht="72.75" customHeight="1" x14ac:dyDescent="0.25">
      <c r="A901" s="361" t="s">
        <v>143</v>
      </c>
      <c r="B901" s="359">
        <v>907</v>
      </c>
      <c r="C901" s="360" t="s">
        <v>507</v>
      </c>
      <c r="D901" s="360" t="s">
        <v>250</v>
      </c>
      <c r="E901" s="360" t="s">
        <v>988</v>
      </c>
      <c r="F901" s="360" t="s">
        <v>144</v>
      </c>
      <c r="G901" s="336">
        <f>G902</f>
        <v>4617</v>
      </c>
      <c r="H901" s="336">
        <f t="shared" ref="H901" si="432">H902</f>
        <v>3208.7469999999998</v>
      </c>
      <c r="I901" s="336">
        <f t="shared" si="407"/>
        <v>69.498527182152912</v>
      </c>
    </row>
    <row r="902" spans="1:14" ht="25.5" customHeight="1" x14ac:dyDescent="0.25">
      <c r="A902" s="361" t="s">
        <v>358</v>
      </c>
      <c r="B902" s="359">
        <v>907</v>
      </c>
      <c r="C902" s="360" t="s">
        <v>507</v>
      </c>
      <c r="D902" s="360" t="s">
        <v>250</v>
      </c>
      <c r="E902" s="360" t="s">
        <v>988</v>
      </c>
      <c r="F902" s="360" t="s">
        <v>225</v>
      </c>
      <c r="G902" s="362">
        <f>4454+64.3+46+40.7+12</f>
        <v>4617</v>
      </c>
      <c r="H902" s="362">
        <v>3208.7469999999998</v>
      </c>
      <c r="I902" s="336">
        <f t="shared" si="407"/>
        <v>69.498527182152912</v>
      </c>
    </row>
    <row r="903" spans="1:14" ht="31.5" x14ac:dyDescent="0.25">
      <c r="A903" s="361" t="s">
        <v>147</v>
      </c>
      <c r="B903" s="359">
        <v>907</v>
      </c>
      <c r="C903" s="360" t="s">
        <v>507</v>
      </c>
      <c r="D903" s="360" t="s">
        <v>250</v>
      </c>
      <c r="E903" s="360" t="s">
        <v>988</v>
      </c>
      <c r="F903" s="360" t="s">
        <v>148</v>
      </c>
      <c r="G903" s="336">
        <f>G904</f>
        <v>305.3</v>
      </c>
      <c r="H903" s="336">
        <f t="shared" ref="H903" si="433">H904</f>
        <v>129.672</v>
      </c>
      <c r="I903" s="336">
        <f t="shared" si="407"/>
        <v>42.473632492630195</v>
      </c>
    </row>
    <row r="904" spans="1:14" ht="31.5" x14ac:dyDescent="0.25">
      <c r="A904" s="361" t="s">
        <v>149</v>
      </c>
      <c r="B904" s="359">
        <v>907</v>
      </c>
      <c r="C904" s="360" t="s">
        <v>507</v>
      </c>
      <c r="D904" s="360" t="s">
        <v>250</v>
      </c>
      <c r="E904" s="360" t="s">
        <v>988</v>
      </c>
      <c r="F904" s="360" t="s">
        <v>150</v>
      </c>
      <c r="G904" s="362">
        <f>510-82.7-84-38</f>
        <v>305.3</v>
      </c>
      <c r="H904" s="362">
        <v>129.672</v>
      </c>
      <c r="I904" s="336">
        <f t="shared" si="407"/>
        <v>42.473632492630195</v>
      </c>
    </row>
    <row r="905" spans="1:14" ht="15.75" x14ac:dyDescent="0.25">
      <c r="A905" s="361" t="s">
        <v>151</v>
      </c>
      <c r="B905" s="359">
        <v>907</v>
      </c>
      <c r="C905" s="360" t="s">
        <v>507</v>
      </c>
      <c r="D905" s="360" t="s">
        <v>250</v>
      </c>
      <c r="E905" s="360" t="s">
        <v>988</v>
      </c>
      <c r="F905" s="360" t="s">
        <v>161</v>
      </c>
      <c r="G905" s="336">
        <f>G906</f>
        <v>51</v>
      </c>
      <c r="H905" s="336">
        <f t="shared" ref="H905" si="434">H906</f>
        <v>0.25</v>
      </c>
      <c r="I905" s="336">
        <f t="shared" si="407"/>
        <v>0.49019607843137253</v>
      </c>
    </row>
    <row r="906" spans="1:14" ht="15.75" x14ac:dyDescent="0.25">
      <c r="A906" s="361" t="s">
        <v>584</v>
      </c>
      <c r="B906" s="359">
        <v>907</v>
      </c>
      <c r="C906" s="360" t="s">
        <v>507</v>
      </c>
      <c r="D906" s="360" t="s">
        <v>250</v>
      </c>
      <c r="E906" s="360" t="s">
        <v>988</v>
      </c>
      <c r="F906" s="360" t="s">
        <v>154</v>
      </c>
      <c r="G906" s="336">
        <f>27.1+24.1-0.2</f>
        <v>51</v>
      </c>
      <c r="H906" s="336">
        <v>0.25</v>
      </c>
      <c r="I906" s="336">
        <f t="shared" si="407"/>
        <v>0.49019607843137253</v>
      </c>
    </row>
    <row r="907" spans="1:14" s="214" customFormat="1" ht="31.5" x14ac:dyDescent="0.25">
      <c r="A907" s="361" t="s">
        <v>885</v>
      </c>
      <c r="B907" s="359">
        <v>907</v>
      </c>
      <c r="C907" s="360" t="s">
        <v>507</v>
      </c>
      <c r="D907" s="360" t="s">
        <v>250</v>
      </c>
      <c r="E907" s="360" t="s">
        <v>989</v>
      </c>
      <c r="F907" s="360"/>
      <c r="G907" s="336">
        <f>G908</f>
        <v>84</v>
      </c>
      <c r="H907" s="336">
        <f t="shared" ref="H907:H908" si="435">H908</f>
        <v>84</v>
      </c>
      <c r="I907" s="336">
        <f t="shared" ref="I907:I970" si="436">H907/G907*100</f>
        <v>100</v>
      </c>
      <c r="J907" s="325"/>
      <c r="K907" s="325"/>
      <c r="L907" s="325"/>
      <c r="M907" s="325"/>
      <c r="N907" s="325"/>
    </row>
    <row r="908" spans="1:14" s="214" customFormat="1" ht="63" x14ac:dyDescent="0.25">
      <c r="A908" s="361" t="s">
        <v>143</v>
      </c>
      <c r="B908" s="359">
        <v>907</v>
      </c>
      <c r="C908" s="360" t="s">
        <v>507</v>
      </c>
      <c r="D908" s="360" t="s">
        <v>250</v>
      </c>
      <c r="E908" s="360" t="s">
        <v>989</v>
      </c>
      <c r="F908" s="360" t="s">
        <v>144</v>
      </c>
      <c r="G908" s="336">
        <f>G909</f>
        <v>84</v>
      </c>
      <c r="H908" s="336">
        <f t="shared" si="435"/>
        <v>84</v>
      </c>
      <c r="I908" s="336">
        <f t="shared" si="436"/>
        <v>100</v>
      </c>
      <c r="J908" s="325"/>
      <c r="K908" s="325"/>
      <c r="L908" s="325"/>
      <c r="M908" s="325"/>
      <c r="N908" s="325"/>
    </row>
    <row r="909" spans="1:14" s="214" customFormat="1" ht="15.75" x14ac:dyDescent="0.25">
      <c r="A909" s="361" t="s">
        <v>358</v>
      </c>
      <c r="B909" s="359">
        <v>907</v>
      </c>
      <c r="C909" s="360" t="s">
        <v>507</v>
      </c>
      <c r="D909" s="360" t="s">
        <v>250</v>
      </c>
      <c r="E909" s="360" t="s">
        <v>989</v>
      </c>
      <c r="F909" s="360" t="s">
        <v>225</v>
      </c>
      <c r="G909" s="336">
        <f>210-210+84</f>
        <v>84</v>
      </c>
      <c r="H909" s="336">
        <v>84</v>
      </c>
      <c r="I909" s="336">
        <f t="shared" si="436"/>
        <v>100</v>
      </c>
      <c r="J909" s="325"/>
      <c r="K909" s="325"/>
      <c r="L909" s="325"/>
      <c r="M909" s="325"/>
      <c r="N909" s="325"/>
    </row>
    <row r="910" spans="1:14" s="214" customFormat="1" ht="47.25" x14ac:dyDescent="0.25">
      <c r="A910" s="41" t="s">
        <v>497</v>
      </c>
      <c r="B910" s="330">
        <v>907</v>
      </c>
      <c r="C910" s="334" t="s">
        <v>507</v>
      </c>
      <c r="D910" s="334" t="s">
        <v>250</v>
      </c>
      <c r="E910" s="327" t="s">
        <v>498</v>
      </c>
      <c r="F910" s="334"/>
      <c r="G910" s="332">
        <f>G911</f>
        <v>2748</v>
      </c>
      <c r="H910" s="332">
        <f t="shared" ref="H910:H912" si="437">H911</f>
        <v>917.67000000000007</v>
      </c>
      <c r="I910" s="332">
        <f t="shared" si="436"/>
        <v>33.394104803493448</v>
      </c>
      <c r="J910" s="325"/>
      <c r="K910" s="325"/>
      <c r="L910" s="325"/>
      <c r="M910" s="325"/>
      <c r="N910" s="325"/>
    </row>
    <row r="911" spans="1:14" s="214" customFormat="1" ht="31.5" x14ac:dyDescent="0.25">
      <c r="A911" s="58" t="s">
        <v>517</v>
      </c>
      <c r="B911" s="330">
        <v>907</v>
      </c>
      <c r="C911" s="334" t="s">
        <v>507</v>
      </c>
      <c r="D911" s="334" t="s">
        <v>250</v>
      </c>
      <c r="E911" s="327" t="s">
        <v>518</v>
      </c>
      <c r="F911" s="334"/>
      <c r="G911" s="332">
        <f>G912</f>
        <v>2748</v>
      </c>
      <c r="H911" s="332">
        <f t="shared" si="437"/>
        <v>917.67000000000007</v>
      </c>
      <c r="I911" s="332">
        <f t="shared" si="436"/>
        <v>33.394104803493448</v>
      </c>
      <c r="J911" s="325"/>
      <c r="K911" s="325"/>
      <c r="L911" s="325"/>
      <c r="M911" s="325"/>
      <c r="N911" s="325"/>
    </row>
    <row r="912" spans="1:14" s="214" customFormat="1" ht="31.5" x14ac:dyDescent="0.25">
      <c r="A912" s="58" t="s">
        <v>1086</v>
      </c>
      <c r="B912" s="330">
        <v>907</v>
      </c>
      <c r="C912" s="334" t="s">
        <v>507</v>
      </c>
      <c r="D912" s="334" t="s">
        <v>250</v>
      </c>
      <c r="E912" s="327" t="s">
        <v>1087</v>
      </c>
      <c r="F912" s="334"/>
      <c r="G912" s="332">
        <f>G913</f>
        <v>2748</v>
      </c>
      <c r="H912" s="332">
        <f t="shared" si="437"/>
        <v>917.67000000000007</v>
      </c>
      <c r="I912" s="332">
        <f t="shared" si="436"/>
        <v>33.394104803493448</v>
      </c>
      <c r="J912" s="325"/>
      <c r="K912" s="325"/>
      <c r="L912" s="325"/>
      <c r="M912" s="325"/>
      <c r="N912" s="325"/>
    </row>
    <row r="913" spans="1:14" s="214" customFormat="1" ht="15.75" x14ac:dyDescent="0.25">
      <c r="A913" s="338" t="s">
        <v>1088</v>
      </c>
      <c r="B913" s="359">
        <v>907</v>
      </c>
      <c r="C913" s="360" t="s">
        <v>507</v>
      </c>
      <c r="D913" s="360" t="s">
        <v>250</v>
      </c>
      <c r="E913" s="339" t="s">
        <v>1236</v>
      </c>
      <c r="F913" s="360"/>
      <c r="G913" s="336">
        <f>G914+G916</f>
        <v>2748</v>
      </c>
      <c r="H913" s="336">
        <f t="shared" ref="H913" si="438">H914+H916</f>
        <v>917.67000000000007</v>
      </c>
      <c r="I913" s="336">
        <f t="shared" si="436"/>
        <v>33.394104803493448</v>
      </c>
      <c r="J913" s="325"/>
      <c r="K913" s="325"/>
      <c r="L913" s="325"/>
      <c r="M913" s="325"/>
      <c r="N913" s="325"/>
    </row>
    <row r="914" spans="1:14" s="214" customFormat="1" ht="63" x14ac:dyDescent="0.25">
      <c r="A914" s="361" t="s">
        <v>143</v>
      </c>
      <c r="B914" s="359">
        <v>907</v>
      </c>
      <c r="C914" s="360" t="s">
        <v>507</v>
      </c>
      <c r="D914" s="360" t="s">
        <v>250</v>
      </c>
      <c r="E914" s="339" t="s">
        <v>1236</v>
      </c>
      <c r="F914" s="360" t="s">
        <v>144</v>
      </c>
      <c r="G914" s="336">
        <f>G915</f>
        <v>2148</v>
      </c>
      <c r="H914" s="336">
        <f t="shared" ref="H914" si="439">H915</f>
        <v>453.04</v>
      </c>
      <c r="I914" s="336">
        <f t="shared" si="436"/>
        <v>21.09124767225326</v>
      </c>
      <c r="J914" s="325"/>
      <c r="K914" s="325"/>
      <c r="L914" s="325"/>
      <c r="M914" s="325"/>
      <c r="N914" s="325"/>
    </row>
    <row r="915" spans="1:14" s="214" customFormat="1" ht="15.75" x14ac:dyDescent="0.25">
      <c r="A915" s="361" t="s">
        <v>358</v>
      </c>
      <c r="B915" s="359">
        <v>907</v>
      </c>
      <c r="C915" s="360" t="s">
        <v>507</v>
      </c>
      <c r="D915" s="360" t="s">
        <v>250</v>
      </c>
      <c r="E915" s="339" t="s">
        <v>1236</v>
      </c>
      <c r="F915" s="360" t="s">
        <v>225</v>
      </c>
      <c r="G915" s="336">
        <f>1500+1000-100-252</f>
        <v>2148</v>
      </c>
      <c r="H915" s="336">
        <v>453.04</v>
      </c>
      <c r="I915" s="336">
        <f t="shared" si="436"/>
        <v>21.09124767225326</v>
      </c>
      <c r="J915" s="325"/>
      <c r="K915" s="325"/>
      <c r="L915" s="325"/>
      <c r="M915" s="325"/>
      <c r="N915" s="325"/>
    </row>
    <row r="916" spans="1:14" s="214" customFormat="1" ht="31.5" x14ac:dyDescent="0.25">
      <c r="A916" s="338" t="s">
        <v>147</v>
      </c>
      <c r="B916" s="359">
        <v>907</v>
      </c>
      <c r="C916" s="360" t="s">
        <v>507</v>
      </c>
      <c r="D916" s="360" t="s">
        <v>250</v>
      </c>
      <c r="E916" s="339" t="s">
        <v>1236</v>
      </c>
      <c r="F916" s="360" t="s">
        <v>148</v>
      </c>
      <c r="G916" s="336">
        <f>G917</f>
        <v>600</v>
      </c>
      <c r="H916" s="336">
        <f t="shared" ref="H916" si="440">H917</f>
        <v>464.63</v>
      </c>
      <c r="I916" s="336">
        <f t="shared" si="436"/>
        <v>77.438333333333333</v>
      </c>
      <c r="J916" s="325"/>
      <c r="K916" s="325"/>
      <c r="L916" s="325"/>
      <c r="M916" s="325"/>
      <c r="N916" s="325"/>
    </row>
    <row r="917" spans="1:14" s="214" customFormat="1" ht="31.5" x14ac:dyDescent="0.25">
      <c r="A917" s="338" t="s">
        <v>149</v>
      </c>
      <c r="B917" s="359">
        <v>907</v>
      </c>
      <c r="C917" s="360" t="s">
        <v>507</v>
      </c>
      <c r="D917" s="360" t="s">
        <v>250</v>
      </c>
      <c r="E917" s="339" t="s">
        <v>1236</v>
      </c>
      <c r="F917" s="360" t="s">
        <v>150</v>
      </c>
      <c r="G917" s="336">
        <f>500+100</f>
        <v>600</v>
      </c>
      <c r="H917" s="336">
        <v>464.63</v>
      </c>
      <c r="I917" s="336">
        <f t="shared" si="436"/>
        <v>77.438333333333333</v>
      </c>
      <c r="J917" s="325"/>
      <c r="K917" s="325"/>
      <c r="L917" s="325"/>
      <c r="M917" s="325"/>
      <c r="N917" s="325"/>
    </row>
    <row r="918" spans="1:14" ht="31.5" x14ac:dyDescent="0.25">
      <c r="A918" s="330" t="s">
        <v>520</v>
      </c>
      <c r="B918" s="330">
        <v>908</v>
      </c>
      <c r="C918" s="360"/>
      <c r="D918" s="360"/>
      <c r="E918" s="360"/>
      <c r="F918" s="360"/>
      <c r="G918" s="332">
        <f>G938+G945+G972+G1145+G919</f>
        <v>117769.20000000001</v>
      </c>
      <c r="H918" s="332">
        <f t="shared" ref="H918" si="441">H938+H945+H972+H1145+H919</f>
        <v>65616.975000000006</v>
      </c>
      <c r="I918" s="332">
        <f t="shared" si="436"/>
        <v>55.716583792706409</v>
      </c>
    </row>
    <row r="919" spans="1:14" ht="15.75" x14ac:dyDescent="0.25">
      <c r="A919" s="34" t="s">
        <v>133</v>
      </c>
      <c r="B919" s="330">
        <v>908</v>
      </c>
      <c r="C919" s="334" t="s">
        <v>134</v>
      </c>
      <c r="D919" s="360"/>
      <c r="E919" s="360"/>
      <c r="F919" s="360"/>
      <c r="G919" s="332">
        <f>G920</f>
        <v>42542.400000000001</v>
      </c>
      <c r="H919" s="332">
        <f t="shared" ref="H919:H920" si="442">H920</f>
        <v>28301.590999999997</v>
      </c>
      <c r="I919" s="332">
        <f t="shared" si="436"/>
        <v>66.525609744631225</v>
      </c>
    </row>
    <row r="920" spans="1:14" ht="15.75" x14ac:dyDescent="0.25">
      <c r="A920" s="34" t="s">
        <v>155</v>
      </c>
      <c r="B920" s="330">
        <v>908</v>
      </c>
      <c r="C920" s="334" t="s">
        <v>134</v>
      </c>
      <c r="D920" s="334" t="s">
        <v>156</v>
      </c>
      <c r="E920" s="360"/>
      <c r="F920" s="360"/>
      <c r="G920" s="332">
        <f>G921</f>
        <v>42542.400000000001</v>
      </c>
      <c r="H920" s="332">
        <f t="shared" si="442"/>
        <v>28301.590999999997</v>
      </c>
      <c r="I920" s="332">
        <f t="shared" si="436"/>
        <v>66.525609744631225</v>
      </c>
    </row>
    <row r="921" spans="1:14" ht="21.2" customHeight="1" x14ac:dyDescent="0.25">
      <c r="A921" s="333" t="s">
        <v>157</v>
      </c>
      <c r="B921" s="330">
        <v>908</v>
      </c>
      <c r="C921" s="334" t="s">
        <v>134</v>
      </c>
      <c r="D921" s="334" t="s">
        <v>156</v>
      </c>
      <c r="E921" s="334" t="s">
        <v>912</v>
      </c>
      <c r="F921" s="334"/>
      <c r="G921" s="44">
        <f>G922+G933</f>
        <v>42542.400000000001</v>
      </c>
      <c r="H921" s="44">
        <f t="shared" ref="H921" si="443">H922+H933</f>
        <v>28301.590999999997</v>
      </c>
      <c r="I921" s="332">
        <f t="shared" si="436"/>
        <v>66.525609744631225</v>
      </c>
    </row>
    <row r="922" spans="1:14" ht="15.75" x14ac:dyDescent="0.25">
      <c r="A922" s="333" t="s">
        <v>1090</v>
      </c>
      <c r="B922" s="330">
        <v>908</v>
      </c>
      <c r="C922" s="334" t="s">
        <v>134</v>
      </c>
      <c r="D922" s="334" t="s">
        <v>156</v>
      </c>
      <c r="E922" s="334" t="s">
        <v>1089</v>
      </c>
      <c r="F922" s="334"/>
      <c r="G922" s="44">
        <f>G926+G923</f>
        <v>42365.4</v>
      </c>
      <c r="H922" s="44">
        <f t="shared" ref="H922" si="444">H926+H923</f>
        <v>28142.473999999998</v>
      </c>
      <c r="I922" s="332">
        <f t="shared" si="436"/>
        <v>66.427967161882094</v>
      </c>
    </row>
    <row r="923" spans="1:14" s="214" customFormat="1" ht="31.5" x14ac:dyDescent="0.25">
      <c r="A923" s="361" t="s">
        <v>885</v>
      </c>
      <c r="B923" s="359">
        <v>908</v>
      </c>
      <c r="C923" s="360" t="s">
        <v>134</v>
      </c>
      <c r="D923" s="360" t="s">
        <v>156</v>
      </c>
      <c r="E923" s="360" t="s">
        <v>1092</v>
      </c>
      <c r="F923" s="360"/>
      <c r="G923" s="336">
        <f>G924</f>
        <v>1072</v>
      </c>
      <c r="H923" s="336">
        <f t="shared" ref="H923:H924" si="445">H924</f>
        <v>1025.626</v>
      </c>
      <c r="I923" s="336">
        <f t="shared" si="436"/>
        <v>95.674067164179093</v>
      </c>
      <c r="J923" s="325"/>
      <c r="K923" s="325"/>
      <c r="L923" s="325"/>
      <c r="M923" s="325"/>
      <c r="N923" s="325"/>
    </row>
    <row r="924" spans="1:14" s="214" customFormat="1" ht="63" x14ac:dyDescent="0.25">
      <c r="A924" s="361" t="s">
        <v>143</v>
      </c>
      <c r="B924" s="359">
        <v>908</v>
      </c>
      <c r="C924" s="360" t="s">
        <v>134</v>
      </c>
      <c r="D924" s="360" t="s">
        <v>156</v>
      </c>
      <c r="E924" s="360" t="s">
        <v>1092</v>
      </c>
      <c r="F924" s="360" t="s">
        <v>144</v>
      </c>
      <c r="G924" s="336">
        <f>G925</f>
        <v>1072</v>
      </c>
      <c r="H924" s="336">
        <f t="shared" si="445"/>
        <v>1025.626</v>
      </c>
      <c r="I924" s="336">
        <f t="shared" si="436"/>
        <v>95.674067164179093</v>
      </c>
      <c r="J924" s="325"/>
      <c r="K924" s="325"/>
      <c r="L924" s="325"/>
      <c r="M924" s="325"/>
      <c r="N924" s="325"/>
    </row>
    <row r="925" spans="1:14" s="214" customFormat="1" ht="31.5" x14ac:dyDescent="0.25">
      <c r="A925" s="361" t="s">
        <v>145</v>
      </c>
      <c r="B925" s="359">
        <v>908</v>
      </c>
      <c r="C925" s="360" t="s">
        <v>134</v>
      </c>
      <c r="D925" s="360" t="s">
        <v>156</v>
      </c>
      <c r="E925" s="360" t="s">
        <v>1092</v>
      </c>
      <c r="F925" s="360" t="s">
        <v>225</v>
      </c>
      <c r="G925" s="336">
        <f>672+400</f>
        <v>1072</v>
      </c>
      <c r="H925" s="336">
        <v>1025.626</v>
      </c>
      <c r="I925" s="336">
        <f t="shared" si="436"/>
        <v>95.674067164179093</v>
      </c>
      <c r="J925" s="325"/>
      <c r="K925" s="325"/>
      <c r="L925" s="325"/>
      <c r="M925" s="325"/>
      <c r="N925" s="325"/>
    </row>
    <row r="926" spans="1:14" s="214" customFormat="1" ht="15.75" x14ac:dyDescent="0.25">
      <c r="A926" s="361" t="s">
        <v>834</v>
      </c>
      <c r="B926" s="359">
        <v>908</v>
      </c>
      <c r="C926" s="360" t="s">
        <v>134</v>
      </c>
      <c r="D926" s="360" t="s">
        <v>156</v>
      </c>
      <c r="E926" s="360" t="s">
        <v>1091</v>
      </c>
      <c r="F926" s="360"/>
      <c r="G926" s="362">
        <f>G927+G929+G931</f>
        <v>41293.4</v>
      </c>
      <c r="H926" s="362">
        <f t="shared" ref="H926" si="446">H927+H929+H931</f>
        <v>27116.847999999998</v>
      </c>
      <c r="I926" s="336">
        <f t="shared" si="436"/>
        <v>65.668721878072517</v>
      </c>
      <c r="J926" s="325"/>
      <c r="K926" s="325"/>
      <c r="L926" s="325"/>
      <c r="M926" s="325"/>
      <c r="N926" s="325"/>
    </row>
    <row r="927" spans="1:14" ht="74.25" customHeight="1" x14ac:dyDescent="0.25">
      <c r="A927" s="361" t="s">
        <v>143</v>
      </c>
      <c r="B927" s="359">
        <v>908</v>
      </c>
      <c r="C927" s="360" t="s">
        <v>134</v>
      </c>
      <c r="D927" s="360" t="s">
        <v>156</v>
      </c>
      <c r="E927" s="360" t="s">
        <v>1091</v>
      </c>
      <c r="F927" s="360" t="s">
        <v>144</v>
      </c>
      <c r="G927" s="362">
        <f>G928</f>
        <v>31418.500000000004</v>
      </c>
      <c r="H927" s="362">
        <f t="shared" ref="H927" si="447">H928</f>
        <v>21840.544000000002</v>
      </c>
      <c r="I927" s="336">
        <f t="shared" si="436"/>
        <v>69.514916370927949</v>
      </c>
    </row>
    <row r="928" spans="1:14" ht="15.75" x14ac:dyDescent="0.25">
      <c r="A928" s="46" t="s">
        <v>358</v>
      </c>
      <c r="B928" s="359">
        <v>908</v>
      </c>
      <c r="C928" s="360" t="s">
        <v>134</v>
      </c>
      <c r="D928" s="360" t="s">
        <v>156</v>
      </c>
      <c r="E928" s="360" t="s">
        <v>1091</v>
      </c>
      <c r="F928" s="360" t="s">
        <v>225</v>
      </c>
      <c r="G928" s="362">
        <f>30180-27.6-1329.3+49.2+14.9+2531.3</f>
        <v>31418.500000000004</v>
      </c>
      <c r="H928" s="362">
        <v>21840.544000000002</v>
      </c>
      <c r="I928" s="336">
        <f t="shared" si="436"/>
        <v>69.514916370927949</v>
      </c>
    </row>
    <row r="929" spans="1:9" ht="31.5" x14ac:dyDescent="0.25">
      <c r="A929" s="361" t="s">
        <v>147</v>
      </c>
      <c r="B929" s="359">
        <v>908</v>
      </c>
      <c r="C929" s="360" t="s">
        <v>134</v>
      </c>
      <c r="D929" s="360" t="s">
        <v>156</v>
      </c>
      <c r="E929" s="360" t="s">
        <v>1091</v>
      </c>
      <c r="F929" s="360" t="s">
        <v>148</v>
      </c>
      <c r="G929" s="362">
        <f>G930</f>
        <v>9333.8000000000011</v>
      </c>
      <c r="H929" s="362">
        <f t="shared" ref="H929" si="448">H930</f>
        <v>4744.42</v>
      </c>
      <c r="I929" s="336">
        <f t="shared" si="436"/>
        <v>50.830529902076314</v>
      </c>
    </row>
    <row r="930" spans="1:9" ht="31.5" x14ac:dyDescent="0.25">
      <c r="A930" s="361" t="s">
        <v>149</v>
      </c>
      <c r="B930" s="359">
        <v>908</v>
      </c>
      <c r="C930" s="360" t="s">
        <v>134</v>
      </c>
      <c r="D930" s="360" t="s">
        <v>156</v>
      </c>
      <c r="E930" s="360" t="s">
        <v>1091</v>
      </c>
      <c r="F930" s="360" t="s">
        <v>150</v>
      </c>
      <c r="G930" s="362">
        <f>7000-400+46.2-80+661.5+1329.3-165.3-40.1+599.7+382.5</f>
        <v>9333.8000000000011</v>
      </c>
      <c r="H930" s="362">
        <v>4744.42</v>
      </c>
      <c r="I930" s="336">
        <f t="shared" si="436"/>
        <v>50.830529902076314</v>
      </c>
    </row>
    <row r="931" spans="1:9" ht="15.75" x14ac:dyDescent="0.25">
      <c r="A931" s="361" t="s">
        <v>151</v>
      </c>
      <c r="B931" s="359">
        <v>908</v>
      </c>
      <c r="C931" s="360" t="s">
        <v>134</v>
      </c>
      <c r="D931" s="360" t="s">
        <v>156</v>
      </c>
      <c r="E931" s="360" t="s">
        <v>1091</v>
      </c>
      <c r="F931" s="360" t="s">
        <v>161</v>
      </c>
      <c r="G931" s="362">
        <f>G932</f>
        <v>541.1</v>
      </c>
      <c r="H931" s="362">
        <f t="shared" ref="H931" si="449">H932</f>
        <v>531.88400000000001</v>
      </c>
      <c r="I931" s="336">
        <f t="shared" si="436"/>
        <v>98.296802809092583</v>
      </c>
    </row>
    <row r="932" spans="1:9" ht="15.75" x14ac:dyDescent="0.25">
      <c r="A932" s="361" t="s">
        <v>727</v>
      </c>
      <c r="B932" s="359">
        <v>908</v>
      </c>
      <c r="C932" s="360" t="s">
        <v>134</v>
      </c>
      <c r="D932" s="360" t="s">
        <v>156</v>
      </c>
      <c r="E932" s="360" t="s">
        <v>1091</v>
      </c>
      <c r="F932" s="360" t="s">
        <v>154</v>
      </c>
      <c r="G932" s="362">
        <f>421+80+40.1</f>
        <v>541.1</v>
      </c>
      <c r="H932" s="362">
        <v>531.88400000000001</v>
      </c>
      <c r="I932" s="336">
        <f t="shared" si="436"/>
        <v>98.296802809092583</v>
      </c>
    </row>
    <row r="933" spans="1:9" s="325" customFormat="1" ht="15.75" x14ac:dyDescent="0.25">
      <c r="A933" s="333" t="s">
        <v>157</v>
      </c>
      <c r="B933" s="330">
        <v>908</v>
      </c>
      <c r="C933" s="334" t="s">
        <v>134</v>
      </c>
      <c r="D933" s="334" t="s">
        <v>156</v>
      </c>
      <c r="E933" s="334" t="s">
        <v>912</v>
      </c>
      <c r="F933" s="360"/>
      <c r="G933" s="44">
        <f>G934</f>
        <v>177</v>
      </c>
      <c r="H933" s="44">
        <f t="shared" ref="H933:H936" si="450">H934</f>
        <v>159.11699999999999</v>
      </c>
      <c r="I933" s="332">
        <f t="shared" si="436"/>
        <v>89.896610169491524</v>
      </c>
    </row>
    <row r="934" spans="1:9" s="325" customFormat="1" ht="31.5" x14ac:dyDescent="0.25">
      <c r="A934" s="333" t="s">
        <v>916</v>
      </c>
      <c r="B934" s="330">
        <v>908</v>
      </c>
      <c r="C934" s="334" t="s">
        <v>134</v>
      </c>
      <c r="D934" s="334" t="s">
        <v>156</v>
      </c>
      <c r="E934" s="334" t="s">
        <v>911</v>
      </c>
      <c r="F934" s="360"/>
      <c r="G934" s="44">
        <f>G935</f>
        <v>177</v>
      </c>
      <c r="H934" s="44">
        <f t="shared" si="450"/>
        <v>159.11699999999999</v>
      </c>
      <c r="I934" s="332">
        <f t="shared" si="436"/>
        <v>89.896610169491524</v>
      </c>
    </row>
    <row r="935" spans="1:9" s="216" customFormat="1" ht="31.5" x14ac:dyDescent="0.25">
      <c r="A935" s="361" t="s">
        <v>1523</v>
      </c>
      <c r="B935" s="359">
        <v>908</v>
      </c>
      <c r="C935" s="360" t="s">
        <v>134</v>
      </c>
      <c r="D935" s="360" t="s">
        <v>156</v>
      </c>
      <c r="E935" s="360" t="s">
        <v>1524</v>
      </c>
      <c r="F935" s="360"/>
      <c r="G935" s="362">
        <f>G936</f>
        <v>177</v>
      </c>
      <c r="H935" s="362">
        <f t="shared" si="450"/>
        <v>159.11699999999999</v>
      </c>
      <c r="I935" s="336">
        <f t="shared" si="436"/>
        <v>89.896610169491524</v>
      </c>
    </row>
    <row r="936" spans="1:9" s="216" customFormat="1" ht="63" x14ac:dyDescent="0.25">
      <c r="A936" s="361" t="s">
        <v>143</v>
      </c>
      <c r="B936" s="359">
        <v>908</v>
      </c>
      <c r="C936" s="360" t="s">
        <v>134</v>
      </c>
      <c r="D936" s="360" t="s">
        <v>156</v>
      </c>
      <c r="E936" s="360" t="s">
        <v>1524</v>
      </c>
      <c r="F936" s="360" t="s">
        <v>144</v>
      </c>
      <c r="G936" s="362">
        <f>G937</f>
        <v>177</v>
      </c>
      <c r="H936" s="362">
        <f t="shared" si="450"/>
        <v>159.11699999999999</v>
      </c>
      <c r="I936" s="336">
        <f t="shared" si="436"/>
        <v>89.896610169491524</v>
      </c>
    </row>
    <row r="937" spans="1:9" s="216" customFormat="1" ht="15.75" x14ac:dyDescent="0.25">
      <c r="A937" s="46" t="s">
        <v>358</v>
      </c>
      <c r="B937" s="359">
        <v>908</v>
      </c>
      <c r="C937" s="360" t="s">
        <v>134</v>
      </c>
      <c r="D937" s="360" t="s">
        <v>156</v>
      </c>
      <c r="E937" s="360" t="s">
        <v>1524</v>
      </c>
      <c r="F937" s="360" t="s">
        <v>225</v>
      </c>
      <c r="G937" s="362">
        <v>177</v>
      </c>
      <c r="H937" s="362">
        <v>159.11699999999999</v>
      </c>
      <c r="I937" s="336">
        <f t="shared" si="436"/>
        <v>89.896610169491524</v>
      </c>
    </row>
    <row r="938" spans="1:9" ht="31.5" x14ac:dyDescent="0.25">
      <c r="A938" s="333" t="s">
        <v>238</v>
      </c>
      <c r="B938" s="330">
        <v>908</v>
      </c>
      <c r="C938" s="334" t="s">
        <v>231</v>
      </c>
      <c r="D938" s="334"/>
      <c r="E938" s="334"/>
      <c r="F938" s="334"/>
      <c r="G938" s="332">
        <f t="shared" ref="G938:H943" si="451">G939</f>
        <v>107</v>
      </c>
      <c r="H938" s="332">
        <f t="shared" si="451"/>
        <v>10.4</v>
      </c>
      <c r="I938" s="332">
        <f t="shared" si="436"/>
        <v>9.7196261682242984</v>
      </c>
    </row>
    <row r="939" spans="1:9" ht="51" customHeight="1" x14ac:dyDescent="0.25">
      <c r="A939" s="333" t="s">
        <v>239</v>
      </c>
      <c r="B939" s="330">
        <v>908</v>
      </c>
      <c r="C939" s="334" t="s">
        <v>231</v>
      </c>
      <c r="D939" s="334" t="s">
        <v>235</v>
      </c>
      <c r="E939" s="334"/>
      <c r="F939" s="334"/>
      <c r="G939" s="332">
        <f t="shared" si="451"/>
        <v>107</v>
      </c>
      <c r="H939" s="332">
        <f t="shared" si="451"/>
        <v>10.4</v>
      </c>
      <c r="I939" s="332">
        <f t="shared" si="436"/>
        <v>9.7196261682242984</v>
      </c>
    </row>
    <row r="940" spans="1:9" ht="21.75" customHeight="1" x14ac:dyDescent="0.25">
      <c r="A940" s="333" t="s">
        <v>157</v>
      </c>
      <c r="B940" s="330">
        <v>908</v>
      </c>
      <c r="C940" s="334" t="s">
        <v>231</v>
      </c>
      <c r="D940" s="334" t="s">
        <v>235</v>
      </c>
      <c r="E940" s="334" t="s">
        <v>912</v>
      </c>
      <c r="F940" s="334"/>
      <c r="G940" s="332">
        <f t="shared" si="451"/>
        <v>107</v>
      </c>
      <c r="H940" s="332">
        <f t="shared" si="451"/>
        <v>10.4</v>
      </c>
      <c r="I940" s="332">
        <f t="shared" si="436"/>
        <v>9.7196261682242984</v>
      </c>
    </row>
    <row r="941" spans="1:9" ht="31.5" x14ac:dyDescent="0.25">
      <c r="A941" s="333" t="s">
        <v>916</v>
      </c>
      <c r="B941" s="330">
        <v>908</v>
      </c>
      <c r="C941" s="334" t="s">
        <v>231</v>
      </c>
      <c r="D941" s="334" t="s">
        <v>235</v>
      </c>
      <c r="E941" s="334" t="s">
        <v>911</v>
      </c>
      <c r="F941" s="334"/>
      <c r="G941" s="332">
        <f t="shared" si="451"/>
        <v>107</v>
      </c>
      <c r="H941" s="332">
        <f t="shared" si="451"/>
        <v>10.4</v>
      </c>
      <c r="I941" s="332">
        <f t="shared" si="436"/>
        <v>9.7196261682242984</v>
      </c>
    </row>
    <row r="942" spans="1:9" ht="15.75" x14ac:dyDescent="0.25">
      <c r="A942" s="361" t="s">
        <v>246</v>
      </c>
      <c r="B942" s="359">
        <v>908</v>
      </c>
      <c r="C942" s="360" t="s">
        <v>231</v>
      </c>
      <c r="D942" s="360" t="s">
        <v>235</v>
      </c>
      <c r="E942" s="360" t="s">
        <v>922</v>
      </c>
      <c r="F942" s="360"/>
      <c r="G942" s="336">
        <f t="shared" si="451"/>
        <v>107</v>
      </c>
      <c r="H942" s="336">
        <f t="shared" si="451"/>
        <v>10.4</v>
      </c>
      <c r="I942" s="336">
        <f t="shared" si="436"/>
        <v>9.7196261682242984</v>
      </c>
    </row>
    <row r="943" spans="1:9" ht="31.5" x14ac:dyDescent="0.25">
      <c r="A943" s="361" t="s">
        <v>147</v>
      </c>
      <c r="B943" s="359">
        <v>908</v>
      </c>
      <c r="C943" s="360" t="s">
        <v>231</v>
      </c>
      <c r="D943" s="360" t="s">
        <v>235</v>
      </c>
      <c r="E943" s="360" t="s">
        <v>922</v>
      </c>
      <c r="F943" s="360" t="s">
        <v>148</v>
      </c>
      <c r="G943" s="336">
        <f t="shared" si="451"/>
        <v>107</v>
      </c>
      <c r="H943" s="336">
        <f t="shared" si="451"/>
        <v>10.4</v>
      </c>
      <c r="I943" s="336">
        <f t="shared" si="436"/>
        <v>9.7196261682242984</v>
      </c>
    </row>
    <row r="944" spans="1:9" ht="31.5" x14ac:dyDescent="0.25">
      <c r="A944" s="361" t="s">
        <v>149</v>
      </c>
      <c r="B944" s="359">
        <v>908</v>
      </c>
      <c r="C944" s="360" t="s">
        <v>231</v>
      </c>
      <c r="D944" s="360" t="s">
        <v>235</v>
      </c>
      <c r="E944" s="360" t="s">
        <v>922</v>
      </c>
      <c r="F944" s="360" t="s">
        <v>150</v>
      </c>
      <c r="G944" s="336">
        <v>107</v>
      </c>
      <c r="H944" s="336">
        <v>10.4</v>
      </c>
      <c r="I944" s="336">
        <f t="shared" si="436"/>
        <v>9.7196261682242984</v>
      </c>
    </row>
    <row r="945" spans="1:14" ht="15.75" x14ac:dyDescent="0.25">
      <c r="A945" s="333" t="s">
        <v>248</v>
      </c>
      <c r="B945" s="330">
        <v>908</v>
      </c>
      <c r="C945" s="334" t="s">
        <v>166</v>
      </c>
      <c r="D945" s="334"/>
      <c r="E945" s="334"/>
      <c r="F945" s="334"/>
      <c r="G945" s="332">
        <f>G946+G952+G966</f>
        <v>7219.3</v>
      </c>
      <c r="H945" s="332">
        <f t="shared" ref="H945" si="452">H946+H952+H966</f>
        <v>4460.4760000000006</v>
      </c>
      <c r="I945" s="332">
        <f t="shared" si="436"/>
        <v>61.785436261133356</v>
      </c>
    </row>
    <row r="946" spans="1:14" ht="15.75" x14ac:dyDescent="0.25">
      <c r="A946" s="333" t="s">
        <v>521</v>
      </c>
      <c r="B946" s="330">
        <v>908</v>
      </c>
      <c r="C946" s="334" t="s">
        <v>166</v>
      </c>
      <c r="D946" s="334" t="s">
        <v>315</v>
      </c>
      <c r="E946" s="334"/>
      <c r="F946" s="334"/>
      <c r="G946" s="332">
        <f>G947</f>
        <v>3258</v>
      </c>
      <c r="H946" s="332">
        <f t="shared" ref="H946:H950" si="453">H947</f>
        <v>2116.4079999999999</v>
      </c>
      <c r="I946" s="332">
        <f t="shared" si="436"/>
        <v>64.960343769183552</v>
      </c>
    </row>
    <row r="947" spans="1:14" ht="15.75" x14ac:dyDescent="0.25">
      <c r="A947" s="333" t="s">
        <v>157</v>
      </c>
      <c r="B947" s="330">
        <v>908</v>
      </c>
      <c r="C947" s="334" t="s">
        <v>166</v>
      </c>
      <c r="D947" s="334" t="s">
        <v>315</v>
      </c>
      <c r="E947" s="334" t="s">
        <v>912</v>
      </c>
      <c r="F947" s="334"/>
      <c r="G947" s="332">
        <f>G948</f>
        <v>3258</v>
      </c>
      <c r="H947" s="332">
        <f t="shared" si="453"/>
        <v>2116.4079999999999</v>
      </c>
      <c r="I947" s="332">
        <f t="shared" si="436"/>
        <v>64.960343769183552</v>
      </c>
    </row>
    <row r="948" spans="1:14" ht="31.5" x14ac:dyDescent="0.25">
      <c r="A948" s="333" t="s">
        <v>916</v>
      </c>
      <c r="B948" s="330">
        <v>908</v>
      </c>
      <c r="C948" s="334" t="s">
        <v>166</v>
      </c>
      <c r="D948" s="334" t="s">
        <v>315</v>
      </c>
      <c r="E948" s="334" t="s">
        <v>911</v>
      </c>
      <c r="F948" s="334"/>
      <c r="G948" s="332">
        <f>G949</f>
        <v>3258</v>
      </c>
      <c r="H948" s="332">
        <f t="shared" si="453"/>
        <v>2116.4079999999999</v>
      </c>
      <c r="I948" s="332">
        <f t="shared" si="436"/>
        <v>64.960343769183552</v>
      </c>
    </row>
    <row r="949" spans="1:14" ht="18" customHeight="1" x14ac:dyDescent="0.25">
      <c r="A949" s="361" t="s">
        <v>522</v>
      </c>
      <c r="B949" s="359">
        <v>908</v>
      </c>
      <c r="C949" s="360" t="s">
        <v>166</v>
      </c>
      <c r="D949" s="360" t="s">
        <v>315</v>
      </c>
      <c r="E949" s="360" t="s">
        <v>1093</v>
      </c>
      <c r="F949" s="360"/>
      <c r="G949" s="336">
        <f>G950</f>
        <v>3258</v>
      </c>
      <c r="H949" s="336">
        <f t="shared" si="453"/>
        <v>2116.4079999999999</v>
      </c>
      <c r="I949" s="336">
        <f t="shared" si="436"/>
        <v>64.960343769183552</v>
      </c>
    </row>
    <row r="950" spans="1:14" ht="31.5" x14ac:dyDescent="0.25">
      <c r="A950" s="361" t="s">
        <v>147</v>
      </c>
      <c r="B950" s="359">
        <v>908</v>
      </c>
      <c r="C950" s="360" t="s">
        <v>166</v>
      </c>
      <c r="D950" s="360" t="s">
        <v>315</v>
      </c>
      <c r="E950" s="360" t="s">
        <v>1093</v>
      </c>
      <c r="F950" s="360" t="s">
        <v>148</v>
      </c>
      <c r="G950" s="336">
        <f>G951</f>
        <v>3258</v>
      </c>
      <c r="H950" s="336">
        <f t="shared" si="453"/>
        <v>2116.4079999999999</v>
      </c>
      <c r="I950" s="336">
        <f t="shared" si="436"/>
        <v>64.960343769183552</v>
      </c>
    </row>
    <row r="951" spans="1:14" ht="31.5" x14ac:dyDescent="0.25">
      <c r="A951" s="361" t="s">
        <v>149</v>
      </c>
      <c r="B951" s="359">
        <v>908</v>
      </c>
      <c r="C951" s="360" t="s">
        <v>166</v>
      </c>
      <c r="D951" s="360" t="s">
        <v>315</v>
      </c>
      <c r="E951" s="360" t="s">
        <v>1093</v>
      </c>
      <c r="F951" s="360" t="s">
        <v>150</v>
      </c>
      <c r="G951" s="336">
        <v>3258</v>
      </c>
      <c r="H951" s="336">
        <v>2116.4079999999999</v>
      </c>
      <c r="I951" s="336">
        <f t="shared" si="436"/>
        <v>64.960343769183552</v>
      </c>
    </row>
    <row r="952" spans="1:14" ht="15.75" x14ac:dyDescent="0.25">
      <c r="A952" s="333" t="s">
        <v>524</v>
      </c>
      <c r="B952" s="330">
        <v>908</v>
      </c>
      <c r="C952" s="334" t="s">
        <v>166</v>
      </c>
      <c r="D952" s="334" t="s">
        <v>235</v>
      </c>
      <c r="E952" s="360"/>
      <c r="F952" s="334"/>
      <c r="G952" s="332">
        <f>G953</f>
        <v>3611.3</v>
      </c>
      <c r="H952" s="332">
        <f t="shared" ref="H952" si="454">H953</f>
        <v>2344.0680000000002</v>
      </c>
      <c r="I952" s="332">
        <f t="shared" si="436"/>
        <v>64.909257054246396</v>
      </c>
    </row>
    <row r="953" spans="1:14" ht="47.25" x14ac:dyDescent="0.25">
      <c r="A953" s="34" t="s">
        <v>1180</v>
      </c>
      <c r="B953" s="330">
        <v>908</v>
      </c>
      <c r="C953" s="334" t="s">
        <v>166</v>
      </c>
      <c r="D953" s="334" t="s">
        <v>235</v>
      </c>
      <c r="E953" s="334" t="s">
        <v>526</v>
      </c>
      <c r="F953" s="334"/>
      <c r="G953" s="332">
        <f>G959+G954</f>
        <v>3611.3</v>
      </c>
      <c r="H953" s="332">
        <f t="shared" ref="H953" si="455">H959+H954</f>
        <v>2344.0680000000002</v>
      </c>
      <c r="I953" s="332">
        <f t="shared" si="436"/>
        <v>64.909257054246396</v>
      </c>
    </row>
    <row r="954" spans="1:14" s="214" customFormat="1" ht="31.5" hidden="1" x14ac:dyDescent="0.25">
      <c r="A954" s="34" t="s">
        <v>1150</v>
      </c>
      <c r="B954" s="330">
        <v>908</v>
      </c>
      <c r="C954" s="334" t="s">
        <v>166</v>
      </c>
      <c r="D954" s="334" t="s">
        <v>235</v>
      </c>
      <c r="E954" s="327" t="s">
        <v>1094</v>
      </c>
      <c r="F954" s="334"/>
      <c r="G954" s="332">
        <f>G955</f>
        <v>0</v>
      </c>
      <c r="H954" s="332">
        <f t="shared" ref="H954:H956" si="456">H955</f>
        <v>0</v>
      </c>
      <c r="I954" s="332" t="e">
        <f t="shared" si="436"/>
        <v>#DIV/0!</v>
      </c>
      <c r="J954" s="325"/>
      <c r="K954" s="325"/>
      <c r="L954" s="325"/>
      <c r="M954" s="325"/>
      <c r="N954" s="325"/>
    </row>
    <row r="955" spans="1:14" s="214" customFormat="1" ht="15.75" hidden="1" x14ac:dyDescent="0.25">
      <c r="A955" s="338" t="s">
        <v>1152</v>
      </c>
      <c r="B955" s="359">
        <v>908</v>
      </c>
      <c r="C955" s="360" t="s">
        <v>166</v>
      </c>
      <c r="D955" s="360" t="s">
        <v>235</v>
      </c>
      <c r="E955" s="339" t="s">
        <v>1151</v>
      </c>
      <c r="F955" s="360"/>
      <c r="G955" s="336">
        <f>G956</f>
        <v>0</v>
      </c>
      <c r="H955" s="336">
        <f t="shared" si="456"/>
        <v>0</v>
      </c>
      <c r="I955" s="332" t="e">
        <f t="shared" si="436"/>
        <v>#DIV/0!</v>
      </c>
      <c r="J955" s="325"/>
      <c r="K955" s="325"/>
      <c r="L955" s="325"/>
      <c r="M955" s="325"/>
      <c r="N955" s="325"/>
    </row>
    <row r="956" spans="1:14" s="214" customFormat="1" ht="31.5" hidden="1" x14ac:dyDescent="0.25">
      <c r="A956" s="361" t="s">
        <v>147</v>
      </c>
      <c r="B956" s="359">
        <v>908</v>
      </c>
      <c r="C956" s="360" t="s">
        <v>166</v>
      </c>
      <c r="D956" s="360" t="s">
        <v>235</v>
      </c>
      <c r="E956" s="339" t="s">
        <v>1151</v>
      </c>
      <c r="F956" s="360" t="s">
        <v>148</v>
      </c>
      <c r="G956" s="336">
        <f>G957</f>
        <v>0</v>
      </c>
      <c r="H956" s="336">
        <f t="shared" si="456"/>
        <v>0</v>
      </c>
      <c r="I956" s="332" t="e">
        <f t="shared" si="436"/>
        <v>#DIV/0!</v>
      </c>
      <c r="J956" s="325"/>
      <c r="K956" s="325"/>
      <c r="L956" s="325"/>
      <c r="M956" s="325"/>
      <c r="N956" s="325"/>
    </row>
    <row r="957" spans="1:14" s="214" customFormat="1" ht="31.5" hidden="1" x14ac:dyDescent="0.25">
      <c r="A957" s="361" t="s">
        <v>149</v>
      </c>
      <c r="B957" s="359">
        <v>908</v>
      </c>
      <c r="C957" s="360" t="s">
        <v>166</v>
      </c>
      <c r="D957" s="360" t="s">
        <v>235</v>
      </c>
      <c r="E957" s="339" t="s">
        <v>1151</v>
      </c>
      <c r="F957" s="360" t="s">
        <v>150</v>
      </c>
      <c r="G957" s="336">
        <v>0</v>
      </c>
      <c r="H957" s="336">
        <v>0</v>
      </c>
      <c r="I957" s="332" t="e">
        <f t="shared" si="436"/>
        <v>#DIV/0!</v>
      </c>
      <c r="J957" s="325"/>
      <c r="K957" s="325"/>
      <c r="L957" s="325"/>
      <c r="M957" s="325"/>
      <c r="N957" s="325"/>
    </row>
    <row r="958" spans="1:14" s="214" customFormat="1" ht="31.5" x14ac:dyDescent="0.25">
      <c r="A958" s="34" t="s">
        <v>1237</v>
      </c>
      <c r="B958" s="330">
        <v>908</v>
      </c>
      <c r="C958" s="334" t="s">
        <v>166</v>
      </c>
      <c r="D958" s="334" t="s">
        <v>235</v>
      </c>
      <c r="E958" s="334" t="s">
        <v>1095</v>
      </c>
      <c r="F958" s="334"/>
      <c r="G958" s="332">
        <f>G959</f>
        <v>3611.3</v>
      </c>
      <c r="H958" s="332">
        <f t="shared" ref="H958" si="457">H959</f>
        <v>2344.0680000000002</v>
      </c>
      <c r="I958" s="332">
        <f t="shared" si="436"/>
        <v>64.909257054246396</v>
      </c>
      <c r="J958" s="325"/>
      <c r="K958" s="325"/>
      <c r="L958" s="325"/>
      <c r="M958" s="325"/>
      <c r="N958" s="325"/>
    </row>
    <row r="959" spans="1:14" ht="15.75" x14ac:dyDescent="0.25">
      <c r="A959" s="338" t="s">
        <v>527</v>
      </c>
      <c r="B959" s="359">
        <v>908</v>
      </c>
      <c r="C959" s="360" t="s">
        <v>166</v>
      </c>
      <c r="D959" s="360" t="s">
        <v>235</v>
      </c>
      <c r="E959" s="339" t="s">
        <v>1153</v>
      </c>
      <c r="F959" s="360"/>
      <c r="G959" s="336">
        <f>G962+G964+G960</f>
        <v>3611.3</v>
      </c>
      <c r="H959" s="336">
        <f t="shared" ref="H959" si="458">H962+H964+H960</f>
        <v>2344.0680000000002</v>
      </c>
      <c r="I959" s="336">
        <f t="shared" si="436"/>
        <v>64.909257054246396</v>
      </c>
    </row>
    <row r="960" spans="1:14" s="214" customFormat="1" ht="63" x14ac:dyDescent="0.25">
      <c r="A960" s="361" t="s">
        <v>143</v>
      </c>
      <c r="B960" s="359">
        <v>908</v>
      </c>
      <c r="C960" s="360" t="s">
        <v>166</v>
      </c>
      <c r="D960" s="360" t="s">
        <v>235</v>
      </c>
      <c r="E960" s="339" t="s">
        <v>1153</v>
      </c>
      <c r="F960" s="360" t="s">
        <v>144</v>
      </c>
      <c r="G960" s="336">
        <f>G961</f>
        <v>1791.3</v>
      </c>
      <c r="H960" s="336">
        <f t="shared" ref="H960" si="459">H961</f>
        <v>1581.7360000000001</v>
      </c>
      <c r="I960" s="336">
        <f t="shared" si="436"/>
        <v>88.301010439345745</v>
      </c>
      <c r="J960" s="325"/>
      <c r="K960" s="325"/>
      <c r="L960" s="325"/>
      <c r="M960" s="325"/>
      <c r="N960" s="325"/>
    </row>
    <row r="961" spans="1:14" s="214" customFormat="1" ht="15.75" x14ac:dyDescent="0.25">
      <c r="A961" s="361" t="s">
        <v>358</v>
      </c>
      <c r="B961" s="359">
        <v>908</v>
      </c>
      <c r="C961" s="360" t="s">
        <v>166</v>
      </c>
      <c r="D961" s="360" t="s">
        <v>235</v>
      </c>
      <c r="E961" s="339" t="s">
        <v>1153</v>
      </c>
      <c r="F961" s="360" t="s">
        <v>225</v>
      </c>
      <c r="G961" s="336">
        <v>1791.3</v>
      </c>
      <c r="H961" s="336">
        <v>1581.7360000000001</v>
      </c>
      <c r="I961" s="336">
        <f t="shared" si="436"/>
        <v>88.301010439345745</v>
      </c>
      <c r="J961" s="325"/>
      <c r="K961" s="325"/>
      <c r="L961" s="325"/>
      <c r="M961" s="325"/>
      <c r="N961" s="325"/>
    </row>
    <row r="962" spans="1:14" ht="31.5" x14ac:dyDescent="0.25">
      <c r="A962" s="361" t="s">
        <v>147</v>
      </c>
      <c r="B962" s="359">
        <v>908</v>
      </c>
      <c r="C962" s="360" t="s">
        <v>166</v>
      </c>
      <c r="D962" s="360" t="s">
        <v>235</v>
      </c>
      <c r="E962" s="339" t="s">
        <v>1153</v>
      </c>
      <c r="F962" s="360" t="s">
        <v>148</v>
      </c>
      <c r="G962" s="336">
        <f>G963</f>
        <v>1820</v>
      </c>
      <c r="H962" s="336">
        <f t="shared" ref="H962" si="460">H963</f>
        <v>762.33199999999999</v>
      </c>
      <c r="I962" s="336">
        <f t="shared" si="436"/>
        <v>41.886373626373626</v>
      </c>
    </row>
    <row r="963" spans="1:14" ht="31.5" x14ac:dyDescent="0.25">
      <c r="A963" s="361" t="s">
        <v>149</v>
      </c>
      <c r="B963" s="359">
        <v>908</v>
      </c>
      <c r="C963" s="360" t="s">
        <v>166</v>
      </c>
      <c r="D963" s="360" t="s">
        <v>235</v>
      </c>
      <c r="E963" s="339" t="s">
        <v>1153</v>
      </c>
      <c r="F963" s="360" t="s">
        <v>150</v>
      </c>
      <c r="G963" s="336">
        <f>3446-1791.3+165.3</f>
        <v>1820</v>
      </c>
      <c r="H963" s="336">
        <v>762.33199999999999</v>
      </c>
      <c r="I963" s="336">
        <f t="shared" si="436"/>
        <v>41.886373626373626</v>
      </c>
    </row>
    <row r="964" spans="1:14" ht="15.75" hidden="1" x14ac:dyDescent="0.25">
      <c r="A964" s="361" t="s">
        <v>151</v>
      </c>
      <c r="B964" s="359">
        <v>908</v>
      </c>
      <c r="C964" s="360" t="s">
        <v>166</v>
      </c>
      <c r="D964" s="360" t="s">
        <v>235</v>
      </c>
      <c r="E964" s="339" t="s">
        <v>1153</v>
      </c>
      <c r="F964" s="360" t="s">
        <v>161</v>
      </c>
      <c r="G964" s="336">
        <f>G965</f>
        <v>0</v>
      </c>
      <c r="H964" s="336">
        <f t="shared" ref="H964" si="461">H965</f>
        <v>0</v>
      </c>
      <c r="I964" s="336" t="e">
        <f t="shared" si="436"/>
        <v>#DIV/0!</v>
      </c>
    </row>
    <row r="965" spans="1:14" ht="15.75" hidden="1" x14ac:dyDescent="0.25">
      <c r="A965" s="361" t="s">
        <v>584</v>
      </c>
      <c r="B965" s="359">
        <v>908</v>
      </c>
      <c r="C965" s="360" t="s">
        <v>166</v>
      </c>
      <c r="D965" s="360" t="s">
        <v>235</v>
      </c>
      <c r="E965" s="339" t="s">
        <v>1153</v>
      </c>
      <c r="F965" s="360" t="s">
        <v>154</v>
      </c>
      <c r="G965" s="336">
        <v>0</v>
      </c>
      <c r="H965" s="336">
        <v>0</v>
      </c>
      <c r="I965" s="336" t="e">
        <f t="shared" si="436"/>
        <v>#DIV/0!</v>
      </c>
    </row>
    <row r="966" spans="1:14" s="214" customFormat="1" ht="15.75" x14ac:dyDescent="0.25">
      <c r="A966" s="333" t="s">
        <v>253</v>
      </c>
      <c r="B966" s="330">
        <v>908</v>
      </c>
      <c r="C966" s="334" t="s">
        <v>166</v>
      </c>
      <c r="D966" s="334" t="s">
        <v>254</v>
      </c>
      <c r="E966" s="327"/>
      <c r="F966" s="334"/>
      <c r="G966" s="332">
        <f>G967</f>
        <v>350</v>
      </c>
      <c r="H966" s="332">
        <f t="shared" ref="H966:H970" si="462">H967</f>
        <v>0</v>
      </c>
      <c r="I966" s="332">
        <f t="shared" si="436"/>
        <v>0</v>
      </c>
      <c r="J966" s="325"/>
      <c r="K966" s="325"/>
      <c r="L966" s="325"/>
      <c r="M966" s="325"/>
      <c r="N966" s="325"/>
    </row>
    <row r="967" spans="1:14" s="214" customFormat="1" ht="15.75" x14ac:dyDescent="0.25">
      <c r="A967" s="333" t="s">
        <v>157</v>
      </c>
      <c r="B967" s="330">
        <v>908</v>
      </c>
      <c r="C967" s="334" t="s">
        <v>166</v>
      </c>
      <c r="D967" s="334" t="s">
        <v>254</v>
      </c>
      <c r="E967" s="334" t="s">
        <v>912</v>
      </c>
      <c r="F967" s="360"/>
      <c r="G967" s="332">
        <f>G968</f>
        <v>350</v>
      </c>
      <c r="H967" s="332">
        <f t="shared" si="462"/>
        <v>0</v>
      </c>
      <c r="I967" s="332">
        <f t="shared" si="436"/>
        <v>0</v>
      </c>
      <c r="J967" s="325"/>
      <c r="K967" s="325"/>
      <c r="L967" s="325"/>
      <c r="M967" s="325"/>
      <c r="N967" s="325"/>
    </row>
    <row r="968" spans="1:14" s="214" customFormat="1" ht="31.5" x14ac:dyDescent="0.25">
      <c r="A968" s="333" t="s">
        <v>916</v>
      </c>
      <c r="B968" s="330">
        <v>908</v>
      </c>
      <c r="C968" s="334" t="s">
        <v>166</v>
      </c>
      <c r="D968" s="334" t="s">
        <v>254</v>
      </c>
      <c r="E968" s="334" t="s">
        <v>911</v>
      </c>
      <c r="F968" s="360"/>
      <c r="G968" s="332">
        <f>G969</f>
        <v>350</v>
      </c>
      <c r="H968" s="332">
        <f t="shared" si="462"/>
        <v>0</v>
      </c>
      <c r="I968" s="332">
        <f t="shared" si="436"/>
        <v>0</v>
      </c>
      <c r="J968" s="325"/>
      <c r="K968" s="325"/>
      <c r="L968" s="325"/>
      <c r="M968" s="325"/>
      <c r="N968" s="325"/>
    </row>
    <row r="969" spans="1:14" s="214" customFormat="1" ht="15.75" x14ac:dyDescent="0.25">
      <c r="A969" s="361" t="s">
        <v>1510</v>
      </c>
      <c r="B969" s="359">
        <v>908</v>
      </c>
      <c r="C969" s="360" t="s">
        <v>166</v>
      </c>
      <c r="D969" s="360" t="s">
        <v>254</v>
      </c>
      <c r="E969" s="360" t="s">
        <v>1511</v>
      </c>
      <c r="F969" s="360"/>
      <c r="G969" s="336">
        <f>G970</f>
        <v>350</v>
      </c>
      <c r="H969" s="336">
        <f t="shared" si="462"/>
        <v>0</v>
      </c>
      <c r="I969" s="336">
        <f t="shared" si="436"/>
        <v>0</v>
      </c>
      <c r="J969" s="325"/>
      <c r="K969" s="325"/>
      <c r="L969" s="325"/>
      <c r="M969" s="325"/>
      <c r="N969" s="325"/>
    </row>
    <row r="970" spans="1:14" s="214" customFormat="1" ht="31.5" x14ac:dyDescent="0.25">
      <c r="A970" s="361" t="s">
        <v>147</v>
      </c>
      <c r="B970" s="359">
        <v>908</v>
      </c>
      <c r="C970" s="360" t="s">
        <v>166</v>
      </c>
      <c r="D970" s="360" t="s">
        <v>254</v>
      </c>
      <c r="E970" s="360" t="s">
        <v>1511</v>
      </c>
      <c r="F970" s="360" t="s">
        <v>148</v>
      </c>
      <c r="G970" s="336">
        <f>G971</f>
        <v>350</v>
      </c>
      <c r="H970" s="336">
        <f t="shared" si="462"/>
        <v>0</v>
      </c>
      <c r="I970" s="336">
        <f t="shared" si="436"/>
        <v>0</v>
      </c>
      <c r="J970" s="325"/>
      <c r="K970" s="325"/>
      <c r="L970" s="325"/>
      <c r="M970" s="325"/>
      <c r="N970" s="325"/>
    </row>
    <row r="971" spans="1:14" s="214" customFormat="1" ht="31.5" x14ac:dyDescent="0.25">
      <c r="A971" s="361" t="s">
        <v>149</v>
      </c>
      <c r="B971" s="359">
        <v>908</v>
      </c>
      <c r="C971" s="360" t="s">
        <v>166</v>
      </c>
      <c r="D971" s="360" t="s">
        <v>254</v>
      </c>
      <c r="E971" s="360" t="s">
        <v>1511</v>
      </c>
      <c r="F971" s="360" t="s">
        <v>150</v>
      </c>
      <c r="G971" s="336">
        <v>350</v>
      </c>
      <c r="H971" s="336">
        <v>0</v>
      </c>
      <c r="I971" s="336">
        <f t="shared" ref="I971:I1034" si="463">H971/G971*100</f>
        <v>0</v>
      </c>
      <c r="J971" s="325"/>
      <c r="K971" s="325"/>
      <c r="L971" s="325"/>
      <c r="M971" s="325"/>
      <c r="N971" s="325"/>
    </row>
    <row r="972" spans="1:14" ht="15.75" x14ac:dyDescent="0.25">
      <c r="A972" s="333" t="s">
        <v>406</v>
      </c>
      <c r="B972" s="330">
        <v>908</v>
      </c>
      <c r="C972" s="334" t="s">
        <v>250</v>
      </c>
      <c r="D972" s="334"/>
      <c r="E972" s="334"/>
      <c r="F972" s="334"/>
      <c r="G972" s="332">
        <f>G973+G990+G1057+G1108</f>
        <v>67785.900000000009</v>
      </c>
      <c r="H972" s="332">
        <f t="shared" ref="H972" si="464">H973+H990+H1057+H1108</f>
        <v>32844.508000000002</v>
      </c>
      <c r="I972" s="332">
        <f t="shared" si="463"/>
        <v>48.453303710653692</v>
      </c>
    </row>
    <row r="973" spans="1:14" ht="15.75" x14ac:dyDescent="0.25">
      <c r="A973" s="333" t="s">
        <v>407</v>
      </c>
      <c r="B973" s="330">
        <v>908</v>
      </c>
      <c r="C973" s="334" t="s">
        <v>250</v>
      </c>
      <c r="D973" s="334" t="s">
        <v>134</v>
      </c>
      <c r="E973" s="334"/>
      <c r="F973" s="334"/>
      <c r="G973" s="332">
        <f>G974</f>
        <v>6516.7999999999993</v>
      </c>
      <c r="H973" s="332">
        <f t="shared" ref="H973:H974" si="465">H974</f>
        <v>3860.2</v>
      </c>
      <c r="I973" s="332">
        <f t="shared" si="463"/>
        <v>59.234593665602752</v>
      </c>
    </row>
    <row r="974" spans="1:14" ht="15.75" x14ac:dyDescent="0.25">
      <c r="A974" s="333" t="s">
        <v>157</v>
      </c>
      <c r="B974" s="330">
        <v>908</v>
      </c>
      <c r="C974" s="334" t="s">
        <v>250</v>
      </c>
      <c r="D974" s="334" t="s">
        <v>134</v>
      </c>
      <c r="E974" s="334" t="s">
        <v>912</v>
      </c>
      <c r="F974" s="334"/>
      <c r="G974" s="332">
        <f>G975</f>
        <v>6516.7999999999993</v>
      </c>
      <c r="H974" s="332">
        <f t="shared" si="465"/>
        <v>3860.2</v>
      </c>
      <c r="I974" s="332">
        <f t="shared" si="463"/>
        <v>59.234593665602752</v>
      </c>
    </row>
    <row r="975" spans="1:14" ht="31.5" x14ac:dyDescent="0.25">
      <c r="A975" s="333" t="s">
        <v>916</v>
      </c>
      <c r="B975" s="330">
        <v>908</v>
      </c>
      <c r="C975" s="334" t="s">
        <v>250</v>
      </c>
      <c r="D975" s="334" t="s">
        <v>134</v>
      </c>
      <c r="E975" s="334" t="s">
        <v>911</v>
      </c>
      <c r="F975" s="334"/>
      <c r="G975" s="332">
        <f>G984+G981+G976+G987</f>
        <v>6516.7999999999993</v>
      </c>
      <c r="H975" s="332">
        <f t="shared" ref="H975" si="466">H984+H981+H976+H987</f>
        <v>3860.2</v>
      </c>
      <c r="I975" s="332">
        <f t="shared" si="463"/>
        <v>59.234593665602752</v>
      </c>
    </row>
    <row r="976" spans="1:14" ht="15.75" x14ac:dyDescent="0.25">
      <c r="A976" s="361" t="s">
        <v>531</v>
      </c>
      <c r="B976" s="359">
        <v>908</v>
      </c>
      <c r="C976" s="360" t="s">
        <v>797</v>
      </c>
      <c r="D976" s="360" t="s">
        <v>134</v>
      </c>
      <c r="E976" s="360" t="s">
        <v>1096</v>
      </c>
      <c r="F976" s="334"/>
      <c r="G976" s="336">
        <f>G979+G977</f>
        <v>1206.4000000000001</v>
      </c>
      <c r="H976" s="336">
        <f t="shared" ref="H976" si="467">H979+H977</f>
        <v>379</v>
      </c>
      <c r="I976" s="336">
        <f t="shared" si="463"/>
        <v>31.415782493368699</v>
      </c>
    </row>
    <row r="977" spans="1:14" s="214" customFormat="1" ht="31.5" x14ac:dyDescent="0.25">
      <c r="A977" s="361" t="s">
        <v>147</v>
      </c>
      <c r="B977" s="359">
        <v>908</v>
      </c>
      <c r="C977" s="360" t="s">
        <v>250</v>
      </c>
      <c r="D977" s="360" t="s">
        <v>134</v>
      </c>
      <c r="E977" s="360" t="s">
        <v>1096</v>
      </c>
      <c r="F977" s="360" t="s">
        <v>148</v>
      </c>
      <c r="G977" s="336">
        <f>G978</f>
        <v>1206.4000000000001</v>
      </c>
      <c r="H977" s="336">
        <f t="shared" ref="H977" si="468">H978</f>
        <v>379</v>
      </c>
      <c r="I977" s="336">
        <f t="shared" si="463"/>
        <v>31.415782493368699</v>
      </c>
      <c r="J977" s="325"/>
      <c r="K977" s="325"/>
      <c r="L977" s="325"/>
      <c r="M977" s="325"/>
      <c r="N977" s="325"/>
    </row>
    <row r="978" spans="1:14" s="214" customFormat="1" ht="31.5" x14ac:dyDescent="0.25">
      <c r="A978" s="361" t="s">
        <v>149</v>
      </c>
      <c r="B978" s="359">
        <v>908</v>
      </c>
      <c r="C978" s="360" t="s">
        <v>250</v>
      </c>
      <c r="D978" s="360" t="s">
        <v>134</v>
      </c>
      <c r="E978" s="360" t="s">
        <v>1096</v>
      </c>
      <c r="F978" s="360" t="s">
        <v>150</v>
      </c>
      <c r="G978" s="336">
        <f>140+134+35+35+20+20+30+30+20+361.2+20+361.2</f>
        <v>1206.4000000000001</v>
      </c>
      <c r="H978" s="336">
        <v>379</v>
      </c>
      <c r="I978" s="336">
        <f t="shared" si="463"/>
        <v>31.415782493368699</v>
      </c>
      <c r="J978" s="325"/>
      <c r="K978" s="325"/>
      <c r="L978" s="325"/>
      <c r="M978" s="325"/>
      <c r="N978" s="325"/>
    </row>
    <row r="979" spans="1:14" ht="15.75" hidden="1" x14ac:dyDescent="0.25">
      <c r="A979" s="361" t="s">
        <v>151</v>
      </c>
      <c r="B979" s="359">
        <v>908</v>
      </c>
      <c r="C979" s="360" t="s">
        <v>250</v>
      </c>
      <c r="D979" s="360" t="s">
        <v>134</v>
      </c>
      <c r="E979" s="360" t="s">
        <v>1096</v>
      </c>
      <c r="F979" s="360" t="s">
        <v>161</v>
      </c>
      <c r="G979" s="336">
        <f>G980</f>
        <v>0</v>
      </c>
      <c r="H979" s="336">
        <f t="shared" ref="H979" si="469">H980</f>
        <v>0</v>
      </c>
      <c r="I979" s="336" t="e">
        <f t="shared" si="463"/>
        <v>#DIV/0!</v>
      </c>
    </row>
    <row r="980" spans="1:14" ht="48.75" hidden="1" customHeight="1" x14ac:dyDescent="0.25">
      <c r="A980" s="361" t="s">
        <v>200</v>
      </c>
      <c r="B980" s="359">
        <v>908</v>
      </c>
      <c r="C980" s="360" t="s">
        <v>250</v>
      </c>
      <c r="D980" s="360" t="s">
        <v>134</v>
      </c>
      <c r="E980" s="360" t="s">
        <v>1096</v>
      </c>
      <c r="F980" s="360" t="s">
        <v>176</v>
      </c>
      <c r="G980" s="336">
        <v>0</v>
      </c>
      <c r="H980" s="336">
        <v>0</v>
      </c>
      <c r="I980" s="336" t="e">
        <f t="shared" si="463"/>
        <v>#DIV/0!</v>
      </c>
    </row>
    <row r="981" spans="1:14" ht="31.5" x14ac:dyDescent="0.25">
      <c r="A981" s="338" t="s">
        <v>414</v>
      </c>
      <c r="B981" s="359">
        <v>908</v>
      </c>
      <c r="C981" s="360" t="s">
        <v>250</v>
      </c>
      <c r="D981" s="360" t="s">
        <v>134</v>
      </c>
      <c r="E981" s="360" t="s">
        <v>1097</v>
      </c>
      <c r="F981" s="334"/>
      <c r="G981" s="336">
        <f>G982</f>
        <v>4020</v>
      </c>
      <c r="H981" s="336">
        <f t="shared" ref="H981:H982" si="470">H982</f>
        <v>2729.44</v>
      </c>
      <c r="I981" s="336">
        <f t="shared" si="463"/>
        <v>67.896517412935324</v>
      </c>
    </row>
    <row r="982" spans="1:14" ht="31.5" x14ac:dyDescent="0.25">
      <c r="A982" s="361" t="s">
        <v>147</v>
      </c>
      <c r="B982" s="359">
        <v>908</v>
      </c>
      <c r="C982" s="360" t="s">
        <v>250</v>
      </c>
      <c r="D982" s="360" t="s">
        <v>134</v>
      </c>
      <c r="E982" s="360" t="s">
        <v>1097</v>
      </c>
      <c r="F982" s="360" t="s">
        <v>148</v>
      </c>
      <c r="G982" s="336">
        <f>G983</f>
        <v>4020</v>
      </c>
      <c r="H982" s="336">
        <f t="shared" si="470"/>
        <v>2729.44</v>
      </c>
      <c r="I982" s="336">
        <f t="shared" si="463"/>
        <v>67.896517412935324</v>
      </c>
    </row>
    <row r="983" spans="1:14" ht="33" customHeight="1" x14ac:dyDescent="0.25">
      <c r="A983" s="361" t="s">
        <v>149</v>
      </c>
      <c r="B983" s="359">
        <v>908</v>
      </c>
      <c r="C983" s="360" t="s">
        <v>250</v>
      </c>
      <c r="D983" s="360" t="s">
        <v>134</v>
      </c>
      <c r="E983" s="360" t="s">
        <v>1097</v>
      </c>
      <c r="F983" s="360" t="s">
        <v>150</v>
      </c>
      <c r="G983" s="362">
        <v>4020</v>
      </c>
      <c r="H983" s="362">
        <v>2729.44</v>
      </c>
      <c r="I983" s="336">
        <f t="shared" si="463"/>
        <v>67.896517412935324</v>
      </c>
    </row>
    <row r="984" spans="1:14" ht="31.5" x14ac:dyDescent="0.25">
      <c r="A984" s="338" t="s">
        <v>1005</v>
      </c>
      <c r="B984" s="359">
        <v>908</v>
      </c>
      <c r="C984" s="360" t="s">
        <v>250</v>
      </c>
      <c r="D984" s="360" t="s">
        <v>134</v>
      </c>
      <c r="E984" s="360" t="s">
        <v>1098</v>
      </c>
      <c r="F984" s="334"/>
      <c r="G984" s="336">
        <f>G985</f>
        <v>1140</v>
      </c>
      <c r="H984" s="336">
        <f t="shared" ref="H984:H985" si="471">H985</f>
        <v>751.76</v>
      </c>
      <c r="I984" s="336">
        <f t="shared" si="463"/>
        <v>65.9438596491228</v>
      </c>
    </row>
    <row r="985" spans="1:14" ht="31.5" x14ac:dyDescent="0.25">
      <c r="A985" s="361" t="s">
        <v>147</v>
      </c>
      <c r="B985" s="359">
        <v>908</v>
      </c>
      <c r="C985" s="360" t="s">
        <v>250</v>
      </c>
      <c r="D985" s="360" t="s">
        <v>134</v>
      </c>
      <c r="E985" s="360" t="s">
        <v>1098</v>
      </c>
      <c r="F985" s="360" t="s">
        <v>148</v>
      </c>
      <c r="G985" s="336">
        <f>G986</f>
        <v>1140</v>
      </c>
      <c r="H985" s="336">
        <f t="shared" si="471"/>
        <v>751.76</v>
      </c>
      <c r="I985" s="336">
        <f t="shared" si="463"/>
        <v>65.9438596491228</v>
      </c>
    </row>
    <row r="986" spans="1:14" ht="33" customHeight="1" x14ac:dyDescent="0.25">
      <c r="A986" s="361" t="s">
        <v>149</v>
      </c>
      <c r="B986" s="359">
        <v>908</v>
      </c>
      <c r="C986" s="360" t="s">
        <v>250</v>
      </c>
      <c r="D986" s="360" t="s">
        <v>134</v>
      </c>
      <c r="E986" s="360" t="s">
        <v>1098</v>
      </c>
      <c r="F986" s="360" t="s">
        <v>150</v>
      </c>
      <c r="G986" s="336">
        <v>1140</v>
      </c>
      <c r="H986" s="336">
        <v>751.76</v>
      </c>
      <c r="I986" s="336">
        <f t="shared" si="463"/>
        <v>65.9438596491228</v>
      </c>
    </row>
    <row r="987" spans="1:14" s="325" customFormat="1" ht="33" customHeight="1" x14ac:dyDescent="0.25">
      <c r="A987" s="361" t="s">
        <v>1523</v>
      </c>
      <c r="B987" s="359">
        <v>908</v>
      </c>
      <c r="C987" s="360" t="s">
        <v>250</v>
      </c>
      <c r="D987" s="360" t="s">
        <v>134</v>
      </c>
      <c r="E987" s="360" t="s">
        <v>1524</v>
      </c>
      <c r="F987" s="360"/>
      <c r="G987" s="336">
        <f>G988</f>
        <v>150.4</v>
      </c>
      <c r="H987" s="336">
        <f t="shared" ref="H987:H988" si="472">H988</f>
        <v>0</v>
      </c>
      <c r="I987" s="336">
        <f t="shared" si="463"/>
        <v>0</v>
      </c>
    </row>
    <row r="988" spans="1:14" s="325" customFormat="1" ht="15.75" x14ac:dyDescent="0.25">
      <c r="A988" s="361" t="s">
        <v>151</v>
      </c>
      <c r="B988" s="359">
        <v>908</v>
      </c>
      <c r="C988" s="360" t="s">
        <v>250</v>
      </c>
      <c r="D988" s="360" t="s">
        <v>134</v>
      </c>
      <c r="E988" s="360" t="s">
        <v>1524</v>
      </c>
      <c r="F988" s="360" t="s">
        <v>161</v>
      </c>
      <c r="G988" s="336">
        <f>G989</f>
        <v>150.4</v>
      </c>
      <c r="H988" s="336">
        <f t="shared" si="472"/>
        <v>0</v>
      </c>
      <c r="I988" s="336">
        <f t="shared" si="463"/>
        <v>0</v>
      </c>
    </row>
    <row r="989" spans="1:14" s="325" customFormat="1" ht="51" customHeight="1" x14ac:dyDescent="0.25">
      <c r="A989" s="361" t="s">
        <v>200</v>
      </c>
      <c r="B989" s="359">
        <v>908</v>
      </c>
      <c r="C989" s="360" t="s">
        <v>250</v>
      </c>
      <c r="D989" s="360" t="s">
        <v>134</v>
      </c>
      <c r="E989" s="360" t="s">
        <v>1524</v>
      </c>
      <c r="F989" s="360" t="s">
        <v>176</v>
      </c>
      <c r="G989" s="336">
        <v>150.4</v>
      </c>
      <c r="H989" s="336">
        <v>0</v>
      </c>
      <c r="I989" s="336">
        <f t="shared" si="463"/>
        <v>0</v>
      </c>
    </row>
    <row r="990" spans="1:14" ht="15.75" x14ac:dyDescent="0.25">
      <c r="A990" s="333" t="s">
        <v>533</v>
      </c>
      <c r="B990" s="330">
        <v>908</v>
      </c>
      <c r="C990" s="334" t="s">
        <v>250</v>
      </c>
      <c r="D990" s="334" t="s">
        <v>229</v>
      </c>
      <c r="E990" s="334"/>
      <c r="F990" s="334"/>
      <c r="G990" s="332">
        <f>G991+G1023+G1052</f>
        <v>33276.800000000003</v>
      </c>
      <c r="H990" s="332">
        <f t="shared" ref="H990" si="473">H991+H1023+H1052</f>
        <v>11030.970000000001</v>
      </c>
      <c r="I990" s="332">
        <f t="shared" si="463"/>
        <v>33.149130926050589</v>
      </c>
    </row>
    <row r="991" spans="1:14" s="214" customFormat="1" ht="15.75" x14ac:dyDescent="0.25">
      <c r="A991" s="333" t="s">
        <v>157</v>
      </c>
      <c r="B991" s="330">
        <v>908</v>
      </c>
      <c r="C991" s="334" t="s">
        <v>250</v>
      </c>
      <c r="D991" s="334" t="s">
        <v>229</v>
      </c>
      <c r="E991" s="334" t="s">
        <v>912</v>
      </c>
      <c r="F991" s="334"/>
      <c r="G991" s="332">
        <f>G992+G1006</f>
        <v>33007.800000000003</v>
      </c>
      <c r="H991" s="332">
        <f t="shared" ref="H991" si="474">H992+H1006</f>
        <v>10831.970000000001</v>
      </c>
      <c r="I991" s="332">
        <f t="shared" si="463"/>
        <v>32.816394912717598</v>
      </c>
      <c r="J991" s="325"/>
      <c r="K991" s="325"/>
      <c r="L991" s="325"/>
      <c r="M991" s="325"/>
      <c r="N991" s="325"/>
    </row>
    <row r="992" spans="1:14" s="214" customFormat="1" ht="31.5" x14ac:dyDescent="0.25">
      <c r="A992" s="333" t="s">
        <v>916</v>
      </c>
      <c r="B992" s="330">
        <v>908</v>
      </c>
      <c r="C992" s="334" t="s">
        <v>250</v>
      </c>
      <c r="D992" s="334" t="s">
        <v>229</v>
      </c>
      <c r="E992" s="334" t="s">
        <v>911</v>
      </c>
      <c r="F992" s="334"/>
      <c r="G992" s="332">
        <f>G993+G1001</f>
        <v>10807.8</v>
      </c>
      <c r="H992" s="332">
        <f t="shared" ref="H992" si="475">H993+H1001</f>
        <v>5985.8700000000008</v>
      </c>
      <c r="I992" s="332">
        <f t="shared" si="463"/>
        <v>55.384722145117429</v>
      </c>
      <c r="J992" s="325"/>
      <c r="K992" s="325"/>
      <c r="L992" s="325"/>
      <c r="M992" s="325"/>
      <c r="N992" s="325"/>
    </row>
    <row r="993" spans="1:14" s="214" customFormat="1" ht="15.75" x14ac:dyDescent="0.25">
      <c r="A993" s="35" t="s">
        <v>553</v>
      </c>
      <c r="B993" s="359">
        <v>908</v>
      </c>
      <c r="C993" s="360" t="s">
        <v>250</v>
      </c>
      <c r="D993" s="360" t="s">
        <v>229</v>
      </c>
      <c r="E993" s="360" t="s">
        <v>1115</v>
      </c>
      <c r="F993" s="360"/>
      <c r="G993" s="336">
        <f>G994+G998+G996</f>
        <v>1599.3999999999999</v>
      </c>
      <c r="H993" s="336">
        <f t="shared" ref="H993" si="476">H994+H998+H996</f>
        <v>1279.23</v>
      </c>
      <c r="I993" s="336">
        <f t="shared" si="463"/>
        <v>79.981868200575221</v>
      </c>
      <c r="J993" s="325"/>
      <c r="K993" s="325"/>
      <c r="L993" s="325"/>
      <c r="M993" s="325"/>
      <c r="N993" s="325"/>
    </row>
    <row r="994" spans="1:14" s="214" customFormat="1" ht="31.5" x14ac:dyDescent="0.25">
      <c r="A994" s="361" t="s">
        <v>147</v>
      </c>
      <c r="B994" s="359">
        <v>908</v>
      </c>
      <c r="C994" s="360" t="s">
        <v>250</v>
      </c>
      <c r="D994" s="360" t="s">
        <v>229</v>
      </c>
      <c r="E994" s="360" t="s">
        <v>1115</v>
      </c>
      <c r="F994" s="360" t="s">
        <v>148</v>
      </c>
      <c r="G994" s="336">
        <f>G995</f>
        <v>320</v>
      </c>
      <c r="H994" s="336">
        <f t="shared" ref="H994" si="477">H995</f>
        <v>0</v>
      </c>
      <c r="I994" s="336">
        <f t="shared" si="463"/>
        <v>0</v>
      </c>
      <c r="J994" s="325"/>
      <c r="K994" s="325"/>
      <c r="L994" s="325"/>
      <c r="M994" s="325"/>
      <c r="N994" s="325"/>
    </row>
    <row r="995" spans="1:14" s="214" customFormat="1" ht="31.5" x14ac:dyDescent="0.25">
      <c r="A995" s="361" t="s">
        <v>149</v>
      </c>
      <c r="B995" s="359">
        <v>908</v>
      </c>
      <c r="C995" s="360" t="s">
        <v>250</v>
      </c>
      <c r="D995" s="360" t="s">
        <v>229</v>
      </c>
      <c r="E995" s="360" t="s">
        <v>1115</v>
      </c>
      <c r="F995" s="360" t="s">
        <v>150</v>
      </c>
      <c r="G995" s="218">
        <f>1271.6-1271.6+120+200</f>
        <v>320</v>
      </c>
      <c r="H995" s="218">
        <v>0</v>
      </c>
      <c r="I995" s="336">
        <f t="shared" si="463"/>
        <v>0</v>
      </c>
      <c r="J995" s="325"/>
      <c r="K995" s="325"/>
      <c r="L995" s="325"/>
      <c r="M995" s="325"/>
      <c r="N995" s="325"/>
    </row>
    <row r="996" spans="1:14" s="214" customFormat="1" ht="31.5" x14ac:dyDescent="0.25">
      <c r="A996" s="361" t="s">
        <v>884</v>
      </c>
      <c r="B996" s="359">
        <v>908</v>
      </c>
      <c r="C996" s="360" t="s">
        <v>250</v>
      </c>
      <c r="D996" s="360" t="s">
        <v>229</v>
      </c>
      <c r="E996" s="360" t="s">
        <v>1115</v>
      </c>
      <c r="F996" s="360" t="s">
        <v>883</v>
      </c>
      <c r="G996" s="218">
        <f>G997</f>
        <v>1271.5999999999999</v>
      </c>
      <c r="H996" s="218">
        <f t="shared" ref="H996" si="478">H997</f>
        <v>1271.52</v>
      </c>
      <c r="I996" s="336">
        <f t="shared" si="463"/>
        <v>99.9937087134319</v>
      </c>
      <c r="J996" s="325"/>
      <c r="K996" s="325"/>
      <c r="L996" s="325"/>
      <c r="M996" s="325"/>
      <c r="N996" s="325"/>
    </row>
    <row r="997" spans="1:14" s="214" customFormat="1" ht="47.25" x14ac:dyDescent="0.25">
      <c r="A997" s="361" t="s">
        <v>1224</v>
      </c>
      <c r="B997" s="359">
        <v>908</v>
      </c>
      <c r="C997" s="360" t="s">
        <v>250</v>
      </c>
      <c r="D997" s="360" t="s">
        <v>229</v>
      </c>
      <c r="E997" s="360" t="s">
        <v>1115</v>
      </c>
      <c r="F997" s="360" t="s">
        <v>1246</v>
      </c>
      <c r="G997" s="218">
        <v>1271.5999999999999</v>
      </c>
      <c r="H997" s="218">
        <v>1271.52</v>
      </c>
      <c r="I997" s="336">
        <f t="shared" si="463"/>
        <v>99.9937087134319</v>
      </c>
      <c r="J997" s="325"/>
      <c r="K997" s="325"/>
      <c r="L997" s="325"/>
      <c r="M997" s="325"/>
      <c r="N997" s="325"/>
    </row>
    <row r="998" spans="1:14" s="214" customFormat="1" ht="15.75" x14ac:dyDescent="0.25">
      <c r="A998" s="361" t="s">
        <v>151</v>
      </c>
      <c r="B998" s="359">
        <v>908</v>
      </c>
      <c r="C998" s="360" t="s">
        <v>250</v>
      </c>
      <c r="D998" s="360" t="s">
        <v>229</v>
      </c>
      <c r="E998" s="360" t="s">
        <v>1115</v>
      </c>
      <c r="F998" s="360" t="s">
        <v>161</v>
      </c>
      <c r="G998" s="218">
        <f>G999+G1000</f>
        <v>7.8</v>
      </c>
      <c r="H998" s="218">
        <f t="shared" ref="H998" si="479">H999+H1000</f>
        <v>7.71</v>
      </c>
      <c r="I998" s="336">
        <f t="shared" si="463"/>
        <v>98.846153846153854</v>
      </c>
      <c r="J998" s="325"/>
      <c r="K998" s="325"/>
      <c r="L998" s="325"/>
      <c r="M998" s="325"/>
      <c r="N998" s="325"/>
    </row>
    <row r="999" spans="1:14" s="214" customFormat="1" ht="47.25" hidden="1" x14ac:dyDescent="0.25">
      <c r="A999" s="361" t="s">
        <v>200</v>
      </c>
      <c r="B999" s="359">
        <v>908</v>
      </c>
      <c r="C999" s="360" t="s">
        <v>250</v>
      </c>
      <c r="D999" s="360" t="s">
        <v>229</v>
      </c>
      <c r="E999" s="360" t="s">
        <v>1115</v>
      </c>
      <c r="F999" s="360" t="s">
        <v>176</v>
      </c>
      <c r="G999" s="218">
        <v>0</v>
      </c>
      <c r="H999" s="218">
        <v>0</v>
      </c>
      <c r="I999" s="336" t="e">
        <f t="shared" si="463"/>
        <v>#DIV/0!</v>
      </c>
      <c r="J999" s="325"/>
      <c r="K999" s="325"/>
      <c r="L999" s="325"/>
      <c r="M999" s="325"/>
      <c r="N999" s="325"/>
    </row>
    <row r="1000" spans="1:14" s="214" customFormat="1" ht="15.75" x14ac:dyDescent="0.25">
      <c r="A1000" s="361" t="s">
        <v>162</v>
      </c>
      <c r="B1000" s="359">
        <v>908</v>
      </c>
      <c r="C1000" s="360" t="s">
        <v>250</v>
      </c>
      <c r="D1000" s="360" t="s">
        <v>229</v>
      </c>
      <c r="E1000" s="360" t="s">
        <v>1115</v>
      </c>
      <c r="F1000" s="360" t="s">
        <v>163</v>
      </c>
      <c r="G1000" s="218">
        <v>7.8</v>
      </c>
      <c r="H1000" s="218">
        <v>7.71</v>
      </c>
      <c r="I1000" s="336">
        <f t="shared" si="463"/>
        <v>98.846153846153854</v>
      </c>
      <c r="J1000" s="325"/>
      <c r="K1000" s="325"/>
      <c r="L1000" s="325"/>
      <c r="M1000" s="325"/>
      <c r="N1000" s="325"/>
    </row>
    <row r="1001" spans="1:14" s="214" customFormat="1" ht="31.5" x14ac:dyDescent="0.25">
      <c r="A1001" s="338" t="s">
        <v>1005</v>
      </c>
      <c r="B1001" s="359">
        <v>908</v>
      </c>
      <c r="C1001" s="360" t="s">
        <v>250</v>
      </c>
      <c r="D1001" s="360" t="s">
        <v>229</v>
      </c>
      <c r="E1001" s="360" t="s">
        <v>1098</v>
      </c>
      <c r="F1001" s="360"/>
      <c r="G1001" s="336">
        <f>G1004+G1002</f>
        <v>9208.4</v>
      </c>
      <c r="H1001" s="336">
        <f t="shared" ref="H1001" si="480">H1004+H1002</f>
        <v>4706.6400000000003</v>
      </c>
      <c r="I1001" s="336">
        <f t="shared" si="463"/>
        <v>51.1124625342079</v>
      </c>
      <c r="J1001" s="325"/>
      <c r="K1001" s="325"/>
      <c r="L1001" s="325"/>
      <c r="M1001" s="325"/>
      <c r="N1001" s="325"/>
    </row>
    <row r="1002" spans="1:14" s="214" customFormat="1" ht="31.5" x14ac:dyDescent="0.25">
      <c r="A1002" s="361" t="s">
        <v>147</v>
      </c>
      <c r="B1002" s="359">
        <v>908</v>
      </c>
      <c r="C1002" s="360" t="s">
        <v>250</v>
      </c>
      <c r="D1002" s="360" t="s">
        <v>229</v>
      </c>
      <c r="E1002" s="360" t="s">
        <v>1098</v>
      </c>
      <c r="F1002" s="360" t="s">
        <v>148</v>
      </c>
      <c r="G1002" s="336">
        <f>G1003</f>
        <v>9208.4</v>
      </c>
      <c r="H1002" s="336">
        <f t="shared" ref="H1002" si="481">H1003</f>
        <v>4706.6400000000003</v>
      </c>
      <c r="I1002" s="336">
        <f t="shared" si="463"/>
        <v>51.1124625342079</v>
      </c>
      <c r="J1002" s="325"/>
      <c r="K1002" s="325"/>
      <c r="L1002" s="325"/>
      <c r="M1002" s="325"/>
      <c r="N1002" s="325"/>
    </row>
    <row r="1003" spans="1:14" s="214" customFormat="1" ht="31.5" x14ac:dyDescent="0.25">
      <c r="A1003" s="361" t="s">
        <v>149</v>
      </c>
      <c r="B1003" s="359">
        <v>908</v>
      </c>
      <c r="C1003" s="360" t="s">
        <v>250</v>
      </c>
      <c r="D1003" s="360" t="s">
        <v>229</v>
      </c>
      <c r="E1003" s="360" t="s">
        <v>1098</v>
      </c>
      <c r="F1003" s="360" t="s">
        <v>150</v>
      </c>
      <c r="G1003" s="336">
        <f>5000+700+661.5-661.5+3508.4</f>
        <v>9208.4</v>
      </c>
      <c r="H1003" s="336">
        <v>4706.6400000000003</v>
      </c>
      <c r="I1003" s="336">
        <f t="shared" si="463"/>
        <v>51.1124625342079</v>
      </c>
      <c r="J1003" s="325"/>
      <c r="K1003" s="325"/>
      <c r="L1003" s="325"/>
      <c r="M1003" s="325"/>
      <c r="N1003" s="325"/>
    </row>
    <row r="1004" spans="1:14" s="214" customFormat="1" ht="15.75" hidden="1" x14ac:dyDescent="0.25">
      <c r="A1004" s="361" t="s">
        <v>151</v>
      </c>
      <c r="B1004" s="359">
        <v>908</v>
      </c>
      <c r="C1004" s="360" t="s">
        <v>250</v>
      </c>
      <c r="D1004" s="360" t="s">
        <v>229</v>
      </c>
      <c r="E1004" s="360" t="s">
        <v>1098</v>
      </c>
      <c r="F1004" s="360" t="s">
        <v>161</v>
      </c>
      <c r="G1004" s="336">
        <f>G1005</f>
        <v>0</v>
      </c>
      <c r="H1004" s="336">
        <f t="shared" ref="H1004" si="482">H1005</f>
        <v>0</v>
      </c>
      <c r="I1004" s="336" t="e">
        <f t="shared" si="463"/>
        <v>#DIV/0!</v>
      </c>
      <c r="J1004" s="325"/>
      <c r="K1004" s="325"/>
      <c r="L1004" s="325"/>
      <c r="M1004" s="325"/>
      <c r="N1004" s="325"/>
    </row>
    <row r="1005" spans="1:14" ht="15.75" hidden="1" x14ac:dyDescent="0.25">
      <c r="A1005" s="361" t="s">
        <v>162</v>
      </c>
      <c r="B1005" s="359">
        <v>908</v>
      </c>
      <c r="C1005" s="360" t="s">
        <v>250</v>
      </c>
      <c r="D1005" s="360" t="s">
        <v>229</v>
      </c>
      <c r="E1005" s="360" t="s">
        <v>1098</v>
      </c>
      <c r="F1005" s="360" t="s">
        <v>163</v>
      </c>
      <c r="G1005" s="336">
        <v>0</v>
      </c>
      <c r="H1005" s="336">
        <v>0</v>
      </c>
      <c r="I1005" s="336" t="e">
        <f t="shared" si="463"/>
        <v>#DIV/0!</v>
      </c>
    </row>
    <row r="1006" spans="1:14" s="214" customFormat="1" ht="48.75" customHeight="1" x14ac:dyDescent="0.25">
      <c r="A1006" s="333" t="s">
        <v>1171</v>
      </c>
      <c r="B1006" s="330">
        <v>908</v>
      </c>
      <c r="C1006" s="334" t="s">
        <v>250</v>
      </c>
      <c r="D1006" s="334" t="s">
        <v>229</v>
      </c>
      <c r="E1006" s="334" t="s">
        <v>1116</v>
      </c>
      <c r="F1006" s="334"/>
      <c r="G1006" s="332">
        <f>G1007+G1015+G1012+G1020</f>
        <v>22200</v>
      </c>
      <c r="H1006" s="332">
        <f t="shared" ref="H1006" si="483">H1007+H1015+H1012+H1020</f>
        <v>4846.1000000000004</v>
      </c>
      <c r="I1006" s="332">
        <f t="shared" si="463"/>
        <v>21.82927927927928</v>
      </c>
      <c r="J1006" s="325"/>
      <c r="K1006" s="325"/>
      <c r="L1006" s="325"/>
      <c r="M1006" s="325"/>
      <c r="N1006" s="325"/>
    </row>
    <row r="1007" spans="1:14" s="214" customFormat="1" ht="35.450000000000003" customHeight="1" x14ac:dyDescent="0.25">
      <c r="A1007" s="361" t="s">
        <v>873</v>
      </c>
      <c r="B1007" s="359">
        <v>908</v>
      </c>
      <c r="C1007" s="360" t="s">
        <v>250</v>
      </c>
      <c r="D1007" s="360" t="s">
        <v>229</v>
      </c>
      <c r="E1007" s="360" t="s">
        <v>1117</v>
      </c>
      <c r="F1007" s="360"/>
      <c r="G1007" s="336">
        <f>G1008+G1010</f>
        <v>22200</v>
      </c>
      <c r="H1007" s="336">
        <f t="shared" ref="H1007" si="484">H1008+H1010</f>
        <v>4846.1000000000004</v>
      </c>
      <c r="I1007" s="336">
        <f t="shared" si="463"/>
        <v>21.82927927927928</v>
      </c>
      <c r="J1007" s="325"/>
      <c r="K1007" s="325"/>
      <c r="L1007" s="325"/>
      <c r="M1007" s="325"/>
      <c r="N1007" s="325"/>
    </row>
    <row r="1008" spans="1:14" s="214" customFormat="1" ht="34.5" customHeight="1" x14ac:dyDescent="0.25">
      <c r="A1008" s="361" t="s">
        <v>147</v>
      </c>
      <c r="B1008" s="359">
        <v>908</v>
      </c>
      <c r="C1008" s="360" t="s">
        <v>250</v>
      </c>
      <c r="D1008" s="360" t="s">
        <v>229</v>
      </c>
      <c r="E1008" s="360" t="s">
        <v>1117</v>
      </c>
      <c r="F1008" s="360" t="s">
        <v>148</v>
      </c>
      <c r="G1008" s="336">
        <f>G1009</f>
        <v>13787.233399999999</v>
      </c>
      <c r="H1008" s="336">
        <f t="shared" ref="H1008" si="485">H1009</f>
        <v>4846.1000000000004</v>
      </c>
      <c r="I1008" s="336">
        <f t="shared" si="463"/>
        <v>35.149183736890976</v>
      </c>
      <c r="J1008" s="325"/>
      <c r="K1008" s="325"/>
      <c r="L1008" s="325"/>
      <c r="M1008" s="325"/>
      <c r="N1008" s="325"/>
    </row>
    <row r="1009" spans="1:14" s="214" customFormat="1" ht="33" customHeight="1" x14ac:dyDescent="0.25">
      <c r="A1009" s="361" t="s">
        <v>149</v>
      </c>
      <c r="B1009" s="359">
        <v>908</v>
      </c>
      <c r="C1009" s="360" t="s">
        <v>250</v>
      </c>
      <c r="D1009" s="360" t="s">
        <v>229</v>
      </c>
      <c r="E1009" s="360" t="s">
        <v>1117</v>
      </c>
      <c r="F1009" s="360" t="s">
        <v>150</v>
      </c>
      <c r="G1009" s="336">
        <f>22200-13739.887+5327.1204</f>
        <v>13787.233399999999</v>
      </c>
      <c r="H1009" s="336">
        <v>4846.1000000000004</v>
      </c>
      <c r="I1009" s="336">
        <f t="shared" si="463"/>
        <v>35.149183736890976</v>
      </c>
      <c r="J1009" s="325"/>
      <c r="K1009" s="325"/>
      <c r="L1009" s="325"/>
      <c r="M1009" s="325"/>
      <c r="N1009" s="325"/>
    </row>
    <row r="1010" spans="1:14" s="214" customFormat="1" ht="36" customHeight="1" x14ac:dyDescent="0.25">
      <c r="A1010" s="354" t="s">
        <v>884</v>
      </c>
      <c r="B1010" s="359">
        <v>908</v>
      </c>
      <c r="C1010" s="360" t="s">
        <v>250</v>
      </c>
      <c r="D1010" s="360" t="s">
        <v>229</v>
      </c>
      <c r="E1010" s="360" t="s">
        <v>1117</v>
      </c>
      <c r="F1010" s="360" t="s">
        <v>883</v>
      </c>
      <c r="G1010" s="336">
        <f>G1011</f>
        <v>8412.7666000000008</v>
      </c>
      <c r="H1010" s="336">
        <f t="shared" ref="H1010" si="486">H1011</f>
        <v>0</v>
      </c>
      <c r="I1010" s="336">
        <f t="shared" si="463"/>
        <v>0</v>
      </c>
      <c r="J1010" s="325"/>
      <c r="K1010" s="325"/>
      <c r="L1010" s="325"/>
      <c r="M1010" s="325"/>
      <c r="N1010" s="325"/>
    </row>
    <row r="1011" spans="1:14" s="214" customFormat="1" ht="54.75" customHeight="1" x14ac:dyDescent="0.25">
      <c r="A1011" s="361" t="s">
        <v>1551</v>
      </c>
      <c r="B1011" s="359">
        <v>908</v>
      </c>
      <c r="C1011" s="360" t="s">
        <v>250</v>
      </c>
      <c r="D1011" s="360" t="s">
        <v>229</v>
      </c>
      <c r="E1011" s="360" t="s">
        <v>1117</v>
      </c>
      <c r="F1011" s="360" t="s">
        <v>1246</v>
      </c>
      <c r="G1011" s="336">
        <f>13739.887-5327.1204</f>
        <v>8412.7666000000008</v>
      </c>
      <c r="H1011" s="336">
        <v>0</v>
      </c>
      <c r="I1011" s="336">
        <f t="shared" si="463"/>
        <v>0</v>
      </c>
      <c r="J1011" s="325"/>
      <c r="K1011" s="325"/>
      <c r="L1011" s="325"/>
      <c r="M1011" s="325"/>
      <c r="N1011" s="325"/>
    </row>
    <row r="1012" spans="1:14" s="214" customFormat="1" ht="47.25" hidden="1" customHeight="1" x14ac:dyDescent="0.25">
      <c r="A1012" s="361" t="s">
        <v>824</v>
      </c>
      <c r="B1012" s="359">
        <v>908</v>
      </c>
      <c r="C1012" s="360" t="s">
        <v>250</v>
      </c>
      <c r="D1012" s="360" t="s">
        <v>229</v>
      </c>
      <c r="E1012" s="360" t="s">
        <v>1118</v>
      </c>
      <c r="F1012" s="360"/>
      <c r="G1012" s="336">
        <f>G1013</f>
        <v>0</v>
      </c>
      <c r="H1012" s="336">
        <f t="shared" ref="H1012:H1013" si="487">H1013</f>
        <v>0</v>
      </c>
      <c r="I1012" s="336" t="e">
        <f t="shared" si="463"/>
        <v>#DIV/0!</v>
      </c>
      <c r="J1012" s="325"/>
      <c r="K1012" s="325"/>
      <c r="L1012" s="325"/>
      <c r="M1012" s="325"/>
      <c r="N1012" s="325"/>
    </row>
    <row r="1013" spans="1:14" s="214" customFormat="1" ht="33.75" hidden="1" customHeight="1" x14ac:dyDescent="0.25">
      <c r="A1013" s="361" t="s">
        <v>147</v>
      </c>
      <c r="B1013" s="359">
        <v>908</v>
      </c>
      <c r="C1013" s="360" t="s">
        <v>250</v>
      </c>
      <c r="D1013" s="360" t="s">
        <v>229</v>
      </c>
      <c r="E1013" s="360" t="s">
        <v>1118</v>
      </c>
      <c r="F1013" s="360" t="s">
        <v>148</v>
      </c>
      <c r="G1013" s="336">
        <f>G1014</f>
        <v>0</v>
      </c>
      <c r="H1013" s="336">
        <f t="shared" si="487"/>
        <v>0</v>
      </c>
      <c r="I1013" s="336" t="e">
        <f t="shared" si="463"/>
        <v>#DIV/0!</v>
      </c>
      <c r="J1013" s="325"/>
      <c r="K1013" s="325"/>
      <c r="L1013" s="325"/>
      <c r="M1013" s="325"/>
      <c r="N1013" s="325"/>
    </row>
    <row r="1014" spans="1:14" s="214" customFormat="1" ht="32.25" hidden="1" customHeight="1" x14ac:dyDescent="0.25">
      <c r="A1014" s="361" t="s">
        <v>149</v>
      </c>
      <c r="B1014" s="359">
        <v>908</v>
      </c>
      <c r="C1014" s="360" t="s">
        <v>250</v>
      </c>
      <c r="D1014" s="360" t="s">
        <v>229</v>
      </c>
      <c r="E1014" s="360" t="s">
        <v>1118</v>
      </c>
      <c r="F1014" s="360" t="s">
        <v>150</v>
      </c>
      <c r="G1014" s="336">
        <v>0</v>
      </c>
      <c r="H1014" s="336">
        <v>0</v>
      </c>
      <c r="I1014" s="336" t="e">
        <f t="shared" si="463"/>
        <v>#DIV/0!</v>
      </c>
      <c r="J1014" s="325"/>
      <c r="K1014" s="325"/>
      <c r="L1014" s="325"/>
      <c r="M1014" s="325"/>
      <c r="N1014" s="325"/>
    </row>
    <row r="1015" spans="1:14" s="214" customFormat="1" ht="47.25" hidden="1" customHeight="1" x14ac:dyDescent="0.25">
      <c r="A1015" s="98" t="s">
        <v>879</v>
      </c>
      <c r="B1015" s="359">
        <v>908</v>
      </c>
      <c r="C1015" s="360" t="s">
        <v>250</v>
      </c>
      <c r="D1015" s="360" t="s">
        <v>229</v>
      </c>
      <c r="E1015" s="360" t="s">
        <v>1119</v>
      </c>
      <c r="F1015" s="360"/>
      <c r="G1015" s="336">
        <f>G1016+G1018</f>
        <v>0</v>
      </c>
      <c r="H1015" s="336">
        <f t="shared" ref="H1015" si="488">H1016+H1018</f>
        <v>0</v>
      </c>
      <c r="I1015" s="336" t="e">
        <f t="shared" si="463"/>
        <v>#DIV/0!</v>
      </c>
      <c r="J1015" s="325"/>
      <c r="K1015" s="325"/>
      <c r="L1015" s="325"/>
      <c r="M1015" s="325"/>
      <c r="N1015" s="325"/>
    </row>
    <row r="1016" spans="1:14" s="214" customFormat="1" ht="34.5" hidden="1" customHeight="1" x14ac:dyDescent="0.25">
      <c r="A1016" s="361" t="s">
        <v>884</v>
      </c>
      <c r="B1016" s="359">
        <v>908</v>
      </c>
      <c r="C1016" s="360" t="s">
        <v>250</v>
      </c>
      <c r="D1016" s="360" t="s">
        <v>229</v>
      </c>
      <c r="E1016" s="360" t="s">
        <v>1119</v>
      </c>
      <c r="F1016" s="360" t="s">
        <v>883</v>
      </c>
      <c r="G1016" s="336">
        <f>G1017</f>
        <v>0</v>
      </c>
      <c r="H1016" s="336">
        <f t="shared" ref="H1016" si="489">H1017</f>
        <v>0</v>
      </c>
      <c r="I1016" s="336" t="e">
        <f t="shared" si="463"/>
        <v>#DIV/0!</v>
      </c>
      <c r="J1016" s="325"/>
      <c r="K1016" s="325"/>
      <c r="L1016" s="325"/>
      <c r="M1016" s="325"/>
      <c r="N1016" s="325"/>
    </row>
    <row r="1017" spans="1:14" s="214" customFormat="1" ht="47.25" hidden="1" customHeight="1" x14ac:dyDescent="0.25">
      <c r="A1017" s="361" t="s">
        <v>1224</v>
      </c>
      <c r="B1017" s="359">
        <v>908</v>
      </c>
      <c r="C1017" s="360" t="s">
        <v>250</v>
      </c>
      <c r="D1017" s="360" t="s">
        <v>229</v>
      </c>
      <c r="E1017" s="360" t="s">
        <v>1119</v>
      </c>
      <c r="F1017" s="360" t="s">
        <v>1246</v>
      </c>
      <c r="G1017" s="336">
        <v>0</v>
      </c>
      <c r="H1017" s="336">
        <v>0</v>
      </c>
      <c r="I1017" s="336" t="e">
        <f t="shared" si="463"/>
        <v>#DIV/0!</v>
      </c>
      <c r="J1017" s="325"/>
      <c r="K1017" s="325"/>
      <c r="L1017" s="325"/>
      <c r="M1017" s="325"/>
      <c r="N1017" s="325"/>
    </row>
    <row r="1018" spans="1:14" s="214" customFormat="1" ht="17.45" hidden="1" customHeight="1" x14ac:dyDescent="0.25">
      <c r="A1018" s="361" t="s">
        <v>151</v>
      </c>
      <c r="B1018" s="359">
        <v>908</v>
      </c>
      <c r="C1018" s="360" t="s">
        <v>250</v>
      </c>
      <c r="D1018" s="360" t="s">
        <v>229</v>
      </c>
      <c r="E1018" s="360" t="s">
        <v>1119</v>
      </c>
      <c r="F1018" s="360" t="s">
        <v>161</v>
      </c>
      <c r="G1018" s="336">
        <f>G1019</f>
        <v>0</v>
      </c>
      <c r="H1018" s="336">
        <f t="shared" ref="H1018" si="490">H1019</f>
        <v>0</v>
      </c>
      <c r="I1018" s="336" t="e">
        <f t="shared" si="463"/>
        <v>#DIV/0!</v>
      </c>
      <c r="J1018" s="325"/>
      <c r="K1018" s="325"/>
      <c r="L1018" s="325"/>
      <c r="M1018" s="325"/>
      <c r="N1018" s="325"/>
    </row>
    <row r="1019" spans="1:14" s="214" customFormat="1" ht="18.75" hidden="1" customHeight="1" x14ac:dyDescent="0.25">
      <c r="A1019" s="361" t="s">
        <v>727</v>
      </c>
      <c r="B1019" s="359">
        <v>908</v>
      </c>
      <c r="C1019" s="360" t="s">
        <v>250</v>
      </c>
      <c r="D1019" s="360" t="s">
        <v>229</v>
      </c>
      <c r="E1019" s="360" t="s">
        <v>1119</v>
      </c>
      <c r="F1019" s="360" t="s">
        <v>154</v>
      </c>
      <c r="G1019" s="336">
        <v>0</v>
      </c>
      <c r="H1019" s="336">
        <v>0</v>
      </c>
      <c r="I1019" s="336" t="e">
        <f t="shared" si="463"/>
        <v>#DIV/0!</v>
      </c>
      <c r="J1019" s="325"/>
      <c r="K1019" s="325"/>
      <c r="L1019" s="325"/>
      <c r="M1019" s="325"/>
      <c r="N1019" s="325"/>
    </row>
    <row r="1020" spans="1:14" s="214" customFormat="1" ht="38.25" hidden="1" customHeight="1" x14ac:dyDescent="0.25">
      <c r="A1020" s="361" t="s">
        <v>1247</v>
      </c>
      <c r="B1020" s="359">
        <v>908</v>
      </c>
      <c r="C1020" s="360" t="s">
        <v>250</v>
      </c>
      <c r="D1020" s="360" t="s">
        <v>229</v>
      </c>
      <c r="E1020" s="360" t="s">
        <v>1248</v>
      </c>
      <c r="F1020" s="360"/>
      <c r="G1020" s="336">
        <f>G1021</f>
        <v>0</v>
      </c>
      <c r="H1020" s="336">
        <f t="shared" ref="H1020:H1021" si="491">H1021</f>
        <v>0</v>
      </c>
      <c r="I1020" s="336" t="e">
        <f t="shared" si="463"/>
        <v>#DIV/0!</v>
      </c>
      <c r="J1020" s="325"/>
      <c r="K1020" s="325"/>
      <c r="L1020" s="325"/>
      <c r="M1020" s="325"/>
      <c r="N1020" s="325"/>
    </row>
    <row r="1021" spans="1:14" s="214" customFormat="1" ht="32.25" hidden="1" customHeight="1" x14ac:dyDescent="0.25">
      <c r="A1021" s="361" t="s">
        <v>147</v>
      </c>
      <c r="B1021" s="359">
        <v>908</v>
      </c>
      <c r="C1021" s="360" t="s">
        <v>250</v>
      </c>
      <c r="D1021" s="360" t="s">
        <v>229</v>
      </c>
      <c r="E1021" s="360" t="s">
        <v>1248</v>
      </c>
      <c r="F1021" s="360" t="s">
        <v>148</v>
      </c>
      <c r="G1021" s="336">
        <f>G1022</f>
        <v>0</v>
      </c>
      <c r="H1021" s="336">
        <f t="shared" si="491"/>
        <v>0</v>
      </c>
      <c r="I1021" s="336" t="e">
        <f t="shared" si="463"/>
        <v>#DIV/0!</v>
      </c>
      <c r="J1021" s="325"/>
      <c r="K1021" s="325"/>
      <c r="L1021" s="325"/>
      <c r="M1021" s="325"/>
      <c r="N1021" s="325"/>
    </row>
    <row r="1022" spans="1:14" s="214" customFormat="1" ht="35.450000000000003" hidden="1" customHeight="1" x14ac:dyDescent="0.25">
      <c r="A1022" s="361" t="s">
        <v>149</v>
      </c>
      <c r="B1022" s="359">
        <v>908</v>
      </c>
      <c r="C1022" s="360" t="s">
        <v>250</v>
      </c>
      <c r="D1022" s="360" t="s">
        <v>229</v>
      </c>
      <c r="E1022" s="360" t="s">
        <v>1248</v>
      </c>
      <c r="F1022" s="360" t="s">
        <v>150</v>
      </c>
      <c r="G1022" s="336">
        <v>0</v>
      </c>
      <c r="H1022" s="336">
        <v>0</v>
      </c>
      <c r="I1022" s="336" t="e">
        <f t="shared" si="463"/>
        <v>#DIV/0!</v>
      </c>
      <c r="J1022" s="325"/>
      <c r="K1022" s="325"/>
      <c r="L1022" s="325"/>
      <c r="M1022" s="325"/>
      <c r="N1022" s="325"/>
    </row>
    <row r="1023" spans="1:14" s="214" customFormat="1" ht="47.25" customHeight="1" x14ac:dyDescent="0.25">
      <c r="A1023" s="333" t="s">
        <v>1355</v>
      </c>
      <c r="B1023" s="330">
        <v>908</v>
      </c>
      <c r="C1023" s="334" t="s">
        <v>250</v>
      </c>
      <c r="D1023" s="334" t="s">
        <v>229</v>
      </c>
      <c r="E1023" s="334" t="s">
        <v>534</v>
      </c>
      <c r="F1023" s="334"/>
      <c r="G1023" s="332">
        <f>G1024+G1028+G1032+G1036+G1048+G1044</f>
        <v>269</v>
      </c>
      <c r="H1023" s="332">
        <f t="shared" ref="H1023" si="492">H1024+H1028+H1032+H1036+H1048+H1044</f>
        <v>199</v>
      </c>
      <c r="I1023" s="332">
        <f t="shared" si="463"/>
        <v>73.977695167286257</v>
      </c>
      <c r="J1023" s="325"/>
      <c r="K1023" s="325"/>
      <c r="L1023" s="325"/>
      <c r="M1023" s="325"/>
      <c r="N1023" s="325"/>
    </row>
    <row r="1024" spans="1:14" s="214" customFormat="1" ht="30.75" hidden="1" customHeight="1" x14ac:dyDescent="0.25">
      <c r="A1024" s="333" t="s">
        <v>1099</v>
      </c>
      <c r="B1024" s="330">
        <v>908</v>
      </c>
      <c r="C1024" s="334" t="s">
        <v>250</v>
      </c>
      <c r="D1024" s="334" t="s">
        <v>229</v>
      </c>
      <c r="E1024" s="334" t="s">
        <v>1101</v>
      </c>
      <c r="F1024" s="334"/>
      <c r="G1024" s="332">
        <f>G1025</f>
        <v>0</v>
      </c>
      <c r="H1024" s="332">
        <f t="shared" ref="H1024:H1026" si="493">H1025</f>
        <v>0</v>
      </c>
      <c r="I1024" s="332" t="e">
        <f t="shared" si="463"/>
        <v>#DIV/0!</v>
      </c>
      <c r="J1024" s="325"/>
      <c r="K1024" s="325"/>
      <c r="L1024" s="325"/>
      <c r="M1024" s="325"/>
      <c r="N1024" s="325"/>
    </row>
    <row r="1025" spans="1:14" ht="15.75" hidden="1" x14ac:dyDescent="0.25">
      <c r="A1025" s="45" t="s">
        <v>1100</v>
      </c>
      <c r="B1025" s="359">
        <v>908</v>
      </c>
      <c r="C1025" s="339" t="s">
        <v>250</v>
      </c>
      <c r="D1025" s="339" t="s">
        <v>229</v>
      </c>
      <c r="E1025" s="360" t="s">
        <v>1102</v>
      </c>
      <c r="F1025" s="339"/>
      <c r="G1025" s="336">
        <f>G1026</f>
        <v>0</v>
      </c>
      <c r="H1025" s="336">
        <f t="shared" si="493"/>
        <v>0</v>
      </c>
      <c r="I1025" s="332" t="e">
        <f t="shared" si="463"/>
        <v>#DIV/0!</v>
      </c>
    </row>
    <row r="1026" spans="1:14" ht="31.5" hidden="1" x14ac:dyDescent="0.25">
      <c r="A1026" s="31" t="s">
        <v>147</v>
      </c>
      <c r="B1026" s="359">
        <v>908</v>
      </c>
      <c r="C1026" s="339" t="s">
        <v>250</v>
      </c>
      <c r="D1026" s="339" t="s">
        <v>229</v>
      </c>
      <c r="E1026" s="360" t="s">
        <v>1102</v>
      </c>
      <c r="F1026" s="339" t="s">
        <v>148</v>
      </c>
      <c r="G1026" s="336">
        <f>G1027</f>
        <v>0</v>
      </c>
      <c r="H1026" s="336">
        <f t="shared" si="493"/>
        <v>0</v>
      </c>
      <c r="I1026" s="332" t="e">
        <f t="shared" si="463"/>
        <v>#DIV/0!</v>
      </c>
    </row>
    <row r="1027" spans="1:14" ht="31.5" hidden="1" x14ac:dyDescent="0.25">
      <c r="A1027" s="31" t="s">
        <v>149</v>
      </c>
      <c r="B1027" s="359">
        <v>908</v>
      </c>
      <c r="C1027" s="339" t="s">
        <v>250</v>
      </c>
      <c r="D1027" s="339" t="s">
        <v>229</v>
      </c>
      <c r="E1027" s="360" t="s">
        <v>1102</v>
      </c>
      <c r="F1027" s="339" t="s">
        <v>150</v>
      </c>
      <c r="G1027" s="336">
        <v>0</v>
      </c>
      <c r="H1027" s="336">
        <v>0</v>
      </c>
      <c r="I1027" s="332" t="e">
        <f t="shared" si="463"/>
        <v>#DIV/0!</v>
      </c>
    </row>
    <row r="1028" spans="1:14" s="214" customFormat="1" ht="15.75" x14ac:dyDescent="0.25">
      <c r="A1028" s="34" t="s">
        <v>1103</v>
      </c>
      <c r="B1028" s="330">
        <v>908</v>
      </c>
      <c r="C1028" s="327" t="s">
        <v>250</v>
      </c>
      <c r="D1028" s="327" t="s">
        <v>229</v>
      </c>
      <c r="E1028" s="334" t="s">
        <v>1104</v>
      </c>
      <c r="F1028" s="327"/>
      <c r="G1028" s="332">
        <f>G1029</f>
        <v>225</v>
      </c>
      <c r="H1028" s="332">
        <f t="shared" ref="H1028:H1030" si="494">H1029</f>
        <v>155</v>
      </c>
      <c r="I1028" s="332">
        <f t="shared" si="463"/>
        <v>68.888888888888886</v>
      </c>
      <c r="J1028" s="325"/>
      <c r="K1028" s="325"/>
      <c r="L1028" s="325"/>
      <c r="M1028" s="325"/>
      <c r="N1028" s="325"/>
    </row>
    <row r="1029" spans="1:14" ht="15.75" x14ac:dyDescent="0.25">
      <c r="A1029" s="45" t="s">
        <v>539</v>
      </c>
      <c r="B1029" s="359">
        <v>908</v>
      </c>
      <c r="C1029" s="339" t="s">
        <v>250</v>
      </c>
      <c r="D1029" s="339" t="s">
        <v>229</v>
      </c>
      <c r="E1029" s="360" t="s">
        <v>1107</v>
      </c>
      <c r="F1029" s="339"/>
      <c r="G1029" s="336">
        <f>G1030</f>
        <v>225</v>
      </c>
      <c r="H1029" s="336">
        <f t="shared" si="494"/>
        <v>155</v>
      </c>
      <c r="I1029" s="336">
        <f t="shared" si="463"/>
        <v>68.888888888888886</v>
      </c>
    </row>
    <row r="1030" spans="1:14" ht="31.5" x14ac:dyDescent="0.25">
      <c r="A1030" s="31" t="s">
        <v>147</v>
      </c>
      <c r="B1030" s="359">
        <v>908</v>
      </c>
      <c r="C1030" s="339" t="s">
        <v>250</v>
      </c>
      <c r="D1030" s="339" t="s">
        <v>229</v>
      </c>
      <c r="E1030" s="360" t="s">
        <v>1107</v>
      </c>
      <c r="F1030" s="339" t="s">
        <v>148</v>
      </c>
      <c r="G1030" s="336">
        <f>G1031</f>
        <v>225</v>
      </c>
      <c r="H1030" s="336">
        <f t="shared" si="494"/>
        <v>155</v>
      </c>
      <c r="I1030" s="336">
        <f t="shared" si="463"/>
        <v>68.888888888888886</v>
      </c>
    </row>
    <row r="1031" spans="1:14" ht="31.5" x14ac:dyDescent="0.25">
      <c r="A1031" s="31" t="s">
        <v>149</v>
      </c>
      <c r="B1031" s="359">
        <v>908</v>
      </c>
      <c r="C1031" s="339" t="s">
        <v>250</v>
      </c>
      <c r="D1031" s="339" t="s">
        <v>229</v>
      </c>
      <c r="E1031" s="360" t="s">
        <v>1107</v>
      </c>
      <c r="F1031" s="339" t="s">
        <v>150</v>
      </c>
      <c r="G1031" s="358">
        <f>85+70+70</f>
        <v>225</v>
      </c>
      <c r="H1031" s="358">
        <v>155</v>
      </c>
      <c r="I1031" s="336">
        <f t="shared" si="463"/>
        <v>68.888888888888886</v>
      </c>
    </row>
    <row r="1032" spans="1:14" s="214" customFormat="1" ht="16.5" hidden="1" customHeight="1" x14ac:dyDescent="0.25">
      <c r="A1032" s="58" t="s">
        <v>1105</v>
      </c>
      <c r="B1032" s="330">
        <v>908</v>
      </c>
      <c r="C1032" s="327" t="s">
        <v>250</v>
      </c>
      <c r="D1032" s="327" t="s">
        <v>229</v>
      </c>
      <c r="E1032" s="334" t="s">
        <v>1106</v>
      </c>
      <c r="F1032" s="327"/>
      <c r="G1032" s="4">
        <f>G1033</f>
        <v>0</v>
      </c>
      <c r="H1032" s="4">
        <f t="shared" ref="H1032:H1034" si="495">H1033</f>
        <v>0</v>
      </c>
      <c r="I1032" s="336" t="e">
        <f t="shared" si="463"/>
        <v>#DIV/0!</v>
      </c>
      <c r="J1032" s="325"/>
      <c r="K1032" s="325"/>
      <c r="L1032" s="325"/>
      <c r="M1032" s="325"/>
      <c r="N1032" s="325"/>
    </row>
    <row r="1033" spans="1:14" ht="15.75" hidden="1" x14ac:dyDescent="0.25">
      <c r="A1033" s="45" t="s">
        <v>541</v>
      </c>
      <c r="B1033" s="359">
        <v>908</v>
      </c>
      <c r="C1033" s="339" t="s">
        <v>250</v>
      </c>
      <c r="D1033" s="339" t="s">
        <v>229</v>
      </c>
      <c r="E1033" s="360" t="s">
        <v>1108</v>
      </c>
      <c r="F1033" s="339"/>
      <c r="G1033" s="336">
        <f>G1034</f>
        <v>0</v>
      </c>
      <c r="H1033" s="336">
        <f t="shared" si="495"/>
        <v>0</v>
      </c>
      <c r="I1033" s="336" t="e">
        <f t="shared" si="463"/>
        <v>#DIV/0!</v>
      </c>
    </row>
    <row r="1034" spans="1:14" ht="31.5" hidden="1" x14ac:dyDescent="0.25">
      <c r="A1034" s="31" t="s">
        <v>147</v>
      </c>
      <c r="B1034" s="359">
        <v>908</v>
      </c>
      <c r="C1034" s="339" t="s">
        <v>250</v>
      </c>
      <c r="D1034" s="339" t="s">
        <v>229</v>
      </c>
      <c r="E1034" s="360" t="s">
        <v>1108</v>
      </c>
      <c r="F1034" s="339" t="s">
        <v>148</v>
      </c>
      <c r="G1034" s="336">
        <f>G1035</f>
        <v>0</v>
      </c>
      <c r="H1034" s="336">
        <f t="shared" si="495"/>
        <v>0</v>
      </c>
      <c r="I1034" s="336" t="e">
        <f t="shared" si="463"/>
        <v>#DIV/0!</v>
      </c>
    </row>
    <row r="1035" spans="1:14" ht="31.5" hidden="1" x14ac:dyDescent="0.25">
      <c r="A1035" s="31" t="s">
        <v>149</v>
      </c>
      <c r="B1035" s="359">
        <v>908</v>
      </c>
      <c r="C1035" s="339" t="s">
        <v>250</v>
      </c>
      <c r="D1035" s="339" t="s">
        <v>229</v>
      </c>
      <c r="E1035" s="360" t="s">
        <v>1108</v>
      </c>
      <c r="F1035" s="339" t="s">
        <v>150</v>
      </c>
      <c r="G1035" s="358">
        <v>0</v>
      </c>
      <c r="H1035" s="358">
        <v>0</v>
      </c>
      <c r="I1035" s="336" t="e">
        <f t="shared" ref="I1035:I1098" si="496">H1035/G1035*100</f>
        <v>#DIV/0!</v>
      </c>
    </row>
    <row r="1036" spans="1:14" s="214" customFormat="1" ht="31.5" x14ac:dyDescent="0.25">
      <c r="A1036" s="58" t="s">
        <v>1109</v>
      </c>
      <c r="B1036" s="330">
        <v>908</v>
      </c>
      <c r="C1036" s="327" t="s">
        <v>250</v>
      </c>
      <c r="D1036" s="327" t="s">
        <v>229</v>
      </c>
      <c r="E1036" s="334" t="s">
        <v>1110</v>
      </c>
      <c r="F1036" s="327"/>
      <c r="G1036" s="4">
        <f>G1037</f>
        <v>44</v>
      </c>
      <c r="H1036" s="4">
        <f t="shared" ref="H1036:H1038" si="497">H1037</f>
        <v>44</v>
      </c>
      <c r="I1036" s="332">
        <f t="shared" si="496"/>
        <v>100</v>
      </c>
      <c r="J1036" s="325"/>
      <c r="K1036" s="325"/>
      <c r="L1036" s="325"/>
      <c r="M1036" s="325"/>
      <c r="N1036" s="325"/>
    </row>
    <row r="1037" spans="1:14" ht="15.75" x14ac:dyDescent="0.25">
      <c r="A1037" s="45" t="s">
        <v>543</v>
      </c>
      <c r="B1037" s="359">
        <v>908</v>
      </c>
      <c r="C1037" s="339" t="s">
        <v>250</v>
      </c>
      <c r="D1037" s="339" t="s">
        <v>229</v>
      </c>
      <c r="E1037" s="360" t="s">
        <v>1111</v>
      </c>
      <c r="F1037" s="339"/>
      <c r="G1037" s="336">
        <f>G1038</f>
        <v>44</v>
      </c>
      <c r="H1037" s="336">
        <f t="shared" si="497"/>
        <v>44</v>
      </c>
      <c r="I1037" s="336">
        <f t="shared" si="496"/>
        <v>100</v>
      </c>
    </row>
    <row r="1038" spans="1:14" ht="31.5" x14ac:dyDescent="0.25">
      <c r="A1038" s="31" t="s">
        <v>147</v>
      </c>
      <c r="B1038" s="359">
        <v>908</v>
      </c>
      <c r="C1038" s="339" t="s">
        <v>250</v>
      </c>
      <c r="D1038" s="339" t="s">
        <v>229</v>
      </c>
      <c r="E1038" s="360" t="s">
        <v>1111</v>
      </c>
      <c r="F1038" s="339" t="s">
        <v>148</v>
      </c>
      <c r="G1038" s="336">
        <f>G1039</f>
        <v>44</v>
      </c>
      <c r="H1038" s="336">
        <f t="shared" si="497"/>
        <v>44</v>
      </c>
      <c r="I1038" s="336">
        <f t="shared" si="496"/>
        <v>100</v>
      </c>
    </row>
    <row r="1039" spans="1:14" ht="31.5" x14ac:dyDescent="0.25">
      <c r="A1039" s="31" t="s">
        <v>149</v>
      </c>
      <c r="B1039" s="359">
        <v>908</v>
      </c>
      <c r="C1039" s="339" t="s">
        <v>250</v>
      </c>
      <c r="D1039" s="339" t="s">
        <v>229</v>
      </c>
      <c r="E1039" s="360" t="s">
        <v>1111</v>
      </c>
      <c r="F1039" s="339" t="s">
        <v>150</v>
      </c>
      <c r="G1039" s="358">
        <v>44</v>
      </c>
      <c r="H1039" s="358">
        <v>44</v>
      </c>
      <c r="I1039" s="336">
        <f t="shared" si="496"/>
        <v>100</v>
      </c>
    </row>
    <row r="1040" spans="1:14" s="214" customFormat="1" ht="31.7" hidden="1" customHeight="1" x14ac:dyDescent="0.25">
      <c r="A1040" s="34" t="s">
        <v>1172</v>
      </c>
      <c r="B1040" s="330">
        <v>908</v>
      </c>
      <c r="C1040" s="327" t="s">
        <v>250</v>
      </c>
      <c r="D1040" s="327" t="s">
        <v>229</v>
      </c>
      <c r="E1040" s="334" t="s">
        <v>1173</v>
      </c>
      <c r="F1040" s="327"/>
      <c r="G1040" s="4">
        <f>G1041</f>
        <v>0</v>
      </c>
      <c r="H1040" s="4">
        <f t="shared" ref="H1040:H1042" si="498">H1041</f>
        <v>0</v>
      </c>
      <c r="I1040" s="336" t="e">
        <f t="shared" si="496"/>
        <v>#DIV/0!</v>
      </c>
      <c r="J1040" s="325"/>
      <c r="K1040" s="325"/>
      <c r="L1040" s="325"/>
      <c r="M1040" s="325"/>
      <c r="N1040" s="325"/>
    </row>
    <row r="1041" spans="1:14" ht="15.75" hidden="1" x14ac:dyDescent="0.25">
      <c r="A1041" s="45" t="s">
        <v>545</v>
      </c>
      <c r="B1041" s="359">
        <v>908</v>
      </c>
      <c r="C1041" s="339" t="s">
        <v>250</v>
      </c>
      <c r="D1041" s="339" t="s">
        <v>229</v>
      </c>
      <c r="E1041" s="360" t="s">
        <v>1176</v>
      </c>
      <c r="F1041" s="339"/>
      <c r="G1041" s="336">
        <f>G1042</f>
        <v>0</v>
      </c>
      <c r="H1041" s="336">
        <f t="shared" si="498"/>
        <v>0</v>
      </c>
      <c r="I1041" s="336" t="e">
        <f t="shared" si="496"/>
        <v>#DIV/0!</v>
      </c>
    </row>
    <row r="1042" spans="1:14" ht="31.5" hidden="1" x14ac:dyDescent="0.25">
      <c r="A1042" s="31" t="s">
        <v>147</v>
      </c>
      <c r="B1042" s="359">
        <v>908</v>
      </c>
      <c r="C1042" s="339" t="s">
        <v>250</v>
      </c>
      <c r="D1042" s="339" t="s">
        <v>229</v>
      </c>
      <c r="E1042" s="360" t="s">
        <v>1176</v>
      </c>
      <c r="F1042" s="339" t="s">
        <v>148</v>
      </c>
      <c r="G1042" s="336">
        <f>G1043</f>
        <v>0</v>
      </c>
      <c r="H1042" s="336">
        <f t="shared" si="498"/>
        <v>0</v>
      </c>
      <c r="I1042" s="336" t="e">
        <f t="shared" si="496"/>
        <v>#DIV/0!</v>
      </c>
    </row>
    <row r="1043" spans="1:14" ht="31.5" hidden="1" x14ac:dyDescent="0.25">
      <c r="A1043" s="31" t="s">
        <v>149</v>
      </c>
      <c r="B1043" s="359">
        <v>908</v>
      </c>
      <c r="C1043" s="339" t="s">
        <v>250</v>
      </c>
      <c r="D1043" s="339" t="s">
        <v>229</v>
      </c>
      <c r="E1043" s="360" t="s">
        <v>1176</v>
      </c>
      <c r="F1043" s="339" t="s">
        <v>150</v>
      </c>
      <c r="G1043" s="336">
        <v>0</v>
      </c>
      <c r="H1043" s="336">
        <v>0</v>
      </c>
      <c r="I1043" s="336" t="e">
        <f t="shared" si="496"/>
        <v>#DIV/0!</v>
      </c>
    </row>
    <row r="1044" spans="1:14" s="214" customFormat="1" ht="31.5" hidden="1" x14ac:dyDescent="0.25">
      <c r="A1044" s="228" t="s">
        <v>1174</v>
      </c>
      <c r="B1044" s="330">
        <v>908</v>
      </c>
      <c r="C1044" s="327" t="s">
        <v>250</v>
      </c>
      <c r="D1044" s="327" t="s">
        <v>229</v>
      </c>
      <c r="E1044" s="334" t="s">
        <v>1175</v>
      </c>
      <c r="F1044" s="327"/>
      <c r="G1044" s="332">
        <f>G1045</f>
        <v>0</v>
      </c>
      <c r="H1044" s="332">
        <f t="shared" ref="H1044:H1046" si="499">H1045</f>
        <v>0</v>
      </c>
      <c r="I1044" s="336" t="e">
        <f t="shared" si="496"/>
        <v>#DIV/0!</v>
      </c>
      <c r="J1044" s="325"/>
      <c r="K1044" s="325"/>
      <c r="L1044" s="325"/>
      <c r="M1044" s="325"/>
      <c r="N1044" s="325"/>
    </row>
    <row r="1045" spans="1:14" ht="21.75" hidden="1" customHeight="1" x14ac:dyDescent="0.25">
      <c r="A1045" s="178" t="s">
        <v>547</v>
      </c>
      <c r="B1045" s="359">
        <v>908</v>
      </c>
      <c r="C1045" s="339" t="s">
        <v>250</v>
      </c>
      <c r="D1045" s="339" t="s">
        <v>229</v>
      </c>
      <c r="E1045" s="360" t="s">
        <v>1177</v>
      </c>
      <c r="F1045" s="339"/>
      <c r="G1045" s="336">
        <f>G1046</f>
        <v>0</v>
      </c>
      <c r="H1045" s="336">
        <f t="shared" si="499"/>
        <v>0</v>
      </c>
      <c r="I1045" s="336" t="e">
        <f t="shared" si="496"/>
        <v>#DIV/0!</v>
      </c>
    </row>
    <row r="1046" spans="1:14" ht="31.7" hidden="1" customHeight="1" x14ac:dyDescent="0.25">
      <c r="A1046" s="31" t="s">
        <v>147</v>
      </c>
      <c r="B1046" s="359">
        <v>908</v>
      </c>
      <c r="C1046" s="339" t="s">
        <v>250</v>
      </c>
      <c r="D1046" s="339" t="s">
        <v>229</v>
      </c>
      <c r="E1046" s="360" t="s">
        <v>1177</v>
      </c>
      <c r="F1046" s="339" t="s">
        <v>148</v>
      </c>
      <c r="G1046" s="336">
        <f>G1047</f>
        <v>0</v>
      </c>
      <c r="H1046" s="336">
        <f t="shared" si="499"/>
        <v>0</v>
      </c>
      <c r="I1046" s="336" t="e">
        <f t="shared" si="496"/>
        <v>#DIV/0!</v>
      </c>
    </row>
    <row r="1047" spans="1:14" ht="36" hidden="1" customHeight="1" x14ac:dyDescent="0.25">
      <c r="A1047" s="31" t="s">
        <v>149</v>
      </c>
      <c r="B1047" s="359">
        <v>908</v>
      </c>
      <c r="C1047" s="339" t="s">
        <v>250</v>
      </c>
      <c r="D1047" s="339" t="s">
        <v>229</v>
      </c>
      <c r="E1047" s="360" t="s">
        <v>1177</v>
      </c>
      <c r="F1047" s="339" t="s">
        <v>150</v>
      </c>
      <c r="G1047" s="336">
        <v>0</v>
      </c>
      <c r="H1047" s="336">
        <v>0</v>
      </c>
      <c r="I1047" s="336" t="e">
        <f t="shared" si="496"/>
        <v>#DIV/0!</v>
      </c>
    </row>
    <row r="1048" spans="1:14" s="214" customFormat="1" ht="31.7" hidden="1" customHeight="1" x14ac:dyDescent="0.25">
      <c r="A1048" s="228" t="s">
        <v>1113</v>
      </c>
      <c r="B1048" s="330">
        <v>908</v>
      </c>
      <c r="C1048" s="327" t="s">
        <v>250</v>
      </c>
      <c r="D1048" s="327" t="s">
        <v>229</v>
      </c>
      <c r="E1048" s="334" t="s">
        <v>1114</v>
      </c>
      <c r="F1048" s="327"/>
      <c r="G1048" s="332">
        <f>G1049</f>
        <v>0</v>
      </c>
      <c r="H1048" s="332">
        <f t="shared" ref="H1048:H1050" si="500">H1049</f>
        <v>0</v>
      </c>
      <c r="I1048" s="336" t="e">
        <f t="shared" si="496"/>
        <v>#DIV/0!</v>
      </c>
      <c r="J1048" s="325"/>
      <c r="K1048" s="325"/>
      <c r="L1048" s="325"/>
      <c r="M1048" s="325"/>
      <c r="N1048" s="325"/>
    </row>
    <row r="1049" spans="1:14" ht="15.75" hidden="1" x14ac:dyDescent="0.25">
      <c r="A1049" s="178" t="s">
        <v>549</v>
      </c>
      <c r="B1049" s="359">
        <v>908</v>
      </c>
      <c r="C1049" s="339" t="s">
        <v>250</v>
      </c>
      <c r="D1049" s="339" t="s">
        <v>229</v>
      </c>
      <c r="E1049" s="360" t="s">
        <v>1112</v>
      </c>
      <c r="F1049" s="339"/>
      <c r="G1049" s="336">
        <f>G1050</f>
        <v>0</v>
      </c>
      <c r="H1049" s="336">
        <f t="shared" si="500"/>
        <v>0</v>
      </c>
      <c r="I1049" s="336" t="e">
        <f t="shared" si="496"/>
        <v>#DIV/0!</v>
      </c>
    </row>
    <row r="1050" spans="1:14" ht="31.5" hidden="1" x14ac:dyDescent="0.25">
      <c r="A1050" s="361" t="s">
        <v>147</v>
      </c>
      <c r="B1050" s="359">
        <v>908</v>
      </c>
      <c r="C1050" s="339" t="s">
        <v>250</v>
      </c>
      <c r="D1050" s="339" t="s">
        <v>229</v>
      </c>
      <c r="E1050" s="360" t="s">
        <v>1112</v>
      </c>
      <c r="F1050" s="339" t="s">
        <v>148</v>
      </c>
      <c r="G1050" s="336">
        <f>G1051</f>
        <v>0</v>
      </c>
      <c r="H1050" s="336">
        <f t="shared" si="500"/>
        <v>0</v>
      </c>
      <c r="I1050" s="336" t="e">
        <f t="shared" si="496"/>
        <v>#DIV/0!</v>
      </c>
    </row>
    <row r="1051" spans="1:14" ht="31.5" hidden="1" x14ac:dyDescent="0.25">
      <c r="A1051" s="361" t="s">
        <v>149</v>
      </c>
      <c r="B1051" s="359">
        <v>908</v>
      </c>
      <c r="C1051" s="339" t="s">
        <v>250</v>
      </c>
      <c r="D1051" s="339" t="s">
        <v>229</v>
      </c>
      <c r="E1051" s="360" t="s">
        <v>1112</v>
      </c>
      <c r="F1051" s="339" t="s">
        <v>150</v>
      </c>
      <c r="G1051" s="336">
        <v>0</v>
      </c>
      <c r="H1051" s="336">
        <v>0</v>
      </c>
      <c r="I1051" s="336" t="e">
        <f t="shared" si="496"/>
        <v>#DIV/0!</v>
      </c>
    </row>
    <row r="1052" spans="1:14" s="214" customFormat="1" ht="31.5" hidden="1" x14ac:dyDescent="0.25">
      <c r="A1052" s="333" t="s">
        <v>1362</v>
      </c>
      <c r="B1052" s="330">
        <v>908</v>
      </c>
      <c r="C1052" s="327" t="s">
        <v>250</v>
      </c>
      <c r="D1052" s="327" t="s">
        <v>229</v>
      </c>
      <c r="E1052" s="334" t="s">
        <v>1361</v>
      </c>
      <c r="F1052" s="327"/>
      <c r="G1052" s="332">
        <f>G1053</f>
        <v>0</v>
      </c>
      <c r="H1052" s="332">
        <f t="shared" ref="H1052:H1055" si="501">H1053</f>
        <v>0</v>
      </c>
      <c r="I1052" s="336" t="e">
        <f t="shared" si="496"/>
        <v>#DIV/0!</v>
      </c>
      <c r="J1052" s="325"/>
      <c r="K1052" s="325"/>
      <c r="L1052" s="325"/>
      <c r="M1052" s="325"/>
      <c r="N1052" s="325"/>
    </row>
    <row r="1053" spans="1:14" s="214" customFormat="1" ht="31.5" hidden="1" x14ac:dyDescent="0.25">
      <c r="A1053" s="333" t="s">
        <v>1363</v>
      </c>
      <c r="B1053" s="330">
        <v>908</v>
      </c>
      <c r="C1053" s="327" t="s">
        <v>250</v>
      </c>
      <c r="D1053" s="327" t="s">
        <v>229</v>
      </c>
      <c r="E1053" s="334" t="s">
        <v>1364</v>
      </c>
      <c r="F1053" s="327"/>
      <c r="G1053" s="332">
        <f>G1054</f>
        <v>0</v>
      </c>
      <c r="H1053" s="332">
        <f t="shared" si="501"/>
        <v>0</v>
      </c>
      <c r="I1053" s="336" t="e">
        <f t="shared" si="496"/>
        <v>#DIV/0!</v>
      </c>
      <c r="J1053" s="325"/>
      <c r="K1053" s="325"/>
      <c r="L1053" s="325"/>
      <c r="M1053" s="325"/>
      <c r="N1053" s="325"/>
    </row>
    <row r="1054" spans="1:14" s="214" customFormat="1" ht="15.75" hidden="1" x14ac:dyDescent="0.25">
      <c r="A1054" s="361" t="s">
        <v>553</v>
      </c>
      <c r="B1054" s="359">
        <v>908</v>
      </c>
      <c r="C1054" s="339" t="s">
        <v>250</v>
      </c>
      <c r="D1054" s="339" t="s">
        <v>229</v>
      </c>
      <c r="E1054" s="360" t="s">
        <v>1365</v>
      </c>
      <c r="F1054" s="339"/>
      <c r="G1054" s="336">
        <f>G1055</f>
        <v>0</v>
      </c>
      <c r="H1054" s="336">
        <f t="shared" si="501"/>
        <v>0</v>
      </c>
      <c r="I1054" s="336" t="e">
        <f t="shared" si="496"/>
        <v>#DIV/0!</v>
      </c>
      <c r="J1054" s="325"/>
      <c r="K1054" s="325"/>
      <c r="L1054" s="325"/>
      <c r="M1054" s="325"/>
      <c r="N1054" s="325"/>
    </row>
    <row r="1055" spans="1:14" s="214" customFormat="1" ht="31.5" hidden="1" x14ac:dyDescent="0.25">
      <c r="A1055" s="361" t="s">
        <v>147</v>
      </c>
      <c r="B1055" s="359">
        <v>908</v>
      </c>
      <c r="C1055" s="339" t="s">
        <v>250</v>
      </c>
      <c r="D1055" s="339" t="s">
        <v>229</v>
      </c>
      <c r="E1055" s="360" t="s">
        <v>1365</v>
      </c>
      <c r="F1055" s="339" t="s">
        <v>148</v>
      </c>
      <c r="G1055" s="336">
        <f>G1056</f>
        <v>0</v>
      </c>
      <c r="H1055" s="336">
        <f t="shared" si="501"/>
        <v>0</v>
      </c>
      <c r="I1055" s="336" t="e">
        <f t="shared" si="496"/>
        <v>#DIV/0!</v>
      </c>
      <c r="J1055" s="325"/>
      <c r="K1055" s="325"/>
      <c r="L1055" s="325"/>
      <c r="M1055" s="325"/>
      <c r="N1055" s="325"/>
    </row>
    <row r="1056" spans="1:14" s="214" customFormat="1" ht="31.5" hidden="1" x14ac:dyDescent="0.25">
      <c r="A1056" s="361" t="s">
        <v>149</v>
      </c>
      <c r="B1056" s="359">
        <v>908</v>
      </c>
      <c r="C1056" s="339" t="s">
        <v>250</v>
      </c>
      <c r="D1056" s="339" t="s">
        <v>229</v>
      </c>
      <c r="E1056" s="360" t="s">
        <v>1365</v>
      </c>
      <c r="F1056" s="339" t="s">
        <v>150</v>
      </c>
      <c r="G1056" s="336">
        <f>120-120</f>
        <v>0</v>
      </c>
      <c r="H1056" s="336">
        <f t="shared" ref="H1056" si="502">120-120</f>
        <v>0</v>
      </c>
      <c r="I1056" s="336" t="e">
        <f t="shared" si="496"/>
        <v>#DIV/0!</v>
      </c>
      <c r="J1056" s="325"/>
      <c r="K1056" s="325"/>
      <c r="L1056" s="325"/>
      <c r="M1056" s="325"/>
      <c r="N1056" s="325"/>
    </row>
    <row r="1057" spans="1:14" ht="15.75" x14ac:dyDescent="0.25">
      <c r="A1057" s="333" t="s">
        <v>557</v>
      </c>
      <c r="B1057" s="330">
        <v>908</v>
      </c>
      <c r="C1057" s="334" t="s">
        <v>250</v>
      </c>
      <c r="D1057" s="334" t="s">
        <v>231</v>
      </c>
      <c r="E1057" s="334"/>
      <c r="F1057" s="334"/>
      <c r="G1057" s="332">
        <f>G1058+G1065+G1103</f>
        <v>4563.8</v>
      </c>
      <c r="H1057" s="332">
        <f t="shared" ref="H1057" si="503">H1058+H1065+H1103</f>
        <v>1810.2570000000003</v>
      </c>
      <c r="I1057" s="332">
        <f t="shared" si="496"/>
        <v>39.665563784565499</v>
      </c>
    </row>
    <row r="1058" spans="1:14" s="214" customFormat="1" ht="15.75" x14ac:dyDescent="0.25">
      <c r="A1058" s="333" t="s">
        <v>157</v>
      </c>
      <c r="B1058" s="330">
        <v>908</v>
      </c>
      <c r="C1058" s="334" t="s">
        <v>250</v>
      </c>
      <c r="D1058" s="334" t="s">
        <v>231</v>
      </c>
      <c r="E1058" s="334" t="s">
        <v>912</v>
      </c>
      <c r="F1058" s="334"/>
      <c r="G1058" s="332">
        <f>G1059</f>
        <v>416</v>
      </c>
      <c r="H1058" s="332">
        <f t="shared" ref="H1058" si="504">H1059</f>
        <v>126.4</v>
      </c>
      <c r="I1058" s="332">
        <f t="shared" si="496"/>
        <v>30.384615384615387</v>
      </c>
      <c r="J1058" s="325"/>
      <c r="K1058" s="325"/>
      <c r="L1058" s="325"/>
      <c r="M1058" s="325"/>
      <c r="N1058" s="325"/>
    </row>
    <row r="1059" spans="1:14" s="214" customFormat="1" ht="31.5" x14ac:dyDescent="0.25">
      <c r="A1059" s="333" t="s">
        <v>916</v>
      </c>
      <c r="B1059" s="330">
        <v>908</v>
      </c>
      <c r="C1059" s="334" t="s">
        <v>250</v>
      </c>
      <c r="D1059" s="334" t="s">
        <v>231</v>
      </c>
      <c r="E1059" s="334" t="s">
        <v>911</v>
      </c>
      <c r="F1059" s="334"/>
      <c r="G1059" s="332">
        <f>G1060+G1063</f>
        <v>416</v>
      </c>
      <c r="H1059" s="332">
        <f t="shared" ref="H1059" si="505">H1060+H1063</f>
        <v>126.4</v>
      </c>
      <c r="I1059" s="332">
        <f t="shared" si="496"/>
        <v>30.384615384615387</v>
      </c>
      <c r="J1059" s="325"/>
      <c r="K1059" s="325"/>
      <c r="L1059" s="325"/>
      <c r="M1059" s="325"/>
      <c r="N1059" s="325"/>
    </row>
    <row r="1060" spans="1:14" s="214" customFormat="1" ht="15.75" x14ac:dyDescent="0.25">
      <c r="A1060" s="361" t="s">
        <v>580</v>
      </c>
      <c r="B1060" s="359">
        <v>908</v>
      </c>
      <c r="C1060" s="360" t="s">
        <v>250</v>
      </c>
      <c r="D1060" s="360" t="s">
        <v>231</v>
      </c>
      <c r="E1060" s="360" t="s">
        <v>1261</v>
      </c>
      <c r="F1060" s="360"/>
      <c r="G1060" s="336">
        <f>G1061</f>
        <v>386</v>
      </c>
      <c r="H1060" s="336">
        <f t="shared" ref="H1060:H1061" si="506">H1061</f>
        <v>96.4</v>
      </c>
      <c r="I1060" s="336">
        <f t="shared" si="496"/>
        <v>24.974093264248705</v>
      </c>
      <c r="J1060" s="325"/>
      <c r="K1060" s="325"/>
      <c r="L1060" s="325"/>
      <c r="M1060" s="325"/>
      <c r="N1060" s="325"/>
    </row>
    <row r="1061" spans="1:14" s="214" customFormat="1" ht="31.5" x14ac:dyDescent="0.25">
      <c r="A1061" s="361" t="s">
        <v>147</v>
      </c>
      <c r="B1061" s="359">
        <v>908</v>
      </c>
      <c r="C1061" s="360" t="s">
        <v>250</v>
      </c>
      <c r="D1061" s="360" t="s">
        <v>231</v>
      </c>
      <c r="E1061" s="360" t="s">
        <v>1261</v>
      </c>
      <c r="F1061" s="360" t="s">
        <v>148</v>
      </c>
      <c r="G1061" s="336">
        <f>G1062</f>
        <v>386</v>
      </c>
      <c r="H1061" s="336">
        <f t="shared" si="506"/>
        <v>96.4</v>
      </c>
      <c r="I1061" s="336">
        <f t="shared" si="496"/>
        <v>24.974093264248705</v>
      </c>
      <c r="J1061" s="325"/>
      <c r="K1061" s="325"/>
      <c r="L1061" s="325"/>
      <c r="M1061" s="325"/>
      <c r="N1061" s="325"/>
    </row>
    <row r="1062" spans="1:14" s="214" customFormat="1" ht="31.5" x14ac:dyDescent="0.25">
      <c r="A1062" s="361" t="s">
        <v>149</v>
      </c>
      <c r="B1062" s="359">
        <v>908</v>
      </c>
      <c r="C1062" s="360" t="s">
        <v>250</v>
      </c>
      <c r="D1062" s="360" t="s">
        <v>231</v>
      </c>
      <c r="E1062" s="360" t="s">
        <v>1261</v>
      </c>
      <c r="F1062" s="360" t="s">
        <v>150</v>
      </c>
      <c r="G1062" s="362">
        <f>390-4</f>
        <v>386</v>
      </c>
      <c r="H1062" s="362">
        <v>96.4</v>
      </c>
      <c r="I1062" s="336">
        <f t="shared" si="496"/>
        <v>24.974093264248705</v>
      </c>
      <c r="J1062" s="325"/>
      <c r="K1062" s="325"/>
      <c r="L1062" s="325"/>
      <c r="M1062" s="325"/>
      <c r="N1062" s="325"/>
    </row>
    <row r="1063" spans="1:14" s="325" customFormat="1" ht="15.75" x14ac:dyDescent="0.25">
      <c r="A1063" s="361" t="s">
        <v>151</v>
      </c>
      <c r="B1063" s="359">
        <v>908</v>
      </c>
      <c r="C1063" s="360" t="s">
        <v>250</v>
      </c>
      <c r="D1063" s="360" t="s">
        <v>231</v>
      </c>
      <c r="E1063" s="360" t="s">
        <v>1261</v>
      </c>
      <c r="F1063" s="360" t="s">
        <v>161</v>
      </c>
      <c r="G1063" s="362">
        <f>G1064</f>
        <v>30</v>
      </c>
      <c r="H1063" s="362">
        <f t="shared" ref="H1063" si="507">H1064</f>
        <v>30</v>
      </c>
      <c r="I1063" s="336">
        <f t="shared" si="496"/>
        <v>100</v>
      </c>
    </row>
    <row r="1064" spans="1:14" s="325" customFormat="1" ht="15.75" x14ac:dyDescent="0.25">
      <c r="A1064" s="361" t="s">
        <v>727</v>
      </c>
      <c r="B1064" s="359">
        <v>908</v>
      </c>
      <c r="C1064" s="360" t="s">
        <v>250</v>
      </c>
      <c r="D1064" s="360" t="s">
        <v>231</v>
      </c>
      <c r="E1064" s="360" t="s">
        <v>1261</v>
      </c>
      <c r="F1064" s="360" t="s">
        <v>154</v>
      </c>
      <c r="G1064" s="362">
        <v>30</v>
      </c>
      <c r="H1064" s="362">
        <v>30</v>
      </c>
      <c r="I1064" s="336">
        <f t="shared" si="496"/>
        <v>100</v>
      </c>
    </row>
    <row r="1065" spans="1:14" ht="34.5" customHeight="1" x14ac:dyDescent="0.25">
      <c r="A1065" s="333" t="s">
        <v>558</v>
      </c>
      <c r="B1065" s="330">
        <v>908</v>
      </c>
      <c r="C1065" s="334" t="s">
        <v>250</v>
      </c>
      <c r="D1065" s="334" t="s">
        <v>231</v>
      </c>
      <c r="E1065" s="334" t="s">
        <v>559</v>
      </c>
      <c r="F1065" s="334"/>
      <c r="G1065" s="332">
        <f>G1066+G1080</f>
        <v>4147.8</v>
      </c>
      <c r="H1065" s="332">
        <f t="shared" ref="H1065" si="508">H1066+H1080</f>
        <v>1683.8570000000002</v>
      </c>
      <c r="I1065" s="332">
        <f t="shared" si="496"/>
        <v>40.596388446887509</v>
      </c>
    </row>
    <row r="1066" spans="1:14" ht="48.2" customHeight="1" x14ac:dyDescent="0.25">
      <c r="A1066" s="333" t="s">
        <v>560</v>
      </c>
      <c r="B1066" s="330">
        <v>908</v>
      </c>
      <c r="C1066" s="334" t="s">
        <v>250</v>
      </c>
      <c r="D1066" s="334" t="s">
        <v>231</v>
      </c>
      <c r="E1066" s="334" t="s">
        <v>561</v>
      </c>
      <c r="F1066" s="334"/>
      <c r="G1066" s="332">
        <f>G1067</f>
        <v>1689</v>
      </c>
      <c r="H1066" s="332">
        <f t="shared" ref="H1066" si="509">H1067</f>
        <v>1156.0700000000002</v>
      </c>
      <c r="I1066" s="332">
        <f t="shared" si="496"/>
        <v>68.447010065127301</v>
      </c>
    </row>
    <row r="1067" spans="1:14" s="214" customFormat="1" ht="35.450000000000003" customHeight="1" x14ac:dyDescent="0.25">
      <c r="A1067" s="333" t="s">
        <v>1122</v>
      </c>
      <c r="B1067" s="330">
        <v>908</v>
      </c>
      <c r="C1067" s="334" t="s">
        <v>250</v>
      </c>
      <c r="D1067" s="334" t="s">
        <v>231</v>
      </c>
      <c r="E1067" s="334" t="s">
        <v>1120</v>
      </c>
      <c r="F1067" s="334"/>
      <c r="G1067" s="332">
        <f>G1068+G1071+G1077</f>
        <v>1689</v>
      </c>
      <c r="H1067" s="332">
        <f t="shared" ref="H1067" si="510">H1068+H1071+H1077</f>
        <v>1156.0700000000002</v>
      </c>
      <c r="I1067" s="332">
        <f t="shared" si="496"/>
        <v>68.447010065127301</v>
      </c>
      <c r="J1067" s="325"/>
      <c r="K1067" s="325"/>
      <c r="L1067" s="325"/>
      <c r="M1067" s="325"/>
      <c r="N1067" s="325"/>
    </row>
    <row r="1068" spans="1:14" ht="19.5" customHeight="1" x14ac:dyDescent="0.25">
      <c r="A1068" s="361" t="s">
        <v>562</v>
      </c>
      <c r="B1068" s="359">
        <v>908</v>
      </c>
      <c r="C1068" s="360" t="s">
        <v>250</v>
      </c>
      <c r="D1068" s="360" t="s">
        <v>231</v>
      </c>
      <c r="E1068" s="360" t="s">
        <v>1121</v>
      </c>
      <c r="F1068" s="360"/>
      <c r="G1068" s="336">
        <f>G1069</f>
        <v>635.59999999999991</v>
      </c>
      <c r="H1068" s="336">
        <f t="shared" ref="H1068:H1069" si="511">H1069</f>
        <v>635.42700000000002</v>
      </c>
      <c r="I1068" s="336">
        <f t="shared" si="496"/>
        <v>99.972781623662698</v>
      </c>
    </row>
    <row r="1069" spans="1:14" ht="31.5" x14ac:dyDescent="0.25">
      <c r="A1069" s="361" t="s">
        <v>147</v>
      </c>
      <c r="B1069" s="359">
        <v>908</v>
      </c>
      <c r="C1069" s="360" t="s">
        <v>250</v>
      </c>
      <c r="D1069" s="360" t="s">
        <v>231</v>
      </c>
      <c r="E1069" s="360" t="s">
        <v>1121</v>
      </c>
      <c r="F1069" s="360" t="s">
        <v>148</v>
      </c>
      <c r="G1069" s="336">
        <f>G1070</f>
        <v>635.59999999999991</v>
      </c>
      <c r="H1069" s="336">
        <f t="shared" si="511"/>
        <v>635.42700000000002</v>
      </c>
      <c r="I1069" s="336">
        <f t="shared" si="496"/>
        <v>99.972781623662698</v>
      </c>
    </row>
    <row r="1070" spans="1:14" ht="31.5" x14ac:dyDescent="0.25">
      <c r="A1070" s="361" t="s">
        <v>149</v>
      </c>
      <c r="B1070" s="359">
        <v>908</v>
      </c>
      <c r="C1070" s="360" t="s">
        <v>250</v>
      </c>
      <c r="D1070" s="360" t="s">
        <v>231</v>
      </c>
      <c r="E1070" s="360" t="s">
        <v>1121</v>
      </c>
      <c r="F1070" s="360" t="s">
        <v>150</v>
      </c>
      <c r="G1070" s="336">
        <f>90+401+189.8+189.8-39-196</f>
        <v>635.59999999999991</v>
      </c>
      <c r="H1070" s="336">
        <v>635.42700000000002</v>
      </c>
      <c r="I1070" s="336">
        <f t="shared" si="496"/>
        <v>99.972781623662698</v>
      </c>
    </row>
    <row r="1071" spans="1:14" ht="15.75" x14ac:dyDescent="0.25">
      <c r="A1071" s="361" t="s">
        <v>1287</v>
      </c>
      <c r="B1071" s="359">
        <v>908</v>
      </c>
      <c r="C1071" s="360" t="s">
        <v>250</v>
      </c>
      <c r="D1071" s="360" t="s">
        <v>231</v>
      </c>
      <c r="E1071" s="360" t="s">
        <v>1123</v>
      </c>
      <c r="F1071" s="360"/>
      <c r="G1071" s="336">
        <f>G1072+G1074</f>
        <v>1037.4000000000001</v>
      </c>
      <c r="H1071" s="336">
        <f t="shared" ref="H1071" si="512">H1072+H1074</f>
        <v>520.64300000000003</v>
      </c>
      <c r="I1071" s="336">
        <f t="shared" si="496"/>
        <v>50.187295160979374</v>
      </c>
    </row>
    <row r="1072" spans="1:14" ht="31.5" x14ac:dyDescent="0.25">
      <c r="A1072" s="361" t="s">
        <v>147</v>
      </c>
      <c r="B1072" s="359">
        <v>908</v>
      </c>
      <c r="C1072" s="360" t="s">
        <v>250</v>
      </c>
      <c r="D1072" s="360" t="s">
        <v>231</v>
      </c>
      <c r="E1072" s="360" t="s">
        <v>1123</v>
      </c>
      <c r="F1072" s="360" t="s">
        <v>148</v>
      </c>
      <c r="G1072" s="336">
        <f>G1073</f>
        <v>1037.4000000000001</v>
      </c>
      <c r="H1072" s="336">
        <f t="shared" ref="H1072" si="513">H1073</f>
        <v>520.64300000000003</v>
      </c>
      <c r="I1072" s="336">
        <f t="shared" si="496"/>
        <v>50.187295160979374</v>
      </c>
    </row>
    <row r="1073" spans="1:14" ht="31.5" x14ac:dyDescent="0.25">
      <c r="A1073" s="361" t="s">
        <v>149</v>
      </c>
      <c r="B1073" s="359">
        <v>908</v>
      </c>
      <c r="C1073" s="360" t="s">
        <v>250</v>
      </c>
      <c r="D1073" s="360" t="s">
        <v>231</v>
      </c>
      <c r="E1073" s="360" t="s">
        <v>1123</v>
      </c>
      <c r="F1073" s="360" t="s">
        <v>150</v>
      </c>
      <c r="G1073" s="336">
        <f>650+7.8+379.6</f>
        <v>1037.4000000000001</v>
      </c>
      <c r="H1073" s="336">
        <v>520.64300000000003</v>
      </c>
      <c r="I1073" s="336">
        <f t="shared" si="496"/>
        <v>50.187295160979374</v>
      </c>
    </row>
    <row r="1074" spans="1:14" ht="15.75" hidden="1" x14ac:dyDescent="0.25">
      <c r="A1074" s="361" t="s">
        <v>151</v>
      </c>
      <c r="B1074" s="359">
        <v>908</v>
      </c>
      <c r="C1074" s="360" t="s">
        <v>250</v>
      </c>
      <c r="D1074" s="360" t="s">
        <v>231</v>
      </c>
      <c r="E1074" s="360" t="s">
        <v>1123</v>
      </c>
      <c r="F1074" s="360" t="s">
        <v>161</v>
      </c>
      <c r="G1074" s="336">
        <f>G1076+G1075</f>
        <v>0</v>
      </c>
      <c r="H1074" s="336">
        <f t="shared" ref="H1074" si="514">H1076+H1075</f>
        <v>0</v>
      </c>
      <c r="I1074" s="336" t="e">
        <f t="shared" si="496"/>
        <v>#DIV/0!</v>
      </c>
    </row>
    <row r="1075" spans="1:14" s="214" customFormat="1" ht="32.25" hidden="1" customHeight="1" x14ac:dyDescent="0.25">
      <c r="A1075" s="361" t="s">
        <v>882</v>
      </c>
      <c r="B1075" s="359">
        <v>908</v>
      </c>
      <c r="C1075" s="360" t="s">
        <v>250</v>
      </c>
      <c r="D1075" s="360" t="s">
        <v>231</v>
      </c>
      <c r="E1075" s="360" t="s">
        <v>1123</v>
      </c>
      <c r="F1075" s="360" t="s">
        <v>163</v>
      </c>
      <c r="G1075" s="336">
        <v>0</v>
      </c>
      <c r="H1075" s="336">
        <v>0</v>
      </c>
      <c r="I1075" s="336" t="e">
        <f t="shared" si="496"/>
        <v>#DIV/0!</v>
      </c>
      <c r="J1075" s="325"/>
      <c r="K1075" s="325"/>
      <c r="L1075" s="325"/>
      <c r="M1075" s="325"/>
      <c r="N1075" s="325"/>
    </row>
    <row r="1076" spans="1:14" ht="15.75" hidden="1" x14ac:dyDescent="0.25">
      <c r="A1076" s="361" t="s">
        <v>727</v>
      </c>
      <c r="B1076" s="359">
        <v>908</v>
      </c>
      <c r="C1076" s="360" t="s">
        <v>250</v>
      </c>
      <c r="D1076" s="360" t="s">
        <v>231</v>
      </c>
      <c r="E1076" s="360" t="s">
        <v>1123</v>
      </c>
      <c r="F1076" s="360" t="s">
        <v>154</v>
      </c>
      <c r="G1076" s="336">
        <f>3.4+37.5-40.9</f>
        <v>0</v>
      </c>
      <c r="H1076" s="336">
        <f t="shared" ref="H1076" si="515">3.4+37.5-40.9</f>
        <v>0</v>
      </c>
      <c r="I1076" s="336" t="e">
        <f t="shared" si="496"/>
        <v>#DIV/0!</v>
      </c>
    </row>
    <row r="1077" spans="1:14" ht="15.75" x14ac:dyDescent="0.25">
      <c r="A1077" s="361" t="s">
        <v>566</v>
      </c>
      <c r="B1077" s="359">
        <v>908</v>
      </c>
      <c r="C1077" s="360" t="s">
        <v>250</v>
      </c>
      <c r="D1077" s="360" t="s">
        <v>231</v>
      </c>
      <c r="E1077" s="360" t="s">
        <v>1124</v>
      </c>
      <c r="F1077" s="360"/>
      <c r="G1077" s="336">
        <f>G1078</f>
        <v>16</v>
      </c>
      <c r="H1077" s="336">
        <f t="shared" ref="H1077:H1078" si="516">H1078</f>
        <v>0</v>
      </c>
      <c r="I1077" s="336">
        <f t="shared" si="496"/>
        <v>0</v>
      </c>
    </row>
    <row r="1078" spans="1:14" ht="31.5" x14ac:dyDescent="0.25">
      <c r="A1078" s="361" t="s">
        <v>147</v>
      </c>
      <c r="B1078" s="359">
        <v>908</v>
      </c>
      <c r="C1078" s="360" t="s">
        <v>250</v>
      </c>
      <c r="D1078" s="360" t="s">
        <v>231</v>
      </c>
      <c r="E1078" s="360" t="s">
        <v>1124</v>
      </c>
      <c r="F1078" s="360" t="s">
        <v>148</v>
      </c>
      <c r="G1078" s="336">
        <f>G1079</f>
        <v>16</v>
      </c>
      <c r="H1078" s="336">
        <f t="shared" si="516"/>
        <v>0</v>
      </c>
      <c r="I1078" s="336">
        <f t="shared" si="496"/>
        <v>0</v>
      </c>
    </row>
    <row r="1079" spans="1:14" ht="31.5" x14ac:dyDescent="0.25">
      <c r="A1079" s="361" t="s">
        <v>149</v>
      </c>
      <c r="B1079" s="359">
        <v>908</v>
      </c>
      <c r="C1079" s="360" t="s">
        <v>250</v>
      </c>
      <c r="D1079" s="360" t="s">
        <v>231</v>
      </c>
      <c r="E1079" s="360" t="s">
        <v>1124</v>
      </c>
      <c r="F1079" s="360" t="s">
        <v>150</v>
      </c>
      <c r="G1079" s="336">
        <f>200-184</f>
        <v>16</v>
      </c>
      <c r="H1079" s="336">
        <v>0</v>
      </c>
      <c r="I1079" s="336">
        <f t="shared" si="496"/>
        <v>0</v>
      </c>
    </row>
    <row r="1080" spans="1:14" ht="45.75" customHeight="1" x14ac:dyDescent="0.25">
      <c r="A1080" s="333" t="s">
        <v>568</v>
      </c>
      <c r="B1080" s="330">
        <v>908</v>
      </c>
      <c r="C1080" s="334" t="s">
        <v>250</v>
      </c>
      <c r="D1080" s="334" t="s">
        <v>231</v>
      </c>
      <c r="E1080" s="334" t="s">
        <v>569</v>
      </c>
      <c r="F1080" s="334"/>
      <c r="G1080" s="332">
        <f>G1081+G1096</f>
        <v>2458.8000000000002</v>
      </c>
      <c r="H1080" s="332">
        <f t="shared" ref="H1080" si="517">H1081+H1096</f>
        <v>527.78700000000003</v>
      </c>
      <c r="I1080" s="332">
        <f t="shared" si="496"/>
        <v>21.465226939970716</v>
      </c>
    </row>
    <row r="1081" spans="1:14" s="214" customFormat="1" ht="32.25" customHeight="1" x14ac:dyDescent="0.25">
      <c r="A1081" s="333" t="s">
        <v>1140</v>
      </c>
      <c r="B1081" s="330">
        <v>908</v>
      </c>
      <c r="C1081" s="334" t="s">
        <v>250</v>
      </c>
      <c r="D1081" s="334" t="s">
        <v>231</v>
      </c>
      <c r="E1081" s="334" t="s">
        <v>1125</v>
      </c>
      <c r="F1081" s="334"/>
      <c r="G1081" s="332">
        <f>G1093+G1082+G1085+G1090</f>
        <v>544.29999999999995</v>
      </c>
      <c r="H1081" s="332">
        <f t="shared" ref="H1081" si="518">H1093+H1082+H1085+H1090</f>
        <v>527.78700000000003</v>
      </c>
      <c r="I1081" s="332">
        <f t="shared" si="496"/>
        <v>96.966195112989169</v>
      </c>
      <c r="J1081" s="325"/>
      <c r="K1081" s="325"/>
      <c r="L1081" s="325"/>
      <c r="M1081" s="325"/>
      <c r="N1081" s="325"/>
    </row>
    <row r="1082" spans="1:14" ht="15.75" x14ac:dyDescent="0.25">
      <c r="A1082" s="361" t="s">
        <v>571</v>
      </c>
      <c r="B1082" s="359">
        <v>908</v>
      </c>
      <c r="C1082" s="360" t="s">
        <v>250</v>
      </c>
      <c r="D1082" s="360" t="s">
        <v>231</v>
      </c>
      <c r="E1082" s="360" t="s">
        <v>1127</v>
      </c>
      <c r="F1082" s="360"/>
      <c r="G1082" s="336">
        <f>G1083</f>
        <v>43</v>
      </c>
      <c r="H1082" s="336">
        <f t="shared" ref="H1082:H1083" si="519">H1083</f>
        <v>38.130000000000003</v>
      </c>
      <c r="I1082" s="336">
        <f t="shared" si="496"/>
        <v>88.67441860465118</v>
      </c>
    </row>
    <row r="1083" spans="1:14" ht="31.5" x14ac:dyDescent="0.25">
      <c r="A1083" s="361" t="s">
        <v>147</v>
      </c>
      <c r="B1083" s="359">
        <v>908</v>
      </c>
      <c r="C1083" s="360" t="s">
        <v>250</v>
      </c>
      <c r="D1083" s="360" t="s">
        <v>231</v>
      </c>
      <c r="E1083" s="360" t="s">
        <v>1127</v>
      </c>
      <c r="F1083" s="360" t="s">
        <v>148</v>
      </c>
      <c r="G1083" s="336">
        <f>G1084</f>
        <v>43</v>
      </c>
      <c r="H1083" s="336">
        <f t="shared" si="519"/>
        <v>38.130000000000003</v>
      </c>
      <c r="I1083" s="336">
        <f t="shared" si="496"/>
        <v>88.67441860465118</v>
      </c>
    </row>
    <row r="1084" spans="1:14" ht="36" customHeight="1" x14ac:dyDescent="0.25">
      <c r="A1084" s="361" t="s">
        <v>149</v>
      </c>
      <c r="B1084" s="359">
        <v>908</v>
      </c>
      <c r="C1084" s="360" t="s">
        <v>250</v>
      </c>
      <c r="D1084" s="360" t="s">
        <v>231</v>
      </c>
      <c r="E1084" s="360" t="s">
        <v>1127</v>
      </c>
      <c r="F1084" s="360" t="s">
        <v>150</v>
      </c>
      <c r="G1084" s="336">
        <f>4+39</f>
        <v>43</v>
      </c>
      <c r="H1084" s="336">
        <v>38.130000000000003</v>
      </c>
      <c r="I1084" s="336">
        <f t="shared" si="496"/>
        <v>88.67441860465118</v>
      </c>
    </row>
    <row r="1085" spans="1:14" ht="30.75" customHeight="1" x14ac:dyDescent="0.25">
      <c r="A1085" s="45" t="s">
        <v>573</v>
      </c>
      <c r="B1085" s="359">
        <v>908</v>
      </c>
      <c r="C1085" s="360" t="s">
        <v>250</v>
      </c>
      <c r="D1085" s="360" t="s">
        <v>231</v>
      </c>
      <c r="E1085" s="360" t="s">
        <v>1128</v>
      </c>
      <c r="F1085" s="360"/>
      <c r="G1085" s="336">
        <f>G1086+G1088</f>
        <v>490.3</v>
      </c>
      <c r="H1085" s="336">
        <f t="shared" ref="H1085" si="520">H1086+H1088</f>
        <v>489.65699999999998</v>
      </c>
      <c r="I1085" s="336">
        <f t="shared" si="496"/>
        <v>99.86885580256984</v>
      </c>
    </row>
    <row r="1086" spans="1:14" ht="31.5" x14ac:dyDescent="0.25">
      <c r="A1086" s="361" t="s">
        <v>147</v>
      </c>
      <c r="B1086" s="359">
        <v>908</v>
      </c>
      <c r="C1086" s="360" t="s">
        <v>250</v>
      </c>
      <c r="D1086" s="360" t="s">
        <v>231</v>
      </c>
      <c r="E1086" s="360" t="s">
        <v>1128</v>
      </c>
      <c r="F1086" s="360" t="s">
        <v>148</v>
      </c>
      <c r="G1086" s="336">
        <f>G1087</f>
        <v>490.3</v>
      </c>
      <c r="H1086" s="336">
        <f t="shared" ref="H1086" si="521">H1087</f>
        <v>489.65699999999998</v>
      </c>
      <c r="I1086" s="336">
        <f t="shared" si="496"/>
        <v>99.86885580256984</v>
      </c>
    </row>
    <row r="1087" spans="1:14" ht="31.5" x14ac:dyDescent="0.25">
      <c r="A1087" s="361" t="s">
        <v>149</v>
      </c>
      <c r="B1087" s="359">
        <v>908</v>
      </c>
      <c r="C1087" s="360" t="s">
        <v>250</v>
      </c>
      <c r="D1087" s="360" t="s">
        <v>231</v>
      </c>
      <c r="E1087" s="360" t="s">
        <v>1128</v>
      </c>
      <c r="F1087" s="360" t="s">
        <v>150</v>
      </c>
      <c r="G1087" s="336">
        <f>300-300+345+145.3</f>
        <v>490.3</v>
      </c>
      <c r="H1087" s="336">
        <v>489.65699999999998</v>
      </c>
      <c r="I1087" s="336">
        <f t="shared" si="496"/>
        <v>99.86885580256984</v>
      </c>
    </row>
    <row r="1088" spans="1:14" s="214" customFormat="1" ht="15.75" hidden="1" x14ac:dyDescent="0.25">
      <c r="A1088" s="361" t="s">
        <v>151</v>
      </c>
      <c r="B1088" s="359">
        <v>908</v>
      </c>
      <c r="C1088" s="360" t="s">
        <v>250</v>
      </c>
      <c r="D1088" s="360" t="s">
        <v>231</v>
      </c>
      <c r="E1088" s="360" t="s">
        <v>1128</v>
      </c>
      <c r="F1088" s="360" t="s">
        <v>161</v>
      </c>
      <c r="G1088" s="336">
        <f>G1089</f>
        <v>0</v>
      </c>
      <c r="H1088" s="336">
        <f t="shared" ref="H1088" si="522">H1089</f>
        <v>0</v>
      </c>
      <c r="I1088" s="336" t="e">
        <f t="shared" si="496"/>
        <v>#DIV/0!</v>
      </c>
      <c r="J1088" s="325"/>
      <c r="K1088" s="325"/>
      <c r="L1088" s="325"/>
      <c r="M1088" s="325"/>
      <c r="N1088" s="325"/>
    </row>
    <row r="1089" spans="1:14" s="214" customFormat="1" ht="15.75" hidden="1" x14ac:dyDescent="0.25">
      <c r="A1089" s="361" t="s">
        <v>727</v>
      </c>
      <c r="B1089" s="359">
        <v>908</v>
      </c>
      <c r="C1089" s="360" t="s">
        <v>250</v>
      </c>
      <c r="D1089" s="360" t="s">
        <v>231</v>
      </c>
      <c r="E1089" s="360" t="s">
        <v>1128</v>
      </c>
      <c r="F1089" s="360" t="s">
        <v>154</v>
      </c>
      <c r="G1089" s="336">
        <f>75-75</f>
        <v>0</v>
      </c>
      <c r="H1089" s="336">
        <f t="shared" ref="H1089" si="523">75-75</f>
        <v>0</v>
      </c>
      <c r="I1089" s="336" t="e">
        <f t="shared" si="496"/>
        <v>#DIV/0!</v>
      </c>
      <c r="J1089" s="325"/>
      <c r="K1089" s="325"/>
      <c r="L1089" s="325"/>
      <c r="M1089" s="325"/>
      <c r="N1089" s="325"/>
    </row>
    <row r="1090" spans="1:14" ht="15.75" hidden="1" x14ac:dyDescent="0.25">
      <c r="A1090" s="45" t="s">
        <v>575</v>
      </c>
      <c r="B1090" s="359">
        <v>908</v>
      </c>
      <c r="C1090" s="360" t="s">
        <v>250</v>
      </c>
      <c r="D1090" s="360" t="s">
        <v>231</v>
      </c>
      <c r="E1090" s="360" t="s">
        <v>1129</v>
      </c>
      <c r="F1090" s="360"/>
      <c r="G1090" s="336">
        <f>G1091</f>
        <v>0</v>
      </c>
      <c r="H1090" s="336">
        <f t="shared" ref="H1090:H1091" si="524">H1091</f>
        <v>0</v>
      </c>
      <c r="I1090" s="336" t="e">
        <f t="shared" si="496"/>
        <v>#DIV/0!</v>
      </c>
    </row>
    <row r="1091" spans="1:14" ht="31.5" hidden="1" x14ac:dyDescent="0.25">
      <c r="A1091" s="361" t="s">
        <v>147</v>
      </c>
      <c r="B1091" s="359">
        <v>908</v>
      </c>
      <c r="C1091" s="360" t="s">
        <v>250</v>
      </c>
      <c r="D1091" s="360" t="s">
        <v>231</v>
      </c>
      <c r="E1091" s="360" t="s">
        <v>1129</v>
      </c>
      <c r="F1091" s="360" t="s">
        <v>148</v>
      </c>
      <c r="G1091" s="336">
        <f>G1092</f>
        <v>0</v>
      </c>
      <c r="H1091" s="336">
        <f t="shared" si="524"/>
        <v>0</v>
      </c>
      <c r="I1091" s="336" t="e">
        <f t="shared" si="496"/>
        <v>#DIV/0!</v>
      </c>
    </row>
    <row r="1092" spans="1:14" ht="31.5" hidden="1" x14ac:dyDescent="0.25">
      <c r="A1092" s="361" t="s">
        <v>149</v>
      </c>
      <c r="B1092" s="359">
        <v>908</v>
      </c>
      <c r="C1092" s="360" t="s">
        <v>250</v>
      </c>
      <c r="D1092" s="360" t="s">
        <v>231</v>
      </c>
      <c r="E1092" s="360" t="s">
        <v>1129</v>
      </c>
      <c r="F1092" s="360" t="s">
        <v>150</v>
      </c>
      <c r="G1092" s="336">
        <v>0</v>
      </c>
      <c r="H1092" s="336">
        <v>0</v>
      </c>
      <c r="I1092" s="336" t="e">
        <f t="shared" si="496"/>
        <v>#DIV/0!</v>
      </c>
    </row>
    <row r="1093" spans="1:14" s="214" customFormat="1" ht="31.5" x14ac:dyDescent="0.25">
      <c r="A1093" s="240" t="s">
        <v>1289</v>
      </c>
      <c r="B1093" s="359">
        <v>908</v>
      </c>
      <c r="C1093" s="360" t="s">
        <v>250</v>
      </c>
      <c r="D1093" s="360" t="s">
        <v>231</v>
      </c>
      <c r="E1093" s="360" t="s">
        <v>1290</v>
      </c>
      <c r="F1093" s="360"/>
      <c r="G1093" s="336">
        <f>G1094</f>
        <v>11</v>
      </c>
      <c r="H1093" s="336">
        <f t="shared" ref="H1093:H1094" si="525">H1094</f>
        <v>0</v>
      </c>
      <c r="I1093" s="336">
        <f t="shared" si="496"/>
        <v>0</v>
      </c>
      <c r="J1093" s="325"/>
      <c r="K1093" s="325"/>
      <c r="L1093" s="325"/>
      <c r="M1093" s="325"/>
      <c r="N1093" s="325"/>
    </row>
    <row r="1094" spans="1:14" s="214" customFormat="1" ht="31.5" x14ac:dyDescent="0.25">
      <c r="A1094" s="361" t="s">
        <v>147</v>
      </c>
      <c r="B1094" s="359">
        <v>908</v>
      </c>
      <c r="C1094" s="360" t="s">
        <v>250</v>
      </c>
      <c r="D1094" s="360" t="s">
        <v>231</v>
      </c>
      <c r="E1094" s="360" t="s">
        <v>1290</v>
      </c>
      <c r="F1094" s="360" t="s">
        <v>148</v>
      </c>
      <c r="G1094" s="336">
        <f>G1095</f>
        <v>11</v>
      </c>
      <c r="H1094" s="336">
        <f t="shared" si="525"/>
        <v>0</v>
      </c>
      <c r="I1094" s="336">
        <f t="shared" si="496"/>
        <v>0</v>
      </c>
      <c r="J1094" s="325"/>
      <c r="K1094" s="325"/>
      <c r="L1094" s="325"/>
      <c r="M1094" s="325"/>
      <c r="N1094" s="325"/>
    </row>
    <row r="1095" spans="1:14" s="214" customFormat="1" ht="31.5" x14ac:dyDescent="0.25">
      <c r="A1095" s="361" t="s">
        <v>149</v>
      </c>
      <c r="B1095" s="359">
        <v>908</v>
      </c>
      <c r="C1095" s="360" t="s">
        <v>250</v>
      </c>
      <c r="D1095" s="360" t="s">
        <v>231</v>
      </c>
      <c r="E1095" s="360" t="s">
        <v>1290</v>
      </c>
      <c r="F1095" s="360" t="s">
        <v>150</v>
      </c>
      <c r="G1095" s="336">
        <v>11</v>
      </c>
      <c r="H1095" s="336">
        <v>0</v>
      </c>
      <c r="I1095" s="336">
        <f t="shared" si="496"/>
        <v>0</v>
      </c>
      <c r="J1095" s="325"/>
      <c r="K1095" s="325"/>
      <c r="L1095" s="325"/>
      <c r="M1095" s="325"/>
      <c r="N1095" s="325"/>
    </row>
    <row r="1096" spans="1:14" s="214" customFormat="1" ht="31.5" x14ac:dyDescent="0.25">
      <c r="A1096" s="333" t="s">
        <v>950</v>
      </c>
      <c r="B1096" s="330">
        <v>908</v>
      </c>
      <c r="C1096" s="334" t="s">
        <v>250</v>
      </c>
      <c r="D1096" s="334" t="s">
        <v>231</v>
      </c>
      <c r="E1096" s="334" t="s">
        <v>1130</v>
      </c>
      <c r="F1096" s="334"/>
      <c r="G1096" s="332">
        <f>G1097+G1100</f>
        <v>1914.5</v>
      </c>
      <c r="H1096" s="332">
        <f t="shared" ref="H1096" si="526">H1097+H1100</f>
        <v>0</v>
      </c>
      <c r="I1096" s="332">
        <f t="shared" si="496"/>
        <v>0</v>
      </c>
      <c r="J1096" s="325"/>
      <c r="K1096" s="325"/>
      <c r="L1096" s="325"/>
      <c r="M1096" s="325"/>
      <c r="N1096" s="325"/>
    </row>
    <row r="1097" spans="1:14" s="214" customFormat="1" ht="31.5" hidden="1" x14ac:dyDescent="0.25">
      <c r="A1097" s="361" t="s">
        <v>707</v>
      </c>
      <c r="B1097" s="359">
        <v>908</v>
      </c>
      <c r="C1097" s="360" t="s">
        <v>250</v>
      </c>
      <c r="D1097" s="360" t="s">
        <v>231</v>
      </c>
      <c r="E1097" s="360" t="s">
        <v>1131</v>
      </c>
      <c r="F1097" s="360"/>
      <c r="G1097" s="336">
        <f>G1098</f>
        <v>0</v>
      </c>
      <c r="H1097" s="336">
        <f t="shared" ref="H1097:H1098" si="527">H1098</f>
        <v>0</v>
      </c>
      <c r="I1097" s="336" t="e">
        <f t="shared" si="496"/>
        <v>#DIV/0!</v>
      </c>
      <c r="J1097" s="325"/>
      <c r="K1097" s="325"/>
      <c r="L1097" s="325"/>
      <c r="M1097" s="325"/>
      <c r="N1097" s="325"/>
    </row>
    <row r="1098" spans="1:14" s="214" customFormat="1" ht="31.5" hidden="1" x14ac:dyDescent="0.25">
      <c r="A1098" s="361" t="s">
        <v>147</v>
      </c>
      <c r="B1098" s="359">
        <v>908</v>
      </c>
      <c r="C1098" s="360" t="s">
        <v>250</v>
      </c>
      <c r="D1098" s="360" t="s">
        <v>231</v>
      </c>
      <c r="E1098" s="360" t="s">
        <v>1131</v>
      </c>
      <c r="F1098" s="360" t="s">
        <v>148</v>
      </c>
      <c r="G1098" s="336">
        <f>G1099</f>
        <v>0</v>
      </c>
      <c r="H1098" s="336">
        <f t="shared" si="527"/>
        <v>0</v>
      </c>
      <c r="I1098" s="336" t="e">
        <f t="shared" si="496"/>
        <v>#DIV/0!</v>
      </c>
      <c r="J1098" s="325"/>
      <c r="K1098" s="325"/>
      <c r="L1098" s="325"/>
      <c r="M1098" s="325"/>
      <c r="N1098" s="325"/>
    </row>
    <row r="1099" spans="1:14" s="214" customFormat="1" ht="31.5" hidden="1" x14ac:dyDescent="0.25">
      <c r="A1099" s="361" t="s">
        <v>149</v>
      </c>
      <c r="B1099" s="359">
        <v>908</v>
      </c>
      <c r="C1099" s="360" t="s">
        <v>250</v>
      </c>
      <c r="D1099" s="360" t="s">
        <v>231</v>
      </c>
      <c r="E1099" s="360" t="s">
        <v>1131</v>
      </c>
      <c r="F1099" s="360" t="s">
        <v>150</v>
      </c>
      <c r="G1099" s="336">
        <v>0</v>
      </c>
      <c r="H1099" s="336">
        <v>0</v>
      </c>
      <c r="I1099" s="336" t="e">
        <f t="shared" ref="I1099:I1162" si="528">H1099/G1099*100</f>
        <v>#DIV/0!</v>
      </c>
      <c r="J1099" s="325"/>
      <c r="K1099" s="325"/>
      <c r="L1099" s="325"/>
      <c r="M1099" s="325"/>
      <c r="N1099" s="325"/>
    </row>
    <row r="1100" spans="1:14" s="214" customFormat="1" ht="47.25" x14ac:dyDescent="0.25">
      <c r="A1100" s="361" t="s">
        <v>1249</v>
      </c>
      <c r="B1100" s="359">
        <v>908</v>
      </c>
      <c r="C1100" s="360" t="s">
        <v>250</v>
      </c>
      <c r="D1100" s="360" t="s">
        <v>231</v>
      </c>
      <c r="E1100" s="360" t="s">
        <v>1250</v>
      </c>
      <c r="F1100" s="360"/>
      <c r="G1100" s="336">
        <f>G1101</f>
        <v>1914.5</v>
      </c>
      <c r="H1100" s="336">
        <f t="shared" ref="H1100:H1101" si="529">H1101</f>
        <v>0</v>
      </c>
      <c r="I1100" s="336">
        <f t="shared" si="528"/>
        <v>0</v>
      </c>
      <c r="J1100" s="325"/>
      <c r="K1100" s="325"/>
      <c r="L1100" s="325"/>
      <c r="M1100" s="325"/>
      <c r="N1100" s="325"/>
    </row>
    <row r="1101" spans="1:14" s="214" customFormat="1" ht="31.5" x14ac:dyDescent="0.25">
      <c r="A1101" s="361" t="s">
        <v>147</v>
      </c>
      <c r="B1101" s="359">
        <v>908</v>
      </c>
      <c r="C1101" s="360" t="s">
        <v>250</v>
      </c>
      <c r="D1101" s="360" t="s">
        <v>231</v>
      </c>
      <c r="E1101" s="360" t="s">
        <v>1250</v>
      </c>
      <c r="F1101" s="360" t="s">
        <v>148</v>
      </c>
      <c r="G1101" s="336">
        <f>G1102</f>
        <v>1914.5</v>
      </c>
      <c r="H1101" s="336">
        <f t="shared" si="529"/>
        <v>0</v>
      </c>
      <c r="I1101" s="336">
        <f t="shared" si="528"/>
        <v>0</v>
      </c>
      <c r="J1101" s="325"/>
      <c r="K1101" s="325"/>
      <c r="L1101" s="325"/>
      <c r="M1101" s="325"/>
      <c r="N1101" s="325"/>
    </row>
    <row r="1102" spans="1:14" s="214" customFormat="1" ht="31.5" x14ac:dyDescent="0.25">
      <c r="A1102" s="361" t="s">
        <v>149</v>
      </c>
      <c r="B1102" s="359">
        <v>908</v>
      </c>
      <c r="C1102" s="360" t="s">
        <v>250</v>
      </c>
      <c r="D1102" s="360" t="s">
        <v>231</v>
      </c>
      <c r="E1102" s="360" t="s">
        <v>1250</v>
      </c>
      <c r="F1102" s="360" t="s">
        <v>150</v>
      </c>
      <c r="G1102" s="336">
        <v>1914.5</v>
      </c>
      <c r="H1102" s="336">
        <v>0</v>
      </c>
      <c r="I1102" s="336">
        <f t="shared" si="528"/>
        <v>0</v>
      </c>
      <c r="J1102" s="325"/>
      <c r="K1102" s="325"/>
      <c r="L1102" s="325"/>
      <c r="M1102" s="325"/>
      <c r="N1102" s="325"/>
    </row>
    <row r="1103" spans="1:14" ht="52.5" hidden="1" customHeight="1" x14ac:dyDescent="0.25">
      <c r="A1103" s="333" t="s">
        <v>823</v>
      </c>
      <c r="B1103" s="330">
        <v>908</v>
      </c>
      <c r="C1103" s="334" t="s">
        <v>250</v>
      </c>
      <c r="D1103" s="334" t="s">
        <v>231</v>
      </c>
      <c r="E1103" s="334" t="s">
        <v>734</v>
      </c>
      <c r="F1103" s="334"/>
      <c r="G1103" s="332">
        <f>G1104</f>
        <v>0</v>
      </c>
      <c r="H1103" s="332">
        <f t="shared" ref="H1103:H1106" si="530">H1104</f>
        <v>0</v>
      </c>
      <c r="I1103" s="336" t="e">
        <f t="shared" si="528"/>
        <v>#DIV/0!</v>
      </c>
    </row>
    <row r="1104" spans="1:14" s="214" customFormat="1" ht="34.5" hidden="1" customHeight="1" x14ac:dyDescent="0.25">
      <c r="A1104" s="333" t="s">
        <v>1245</v>
      </c>
      <c r="B1104" s="330">
        <v>908</v>
      </c>
      <c r="C1104" s="334" t="s">
        <v>250</v>
      </c>
      <c r="D1104" s="334" t="s">
        <v>231</v>
      </c>
      <c r="E1104" s="334" t="s">
        <v>1288</v>
      </c>
      <c r="F1104" s="334"/>
      <c r="G1104" s="332">
        <f>G1105</f>
        <v>0</v>
      </c>
      <c r="H1104" s="332">
        <f t="shared" si="530"/>
        <v>0</v>
      </c>
      <c r="I1104" s="336" t="e">
        <f t="shared" si="528"/>
        <v>#DIV/0!</v>
      </c>
      <c r="J1104" s="325"/>
      <c r="K1104" s="325"/>
      <c r="L1104" s="325"/>
      <c r="M1104" s="325"/>
      <c r="N1104" s="325"/>
    </row>
    <row r="1105" spans="1:14" ht="48.75" hidden="1" customHeight="1" x14ac:dyDescent="0.25">
      <c r="A1105" s="80" t="s">
        <v>710</v>
      </c>
      <c r="B1105" s="359">
        <v>908</v>
      </c>
      <c r="C1105" s="360" t="s">
        <v>250</v>
      </c>
      <c r="D1105" s="360" t="s">
        <v>231</v>
      </c>
      <c r="E1105" s="360" t="s">
        <v>881</v>
      </c>
      <c r="F1105" s="360"/>
      <c r="G1105" s="336">
        <f>G1106</f>
        <v>0</v>
      </c>
      <c r="H1105" s="336">
        <f t="shared" si="530"/>
        <v>0</v>
      </c>
      <c r="I1105" s="336" t="e">
        <f t="shared" si="528"/>
        <v>#DIV/0!</v>
      </c>
    </row>
    <row r="1106" spans="1:14" ht="31.5" hidden="1" x14ac:dyDescent="0.25">
      <c r="A1106" s="361" t="s">
        <v>147</v>
      </c>
      <c r="B1106" s="359">
        <v>908</v>
      </c>
      <c r="C1106" s="360" t="s">
        <v>250</v>
      </c>
      <c r="D1106" s="360" t="s">
        <v>231</v>
      </c>
      <c r="E1106" s="360" t="s">
        <v>881</v>
      </c>
      <c r="F1106" s="360" t="s">
        <v>148</v>
      </c>
      <c r="G1106" s="336">
        <f>G1107</f>
        <v>0</v>
      </c>
      <c r="H1106" s="336">
        <f t="shared" si="530"/>
        <v>0</v>
      </c>
      <c r="I1106" s="336" t="e">
        <f t="shared" si="528"/>
        <v>#DIV/0!</v>
      </c>
    </row>
    <row r="1107" spans="1:14" ht="31.5" hidden="1" x14ac:dyDescent="0.25">
      <c r="A1107" s="361" t="s">
        <v>149</v>
      </c>
      <c r="B1107" s="359">
        <v>908</v>
      </c>
      <c r="C1107" s="360" t="s">
        <v>250</v>
      </c>
      <c r="D1107" s="360" t="s">
        <v>231</v>
      </c>
      <c r="E1107" s="360" t="s">
        <v>881</v>
      </c>
      <c r="F1107" s="360" t="s">
        <v>150</v>
      </c>
      <c r="G1107" s="336">
        <f>500-99-401</f>
        <v>0</v>
      </c>
      <c r="H1107" s="336">
        <f t="shared" ref="H1107" si="531">500-99-401</f>
        <v>0</v>
      </c>
      <c r="I1107" s="336" t="e">
        <f t="shared" si="528"/>
        <v>#DIV/0!</v>
      </c>
    </row>
    <row r="1108" spans="1:14" ht="31.5" x14ac:dyDescent="0.25">
      <c r="A1108" s="333" t="s">
        <v>585</v>
      </c>
      <c r="B1108" s="330">
        <v>908</v>
      </c>
      <c r="C1108" s="334" t="s">
        <v>250</v>
      </c>
      <c r="D1108" s="334" t="s">
        <v>250</v>
      </c>
      <c r="E1108" s="334"/>
      <c r="F1108" s="334"/>
      <c r="G1108" s="332">
        <f>G1109+G1121+G1140</f>
        <v>23428.5</v>
      </c>
      <c r="H1108" s="332">
        <f t="shared" ref="H1108" si="532">H1109+H1121+H1140</f>
        <v>16143.080999999998</v>
      </c>
      <c r="I1108" s="332">
        <f t="shared" si="528"/>
        <v>68.903604584160306</v>
      </c>
    </row>
    <row r="1109" spans="1:14" ht="31.5" x14ac:dyDescent="0.25">
      <c r="A1109" s="333" t="s">
        <v>990</v>
      </c>
      <c r="B1109" s="330">
        <v>908</v>
      </c>
      <c r="C1109" s="334" t="s">
        <v>250</v>
      </c>
      <c r="D1109" s="334" t="s">
        <v>250</v>
      </c>
      <c r="E1109" s="334" t="s">
        <v>904</v>
      </c>
      <c r="F1109" s="334"/>
      <c r="G1109" s="332">
        <f>G1110</f>
        <v>11676.5</v>
      </c>
      <c r="H1109" s="332">
        <f t="shared" ref="H1109" si="533">H1110</f>
        <v>7584.195999999999</v>
      </c>
      <c r="I1109" s="332">
        <f t="shared" si="528"/>
        <v>64.952648481993734</v>
      </c>
    </row>
    <row r="1110" spans="1:14" ht="15.75" x14ac:dyDescent="0.25">
      <c r="A1110" s="333" t="s">
        <v>991</v>
      </c>
      <c r="B1110" s="330">
        <v>908</v>
      </c>
      <c r="C1110" s="334" t="s">
        <v>250</v>
      </c>
      <c r="D1110" s="334" t="s">
        <v>250</v>
      </c>
      <c r="E1110" s="334" t="s">
        <v>905</v>
      </c>
      <c r="F1110" s="334"/>
      <c r="G1110" s="332">
        <f>G1111+G1118</f>
        <v>11676.5</v>
      </c>
      <c r="H1110" s="332">
        <f t="shared" ref="H1110" si="534">H1111+H1118</f>
        <v>7584.195999999999</v>
      </c>
      <c r="I1110" s="332">
        <f t="shared" si="528"/>
        <v>64.952648481993734</v>
      </c>
    </row>
    <row r="1111" spans="1:14" ht="31.5" x14ac:dyDescent="0.25">
      <c r="A1111" s="361" t="s">
        <v>967</v>
      </c>
      <c r="B1111" s="359">
        <v>908</v>
      </c>
      <c r="C1111" s="360" t="s">
        <v>250</v>
      </c>
      <c r="D1111" s="360" t="s">
        <v>250</v>
      </c>
      <c r="E1111" s="360" t="s">
        <v>906</v>
      </c>
      <c r="F1111" s="360"/>
      <c r="G1111" s="336">
        <f>G1112+G1116+G1114</f>
        <v>11035.5</v>
      </c>
      <c r="H1111" s="336">
        <f t="shared" ref="H1111" si="535">H1112+H1116+H1114</f>
        <v>6949.1079999999993</v>
      </c>
      <c r="I1111" s="336">
        <f t="shared" si="528"/>
        <v>62.970486158307267</v>
      </c>
    </row>
    <row r="1112" spans="1:14" ht="60.75" customHeight="1" x14ac:dyDescent="0.25">
      <c r="A1112" s="361" t="s">
        <v>143</v>
      </c>
      <c r="B1112" s="359">
        <v>908</v>
      </c>
      <c r="C1112" s="360" t="s">
        <v>250</v>
      </c>
      <c r="D1112" s="360" t="s">
        <v>250</v>
      </c>
      <c r="E1112" s="360" t="s">
        <v>906</v>
      </c>
      <c r="F1112" s="360" t="s">
        <v>144</v>
      </c>
      <c r="G1112" s="336">
        <f>G1113</f>
        <v>10963.5</v>
      </c>
      <c r="H1112" s="336">
        <f t="shared" ref="H1112" si="536">H1113</f>
        <v>6920.4579999999996</v>
      </c>
      <c r="I1112" s="336">
        <f t="shared" si="528"/>
        <v>63.122707164682815</v>
      </c>
    </row>
    <row r="1113" spans="1:14" ht="31.5" x14ac:dyDescent="0.25">
      <c r="A1113" s="361" t="s">
        <v>145</v>
      </c>
      <c r="B1113" s="359">
        <v>908</v>
      </c>
      <c r="C1113" s="360" t="s">
        <v>250</v>
      </c>
      <c r="D1113" s="360" t="s">
        <v>250</v>
      </c>
      <c r="E1113" s="360" t="s">
        <v>906</v>
      </c>
      <c r="F1113" s="360" t="s">
        <v>146</v>
      </c>
      <c r="G1113" s="362">
        <f>11138+566-27+12.5-224.8-20-30-20-70-361.2</f>
        <v>10963.5</v>
      </c>
      <c r="H1113" s="362">
        <v>6920.4579999999996</v>
      </c>
      <c r="I1113" s="336">
        <f t="shared" si="528"/>
        <v>63.122707164682815</v>
      </c>
    </row>
    <row r="1114" spans="1:14" ht="31.5" x14ac:dyDescent="0.25">
      <c r="A1114" s="361" t="s">
        <v>147</v>
      </c>
      <c r="B1114" s="359">
        <v>908</v>
      </c>
      <c r="C1114" s="360" t="s">
        <v>250</v>
      </c>
      <c r="D1114" s="360" t="s">
        <v>250</v>
      </c>
      <c r="E1114" s="360" t="s">
        <v>906</v>
      </c>
      <c r="F1114" s="360" t="s">
        <v>148</v>
      </c>
      <c r="G1114" s="336">
        <f>G1115</f>
        <v>25</v>
      </c>
      <c r="H1114" s="336">
        <f t="shared" ref="H1114" si="537">H1115</f>
        <v>0</v>
      </c>
      <c r="I1114" s="336">
        <f t="shared" si="528"/>
        <v>0</v>
      </c>
    </row>
    <row r="1115" spans="1:14" ht="36.75" customHeight="1" x14ac:dyDescent="0.25">
      <c r="A1115" s="361" t="s">
        <v>149</v>
      </c>
      <c r="B1115" s="359">
        <v>908</v>
      </c>
      <c r="C1115" s="360" t="s">
        <v>250</v>
      </c>
      <c r="D1115" s="360" t="s">
        <v>250</v>
      </c>
      <c r="E1115" s="360" t="s">
        <v>906</v>
      </c>
      <c r="F1115" s="360" t="s">
        <v>150</v>
      </c>
      <c r="G1115" s="362">
        <v>25</v>
      </c>
      <c r="H1115" s="362">
        <v>0</v>
      </c>
      <c r="I1115" s="336">
        <f t="shared" si="528"/>
        <v>0</v>
      </c>
    </row>
    <row r="1116" spans="1:14" ht="15.75" x14ac:dyDescent="0.25">
      <c r="A1116" s="361" t="s">
        <v>151</v>
      </c>
      <c r="B1116" s="359">
        <v>908</v>
      </c>
      <c r="C1116" s="360" t="s">
        <v>250</v>
      </c>
      <c r="D1116" s="360" t="s">
        <v>250</v>
      </c>
      <c r="E1116" s="360" t="s">
        <v>906</v>
      </c>
      <c r="F1116" s="360" t="s">
        <v>161</v>
      </c>
      <c r="G1116" s="336">
        <f>G1117</f>
        <v>47</v>
      </c>
      <c r="H1116" s="336">
        <f t="shared" ref="H1116" si="538">H1117</f>
        <v>28.65</v>
      </c>
      <c r="I1116" s="336">
        <f t="shared" si="528"/>
        <v>60.957446808510639</v>
      </c>
    </row>
    <row r="1117" spans="1:14" ht="15.75" x14ac:dyDescent="0.25">
      <c r="A1117" s="361" t="s">
        <v>584</v>
      </c>
      <c r="B1117" s="359">
        <v>908</v>
      </c>
      <c r="C1117" s="360" t="s">
        <v>250</v>
      </c>
      <c r="D1117" s="360" t="s">
        <v>250</v>
      </c>
      <c r="E1117" s="360" t="s">
        <v>906</v>
      </c>
      <c r="F1117" s="360" t="s">
        <v>154</v>
      </c>
      <c r="G1117" s="336">
        <v>47</v>
      </c>
      <c r="H1117" s="336">
        <v>28.65</v>
      </c>
      <c r="I1117" s="336">
        <f t="shared" si="528"/>
        <v>60.957446808510639</v>
      </c>
    </row>
    <row r="1118" spans="1:14" s="214" customFormat="1" ht="31.5" x14ac:dyDescent="0.25">
      <c r="A1118" s="361" t="s">
        <v>885</v>
      </c>
      <c r="B1118" s="359">
        <v>908</v>
      </c>
      <c r="C1118" s="360" t="s">
        <v>250</v>
      </c>
      <c r="D1118" s="360" t="s">
        <v>250</v>
      </c>
      <c r="E1118" s="360" t="s">
        <v>908</v>
      </c>
      <c r="F1118" s="360"/>
      <c r="G1118" s="336">
        <f>G1119</f>
        <v>641</v>
      </c>
      <c r="H1118" s="336">
        <f t="shared" ref="H1118:H1119" si="539">H1119</f>
        <v>635.08799999999997</v>
      </c>
      <c r="I1118" s="336">
        <f t="shared" si="528"/>
        <v>99.077691107644313</v>
      </c>
      <c r="J1118" s="325"/>
      <c r="K1118" s="325"/>
      <c r="L1118" s="325"/>
      <c r="M1118" s="325"/>
      <c r="N1118" s="325"/>
    </row>
    <row r="1119" spans="1:14" s="214" customFormat="1" ht="63" x14ac:dyDescent="0.25">
      <c r="A1119" s="361" t="s">
        <v>143</v>
      </c>
      <c r="B1119" s="359">
        <v>908</v>
      </c>
      <c r="C1119" s="360" t="s">
        <v>250</v>
      </c>
      <c r="D1119" s="360" t="s">
        <v>250</v>
      </c>
      <c r="E1119" s="360" t="s">
        <v>908</v>
      </c>
      <c r="F1119" s="360" t="s">
        <v>144</v>
      </c>
      <c r="G1119" s="336">
        <f>G1120</f>
        <v>641</v>
      </c>
      <c r="H1119" s="336">
        <f t="shared" si="539"/>
        <v>635.08799999999997</v>
      </c>
      <c r="I1119" s="336">
        <f t="shared" si="528"/>
        <v>99.077691107644313</v>
      </c>
      <c r="J1119" s="325"/>
      <c r="K1119" s="325"/>
      <c r="L1119" s="325"/>
      <c r="M1119" s="325"/>
      <c r="N1119" s="325"/>
    </row>
    <row r="1120" spans="1:14" s="214" customFormat="1" ht="31.5" x14ac:dyDescent="0.25">
      <c r="A1120" s="361" t="s">
        <v>145</v>
      </c>
      <c r="B1120" s="359">
        <v>908</v>
      </c>
      <c r="C1120" s="360" t="s">
        <v>250</v>
      </c>
      <c r="D1120" s="360" t="s">
        <v>250</v>
      </c>
      <c r="E1120" s="360" t="s">
        <v>908</v>
      </c>
      <c r="F1120" s="360" t="s">
        <v>146</v>
      </c>
      <c r="G1120" s="336">
        <f>336+27+278</f>
        <v>641</v>
      </c>
      <c r="H1120" s="336">
        <v>635.08799999999997</v>
      </c>
      <c r="I1120" s="336">
        <f t="shared" si="528"/>
        <v>99.077691107644313</v>
      </c>
      <c r="J1120" s="325"/>
      <c r="K1120" s="325"/>
      <c r="L1120" s="325"/>
      <c r="M1120" s="325"/>
      <c r="N1120" s="325"/>
    </row>
    <row r="1121" spans="1:14" ht="15.75" x14ac:dyDescent="0.25">
      <c r="A1121" s="333" t="s">
        <v>157</v>
      </c>
      <c r="B1121" s="330">
        <v>908</v>
      </c>
      <c r="C1121" s="334" t="s">
        <v>250</v>
      </c>
      <c r="D1121" s="334" t="s">
        <v>250</v>
      </c>
      <c r="E1121" s="334" t="s">
        <v>912</v>
      </c>
      <c r="F1121" s="334"/>
      <c r="G1121" s="332">
        <f>G1122+G1131</f>
        <v>11695</v>
      </c>
      <c r="H1121" s="332">
        <f t="shared" ref="H1121" si="540">H1122+H1131</f>
        <v>8558.8850000000002</v>
      </c>
      <c r="I1121" s="332">
        <f t="shared" si="528"/>
        <v>73.18413852073536</v>
      </c>
    </row>
    <row r="1122" spans="1:14" s="214" customFormat="1" ht="31.5" x14ac:dyDescent="0.25">
      <c r="A1122" s="333" t="s">
        <v>916</v>
      </c>
      <c r="B1122" s="330">
        <v>908</v>
      </c>
      <c r="C1122" s="334" t="s">
        <v>250</v>
      </c>
      <c r="D1122" s="334" t="s">
        <v>250</v>
      </c>
      <c r="E1122" s="334" t="s">
        <v>911</v>
      </c>
      <c r="F1122" s="334"/>
      <c r="G1122" s="332">
        <f>G1123+G1128</f>
        <v>1462</v>
      </c>
      <c r="H1122" s="332">
        <f t="shared" ref="H1122" si="541">H1123+H1128</f>
        <v>1285.9369999999999</v>
      </c>
      <c r="I1122" s="332">
        <f t="shared" si="528"/>
        <v>87.957387140902867</v>
      </c>
      <c r="J1122" s="325"/>
      <c r="K1122" s="325"/>
      <c r="L1122" s="325"/>
      <c r="M1122" s="325"/>
      <c r="N1122" s="325"/>
    </row>
    <row r="1123" spans="1:14" ht="31.5" x14ac:dyDescent="0.25">
      <c r="A1123" s="361" t="s">
        <v>586</v>
      </c>
      <c r="B1123" s="359">
        <v>908</v>
      </c>
      <c r="C1123" s="360" t="s">
        <v>250</v>
      </c>
      <c r="D1123" s="360" t="s">
        <v>250</v>
      </c>
      <c r="E1123" s="360" t="s">
        <v>1132</v>
      </c>
      <c r="F1123" s="360"/>
      <c r="G1123" s="362">
        <f>G1126+G1124</f>
        <v>1462</v>
      </c>
      <c r="H1123" s="362">
        <f t="shared" ref="H1123" si="542">H1126+H1124</f>
        <v>1285.9369999999999</v>
      </c>
      <c r="I1123" s="336">
        <f t="shared" si="528"/>
        <v>87.957387140902867</v>
      </c>
    </row>
    <row r="1124" spans="1:14" s="214" customFormat="1" ht="31.5" x14ac:dyDescent="0.25">
      <c r="A1124" s="361" t="s">
        <v>147</v>
      </c>
      <c r="B1124" s="359">
        <v>908</v>
      </c>
      <c r="C1124" s="360" t="s">
        <v>250</v>
      </c>
      <c r="D1124" s="360" t="s">
        <v>250</v>
      </c>
      <c r="E1124" s="360" t="s">
        <v>1132</v>
      </c>
      <c r="F1124" s="360" t="s">
        <v>148</v>
      </c>
      <c r="G1124" s="362">
        <f>G1125</f>
        <v>480</v>
      </c>
      <c r="H1124" s="362">
        <f t="shared" ref="H1124" si="543">H1125</f>
        <v>480</v>
      </c>
      <c r="I1124" s="336">
        <f t="shared" si="528"/>
        <v>100</v>
      </c>
      <c r="J1124" s="325"/>
      <c r="K1124" s="325"/>
      <c r="L1124" s="325"/>
      <c r="M1124" s="325"/>
      <c r="N1124" s="325"/>
    </row>
    <row r="1125" spans="1:14" s="214" customFormat="1" ht="31.5" x14ac:dyDescent="0.25">
      <c r="A1125" s="361" t="s">
        <v>149</v>
      </c>
      <c r="B1125" s="359">
        <v>908</v>
      </c>
      <c r="C1125" s="360" t="s">
        <v>250</v>
      </c>
      <c r="D1125" s="360" t="s">
        <v>250</v>
      </c>
      <c r="E1125" s="360" t="s">
        <v>1132</v>
      </c>
      <c r="F1125" s="360" t="s">
        <v>150</v>
      </c>
      <c r="G1125" s="362">
        <v>480</v>
      </c>
      <c r="H1125" s="362">
        <v>480</v>
      </c>
      <c r="I1125" s="336">
        <f t="shared" si="528"/>
        <v>100</v>
      </c>
      <c r="J1125" s="325"/>
      <c r="K1125" s="325"/>
      <c r="L1125" s="325"/>
      <c r="M1125" s="325"/>
      <c r="N1125" s="325"/>
    </row>
    <row r="1126" spans="1:14" ht="15.75" x14ac:dyDescent="0.25">
      <c r="A1126" s="361" t="s">
        <v>151</v>
      </c>
      <c r="B1126" s="359">
        <v>908</v>
      </c>
      <c r="C1126" s="360" t="s">
        <v>250</v>
      </c>
      <c r="D1126" s="360" t="s">
        <v>250</v>
      </c>
      <c r="E1126" s="360" t="s">
        <v>1132</v>
      </c>
      <c r="F1126" s="360" t="s">
        <v>161</v>
      </c>
      <c r="G1126" s="362">
        <f>G1127</f>
        <v>982</v>
      </c>
      <c r="H1126" s="362">
        <f t="shared" ref="H1126" si="544">H1127</f>
        <v>805.93700000000001</v>
      </c>
      <c r="I1126" s="336">
        <f t="shared" si="528"/>
        <v>82.070977596741344</v>
      </c>
    </row>
    <row r="1127" spans="1:14" ht="47.25" customHeight="1" x14ac:dyDescent="0.25">
      <c r="A1127" s="361" t="s">
        <v>200</v>
      </c>
      <c r="B1127" s="359">
        <v>908</v>
      </c>
      <c r="C1127" s="360" t="s">
        <v>250</v>
      </c>
      <c r="D1127" s="360" t="s">
        <v>250</v>
      </c>
      <c r="E1127" s="360" t="s">
        <v>1132</v>
      </c>
      <c r="F1127" s="360" t="s">
        <v>176</v>
      </c>
      <c r="G1127" s="362">
        <v>982</v>
      </c>
      <c r="H1127" s="362">
        <v>805.93700000000001</v>
      </c>
      <c r="I1127" s="336">
        <f t="shared" si="528"/>
        <v>82.070977596741344</v>
      </c>
    </row>
    <row r="1128" spans="1:14" s="214" customFormat="1" ht="37.5" hidden="1" customHeight="1" x14ac:dyDescent="0.25">
      <c r="A1128" s="361" t="s">
        <v>868</v>
      </c>
      <c r="B1128" s="359">
        <v>908</v>
      </c>
      <c r="C1128" s="360" t="s">
        <v>250</v>
      </c>
      <c r="D1128" s="360" t="s">
        <v>250</v>
      </c>
      <c r="E1128" s="360" t="s">
        <v>1251</v>
      </c>
      <c r="F1128" s="360"/>
      <c r="G1128" s="362">
        <f>G1129</f>
        <v>0</v>
      </c>
      <c r="H1128" s="362">
        <f t="shared" ref="H1128:H1129" si="545">H1129</f>
        <v>0</v>
      </c>
      <c r="I1128" s="336" t="e">
        <f t="shared" si="528"/>
        <v>#DIV/0!</v>
      </c>
      <c r="J1128" s="325"/>
      <c r="K1128" s="325"/>
      <c r="L1128" s="325"/>
      <c r="M1128" s="325"/>
      <c r="N1128" s="325"/>
    </row>
    <row r="1129" spans="1:14" s="214" customFormat="1" ht="21.75" hidden="1" customHeight="1" x14ac:dyDescent="0.25">
      <c r="A1129" s="361" t="s">
        <v>151</v>
      </c>
      <c r="B1129" s="359">
        <v>908</v>
      </c>
      <c r="C1129" s="360" t="s">
        <v>250</v>
      </c>
      <c r="D1129" s="360" t="s">
        <v>250</v>
      </c>
      <c r="E1129" s="360" t="s">
        <v>1251</v>
      </c>
      <c r="F1129" s="360" t="s">
        <v>161</v>
      </c>
      <c r="G1129" s="362">
        <f>G1130</f>
        <v>0</v>
      </c>
      <c r="H1129" s="362">
        <f t="shared" si="545"/>
        <v>0</v>
      </c>
      <c r="I1129" s="336" t="e">
        <f t="shared" si="528"/>
        <v>#DIV/0!</v>
      </c>
      <c r="J1129" s="325"/>
      <c r="K1129" s="325"/>
      <c r="L1129" s="325"/>
      <c r="M1129" s="325"/>
      <c r="N1129" s="325"/>
    </row>
    <row r="1130" spans="1:14" s="214" customFormat="1" ht="47.25" hidden="1" customHeight="1" x14ac:dyDescent="0.25">
      <c r="A1130" s="361" t="s">
        <v>200</v>
      </c>
      <c r="B1130" s="359">
        <v>908</v>
      </c>
      <c r="C1130" s="360" t="s">
        <v>250</v>
      </c>
      <c r="D1130" s="360" t="s">
        <v>250</v>
      </c>
      <c r="E1130" s="360" t="s">
        <v>1251</v>
      </c>
      <c r="F1130" s="360" t="s">
        <v>176</v>
      </c>
      <c r="G1130" s="362">
        <v>0</v>
      </c>
      <c r="H1130" s="362">
        <v>0</v>
      </c>
      <c r="I1130" s="336" t="e">
        <f t="shared" si="528"/>
        <v>#DIV/0!</v>
      </c>
      <c r="J1130" s="325"/>
      <c r="K1130" s="325"/>
      <c r="L1130" s="325"/>
      <c r="M1130" s="325"/>
      <c r="N1130" s="325"/>
    </row>
    <row r="1131" spans="1:14" s="214" customFormat="1" ht="36.75" customHeight="1" x14ac:dyDescent="0.25">
      <c r="A1131" s="333" t="s">
        <v>1002</v>
      </c>
      <c r="B1131" s="330">
        <v>908</v>
      </c>
      <c r="C1131" s="334" t="s">
        <v>250</v>
      </c>
      <c r="D1131" s="334" t="s">
        <v>250</v>
      </c>
      <c r="E1131" s="334" t="s">
        <v>987</v>
      </c>
      <c r="F1131" s="334"/>
      <c r="G1131" s="44">
        <f>G1132+G1137</f>
        <v>10233</v>
      </c>
      <c r="H1131" s="44">
        <f t="shared" ref="H1131" si="546">H1132+H1137</f>
        <v>7272.9480000000003</v>
      </c>
      <c r="I1131" s="332">
        <f t="shared" si="528"/>
        <v>71.07346819114629</v>
      </c>
      <c r="J1131" s="325"/>
      <c r="K1131" s="325"/>
      <c r="L1131" s="325"/>
      <c r="M1131" s="325"/>
      <c r="N1131" s="325"/>
    </row>
    <row r="1132" spans="1:14" ht="31.5" x14ac:dyDescent="0.25">
      <c r="A1132" s="361" t="s">
        <v>974</v>
      </c>
      <c r="B1132" s="359">
        <v>908</v>
      </c>
      <c r="C1132" s="360" t="s">
        <v>250</v>
      </c>
      <c r="D1132" s="360" t="s">
        <v>250</v>
      </c>
      <c r="E1132" s="360" t="s">
        <v>988</v>
      </c>
      <c r="F1132" s="360"/>
      <c r="G1132" s="336">
        <f>G1133+G1135</f>
        <v>10107</v>
      </c>
      <c r="H1132" s="336">
        <f t="shared" ref="H1132" si="547">H1133+H1135</f>
        <v>7146.9480000000003</v>
      </c>
      <c r="I1132" s="336">
        <f t="shared" si="528"/>
        <v>70.712852478480258</v>
      </c>
    </row>
    <row r="1133" spans="1:14" ht="69.75" customHeight="1" x14ac:dyDescent="0.25">
      <c r="A1133" s="361" t="s">
        <v>143</v>
      </c>
      <c r="B1133" s="359">
        <v>908</v>
      </c>
      <c r="C1133" s="360" t="s">
        <v>250</v>
      </c>
      <c r="D1133" s="360" t="s">
        <v>250</v>
      </c>
      <c r="E1133" s="360" t="s">
        <v>988</v>
      </c>
      <c r="F1133" s="360" t="s">
        <v>144</v>
      </c>
      <c r="G1133" s="336">
        <f>G1134</f>
        <v>8484.1</v>
      </c>
      <c r="H1133" s="336">
        <f t="shared" ref="H1133" si="548">H1134</f>
        <v>6125.25</v>
      </c>
      <c r="I1133" s="336">
        <f t="shared" si="528"/>
        <v>72.196815219056816</v>
      </c>
    </row>
    <row r="1134" spans="1:14" ht="29.25" customHeight="1" x14ac:dyDescent="0.25">
      <c r="A1134" s="361" t="s">
        <v>358</v>
      </c>
      <c r="B1134" s="359">
        <v>908</v>
      </c>
      <c r="C1134" s="360" t="s">
        <v>250</v>
      </c>
      <c r="D1134" s="360" t="s">
        <v>250</v>
      </c>
      <c r="E1134" s="360" t="s">
        <v>988</v>
      </c>
      <c r="F1134" s="360" t="s">
        <v>225</v>
      </c>
      <c r="G1134" s="362">
        <f>8047+115.5+13.1-162.5-7.8+478.8</f>
        <v>8484.1</v>
      </c>
      <c r="H1134" s="362">
        <v>6125.25</v>
      </c>
      <c r="I1134" s="336">
        <f t="shared" si="528"/>
        <v>72.196815219056816</v>
      </c>
      <c r="K1134" s="345"/>
    </row>
    <row r="1135" spans="1:14" ht="31.5" x14ac:dyDescent="0.25">
      <c r="A1135" s="361" t="s">
        <v>147</v>
      </c>
      <c r="B1135" s="359">
        <v>908</v>
      </c>
      <c r="C1135" s="360" t="s">
        <v>250</v>
      </c>
      <c r="D1135" s="360" t="s">
        <v>250</v>
      </c>
      <c r="E1135" s="360" t="s">
        <v>988</v>
      </c>
      <c r="F1135" s="360" t="s">
        <v>148</v>
      </c>
      <c r="G1135" s="336">
        <f>G1136</f>
        <v>1622.9</v>
      </c>
      <c r="H1135" s="336">
        <f t="shared" ref="H1135" si="549">H1136</f>
        <v>1021.698</v>
      </c>
      <c r="I1135" s="336">
        <f t="shared" si="528"/>
        <v>62.955080411608847</v>
      </c>
    </row>
    <row r="1136" spans="1:14" ht="31.5" x14ac:dyDescent="0.25">
      <c r="A1136" s="361" t="s">
        <v>149</v>
      </c>
      <c r="B1136" s="359">
        <v>908</v>
      </c>
      <c r="C1136" s="360" t="s">
        <v>250</v>
      </c>
      <c r="D1136" s="360" t="s">
        <v>250</v>
      </c>
      <c r="E1136" s="360" t="s">
        <v>988</v>
      </c>
      <c r="F1136" s="360" t="s">
        <v>150</v>
      </c>
      <c r="G1136" s="362">
        <f>1312+280.9+150-120</f>
        <v>1622.9</v>
      </c>
      <c r="H1136" s="362">
        <v>1021.698</v>
      </c>
      <c r="I1136" s="336">
        <f t="shared" si="528"/>
        <v>62.955080411608847</v>
      </c>
    </row>
    <row r="1137" spans="1:14" s="214" customFormat="1" ht="31.5" x14ac:dyDescent="0.25">
      <c r="A1137" s="361" t="s">
        <v>885</v>
      </c>
      <c r="B1137" s="359">
        <v>908</v>
      </c>
      <c r="C1137" s="360" t="s">
        <v>250</v>
      </c>
      <c r="D1137" s="360" t="s">
        <v>250</v>
      </c>
      <c r="E1137" s="360" t="s">
        <v>989</v>
      </c>
      <c r="F1137" s="360"/>
      <c r="G1137" s="336">
        <f>G1138</f>
        <v>126</v>
      </c>
      <c r="H1137" s="336">
        <f t="shared" ref="H1137:H1138" si="550">H1138</f>
        <v>126</v>
      </c>
      <c r="I1137" s="336">
        <f t="shared" si="528"/>
        <v>100</v>
      </c>
      <c r="J1137" s="325"/>
      <c r="K1137" s="325"/>
      <c r="L1137" s="325"/>
      <c r="M1137" s="325"/>
      <c r="N1137" s="325"/>
    </row>
    <row r="1138" spans="1:14" s="214" customFormat="1" ht="63" x14ac:dyDescent="0.25">
      <c r="A1138" s="361" t="s">
        <v>143</v>
      </c>
      <c r="B1138" s="359">
        <v>908</v>
      </c>
      <c r="C1138" s="360" t="s">
        <v>250</v>
      </c>
      <c r="D1138" s="360" t="s">
        <v>250</v>
      </c>
      <c r="E1138" s="360" t="s">
        <v>989</v>
      </c>
      <c r="F1138" s="360" t="s">
        <v>144</v>
      </c>
      <c r="G1138" s="336">
        <f>G1139</f>
        <v>126</v>
      </c>
      <c r="H1138" s="336">
        <f t="shared" si="550"/>
        <v>126</v>
      </c>
      <c r="I1138" s="336">
        <f t="shared" si="528"/>
        <v>100</v>
      </c>
      <c r="J1138" s="325"/>
      <c r="K1138" s="325"/>
      <c r="L1138" s="325"/>
      <c r="M1138" s="325"/>
      <c r="N1138" s="325"/>
    </row>
    <row r="1139" spans="1:14" s="214" customFormat="1" ht="15.75" x14ac:dyDescent="0.25">
      <c r="A1139" s="361" t="s">
        <v>358</v>
      </c>
      <c r="B1139" s="359">
        <v>908</v>
      </c>
      <c r="C1139" s="360" t="s">
        <v>250</v>
      </c>
      <c r="D1139" s="360" t="s">
        <v>250</v>
      </c>
      <c r="E1139" s="360" t="s">
        <v>989</v>
      </c>
      <c r="F1139" s="360" t="s">
        <v>225</v>
      </c>
      <c r="G1139" s="336">
        <f>420-13.1-280.9</f>
        <v>126</v>
      </c>
      <c r="H1139" s="336">
        <v>126</v>
      </c>
      <c r="I1139" s="336">
        <f t="shared" si="528"/>
        <v>100</v>
      </c>
      <c r="J1139" s="325"/>
      <c r="K1139" s="325"/>
      <c r="L1139" s="325"/>
      <c r="M1139" s="325"/>
      <c r="N1139" s="325"/>
    </row>
    <row r="1140" spans="1:14" s="214" customFormat="1" ht="47.25" x14ac:dyDescent="0.25">
      <c r="A1140" s="34" t="s">
        <v>805</v>
      </c>
      <c r="B1140" s="330">
        <v>908</v>
      </c>
      <c r="C1140" s="334" t="s">
        <v>250</v>
      </c>
      <c r="D1140" s="334" t="s">
        <v>250</v>
      </c>
      <c r="E1140" s="334" t="s">
        <v>340</v>
      </c>
      <c r="F1140" s="334"/>
      <c r="G1140" s="332">
        <f>G1141</f>
        <v>57</v>
      </c>
      <c r="H1140" s="332">
        <f t="shared" ref="H1140:H1143" si="551">H1141</f>
        <v>0</v>
      </c>
      <c r="I1140" s="332">
        <f t="shared" si="528"/>
        <v>0</v>
      </c>
      <c r="J1140" s="325"/>
      <c r="K1140" s="325"/>
      <c r="L1140" s="325"/>
      <c r="M1140" s="325"/>
      <c r="N1140" s="325"/>
    </row>
    <row r="1141" spans="1:14" s="214" customFormat="1" ht="47.25" x14ac:dyDescent="0.25">
      <c r="A1141" s="34" t="s">
        <v>1162</v>
      </c>
      <c r="B1141" s="330">
        <v>908</v>
      </c>
      <c r="C1141" s="334" t="s">
        <v>250</v>
      </c>
      <c r="D1141" s="334" t="s">
        <v>250</v>
      </c>
      <c r="E1141" s="334" t="s">
        <v>1025</v>
      </c>
      <c r="F1141" s="334"/>
      <c r="G1141" s="332">
        <f>G1142</f>
        <v>57</v>
      </c>
      <c r="H1141" s="332">
        <f t="shared" si="551"/>
        <v>0</v>
      </c>
      <c r="I1141" s="332">
        <f t="shared" si="528"/>
        <v>0</v>
      </c>
      <c r="J1141" s="325"/>
      <c r="K1141" s="325"/>
      <c r="L1141" s="325"/>
      <c r="M1141" s="325"/>
      <c r="N1141" s="325"/>
    </row>
    <row r="1142" spans="1:14" s="214" customFormat="1" ht="47.25" x14ac:dyDescent="0.25">
      <c r="A1142" s="31" t="s">
        <v>1273</v>
      </c>
      <c r="B1142" s="359">
        <v>908</v>
      </c>
      <c r="C1142" s="360" t="s">
        <v>250</v>
      </c>
      <c r="D1142" s="360" t="s">
        <v>250</v>
      </c>
      <c r="E1142" s="360" t="s">
        <v>1192</v>
      </c>
      <c r="F1142" s="360"/>
      <c r="G1142" s="336">
        <f>G1143</f>
        <v>57</v>
      </c>
      <c r="H1142" s="336">
        <f t="shared" si="551"/>
        <v>0</v>
      </c>
      <c r="I1142" s="336">
        <f t="shared" si="528"/>
        <v>0</v>
      </c>
      <c r="J1142" s="325"/>
      <c r="K1142" s="325"/>
      <c r="L1142" s="325"/>
      <c r="M1142" s="325"/>
      <c r="N1142" s="325"/>
    </row>
    <row r="1143" spans="1:14" s="214" customFormat="1" ht="31.5" x14ac:dyDescent="0.25">
      <c r="A1143" s="361" t="s">
        <v>147</v>
      </c>
      <c r="B1143" s="359">
        <v>908</v>
      </c>
      <c r="C1143" s="360" t="s">
        <v>250</v>
      </c>
      <c r="D1143" s="360" t="s">
        <v>250</v>
      </c>
      <c r="E1143" s="360" t="s">
        <v>1192</v>
      </c>
      <c r="F1143" s="360" t="s">
        <v>148</v>
      </c>
      <c r="G1143" s="336">
        <f>G1144</f>
        <v>57</v>
      </c>
      <c r="H1143" s="336">
        <f t="shared" si="551"/>
        <v>0</v>
      </c>
      <c r="I1143" s="336">
        <f t="shared" si="528"/>
        <v>0</v>
      </c>
      <c r="J1143" s="325"/>
      <c r="K1143" s="325"/>
      <c r="L1143" s="325"/>
      <c r="M1143" s="325"/>
      <c r="N1143" s="325"/>
    </row>
    <row r="1144" spans="1:14" s="214" customFormat="1" ht="31.5" x14ac:dyDescent="0.25">
      <c r="A1144" s="361" t="s">
        <v>149</v>
      </c>
      <c r="B1144" s="359">
        <v>908</v>
      </c>
      <c r="C1144" s="360" t="s">
        <v>250</v>
      </c>
      <c r="D1144" s="360" t="s">
        <v>250</v>
      </c>
      <c r="E1144" s="360" t="s">
        <v>1192</v>
      </c>
      <c r="F1144" s="360" t="s">
        <v>150</v>
      </c>
      <c r="G1144" s="336">
        <v>57</v>
      </c>
      <c r="H1144" s="336">
        <v>0</v>
      </c>
      <c r="I1144" s="336">
        <f t="shared" si="528"/>
        <v>0</v>
      </c>
      <c r="J1144" s="325"/>
      <c r="K1144" s="325"/>
      <c r="L1144" s="325"/>
      <c r="M1144" s="325"/>
      <c r="N1144" s="325"/>
    </row>
    <row r="1145" spans="1:14" ht="15.75" x14ac:dyDescent="0.25">
      <c r="A1145" s="333" t="s">
        <v>259</v>
      </c>
      <c r="B1145" s="330">
        <v>908</v>
      </c>
      <c r="C1145" s="334" t="s">
        <v>260</v>
      </c>
      <c r="D1145" s="334"/>
      <c r="E1145" s="334"/>
      <c r="F1145" s="334"/>
      <c r="G1145" s="332">
        <f t="shared" ref="G1145:H1151" si="552">G1146</f>
        <v>114.6</v>
      </c>
      <c r="H1145" s="332">
        <f t="shared" si="552"/>
        <v>0</v>
      </c>
      <c r="I1145" s="332">
        <f t="shared" si="528"/>
        <v>0</v>
      </c>
    </row>
    <row r="1146" spans="1:14" ht="15.75" x14ac:dyDescent="0.25">
      <c r="A1146" s="333" t="s">
        <v>274</v>
      </c>
      <c r="B1146" s="330">
        <v>908</v>
      </c>
      <c r="C1146" s="334" t="s">
        <v>260</v>
      </c>
      <c r="D1146" s="334" t="s">
        <v>136</v>
      </c>
      <c r="E1146" s="334"/>
      <c r="F1146" s="334"/>
      <c r="G1146" s="332">
        <f t="shared" si="552"/>
        <v>114.6</v>
      </c>
      <c r="H1146" s="332">
        <f t="shared" si="552"/>
        <v>0</v>
      </c>
      <c r="I1146" s="332">
        <f t="shared" si="528"/>
        <v>0</v>
      </c>
    </row>
    <row r="1147" spans="1:14" ht="15.75" x14ac:dyDescent="0.25">
      <c r="A1147" s="333" t="s">
        <v>157</v>
      </c>
      <c r="B1147" s="330">
        <v>908</v>
      </c>
      <c r="C1147" s="334" t="s">
        <v>260</v>
      </c>
      <c r="D1147" s="334" t="s">
        <v>136</v>
      </c>
      <c r="E1147" s="334" t="s">
        <v>912</v>
      </c>
      <c r="F1147" s="334"/>
      <c r="G1147" s="332">
        <f>G1148</f>
        <v>114.6</v>
      </c>
      <c r="H1147" s="332">
        <f t="shared" si="552"/>
        <v>0</v>
      </c>
      <c r="I1147" s="332">
        <f t="shared" si="528"/>
        <v>0</v>
      </c>
    </row>
    <row r="1148" spans="1:14" ht="15.75" hidden="1" x14ac:dyDescent="0.25">
      <c r="A1148" s="333" t="s">
        <v>157</v>
      </c>
      <c r="B1148" s="330">
        <v>908</v>
      </c>
      <c r="C1148" s="334" t="s">
        <v>260</v>
      </c>
      <c r="D1148" s="334" t="s">
        <v>136</v>
      </c>
      <c r="E1148" s="334" t="s">
        <v>911</v>
      </c>
      <c r="F1148" s="334"/>
      <c r="G1148" s="332">
        <f>G1149</f>
        <v>114.6</v>
      </c>
      <c r="H1148" s="332">
        <f t="shared" si="552"/>
        <v>0</v>
      </c>
      <c r="I1148" s="332">
        <f t="shared" si="528"/>
        <v>0</v>
      </c>
    </row>
    <row r="1149" spans="1:14" ht="31.5" x14ac:dyDescent="0.25">
      <c r="A1149" s="333" t="s">
        <v>916</v>
      </c>
      <c r="B1149" s="330">
        <v>908</v>
      </c>
      <c r="C1149" s="334" t="s">
        <v>260</v>
      </c>
      <c r="D1149" s="334" t="s">
        <v>136</v>
      </c>
      <c r="E1149" s="334" t="s">
        <v>911</v>
      </c>
      <c r="F1149" s="334"/>
      <c r="G1149" s="332">
        <f>G1150</f>
        <v>114.6</v>
      </c>
      <c r="H1149" s="332">
        <f t="shared" si="552"/>
        <v>0</v>
      </c>
      <c r="I1149" s="332">
        <f t="shared" si="528"/>
        <v>0</v>
      </c>
    </row>
    <row r="1150" spans="1:14" ht="15.75" x14ac:dyDescent="0.25">
      <c r="A1150" s="361" t="s">
        <v>588</v>
      </c>
      <c r="B1150" s="359">
        <v>908</v>
      </c>
      <c r="C1150" s="360" t="s">
        <v>260</v>
      </c>
      <c r="D1150" s="360" t="s">
        <v>136</v>
      </c>
      <c r="E1150" s="360" t="s">
        <v>1133</v>
      </c>
      <c r="F1150" s="360"/>
      <c r="G1150" s="336">
        <f>G1151</f>
        <v>114.6</v>
      </c>
      <c r="H1150" s="336">
        <f t="shared" si="552"/>
        <v>0</v>
      </c>
      <c r="I1150" s="336">
        <f t="shared" si="528"/>
        <v>0</v>
      </c>
    </row>
    <row r="1151" spans="1:14" ht="31.5" x14ac:dyDescent="0.25">
      <c r="A1151" s="361" t="s">
        <v>147</v>
      </c>
      <c r="B1151" s="359">
        <v>908</v>
      </c>
      <c r="C1151" s="360" t="s">
        <v>260</v>
      </c>
      <c r="D1151" s="360" t="s">
        <v>136</v>
      </c>
      <c r="E1151" s="360" t="s">
        <v>1133</v>
      </c>
      <c r="F1151" s="360" t="s">
        <v>148</v>
      </c>
      <c r="G1151" s="336">
        <f>G1152</f>
        <v>114.6</v>
      </c>
      <c r="H1151" s="336">
        <f t="shared" si="552"/>
        <v>0</v>
      </c>
      <c r="I1151" s="336">
        <f t="shared" si="528"/>
        <v>0</v>
      </c>
    </row>
    <row r="1152" spans="1:14" ht="31.5" x14ac:dyDescent="0.25">
      <c r="A1152" s="361" t="s">
        <v>149</v>
      </c>
      <c r="B1152" s="359">
        <v>908</v>
      </c>
      <c r="C1152" s="360" t="s">
        <v>260</v>
      </c>
      <c r="D1152" s="360" t="s">
        <v>136</v>
      </c>
      <c r="E1152" s="360" t="s">
        <v>1133</v>
      </c>
      <c r="F1152" s="360" t="s">
        <v>150</v>
      </c>
      <c r="G1152" s="336">
        <f>87+27.6</f>
        <v>114.6</v>
      </c>
      <c r="H1152" s="336">
        <v>0</v>
      </c>
      <c r="I1152" s="336">
        <f t="shared" si="528"/>
        <v>0</v>
      </c>
    </row>
    <row r="1153" spans="1:14" ht="33" customHeight="1" x14ac:dyDescent="0.25">
      <c r="A1153" s="330" t="s">
        <v>590</v>
      </c>
      <c r="B1153" s="330">
        <v>910</v>
      </c>
      <c r="C1153" s="47"/>
      <c r="D1153" s="47"/>
      <c r="E1153" s="47"/>
      <c r="F1153" s="47"/>
      <c r="G1153" s="332">
        <f>G1154</f>
        <v>7467.7999999999993</v>
      </c>
      <c r="H1153" s="332">
        <f t="shared" ref="H1153" si="553">H1154</f>
        <v>5723.7610000000004</v>
      </c>
      <c r="I1153" s="332">
        <f t="shared" si="528"/>
        <v>76.645879643268444</v>
      </c>
    </row>
    <row r="1154" spans="1:14" ht="15.75" x14ac:dyDescent="0.25">
      <c r="A1154" s="333" t="s">
        <v>133</v>
      </c>
      <c r="B1154" s="330">
        <v>910</v>
      </c>
      <c r="C1154" s="334" t="s">
        <v>134</v>
      </c>
      <c r="D1154" s="334"/>
      <c r="E1154" s="334"/>
      <c r="F1154" s="334"/>
      <c r="G1154" s="332">
        <f>G1155+G1174+G1185</f>
        <v>7467.7999999999993</v>
      </c>
      <c r="H1154" s="332">
        <f t="shared" ref="H1154" si="554">H1155+H1174+H1185</f>
        <v>5723.7610000000004</v>
      </c>
      <c r="I1154" s="332">
        <f t="shared" si="528"/>
        <v>76.645879643268444</v>
      </c>
    </row>
    <row r="1155" spans="1:14" ht="36" customHeight="1" x14ac:dyDescent="0.25">
      <c r="A1155" s="333" t="s">
        <v>591</v>
      </c>
      <c r="B1155" s="330">
        <v>910</v>
      </c>
      <c r="C1155" s="334" t="s">
        <v>134</v>
      </c>
      <c r="D1155" s="334" t="s">
        <v>229</v>
      </c>
      <c r="E1155" s="334"/>
      <c r="F1155" s="334"/>
      <c r="G1155" s="332">
        <f>G1156+G1166</f>
        <v>4398.7</v>
      </c>
      <c r="H1155" s="332">
        <f t="shared" ref="H1155" si="555">H1156+H1166</f>
        <v>3549.1729999999998</v>
      </c>
      <c r="I1155" s="332">
        <f t="shared" si="528"/>
        <v>80.686862027417192</v>
      </c>
    </row>
    <row r="1156" spans="1:14" ht="31.5" x14ac:dyDescent="0.25">
      <c r="A1156" s="333" t="s">
        <v>990</v>
      </c>
      <c r="B1156" s="330">
        <v>910</v>
      </c>
      <c r="C1156" s="334" t="s">
        <v>134</v>
      </c>
      <c r="D1156" s="334" t="s">
        <v>229</v>
      </c>
      <c r="E1156" s="334" t="s">
        <v>904</v>
      </c>
      <c r="F1156" s="334"/>
      <c r="G1156" s="332">
        <f>G1157</f>
        <v>4383.7</v>
      </c>
      <c r="H1156" s="332">
        <f t="shared" ref="H1156" si="556">H1157</f>
        <v>3534.1729999999998</v>
      </c>
      <c r="I1156" s="332">
        <f t="shared" si="528"/>
        <v>80.62077696922691</v>
      </c>
    </row>
    <row r="1157" spans="1:14" ht="15.75" x14ac:dyDescent="0.25">
      <c r="A1157" s="333" t="s">
        <v>1134</v>
      </c>
      <c r="B1157" s="330">
        <v>910</v>
      </c>
      <c r="C1157" s="334" t="s">
        <v>134</v>
      </c>
      <c r="D1157" s="334" t="s">
        <v>229</v>
      </c>
      <c r="E1157" s="334" t="s">
        <v>1135</v>
      </c>
      <c r="F1157" s="334"/>
      <c r="G1157" s="332">
        <f>G1158+G1163</f>
        <v>4383.7</v>
      </c>
      <c r="H1157" s="332">
        <f t="shared" ref="H1157" si="557">H1158+H1163</f>
        <v>3534.1729999999998</v>
      </c>
      <c r="I1157" s="332">
        <f t="shared" si="528"/>
        <v>80.62077696922691</v>
      </c>
    </row>
    <row r="1158" spans="1:14" ht="31.5" x14ac:dyDescent="0.25">
      <c r="A1158" s="361" t="s">
        <v>592</v>
      </c>
      <c r="B1158" s="359">
        <v>910</v>
      </c>
      <c r="C1158" s="360" t="s">
        <v>134</v>
      </c>
      <c r="D1158" s="360" t="s">
        <v>229</v>
      </c>
      <c r="E1158" s="360" t="s">
        <v>1136</v>
      </c>
      <c r="F1158" s="360"/>
      <c r="G1158" s="336">
        <f>G1159+G1161</f>
        <v>4383.7</v>
      </c>
      <c r="H1158" s="336">
        <f t="shared" ref="H1158" si="558">H1159+H1161</f>
        <v>3534.1729999999998</v>
      </c>
      <c r="I1158" s="336">
        <f t="shared" si="528"/>
        <v>80.62077696922691</v>
      </c>
    </row>
    <row r="1159" spans="1:14" ht="63" x14ac:dyDescent="0.25">
      <c r="A1159" s="361" t="s">
        <v>143</v>
      </c>
      <c r="B1159" s="359">
        <v>910</v>
      </c>
      <c r="C1159" s="360" t="s">
        <v>134</v>
      </c>
      <c r="D1159" s="360" t="s">
        <v>229</v>
      </c>
      <c r="E1159" s="360" t="s">
        <v>1136</v>
      </c>
      <c r="F1159" s="360" t="s">
        <v>144</v>
      </c>
      <c r="G1159" s="336">
        <f>G1160</f>
        <v>4293.7</v>
      </c>
      <c r="H1159" s="336">
        <f t="shared" ref="H1159" si="559">H1160</f>
        <v>3534.1729999999998</v>
      </c>
      <c r="I1159" s="336">
        <f t="shared" si="528"/>
        <v>82.31066446188602</v>
      </c>
    </row>
    <row r="1160" spans="1:14" ht="31.5" x14ac:dyDescent="0.25">
      <c r="A1160" s="361" t="s">
        <v>145</v>
      </c>
      <c r="B1160" s="359">
        <v>910</v>
      </c>
      <c r="C1160" s="360" t="s">
        <v>134</v>
      </c>
      <c r="D1160" s="360" t="s">
        <v>229</v>
      </c>
      <c r="E1160" s="360" t="s">
        <v>1136</v>
      </c>
      <c r="F1160" s="360" t="s">
        <v>146</v>
      </c>
      <c r="G1160" s="362">
        <f>4111+42+85.7+55</f>
        <v>4293.7</v>
      </c>
      <c r="H1160" s="362">
        <v>3534.1729999999998</v>
      </c>
      <c r="I1160" s="336">
        <f t="shared" si="528"/>
        <v>82.31066446188602</v>
      </c>
    </row>
    <row r="1161" spans="1:14" ht="34.5" customHeight="1" x14ac:dyDescent="0.25">
      <c r="A1161" s="361" t="s">
        <v>214</v>
      </c>
      <c r="B1161" s="359">
        <v>910</v>
      </c>
      <c r="C1161" s="360" t="s">
        <v>134</v>
      </c>
      <c r="D1161" s="360" t="s">
        <v>229</v>
      </c>
      <c r="E1161" s="360" t="s">
        <v>1136</v>
      </c>
      <c r="F1161" s="360" t="s">
        <v>148</v>
      </c>
      <c r="G1161" s="336">
        <f>G1162</f>
        <v>90</v>
      </c>
      <c r="H1161" s="336">
        <f t="shared" ref="H1161" si="560">H1162</f>
        <v>0</v>
      </c>
      <c r="I1161" s="336">
        <f t="shared" si="528"/>
        <v>0</v>
      </c>
    </row>
    <row r="1162" spans="1:14" ht="30.2" customHeight="1" x14ac:dyDescent="0.25">
      <c r="A1162" s="361" t="s">
        <v>149</v>
      </c>
      <c r="B1162" s="359">
        <v>910</v>
      </c>
      <c r="C1162" s="360" t="s">
        <v>134</v>
      </c>
      <c r="D1162" s="360" t="s">
        <v>229</v>
      </c>
      <c r="E1162" s="360" t="s">
        <v>1136</v>
      </c>
      <c r="F1162" s="360" t="s">
        <v>150</v>
      </c>
      <c r="G1162" s="336">
        <f>21+69</f>
        <v>90</v>
      </c>
      <c r="H1162" s="336">
        <v>0</v>
      </c>
      <c r="I1162" s="336">
        <f t="shared" si="528"/>
        <v>0</v>
      </c>
    </row>
    <row r="1163" spans="1:14" s="214" customFormat="1" ht="30.2" hidden="1" customHeight="1" x14ac:dyDescent="0.25">
      <c r="A1163" s="361" t="s">
        <v>885</v>
      </c>
      <c r="B1163" s="359">
        <v>910</v>
      </c>
      <c r="C1163" s="360" t="s">
        <v>134</v>
      </c>
      <c r="D1163" s="360" t="s">
        <v>229</v>
      </c>
      <c r="E1163" s="360" t="s">
        <v>1137</v>
      </c>
      <c r="F1163" s="360"/>
      <c r="G1163" s="336">
        <f>G1164</f>
        <v>0</v>
      </c>
      <c r="H1163" s="336">
        <f t="shared" ref="H1163:H1164" si="561">H1164</f>
        <v>0</v>
      </c>
      <c r="I1163" s="336" t="e">
        <f t="shared" ref="I1163:I1196" si="562">H1163/G1163*100</f>
        <v>#DIV/0!</v>
      </c>
      <c r="J1163" s="325"/>
      <c r="K1163" s="325"/>
      <c r="L1163" s="325"/>
      <c r="M1163" s="325"/>
      <c r="N1163" s="325"/>
    </row>
    <row r="1164" spans="1:14" s="214" customFormat="1" ht="30.2" hidden="1" customHeight="1" x14ac:dyDescent="0.25">
      <c r="A1164" s="361" t="s">
        <v>143</v>
      </c>
      <c r="B1164" s="359">
        <v>910</v>
      </c>
      <c r="C1164" s="360" t="s">
        <v>134</v>
      </c>
      <c r="D1164" s="360" t="s">
        <v>229</v>
      </c>
      <c r="E1164" s="360" t="s">
        <v>1137</v>
      </c>
      <c r="F1164" s="360" t="s">
        <v>144</v>
      </c>
      <c r="G1164" s="336">
        <f>G1165</f>
        <v>0</v>
      </c>
      <c r="H1164" s="336">
        <f t="shared" si="561"/>
        <v>0</v>
      </c>
      <c r="I1164" s="336" t="e">
        <f t="shared" si="562"/>
        <v>#DIV/0!</v>
      </c>
      <c r="J1164" s="325"/>
      <c r="K1164" s="325"/>
      <c r="L1164" s="325"/>
      <c r="M1164" s="325"/>
      <c r="N1164" s="325"/>
    </row>
    <row r="1165" spans="1:14" s="214" customFormat="1" ht="30.2" hidden="1" customHeight="1" x14ac:dyDescent="0.25">
      <c r="A1165" s="361" t="s">
        <v>145</v>
      </c>
      <c r="B1165" s="359">
        <v>910</v>
      </c>
      <c r="C1165" s="360" t="s">
        <v>134</v>
      </c>
      <c r="D1165" s="360" t="s">
        <v>229</v>
      </c>
      <c r="E1165" s="360" t="s">
        <v>1137</v>
      </c>
      <c r="F1165" s="360" t="s">
        <v>146</v>
      </c>
      <c r="G1165" s="336">
        <f>42-42</f>
        <v>0</v>
      </c>
      <c r="H1165" s="336">
        <f t="shared" ref="H1165" si="563">42-42</f>
        <v>0</v>
      </c>
      <c r="I1165" s="336" t="e">
        <f t="shared" si="562"/>
        <v>#DIV/0!</v>
      </c>
      <c r="J1165" s="325"/>
      <c r="K1165" s="325"/>
      <c r="L1165" s="325"/>
      <c r="M1165" s="325"/>
      <c r="N1165" s="325"/>
    </row>
    <row r="1166" spans="1:14" s="214" customFormat="1" ht="30.2" customHeight="1" x14ac:dyDescent="0.25">
      <c r="A1166" s="333" t="s">
        <v>1143</v>
      </c>
      <c r="B1166" s="330">
        <v>910</v>
      </c>
      <c r="C1166" s="334" t="s">
        <v>134</v>
      </c>
      <c r="D1166" s="334" t="s">
        <v>229</v>
      </c>
      <c r="E1166" s="334" t="s">
        <v>178</v>
      </c>
      <c r="F1166" s="334"/>
      <c r="G1166" s="332">
        <f>G1167</f>
        <v>15</v>
      </c>
      <c r="H1166" s="332">
        <f t="shared" ref="H1166" si="564">H1167</f>
        <v>15</v>
      </c>
      <c r="I1166" s="332">
        <f t="shared" si="562"/>
        <v>100</v>
      </c>
      <c r="J1166" s="325"/>
      <c r="K1166" s="325"/>
      <c r="L1166" s="325"/>
      <c r="M1166" s="325"/>
      <c r="N1166" s="325"/>
    </row>
    <row r="1167" spans="1:14" s="214" customFormat="1" ht="62.45" customHeight="1" x14ac:dyDescent="0.25">
      <c r="A1167" s="228" t="s">
        <v>889</v>
      </c>
      <c r="B1167" s="330">
        <v>910</v>
      </c>
      <c r="C1167" s="334" t="s">
        <v>134</v>
      </c>
      <c r="D1167" s="334" t="s">
        <v>229</v>
      </c>
      <c r="E1167" s="334" t="s">
        <v>896</v>
      </c>
      <c r="F1167" s="334"/>
      <c r="G1167" s="332">
        <f>G1168+G1171</f>
        <v>15</v>
      </c>
      <c r="H1167" s="332">
        <f t="shared" ref="H1167" si="565">H1168+H1171</f>
        <v>15</v>
      </c>
      <c r="I1167" s="332">
        <f t="shared" si="562"/>
        <v>100</v>
      </c>
      <c r="J1167" s="325"/>
      <c r="K1167" s="325"/>
      <c r="L1167" s="325"/>
      <c r="M1167" s="325"/>
      <c r="N1167" s="325"/>
    </row>
    <row r="1168" spans="1:14" s="214" customFormat="1" ht="37.5" customHeight="1" x14ac:dyDescent="0.25">
      <c r="A1168" s="31" t="s">
        <v>1298</v>
      </c>
      <c r="B1168" s="359">
        <v>910</v>
      </c>
      <c r="C1168" s="360" t="s">
        <v>134</v>
      </c>
      <c r="D1168" s="360" t="s">
        <v>229</v>
      </c>
      <c r="E1168" s="339" t="s">
        <v>1142</v>
      </c>
      <c r="F1168" s="360"/>
      <c r="G1168" s="336">
        <f>G1169</f>
        <v>1</v>
      </c>
      <c r="H1168" s="336">
        <f t="shared" ref="H1168:H1169" si="566">H1169</f>
        <v>1</v>
      </c>
      <c r="I1168" s="336">
        <f t="shared" si="562"/>
        <v>100</v>
      </c>
      <c r="J1168" s="325"/>
      <c r="K1168" s="325"/>
      <c r="L1168" s="325"/>
      <c r="M1168" s="325"/>
      <c r="N1168" s="325"/>
    </row>
    <row r="1169" spans="1:14" s="214" customFormat="1" ht="30.2" customHeight="1" x14ac:dyDescent="0.25">
      <c r="A1169" s="361" t="s">
        <v>147</v>
      </c>
      <c r="B1169" s="359">
        <v>910</v>
      </c>
      <c r="C1169" s="360" t="s">
        <v>134</v>
      </c>
      <c r="D1169" s="360" t="s">
        <v>229</v>
      </c>
      <c r="E1169" s="339" t="s">
        <v>1142</v>
      </c>
      <c r="F1169" s="360" t="s">
        <v>148</v>
      </c>
      <c r="G1169" s="336">
        <f>G1170</f>
        <v>1</v>
      </c>
      <c r="H1169" s="336">
        <f t="shared" si="566"/>
        <v>1</v>
      </c>
      <c r="I1169" s="336">
        <f t="shared" si="562"/>
        <v>100</v>
      </c>
      <c r="J1169" s="325"/>
      <c r="K1169" s="325"/>
      <c r="L1169" s="325"/>
      <c r="M1169" s="325"/>
      <c r="N1169" s="325"/>
    </row>
    <row r="1170" spans="1:14" s="214" customFormat="1" ht="30.2" customHeight="1" x14ac:dyDescent="0.25">
      <c r="A1170" s="361" t="s">
        <v>149</v>
      </c>
      <c r="B1170" s="359">
        <v>910</v>
      </c>
      <c r="C1170" s="360" t="s">
        <v>134</v>
      </c>
      <c r="D1170" s="360" t="s">
        <v>229</v>
      </c>
      <c r="E1170" s="339" t="s">
        <v>713</v>
      </c>
      <c r="F1170" s="360" t="s">
        <v>150</v>
      </c>
      <c r="G1170" s="336">
        <f>0.5+0.5</f>
        <v>1</v>
      </c>
      <c r="H1170" s="336">
        <v>1</v>
      </c>
      <c r="I1170" s="336">
        <f t="shared" si="562"/>
        <v>100</v>
      </c>
      <c r="J1170" s="325"/>
      <c r="K1170" s="325"/>
      <c r="L1170" s="325"/>
      <c r="M1170" s="325"/>
      <c r="N1170" s="325"/>
    </row>
    <row r="1171" spans="1:14" s="214" customFormat="1" ht="50.25" customHeight="1" x14ac:dyDescent="0.25">
      <c r="A1171" s="31" t="s">
        <v>712</v>
      </c>
      <c r="B1171" s="359">
        <v>910</v>
      </c>
      <c r="C1171" s="360" t="s">
        <v>134</v>
      </c>
      <c r="D1171" s="360" t="s">
        <v>229</v>
      </c>
      <c r="E1171" s="360" t="s">
        <v>1141</v>
      </c>
      <c r="F1171" s="360"/>
      <c r="G1171" s="336">
        <f>G1172</f>
        <v>14</v>
      </c>
      <c r="H1171" s="336">
        <f t="shared" ref="H1171:H1172" si="567">H1172</f>
        <v>14</v>
      </c>
      <c r="I1171" s="336">
        <f t="shared" si="562"/>
        <v>100</v>
      </c>
      <c r="J1171" s="325"/>
      <c r="K1171" s="325"/>
      <c r="L1171" s="325"/>
      <c r="M1171" s="325"/>
      <c r="N1171" s="325"/>
    </row>
    <row r="1172" spans="1:14" s="214" customFormat="1" ht="30.2" customHeight="1" x14ac:dyDescent="0.25">
      <c r="A1172" s="361" t="s">
        <v>147</v>
      </c>
      <c r="B1172" s="359">
        <v>910</v>
      </c>
      <c r="C1172" s="360" t="s">
        <v>134</v>
      </c>
      <c r="D1172" s="360" t="s">
        <v>229</v>
      </c>
      <c r="E1172" s="360" t="s">
        <v>1141</v>
      </c>
      <c r="F1172" s="360" t="s">
        <v>148</v>
      </c>
      <c r="G1172" s="336">
        <f>G1173</f>
        <v>14</v>
      </c>
      <c r="H1172" s="336">
        <f t="shared" si="567"/>
        <v>14</v>
      </c>
      <c r="I1172" s="336">
        <f t="shared" si="562"/>
        <v>100</v>
      </c>
      <c r="J1172" s="325"/>
      <c r="K1172" s="325"/>
      <c r="L1172" s="325"/>
      <c r="M1172" s="325"/>
      <c r="N1172" s="325"/>
    </row>
    <row r="1173" spans="1:14" s="214" customFormat="1" ht="30.2" customHeight="1" x14ac:dyDescent="0.25">
      <c r="A1173" s="361" t="s">
        <v>149</v>
      </c>
      <c r="B1173" s="359">
        <v>910</v>
      </c>
      <c r="C1173" s="360" t="s">
        <v>134</v>
      </c>
      <c r="D1173" s="360" t="s">
        <v>229</v>
      </c>
      <c r="E1173" s="360" t="s">
        <v>1141</v>
      </c>
      <c r="F1173" s="360" t="s">
        <v>150</v>
      </c>
      <c r="G1173" s="336">
        <f>40-40+25-11</f>
        <v>14</v>
      </c>
      <c r="H1173" s="336">
        <v>14</v>
      </c>
      <c r="I1173" s="336">
        <f t="shared" si="562"/>
        <v>100</v>
      </c>
      <c r="J1173" s="325"/>
      <c r="K1173" s="325"/>
      <c r="L1173" s="325"/>
      <c r="M1173" s="325"/>
      <c r="N1173" s="325"/>
    </row>
    <row r="1174" spans="1:14" ht="47.25" customHeight="1" x14ac:dyDescent="0.25">
      <c r="A1174" s="333" t="s">
        <v>594</v>
      </c>
      <c r="B1174" s="330">
        <v>910</v>
      </c>
      <c r="C1174" s="334" t="s">
        <v>134</v>
      </c>
      <c r="D1174" s="334" t="s">
        <v>231</v>
      </c>
      <c r="E1174" s="334"/>
      <c r="F1174" s="334"/>
      <c r="G1174" s="332">
        <f>G1175</f>
        <v>1203</v>
      </c>
      <c r="H1174" s="332">
        <f t="shared" ref="H1174:H1175" si="568">H1175</f>
        <v>878.67499999999995</v>
      </c>
      <c r="I1174" s="332">
        <f t="shared" si="562"/>
        <v>73.040315876974233</v>
      </c>
    </row>
    <row r="1175" spans="1:14" ht="31.5" x14ac:dyDescent="0.25">
      <c r="A1175" s="333" t="s">
        <v>990</v>
      </c>
      <c r="B1175" s="330">
        <v>910</v>
      </c>
      <c r="C1175" s="334" t="s">
        <v>134</v>
      </c>
      <c r="D1175" s="334" t="s">
        <v>231</v>
      </c>
      <c r="E1175" s="334" t="s">
        <v>904</v>
      </c>
      <c r="F1175" s="334"/>
      <c r="G1175" s="332">
        <f>G1176</f>
        <v>1203</v>
      </c>
      <c r="H1175" s="332">
        <f t="shared" si="568"/>
        <v>878.67499999999995</v>
      </c>
      <c r="I1175" s="332">
        <f t="shared" si="562"/>
        <v>73.040315876974233</v>
      </c>
    </row>
    <row r="1176" spans="1:14" ht="15.75" x14ac:dyDescent="0.25">
      <c r="A1176" s="333" t="s">
        <v>1134</v>
      </c>
      <c r="B1176" s="330">
        <v>910</v>
      </c>
      <c r="C1176" s="334" t="s">
        <v>134</v>
      </c>
      <c r="D1176" s="334" t="s">
        <v>231</v>
      </c>
      <c r="E1176" s="334" t="s">
        <v>1135</v>
      </c>
      <c r="F1176" s="334"/>
      <c r="G1176" s="332">
        <f>G1177+G1182</f>
        <v>1203</v>
      </c>
      <c r="H1176" s="332">
        <f t="shared" ref="H1176" si="569">H1177+H1182</f>
        <v>878.67499999999995</v>
      </c>
      <c r="I1176" s="332">
        <f t="shared" si="562"/>
        <v>73.040315876974233</v>
      </c>
    </row>
    <row r="1177" spans="1:14" ht="31.5" x14ac:dyDescent="0.25">
      <c r="A1177" s="361" t="s">
        <v>1138</v>
      </c>
      <c r="B1177" s="359">
        <v>910</v>
      </c>
      <c r="C1177" s="360" t="s">
        <v>134</v>
      </c>
      <c r="D1177" s="360" t="s">
        <v>231</v>
      </c>
      <c r="E1177" s="360" t="s">
        <v>1139</v>
      </c>
      <c r="F1177" s="360"/>
      <c r="G1177" s="336">
        <f>G1178+G1180</f>
        <v>1203</v>
      </c>
      <c r="H1177" s="336">
        <f t="shared" ref="H1177" si="570">H1178+H1180</f>
        <v>878.67499999999995</v>
      </c>
      <c r="I1177" s="336">
        <f t="shared" si="562"/>
        <v>73.040315876974233</v>
      </c>
    </row>
    <row r="1178" spans="1:14" ht="63" x14ac:dyDescent="0.25">
      <c r="A1178" s="361" t="s">
        <v>143</v>
      </c>
      <c r="B1178" s="359">
        <v>910</v>
      </c>
      <c r="C1178" s="360" t="s">
        <v>134</v>
      </c>
      <c r="D1178" s="360" t="s">
        <v>231</v>
      </c>
      <c r="E1178" s="360" t="s">
        <v>1139</v>
      </c>
      <c r="F1178" s="360" t="s">
        <v>144</v>
      </c>
      <c r="G1178" s="336">
        <f>G1179</f>
        <v>1110</v>
      </c>
      <c r="H1178" s="336">
        <f t="shared" ref="H1178" si="571">H1179</f>
        <v>835.41099999999994</v>
      </c>
      <c r="I1178" s="336">
        <f t="shared" si="562"/>
        <v>75.262252252252253</v>
      </c>
    </row>
    <row r="1179" spans="1:14" ht="31.5" x14ac:dyDescent="0.25">
      <c r="A1179" s="361" t="s">
        <v>145</v>
      </c>
      <c r="B1179" s="359">
        <v>910</v>
      </c>
      <c r="C1179" s="360" t="s">
        <v>134</v>
      </c>
      <c r="D1179" s="360" t="s">
        <v>231</v>
      </c>
      <c r="E1179" s="360" t="s">
        <v>1139</v>
      </c>
      <c r="F1179" s="360" t="s">
        <v>146</v>
      </c>
      <c r="G1179" s="336">
        <f>998+52+60</f>
        <v>1110</v>
      </c>
      <c r="H1179" s="336">
        <v>835.41099999999994</v>
      </c>
      <c r="I1179" s="336">
        <f t="shared" si="562"/>
        <v>75.262252252252253</v>
      </c>
    </row>
    <row r="1180" spans="1:14" ht="31.5" x14ac:dyDescent="0.25">
      <c r="A1180" s="361" t="s">
        <v>214</v>
      </c>
      <c r="B1180" s="359">
        <v>910</v>
      </c>
      <c r="C1180" s="360" t="s">
        <v>134</v>
      </c>
      <c r="D1180" s="360" t="s">
        <v>231</v>
      </c>
      <c r="E1180" s="360" t="s">
        <v>1139</v>
      </c>
      <c r="F1180" s="360" t="s">
        <v>148</v>
      </c>
      <c r="G1180" s="336">
        <f>G1181</f>
        <v>93</v>
      </c>
      <c r="H1180" s="336">
        <f t="shared" ref="H1180" si="572">H1181</f>
        <v>43.264000000000003</v>
      </c>
      <c r="I1180" s="336">
        <f t="shared" si="562"/>
        <v>46.520430107526884</v>
      </c>
    </row>
    <row r="1181" spans="1:14" ht="31.5" x14ac:dyDescent="0.25">
      <c r="A1181" s="361" t="s">
        <v>149</v>
      </c>
      <c r="B1181" s="359">
        <v>910</v>
      </c>
      <c r="C1181" s="360" t="s">
        <v>134</v>
      </c>
      <c r="D1181" s="360" t="s">
        <v>231</v>
      </c>
      <c r="E1181" s="360" t="s">
        <v>1139</v>
      </c>
      <c r="F1181" s="360" t="s">
        <v>150</v>
      </c>
      <c r="G1181" s="336">
        <v>93</v>
      </c>
      <c r="H1181" s="336">
        <v>43.264000000000003</v>
      </c>
      <c r="I1181" s="336">
        <f t="shared" si="562"/>
        <v>46.520430107526884</v>
      </c>
    </row>
    <row r="1182" spans="1:14" s="214" customFormat="1" ht="39.75" hidden="1" customHeight="1" x14ac:dyDescent="0.25">
      <c r="A1182" s="361" t="s">
        <v>885</v>
      </c>
      <c r="B1182" s="359">
        <v>910</v>
      </c>
      <c r="C1182" s="360" t="s">
        <v>134</v>
      </c>
      <c r="D1182" s="360" t="s">
        <v>231</v>
      </c>
      <c r="E1182" s="360" t="s">
        <v>1137</v>
      </c>
      <c r="F1182" s="360"/>
      <c r="G1182" s="336">
        <f>G1183</f>
        <v>0</v>
      </c>
      <c r="H1182" s="336">
        <f t="shared" ref="H1182:H1183" si="573">H1183</f>
        <v>0</v>
      </c>
      <c r="I1182" s="336" t="e">
        <f t="shared" si="562"/>
        <v>#DIV/0!</v>
      </c>
      <c r="J1182" s="325"/>
      <c r="K1182" s="325"/>
      <c r="L1182" s="325"/>
      <c r="M1182" s="325"/>
      <c r="N1182" s="325"/>
    </row>
    <row r="1183" spans="1:14" s="214" customFormat="1" ht="69.75" hidden="1" customHeight="1" x14ac:dyDescent="0.25">
      <c r="A1183" s="361" t="s">
        <v>143</v>
      </c>
      <c r="B1183" s="359">
        <v>910</v>
      </c>
      <c r="C1183" s="360" t="s">
        <v>134</v>
      </c>
      <c r="D1183" s="360" t="s">
        <v>231</v>
      </c>
      <c r="E1183" s="360" t="s">
        <v>1137</v>
      </c>
      <c r="F1183" s="360" t="s">
        <v>144</v>
      </c>
      <c r="G1183" s="336">
        <f>G1184</f>
        <v>0</v>
      </c>
      <c r="H1183" s="336">
        <f t="shared" si="573"/>
        <v>0</v>
      </c>
      <c r="I1183" s="336" t="e">
        <f t="shared" si="562"/>
        <v>#DIV/0!</v>
      </c>
      <c r="J1183" s="325"/>
      <c r="K1183" s="325"/>
      <c r="L1183" s="325"/>
      <c r="M1183" s="325"/>
      <c r="N1183" s="325"/>
    </row>
    <row r="1184" spans="1:14" s="214" customFormat="1" ht="35.450000000000003" hidden="1" customHeight="1" x14ac:dyDescent="0.25">
      <c r="A1184" s="361" t="s">
        <v>145</v>
      </c>
      <c r="B1184" s="359">
        <v>910</v>
      </c>
      <c r="C1184" s="360" t="s">
        <v>134</v>
      </c>
      <c r="D1184" s="360" t="s">
        <v>231</v>
      </c>
      <c r="E1184" s="360" t="s">
        <v>1137</v>
      </c>
      <c r="F1184" s="360" t="s">
        <v>146</v>
      </c>
      <c r="G1184" s="336">
        <v>0</v>
      </c>
      <c r="H1184" s="336">
        <v>0</v>
      </c>
      <c r="I1184" s="336" t="e">
        <f t="shared" si="562"/>
        <v>#DIV/0!</v>
      </c>
      <c r="J1184" s="325"/>
      <c r="K1184" s="325"/>
      <c r="L1184" s="325"/>
      <c r="M1184" s="325"/>
      <c r="N1184" s="325"/>
    </row>
    <row r="1185" spans="1:16" ht="47.25" x14ac:dyDescent="0.25">
      <c r="A1185" s="333" t="s">
        <v>135</v>
      </c>
      <c r="B1185" s="330">
        <v>910</v>
      </c>
      <c r="C1185" s="334" t="s">
        <v>134</v>
      </c>
      <c r="D1185" s="334" t="s">
        <v>136</v>
      </c>
      <c r="E1185" s="334"/>
      <c r="F1185" s="334"/>
      <c r="G1185" s="332">
        <f>G1186</f>
        <v>1866.1</v>
      </c>
      <c r="H1185" s="332">
        <f t="shared" ref="H1185:H1186" si="574">H1186</f>
        <v>1295.913</v>
      </c>
      <c r="I1185" s="332">
        <f t="shared" si="562"/>
        <v>69.444992229784049</v>
      </c>
    </row>
    <row r="1186" spans="1:16" s="112" customFormat="1" ht="31.5" x14ac:dyDescent="0.25">
      <c r="A1186" s="333" t="s">
        <v>990</v>
      </c>
      <c r="B1186" s="330">
        <v>910</v>
      </c>
      <c r="C1186" s="334" t="s">
        <v>134</v>
      </c>
      <c r="D1186" s="334" t="s">
        <v>136</v>
      </c>
      <c r="E1186" s="334" t="s">
        <v>904</v>
      </c>
      <c r="F1186" s="334"/>
      <c r="G1186" s="332">
        <f>G1187</f>
        <v>1866.1</v>
      </c>
      <c r="H1186" s="332">
        <f t="shared" si="574"/>
        <v>1295.913</v>
      </c>
      <c r="I1186" s="332">
        <f t="shared" si="562"/>
        <v>69.444992229784049</v>
      </c>
      <c r="J1186" s="216"/>
      <c r="K1186" s="216"/>
      <c r="L1186" s="216"/>
      <c r="M1186" s="216"/>
      <c r="N1186" s="216"/>
    </row>
    <row r="1187" spans="1:16" s="112" customFormat="1" ht="15.75" x14ac:dyDescent="0.25">
      <c r="A1187" s="333" t="s">
        <v>1134</v>
      </c>
      <c r="B1187" s="330">
        <v>910</v>
      </c>
      <c r="C1187" s="334" t="s">
        <v>134</v>
      </c>
      <c r="D1187" s="334" t="s">
        <v>136</v>
      </c>
      <c r="E1187" s="334" t="s">
        <v>1135</v>
      </c>
      <c r="F1187" s="334"/>
      <c r="G1187" s="332">
        <f>G1188+G1193</f>
        <v>1866.1</v>
      </c>
      <c r="H1187" s="332">
        <f t="shared" ref="H1187" si="575">H1188+H1193</f>
        <v>1295.913</v>
      </c>
      <c r="I1187" s="332">
        <f t="shared" si="562"/>
        <v>69.444992229784049</v>
      </c>
      <c r="J1187" s="216"/>
      <c r="K1187" s="216"/>
      <c r="L1187" s="216"/>
      <c r="M1187" s="216"/>
      <c r="N1187" s="216"/>
    </row>
    <row r="1188" spans="1:16" s="112" customFormat="1" ht="31.5" x14ac:dyDescent="0.25">
      <c r="A1188" s="361" t="s">
        <v>967</v>
      </c>
      <c r="B1188" s="359">
        <v>910</v>
      </c>
      <c r="C1188" s="360" t="s">
        <v>134</v>
      </c>
      <c r="D1188" s="360" t="s">
        <v>136</v>
      </c>
      <c r="E1188" s="360" t="s">
        <v>1139</v>
      </c>
      <c r="F1188" s="360"/>
      <c r="G1188" s="336">
        <f>G1189+G1191</f>
        <v>1866.1</v>
      </c>
      <c r="H1188" s="336">
        <f t="shared" ref="H1188" si="576">H1189+H1191</f>
        <v>1295.913</v>
      </c>
      <c r="I1188" s="336">
        <f t="shared" si="562"/>
        <v>69.444992229784049</v>
      </c>
      <c r="J1188" s="216"/>
      <c r="K1188" s="216"/>
      <c r="L1188" s="216"/>
      <c r="M1188" s="216"/>
      <c r="N1188" s="216"/>
    </row>
    <row r="1189" spans="1:16" ht="63" x14ac:dyDescent="0.25">
      <c r="A1189" s="361" t="s">
        <v>143</v>
      </c>
      <c r="B1189" s="359">
        <v>910</v>
      </c>
      <c r="C1189" s="360" t="s">
        <v>134</v>
      </c>
      <c r="D1189" s="360" t="s">
        <v>136</v>
      </c>
      <c r="E1189" s="360" t="s">
        <v>1139</v>
      </c>
      <c r="F1189" s="360" t="s">
        <v>144</v>
      </c>
      <c r="G1189" s="336">
        <f>G1190</f>
        <v>1848.1</v>
      </c>
      <c r="H1189" s="336">
        <f t="shared" ref="H1189" si="577">H1190</f>
        <v>1295.913</v>
      </c>
      <c r="I1189" s="336">
        <f t="shared" si="562"/>
        <v>70.121367891347873</v>
      </c>
    </row>
    <row r="1190" spans="1:16" ht="31.5" x14ac:dyDescent="0.25">
      <c r="A1190" s="361" t="s">
        <v>145</v>
      </c>
      <c r="B1190" s="359">
        <v>910</v>
      </c>
      <c r="C1190" s="360" t="s">
        <v>134</v>
      </c>
      <c r="D1190" s="360" t="s">
        <v>136</v>
      </c>
      <c r="E1190" s="360" t="s">
        <v>1139</v>
      </c>
      <c r="F1190" s="360" t="s">
        <v>146</v>
      </c>
      <c r="G1190" s="336">
        <f>1586+80+7.1+42+133</f>
        <v>1848.1</v>
      </c>
      <c r="H1190" s="336">
        <v>1295.913</v>
      </c>
      <c r="I1190" s="336">
        <f t="shared" si="562"/>
        <v>70.121367891347873</v>
      </c>
    </row>
    <row r="1191" spans="1:16" ht="31.5" x14ac:dyDescent="0.25">
      <c r="A1191" s="361" t="s">
        <v>214</v>
      </c>
      <c r="B1191" s="359">
        <v>910</v>
      </c>
      <c r="C1191" s="360" t="s">
        <v>134</v>
      </c>
      <c r="D1191" s="360" t="s">
        <v>136</v>
      </c>
      <c r="E1191" s="360" t="s">
        <v>1139</v>
      </c>
      <c r="F1191" s="360" t="s">
        <v>148</v>
      </c>
      <c r="G1191" s="336">
        <f>G1192</f>
        <v>18</v>
      </c>
      <c r="H1191" s="336">
        <f t="shared" ref="H1191" si="578">H1192</f>
        <v>0</v>
      </c>
      <c r="I1191" s="336">
        <f t="shared" si="562"/>
        <v>0</v>
      </c>
    </row>
    <row r="1192" spans="1:16" ht="31.5" x14ac:dyDescent="0.25">
      <c r="A1192" s="361" t="s">
        <v>149</v>
      </c>
      <c r="B1192" s="359">
        <v>910</v>
      </c>
      <c r="C1192" s="360" t="s">
        <v>134</v>
      </c>
      <c r="D1192" s="360" t="s">
        <v>136</v>
      </c>
      <c r="E1192" s="360" t="s">
        <v>1139</v>
      </c>
      <c r="F1192" s="360" t="s">
        <v>150</v>
      </c>
      <c r="G1192" s="336">
        <v>18</v>
      </c>
      <c r="H1192" s="336">
        <v>0</v>
      </c>
      <c r="I1192" s="336">
        <f t="shared" si="562"/>
        <v>0</v>
      </c>
    </row>
    <row r="1193" spans="1:16" s="214" customFormat="1" ht="31.5" hidden="1" x14ac:dyDescent="0.25">
      <c r="A1193" s="361" t="s">
        <v>885</v>
      </c>
      <c r="B1193" s="359">
        <v>910</v>
      </c>
      <c r="C1193" s="360" t="s">
        <v>134</v>
      </c>
      <c r="D1193" s="360" t="s">
        <v>136</v>
      </c>
      <c r="E1193" s="360" t="s">
        <v>1137</v>
      </c>
      <c r="F1193" s="360"/>
      <c r="G1193" s="336">
        <f>G1194</f>
        <v>0</v>
      </c>
      <c r="H1193" s="336">
        <f t="shared" ref="H1193:H1194" si="579">H1194</f>
        <v>0</v>
      </c>
      <c r="I1193" s="336" t="e">
        <f t="shared" si="562"/>
        <v>#DIV/0!</v>
      </c>
      <c r="J1193" s="325"/>
      <c r="K1193" s="325"/>
      <c r="L1193" s="325"/>
      <c r="M1193" s="325"/>
      <c r="N1193" s="325"/>
    </row>
    <row r="1194" spans="1:16" s="214" customFormat="1" ht="63" hidden="1" x14ac:dyDescent="0.25">
      <c r="A1194" s="361" t="s">
        <v>143</v>
      </c>
      <c r="B1194" s="359">
        <v>910</v>
      </c>
      <c r="C1194" s="360" t="s">
        <v>134</v>
      </c>
      <c r="D1194" s="360" t="s">
        <v>136</v>
      </c>
      <c r="E1194" s="360" t="s">
        <v>1137</v>
      </c>
      <c r="F1194" s="360" t="s">
        <v>144</v>
      </c>
      <c r="G1194" s="336">
        <f>G1195</f>
        <v>0</v>
      </c>
      <c r="H1194" s="336">
        <f t="shared" si="579"/>
        <v>0</v>
      </c>
      <c r="I1194" s="336" t="e">
        <f t="shared" si="562"/>
        <v>#DIV/0!</v>
      </c>
      <c r="J1194" s="325"/>
      <c r="K1194" s="325"/>
      <c r="L1194" s="325"/>
      <c r="M1194" s="325"/>
      <c r="N1194" s="325"/>
    </row>
    <row r="1195" spans="1:16" s="214" customFormat="1" ht="31.5" hidden="1" x14ac:dyDescent="0.25">
      <c r="A1195" s="361" t="s">
        <v>145</v>
      </c>
      <c r="B1195" s="359">
        <v>910</v>
      </c>
      <c r="C1195" s="360" t="s">
        <v>134</v>
      </c>
      <c r="D1195" s="360" t="s">
        <v>136</v>
      </c>
      <c r="E1195" s="360" t="s">
        <v>1137</v>
      </c>
      <c r="F1195" s="360" t="s">
        <v>146</v>
      </c>
      <c r="G1195" s="336">
        <f>42-42</f>
        <v>0</v>
      </c>
      <c r="H1195" s="336">
        <f t="shared" ref="H1195" si="580">42-42</f>
        <v>0</v>
      </c>
      <c r="I1195" s="336" t="e">
        <f t="shared" si="562"/>
        <v>#DIV/0!</v>
      </c>
      <c r="J1195" s="325"/>
      <c r="K1195" s="325"/>
      <c r="L1195" s="325"/>
      <c r="M1195" s="325"/>
      <c r="N1195" s="325"/>
    </row>
    <row r="1196" spans="1:16" ht="15.75" x14ac:dyDescent="0.25">
      <c r="A1196" s="48" t="s">
        <v>603</v>
      </c>
      <c r="B1196" s="48"/>
      <c r="C1196" s="334"/>
      <c r="D1196" s="334"/>
      <c r="E1196" s="334"/>
      <c r="F1196" s="334"/>
      <c r="G1196" s="290">
        <f>G1153+G918+G818+G546+G497+G214+G25+G10</f>
        <v>766412.57097</v>
      </c>
      <c r="H1196" s="290">
        <f t="shared" ref="H1196" si="581">H1153+H918+H818+H546+H497+H214+H25+H10</f>
        <v>496611.34960000002</v>
      </c>
      <c r="I1196" s="332">
        <f t="shared" si="562"/>
        <v>64.796868998569579</v>
      </c>
    </row>
    <row r="1197" spans="1:16" x14ac:dyDescent="0.25">
      <c r="A1197" s="50"/>
      <c r="B1197" s="50"/>
      <c r="C1197" s="50"/>
      <c r="D1197" s="50"/>
      <c r="E1197" s="50"/>
      <c r="F1197" s="50"/>
      <c r="G1197" s="50"/>
      <c r="H1197" s="50"/>
      <c r="I1197" s="50"/>
    </row>
    <row r="1198" spans="1:16" ht="18.75" x14ac:dyDescent="0.3">
      <c r="A1198" s="50"/>
      <c r="B1198" s="50"/>
      <c r="C1198" s="51"/>
      <c r="D1198" s="51"/>
      <c r="E1198" s="51"/>
      <c r="F1198" s="322" t="s">
        <v>604</v>
      </c>
      <c r="G1198" s="52">
        <f>G1196-G1199</f>
        <v>483275.56097000005</v>
      </c>
      <c r="H1198" s="52">
        <f t="shared" ref="H1198:I1198" si="582">H1196-H1199</f>
        <v>325177.53299999994</v>
      </c>
      <c r="I1198" s="52" t="e">
        <f t="shared" si="582"/>
        <v>#DIV/0!</v>
      </c>
      <c r="J1198" s="243"/>
      <c r="K1198" s="243"/>
      <c r="L1198" s="243"/>
      <c r="M1198" s="243"/>
    </row>
    <row r="1199" spans="1:16" ht="18.75" x14ac:dyDescent="0.3">
      <c r="A1199" s="50"/>
      <c r="B1199" s="50"/>
      <c r="C1199" s="51"/>
      <c r="D1199" s="51"/>
      <c r="E1199" s="51"/>
      <c r="F1199" s="322" t="s">
        <v>605</v>
      </c>
      <c r="G1199" s="52">
        <f>G45+G170+G179+G208+G223+G256+G263+G303+G363+G395+G398+G451+G526+G568+G609+G642+G682+G689+G751+G788+G861+G1096+G1006+G270+G190+G84+G1171-28.9-239.82+G727+G616+G542+G512+G370-47.759-77.423+G868-39.5604+G828+G878+G703+G726+G712+G719</f>
        <v>283137.00999999995</v>
      </c>
      <c r="H1199" s="52">
        <f t="shared" ref="H1199:I1199" si="583">H45+H170+H179+H208+H223+H256+H263+H303+H363+H395+H398+H451+H526+H568+H609+H642+H682+H689+H751+H788+H861+H1096+H1006+H270+H190+H84+H1171-28.9-239.82+H727+H616+H542+H512+H370-47.759-77.423+H868-39.5604+H828+H878+H703+H726+H712+H719</f>
        <v>171433.81660000005</v>
      </c>
      <c r="I1199" s="52" t="e">
        <f t="shared" si="583"/>
        <v>#DIV/0!</v>
      </c>
      <c r="P1199" s="215">
        <f>пр.1дох.20!C91-пр.1дох.20!C93-пр.1дох.20!C97</f>
        <v>283076.87199999997</v>
      </c>
    </row>
    <row r="1200" spans="1:16" ht="15.75" x14ac:dyDescent="0.25">
      <c r="A1200" s="50"/>
      <c r="B1200" s="50"/>
      <c r="C1200" s="51"/>
      <c r="D1200" s="53"/>
      <c r="E1200" s="53"/>
      <c r="F1200" s="53"/>
      <c r="G1200" s="103"/>
      <c r="H1200" s="103"/>
      <c r="I1200" s="103"/>
    </row>
    <row r="1201" spans="1:9" ht="15.75" x14ac:dyDescent="0.25">
      <c r="A1201" s="50"/>
      <c r="B1201" s="50"/>
      <c r="C1201" s="51"/>
      <c r="D1201" s="53"/>
      <c r="E1201" s="53"/>
      <c r="F1201" s="53"/>
      <c r="G1201" s="320"/>
      <c r="H1201" s="320"/>
      <c r="I1201" s="320"/>
    </row>
    <row r="1202" spans="1:9" ht="15.75" x14ac:dyDescent="0.25">
      <c r="A1202" s="50"/>
      <c r="B1202" s="50"/>
      <c r="C1202" s="51"/>
      <c r="D1202" s="53"/>
      <c r="E1202" s="53"/>
      <c r="F1202" s="53"/>
      <c r="G1202" s="51"/>
      <c r="H1202" s="51"/>
      <c r="I1202" s="51"/>
    </row>
    <row r="1203" spans="1:9" ht="15.75" x14ac:dyDescent="0.25">
      <c r="A1203" s="50"/>
      <c r="B1203" s="50"/>
      <c r="C1203" s="54">
        <v>1</v>
      </c>
      <c r="D1203" s="53"/>
      <c r="E1203" s="53"/>
      <c r="F1203" s="53"/>
      <c r="G1203" s="55">
        <f>G11+G26+G215+G498+G547+G919+G1154+G819</f>
        <v>143823.29999999999</v>
      </c>
      <c r="H1203" s="55">
        <f t="shared" ref="H1203:I1203" si="584">H11+H26+H215+H498+H547+H919+H1154+H819</f>
        <v>99711.822</v>
      </c>
      <c r="I1203" s="55">
        <f t="shared" si="584"/>
        <v>501.11290409109006</v>
      </c>
    </row>
    <row r="1204" spans="1:9" ht="15.75" x14ac:dyDescent="0.25">
      <c r="A1204" s="50"/>
      <c r="B1204" s="50"/>
      <c r="C1204" s="54" t="s">
        <v>604</v>
      </c>
      <c r="D1204" s="53"/>
      <c r="E1204" s="53"/>
      <c r="F1204" s="53"/>
      <c r="G1204" s="55">
        <f>G1203-G1205</f>
        <v>140774.51999999999</v>
      </c>
      <c r="H1204" s="55">
        <f t="shared" ref="H1204:I1204" si="585">H1203-H1205</f>
        <v>98246.081999999995</v>
      </c>
      <c r="I1204" s="55" t="e">
        <f t="shared" si="585"/>
        <v>#DIV/0!</v>
      </c>
    </row>
    <row r="1205" spans="1:9" ht="15.75" x14ac:dyDescent="0.25">
      <c r="A1205" s="50"/>
      <c r="B1205" s="50"/>
      <c r="C1205" s="54" t="s">
        <v>605</v>
      </c>
      <c r="D1205" s="53"/>
      <c r="E1205" s="53"/>
      <c r="F1205" s="53"/>
      <c r="G1205" s="55">
        <f>G1171+G526+G223+G84+G45-239.82+G512</f>
        <v>3048.7799999999997</v>
      </c>
      <c r="H1205" s="55">
        <f t="shared" ref="H1205:I1205" si="586">H1171+H526+H223+H84+H45-239.82+H512</f>
        <v>1465.74</v>
      </c>
      <c r="I1205" s="55" t="e">
        <f t="shared" si="586"/>
        <v>#DIV/0!</v>
      </c>
    </row>
    <row r="1206" spans="1:9" ht="15.75" x14ac:dyDescent="0.25">
      <c r="A1206" s="50"/>
      <c r="B1206" s="50"/>
      <c r="C1206" s="54">
        <v>2</v>
      </c>
      <c r="D1206" s="53"/>
      <c r="E1206" s="53"/>
      <c r="F1206" s="53"/>
      <c r="G1206" s="55">
        <f>G137</f>
        <v>0</v>
      </c>
      <c r="H1206" s="55">
        <f t="shared" ref="H1206:I1206" si="587">H137</f>
        <v>0</v>
      </c>
      <c r="I1206" s="55" t="e">
        <f t="shared" si="587"/>
        <v>#DIV/0!</v>
      </c>
    </row>
    <row r="1207" spans="1:9" ht="15.75" x14ac:dyDescent="0.25">
      <c r="A1207" s="50"/>
      <c r="B1207" s="50"/>
      <c r="C1207" s="54">
        <v>3</v>
      </c>
      <c r="D1207" s="53"/>
      <c r="E1207" s="53"/>
      <c r="F1207" s="53"/>
      <c r="G1207" s="55">
        <f>G938+G144</f>
        <v>7764.9</v>
      </c>
      <c r="H1207" s="55">
        <f t="shared" ref="H1207:I1207" si="588">H938+H144</f>
        <v>4417.8899999999994</v>
      </c>
      <c r="I1207" s="55">
        <f t="shared" si="588"/>
        <v>67.274438845328987</v>
      </c>
    </row>
    <row r="1208" spans="1:9" ht="15.75" x14ac:dyDescent="0.25">
      <c r="A1208" s="50"/>
      <c r="B1208" s="50"/>
      <c r="C1208" s="54">
        <v>4</v>
      </c>
      <c r="D1208" s="53"/>
      <c r="E1208" s="53"/>
      <c r="F1208" s="53"/>
      <c r="G1208" s="55">
        <f>G163+G945+G248</f>
        <v>8334.1</v>
      </c>
      <c r="H1208" s="55">
        <f t="shared" ref="H1208:I1208" si="589">H163+H945+H248</f>
        <v>4645.036000000001</v>
      </c>
      <c r="I1208" s="55">
        <f t="shared" si="589"/>
        <v>83.632027170224262</v>
      </c>
    </row>
    <row r="1209" spans="1:9" ht="15.75" x14ac:dyDescent="0.25">
      <c r="A1209" s="50"/>
      <c r="B1209" s="50"/>
      <c r="C1209" s="54" t="s">
        <v>604</v>
      </c>
      <c r="D1209" s="53"/>
      <c r="E1209" s="53"/>
      <c r="F1209" s="53"/>
      <c r="G1209" s="55">
        <f>G1208-G1210</f>
        <v>7590.3</v>
      </c>
      <c r="H1209" s="55">
        <f t="shared" ref="H1209:I1209" si="590">H1208-H1210</f>
        <v>4469.9660000000013</v>
      </c>
      <c r="I1209" s="55" t="e">
        <f t="shared" si="590"/>
        <v>#DIV/0!</v>
      </c>
    </row>
    <row r="1210" spans="1:9" ht="15.75" x14ac:dyDescent="0.25">
      <c r="A1210" s="50"/>
      <c r="B1210" s="50"/>
      <c r="C1210" s="54" t="s">
        <v>605</v>
      </c>
      <c r="D1210" s="53"/>
      <c r="E1210" s="53"/>
      <c r="F1210" s="53"/>
      <c r="G1210" s="55">
        <f>G179+G256+G263+G270+G190+G170</f>
        <v>743.8</v>
      </c>
      <c r="H1210" s="55">
        <f t="shared" ref="H1210:I1210" si="591">H179+H256+H263+H270+H190+H170</f>
        <v>175.07</v>
      </c>
      <c r="I1210" s="55" t="e">
        <f t="shared" si="591"/>
        <v>#DIV/0!</v>
      </c>
    </row>
    <row r="1211" spans="1:9" ht="15.75" x14ac:dyDescent="0.25">
      <c r="A1211" s="50"/>
      <c r="B1211" s="50"/>
      <c r="C1211" s="54">
        <v>5</v>
      </c>
      <c r="D1211" s="53"/>
      <c r="E1211" s="53"/>
      <c r="F1211" s="53"/>
      <c r="G1211" s="55">
        <f>G972+G530</f>
        <v>69066.720000000016</v>
      </c>
      <c r="H1211" s="55">
        <f t="shared" ref="H1211:I1211" si="592">H972+H530</f>
        <v>33575.248</v>
      </c>
      <c r="I1211" s="55">
        <f t="shared" si="592"/>
        <v>105.50581694436335</v>
      </c>
    </row>
    <row r="1212" spans="1:9" ht="15.75" x14ac:dyDescent="0.25">
      <c r="A1212" s="50"/>
      <c r="B1212" s="50"/>
      <c r="C1212" s="54" t="s">
        <v>604</v>
      </c>
      <c r="D1212" s="53"/>
      <c r="E1212" s="53"/>
      <c r="F1212" s="53"/>
      <c r="G1212" s="55">
        <f>G1211-G1213</f>
        <v>45353.220000000016</v>
      </c>
      <c r="H1212" s="55">
        <f t="shared" ref="H1212:I1212" si="593">H1211-H1213</f>
        <v>29130.148000000001</v>
      </c>
      <c r="I1212" s="55" t="e">
        <f t="shared" si="593"/>
        <v>#DIV/0!</v>
      </c>
    </row>
    <row r="1213" spans="1:9" ht="15.75" x14ac:dyDescent="0.25">
      <c r="A1213" s="50"/>
      <c r="B1213" s="50"/>
      <c r="C1213" s="54" t="s">
        <v>605</v>
      </c>
      <c r="D1213" s="53"/>
      <c r="E1213" s="53"/>
      <c r="F1213" s="53"/>
      <c r="G1213" s="55">
        <f>G1006+G1096+G1105-401</f>
        <v>23713.5</v>
      </c>
      <c r="H1213" s="55">
        <f t="shared" ref="H1213:I1213" si="594">H1006+H1096+H1105-401</f>
        <v>4445.1000000000004</v>
      </c>
      <c r="I1213" s="55" t="e">
        <f t="shared" si="594"/>
        <v>#DIV/0!</v>
      </c>
    </row>
    <row r="1214" spans="1:9" ht="15.75" x14ac:dyDescent="0.25">
      <c r="A1214" s="50"/>
      <c r="B1214" s="50"/>
      <c r="C1214" s="54">
        <v>7</v>
      </c>
      <c r="D1214" s="53"/>
      <c r="E1214" s="53"/>
      <c r="F1214" s="53"/>
      <c r="G1214" s="55">
        <f>G557+G277</f>
        <v>375807.03756999999</v>
      </c>
      <c r="H1214" s="55">
        <f t="shared" ref="H1214:I1214" si="595">H557+H277</f>
        <v>243840.8996</v>
      </c>
      <c r="I1214" s="55">
        <f t="shared" si="595"/>
        <v>126.57556673566206</v>
      </c>
    </row>
    <row r="1215" spans="1:9" ht="15.75" x14ac:dyDescent="0.25">
      <c r="A1215" s="50"/>
      <c r="B1215" s="50"/>
      <c r="C1215" s="54" t="s">
        <v>604</v>
      </c>
      <c r="D1215" s="53"/>
      <c r="E1215" s="53"/>
      <c r="F1215" s="53"/>
      <c r="G1215" s="55">
        <f>G1214-G1216</f>
        <v>135547.36756999994</v>
      </c>
      <c r="H1215" s="55">
        <f t="shared" ref="H1215:I1215" si="596">H1214-H1216</f>
        <v>88578.675599999988</v>
      </c>
      <c r="I1215" s="55">
        <f t="shared" si="596"/>
        <v>-333.48226302311042</v>
      </c>
    </row>
    <row r="1216" spans="1:9" ht="15.75" x14ac:dyDescent="0.25">
      <c r="A1216" s="50"/>
      <c r="B1216" s="50"/>
      <c r="C1216" s="54" t="s">
        <v>605</v>
      </c>
      <c r="D1216" s="53"/>
      <c r="E1216" s="53"/>
      <c r="F1216" s="53"/>
      <c r="G1216" s="55">
        <f>G788+G751+G689+G682+G642+G609+G568+G303+G727+G616-47.759+G705+G712+G719+G726</f>
        <v>240259.67000000004</v>
      </c>
      <c r="H1216" s="55">
        <f t="shared" ref="H1216:I1216" si="597">H788+H751+H689+H682+H642+H609+H568+H303+H727+H616-47.759+H705+H712+H719+H726</f>
        <v>155262.22400000002</v>
      </c>
      <c r="I1216" s="55">
        <f t="shared" si="597"/>
        <v>460.05782975877247</v>
      </c>
    </row>
    <row r="1217" spans="1:9" ht="15.75" x14ac:dyDescent="0.25">
      <c r="A1217" s="50"/>
      <c r="B1217" s="50"/>
      <c r="C1217" s="54">
        <v>8</v>
      </c>
      <c r="D1217" s="53"/>
      <c r="E1217" s="53"/>
      <c r="F1217" s="53"/>
      <c r="G1217" s="55">
        <f>G341</f>
        <v>72207.323000000004</v>
      </c>
      <c r="H1217" s="55">
        <f t="shared" ref="H1217:I1217" si="598">H341</f>
        <v>49312.207999999999</v>
      </c>
      <c r="I1217" s="55">
        <f t="shared" si="598"/>
        <v>68.292530385041417</v>
      </c>
    </row>
    <row r="1218" spans="1:9" ht="15.75" x14ac:dyDescent="0.25">
      <c r="A1218" s="50"/>
      <c r="B1218" s="50"/>
      <c r="C1218" s="54" t="s">
        <v>604</v>
      </c>
      <c r="D1218" s="53"/>
      <c r="E1218" s="53"/>
      <c r="F1218" s="53"/>
      <c r="G1218" s="55">
        <f>G1217-G1219</f>
        <v>68468.323000000004</v>
      </c>
      <c r="H1218" s="55">
        <f t="shared" ref="H1218:I1218" si="599">H1217-H1219</f>
        <v>46627.360000000001</v>
      </c>
      <c r="I1218" s="55">
        <f t="shared" si="599"/>
        <v>-77.025850743974374</v>
      </c>
    </row>
    <row r="1219" spans="1:9" ht="15.75" x14ac:dyDescent="0.25">
      <c r="A1219" s="50"/>
      <c r="B1219" s="50"/>
      <c r="C1219" s="54" t="s">
        <v>605</v>
      </c>
      <c r="D1219" s="53"/>
      <c r="E1219" s="53"/>
      <c r="F1219" s="53"/>
      <c r="G1219" s="55">
        <f>G398+G395+G363+G370-77.423</f>
        <v>3739</v>
      </c>
      <c r="H1219" s="55">
        <f t="shared" ref="H1219:I1219" si="600">H398+H395+H363+H370-77.423</f>
        <v>2684.848</v>
      </c>
      <c r="I1219" s="55">
        <f t="shared" si="600"/>
        <v>145.31838112901579</v>
      </c>
    </row>
    <row r="1220" spans="1:9" ht="15.75" x14ac:dyDescent="0.25">
      <c r="A1220" s="50"/>
      <c r="B1220" s="50"/>
      <c r="C1220" s="54">
        <v>10</v>
      </c>
      <c r="D1220" s="53"/>
      <c r="E1220" s="53"/>
      <c r="F1220" s="53"/>
      <c r="G1220" s="55">
        <f>G1145+G447+G193+G540</f>
        <v>16546.060000000001</v>
      </c>
      <c r="H1220" s="55">
        <f t="shared" ref="H1220:I1220" si="601">H1145+H447+H193+H540</f>
        <v>10540.94</v>
      </c>
      <c r="I1220" s="55">
        <f t="shared" si="601"/>
        <v>120.96654460455083</v>
      </c>
    </row>
    <row r="1221" spans="1:9" ht="15.75" x14ac:dyDescent="0.25">
      <c r="A1221" s="50"/>
      <c r="B1221" s="50"/>
      <c r="C1221" s="54" t="s">
        <v>604</v>
      </c>
      <c r="D1221" s="53"/>
      <c r="E1221" s="53"/>
      <c r="F1221" s="53"/>
      <c r="G1221" s="55">
        <f>G1220-G1222</f>
        <v>11353.2</v>
      </c>
      <c r="H1221" s="55">
        <f t="shared" ref="H1221:I1221" si="602">H1220-H1222</f>
        <v>8455.94</v>
      </c>
      <c r="I1221" s="55">
        <f t="shared" si="602"/>
        <v>-3.8336818272158411</v>
      </c>
    </row>
    <row r="1222" spans="1:9" ht="15.75" x14ac:dyDescent="0.25">
      <c r="A1222" s="50"/>
      <c r="B1222" s="50"/>
      <c r="C1222" s="54" t="s">
        <v>605</v>
      </c>
      <c r="D1222" s="53"/>
      <c r="E1222" s="53"/>
      <c r="F1222" s="53"/>
      <c r="G1222" s="55">
        <f>G208+G452-28.9+G540</f>
        <v>5192.8599999999997</v>
      </c>
      <c r="H1222" s="55">
        <f t="shared" ref="H1222:I1222" si="603">H208+H452-28.9+H540</f>
        <v>2085</v>
      </c>
      <c r="I1222" s="55">
        <f t="shared" si="603"/>
        <v>124.80022643176667</v>
      </c>
    </row>
    <row r="1223" spans="1:9" ht="15.75" x14ac:dyDescent="0.25">
      <c r="A1223" s="50"/>
      <c r="B1223" s="50"/>
      <c r="C1223" s="54">
        <v>11</v>
      </c>
      <c r="D1223" s="53"/>
      <c r="E1223" s="53"/>
      <c r="F1223" s="53"/>
      <c r="G1223" s="55">
        <f>G826</f>
        <v>66142.130400000009</v>
      </c>
      <c r="H1223" s="55">
        <f t="shared" ref="H1223:I1223" si="604">H826</f>
        <v>45822.797999999995</v>
      </c>
      <c r="I1223" s="55">
        <f t="shared" si="604"/>
        <v>69.279289498059455</v>
      </c>
    </row>
    <row r="1224" spans="1:9" ht="15.75" x14ac:dyDescent="0.25">
      <c r="A1224" s="50"/>
      <c r="B1224" s="50"/>
      <c r="C1224" s="54" t="s">
        <v>604</v>
      </c>
      <c r="D1224" s="53"/>
      <c r="E1224" s="53"/>
      <c r="F1224" s="53"/>
      <c r="G1224" s="55">
        <f>G1223-G1225</f>
        <v>60103.730400000008</v>
      </c>
      <c r="H1224" s="55">
        <f t="shared" ref="H1224:I1224" si="605">H1223-H1225</f>
        <v>40907.963399999993</v>
      </c>
      <c r="I1224" s="55">
        <f t="shared" si="605"/>
        <v>-140.92700444079236</v>
      </c>
    </row>
    <row r="1225" spans="1:9" ht="15.75" x14ac:dyDescent="0.25">
      <c r="A1225" s="50"/>
      <c r="B1225" s="50"/>
      <c r="C1225" s="54" t="s">
        <v>605</v>
      </c>
      <c r="D1225" s="53"/>
      <c r="E1225" s="53"/>
      <c r="F1225" s="53"/>
      <c r="G1225" s="55">
        <f>G861+G868-39.5604+G878</f>
        <v>6038.4</v>
      </c>
      <c r="H1225" s="55">
        <f t="shared" ref="H1225:I1225" si="606">H861+H868-39.5604+H878</f>
        <v>4914.8346000000001</v>
      </c>
      <c r="I1225" s="55">
        <f t="shared" si="606"/>
        <v>210.20629393885181</v>
      </c>
    </row>
    <row r="1226" spans="1:9" ht="15.75" x14ac:dyDescent="0.25">
      <c r="A1226" s="50"/>
      <c r="B1226" s="50"/>
      <c r="C1226" s="54">
        <v>12</v>
      </c>
      <c r="D1226" s="53"/>
      <c r="E1226" s="53"/>
      <c r="F1226" s="53"/>
      <c r="G1226" s="55">
        <f>G476</f>
        <v>6721</v>
      </c>
      <c r="H1226" s="55">
        <f t="shared" ref="H1226:I1226" si="607">H476</f>
        <v>4744.5079999999998</v>
      </c>
      <c r="I1226" s="55">
        <f t="shared" si="607"/>
        <v>70.592292813569401</v>
      </c>
    </row>
    <row r="1227" spans="1:9" ht="15.75" x14ac:dyDescent="0.25">
      <c r="A1227" s="50"/>
      <c r="B1227" s="50"/>
      <c r="C1227" s="55"/>
      <c r="D1227" s="53"/>
      <c r="E1227" s="53"/>
      <c r="F1227" s="53"/>
      <c r="G1227" s="104">
        <f>G1203+G1206+G1207+G1208+G1211+G1214+G1217+G1220+G1223+G1226</f>
        <v>766412.57097</v>
      </c>
      <c r="H1227" s="104">
        <f t="shared" ref="H1227:I1227" si="608">H1203+H1206+H1207+H1208+H1211+H1214+H1217+H1220+H1223+H1226</f>
        <v>496611.34960000002</v>
      </c>
      <c r="I1227" s="104" t="e">
        <f t="shared" si="608"/>
        <v>#DIV/0!</v>
      </c>
    </row>
    <row r="1228" spans="1:9" ht="15.75" x14ac:dyDescent="0.25">
      <c r="A1228" s="50"/>
      <c r="B1228" s="50"/>
      <c r="C1228" s="54" t="s">
        <v>604</v>
      </c>
      <c r="D1228" s="53"/>
      <c r="E1228" s="53"/>
      <c r="F1228" s="53"/>
      <c r="G1228" s="104">
        <f>G1204+G1206+G1207+G1209+G1212+G1215+G1218+G1221+G1224+G1226</f>
        <v>483676.56096999993</v>
      </c>
      <c r="H1228" s="104">
        <f t="shared" ref="H1228:I1228" si="609">H1204+H1206+H1207+H1209+H1212+H1215+H1218+H1221+H1224+H1226</f>
        <v>325578.533</v>
      </c>
      <c r="I1228" s="104" t="e">
        <f t="shared" si="609"/>
        <v>#DIV/0!</v>
      </c>
    </row>
    <row r="1229" spans="1:9" ht="15.75" x14ac:dyDescent="0.25">
      <c r="A1229" s="50"/>
      <c r="B1229" s="50"/>
      <c r="C1229" s="54" t="s">
        <v>605</v>
      </c>
      <c r="D1229" s="53"/>
      <c r="E1229" s="53"/>
      <c r="F1229" s="53"/>
      <c r="G1229" s="104">
        <f>G1227-G1228</f>
        <v>282736.01000000007</v>
      </c>
      <c r="H1229" s="104">
        <f t="shared" ref="H1229:I1229" si="610">H1227-H1228</f>
        <v>171032.81660000002</v>
      </c>
      <c r="I1229" s="104" t="e">
        <f t="shared" si="610"/>
        <v>#DIV/0!</v>
      </c>
    </row>
    <row r="1230" spans="1:9" x14ac:dyDescent="0.25">
      <c r="G1230" s="215"/>
      <c r="H1230" s="215"/>
      <c r="I1230" s="215"/>
    </row>
    <row r="1231" spans="1:9" x14ac:dyDescent="0.25">
      <c r="D1231" s="325" t="s">
        <v>606</v>
      </c>
      <c r="E1231" s="325">
        <v>50</v>
      </c>
      <c r="G1231" s="215">
        <f>G953</f>
        <v>3611.3</v>
      </c>
      <c r="H1231" s="215">
        <f t="shared" ref="H1231:I1231" si="611">H953</f>
        <v>2344.0680000000002</v>
      </c>
      <c r="I1231" s="215">
        <f t="shared" si="611"/>
        <v>64.909257054246396</v>
      </c>
    </row>
    <row r="1232" spans="1:9" x14ac:dyDescent="0.25">
      <c r="E1232" s="325">
        <v>51</v>
      </c>
      <c r="G1232" s="215">
        <f>G217+G250+G322+G441+G449</f>
        <v>3106.8</v>
      </c>
      <c r="H1232" s="215">
        <f t="shared" ref="H1232:I1232" si="612">H217+H250+H322+H441+H449</f>
        <v>1430.4470000000001</v>
      </c>
      <c r="I1232" s="215">
        <f t="shared" si="612"/>
        <v>214.0650187858198</v>
      </c>
    </row>
    <row r="1233" spans="5:9" x14ac:dyDescent="0.25">
      <c r="E1233" s="325">
        <v>52</v>
      </c>
      <c r="G1233" s="215">
        <f>G559+G630+G745+G782</f>
        <v>335313.03756999999</v>
      </c>
      <c r="H1233" s="215">
        <f t="shared" ref="H1233:I1233" si="613">H559+H630+H745+H782</f>
        <v>217460.36060000004</v>
      </c>
      <c r="I1233" s="215">
        <f t="shared" si="613"/>
        <v>255.17436081459005</v>
      </c>
    </row>
    <row r="1234" spans="5:9" x14ac:dyDescent="0.25">
      <c r="E1234" s="325">
        <v>53</v>
      </c>
      <c r="G1234" s="215">
        <f>G185</f>
        <v>250</v>
      </c>
      <c r="H1234" s="215">
        <f t="shared" ref="H1234:I1234" si="614">H185</f>
        <v>0</v>
      </c>
      <c r="I1234" s="215">
        <f t="shared" si="614"/>
        <v>0</v>
      </c>
    </row>
    <row r="1235" spans="5:9" x14ac:dyDescent="0.25">
      <c r="E1235" s="325">
        <v>54</v>
      </c>
      <c r="G1235" s="215">
        <f>G1166+G69</f>
        <v>538</v>
      </c>
      <c r="H1235" s="215">
        <f t="shared" ref="H1235:I1235" si="615">H1166+H69</f>
        <v>382.15</v>
      </c>
      <c r="I1235" s="215">
        <f t="shared" si="615"/>
        <v>170.20076481835565</v>
      </c>
    </row>
    <row r="1236" spans="5:9" x14ac:dyDescent="0.25">
      <c r="E1236" s="325">
        <v>55</v>
      </c>
      <c r="G1236" s="215">
        <f>G201</f>
        <v>10</v>
      </c>
      <c r="H1236" s="215">
        <f t="shared" ref="H1236:I1236" si="616">H201</f>
        <v>0</v>
      </c>
      <c r="I1236" s="215">
        <f t="shared" si="616"/>
        <v>0</v>
      </c>
    </row>
    <row r="1237" spans="5:9" x14ac:dyDescent="0.25">
      <c r="E1237" s="325">
        <v>56</v>
      </c>
      <c r="G1237" s="215"/>
      <c r="H1237" s="215"/>
      <c r="I1237" s="215"/>
    </row>
    <row r="1238" spans="5:9" x14ac:dyDescent="0.25">
      <c r="E1238" s="325">
        <v>57</v>
      </c>
      <c r="G1238" s="215">
        <f>G832+G910</f>
        <v>55306.430400000005</v>
      </c>
      <c r="H1238" s="215">
        <f t="shared" ref="H1238:I1238" si="617">H832+H910</f>
        <v>38217.217999999993</v>
      </c>
      <c r="I1238" s="215">
        <f t="shared" si="617"/>
        <v>104.36187860520118</v>
      </c>
    </row>
    <row r="1239" spans="5:9" x14ac:dyDescent="0.25">
      <c r="E1239" s="325">
        <v>58</v>
      </c>
      <c r="G1239" s="215">
        <f>G279+G344+G374</f>
        <v>70683.623000000007</v>
      </c>
      <c r="H1239" s="215">
        <f t="shared" ref="H1239:I1239" si="618">H279+H344+H374</f>
        <v>47090.797999999995</v>
      </c>
      <c r="I1239" s="215">
        <f t="shared" si="618"/>
        <v>197.780024739895</v>
      </c>
    </row>
    <row r="1240" spans="5:9" x14ac:dyDescent="0.25">
      <c r="E1240" s="325">
        <v>59</v>
      </c>
      <c r="G1240" s="215">
        <f>G619+G734+G1140+G408+G879</f>
        <v>384.4</v>
      </c>
      <c r="H1240" s="215">
        <f t="shared" ref="H1240:I1240" si="619">H619+H734+H1140+H408+H879</f>
        <v>150</v>
      </c>
      <c r="I1240" s="215" t="e">
        <f t="shared" si="619"/>
        <v>#DIV/0!</v>
      </c>
    </row>
    <row r="1241" spans="5:9" x14ac:dyDescent="0.25">
      <c r="E1241" s="325">
        <v>60</v>
      </c>
      <c r="G1241" s="215">
        <f>G1065</f>
        <v>4147.8</v>
      </c>
      <c r="H1241" s="215">
        <f t="shared" ref="H1241:I1241" si="620">H1065</f>
        <v>1683.8570000000002</v>
      </c>
      <c r="I1241" s="215">
        <f t="shared" si="620"/>
        <v>40.596388446887509</v>
      </c>
    </row>
    <row r="1242" spans="5:9" x14ac:dyDescent="0.25">
      <c r="E1242" s="325">
        <v>61</v>
      </c>
      <c r="G1242" s="215">
        <f>G165</f>
        <v>306</v>
      </c>
      <c r="H1242" s="215">
        <f t="shared" ref="H1242:I1242" si="621">H165</f>
        <v>91.009999999999991</v>
      </c>
      <c r="I1242" s="215">
        <f t="shared" si="621"/>
        <v>29.741830065359476</v>
      </c>
    </row>
    <row r="1243" spans="5:9" x14ac:dyDescent="0.25">
      <c r="E1243" s="325">
        <v>62</v>
      </c>
      <c r="G1243" s="215">
        <f>G1023</f>
        <v>269</v>
      </c>
      <c r="H1243" s="215">
        <f t="shared" ref="H1243:I1243" si="622">H1023</f>
        <v>199</v>
      </c>
      <c r="I1243" s="215">
        <f t="shared" si="622"/>
        <v>73.977695167286257</v>
      </c>
    </row>
    <row r="1244" spans="5:9" x14ac:dyDescent="0.25">
      <c r="E1244" s="325">
        <v>63</v>
      </c>
      <c r="G1244" s="215">
        <f>G226+G549+G821</f>
        <v>175</v>
      </c>
      <c r="H1244" s="215">
        <f t="shared" ref="H1244:I1244" si="623">H226+H549+H821</f>
        <v>70</v>
      </c>
      <c r="I1244" s="215">
        <f t="shared" si="623"/>
        <v>100</v>
      </c>
    </row>
    <row r="1245" spans="5:9" x14ac:dyDescent="0.25">
      <c r="E1245" s="325">
        <v>64</v>
      </c>
      <c r="G1245" s="215">
        <f>G118+G316+G413+G624+G739+G776+G884+G243+G496</f>
        <v>3404.3999999999996</v>
      </c>
      <c r="H1245" s="215">
        <f t="shared" ref="H1245:I1245" si="624">H118+H316+H413+H624+H739+H776+H884+H243+H496</f>
        <v>2443.3209999999999</v>
      </c>
      <c r="I1245" s="215">
        <f t="shared" si="624"/>
        <v>595.07169178820163</v>
      </c>
    </row>
    <row r="1246" spans="5:9" x14ac:dyDescent="0.25">
      <c r="E1246" s="325">
        <v>65</v>
      </c>
      <c r="G1246" s="215">
        <f>G1103</f>
        <v>0</v>
      </c>
      <c r="H1246" s="215">
        <f t="shared" ref="H1246:I1246" si="625">H1103</f>
        <v>0</v>
      </c>
      <c r="I1246" s="215" t="e">
        <f t="shared" si="625"/>
        <v>#DIV/0!</v>
      </c>
    </row>
    <row r="1247" spans="5:9" x14ac:dyDescent="0.25">
      <c r="E1247" s="325">
        <v>66</v>
      </c>
      <c r="G1247" s="215">
        <f>G525</f>
        <v>0</v>
      </c>
      <c r="H1247" s="215">
        <f t="shared" ref="H1247:I1247" si="626">H525</f>
        <v>0</v>
      </c>
      <c r="I1247" s="215" t="e">
        <f t="shared" si="626"/>
        <v>#DIV/0!</v>
      </c>
    </row>
    <row r="1248" spans="5:9" x14ac:dyDescent="0.25">
      <c r="E1248" s="325">
        <v>67</v>
      </c>
      <c r="G1248" s="215">
        <f>G127</f>
        <v>30</v>
      </c>
      <c r="H1248" s="215">
        <f t="shared" ref="H1248:I1248" si="627">H127</f>
        <v>0</v>
      </c>
      <c r="I1248" s="215">
        <f t="shared" si="627"/>
        <v>0</v>
      </c>
    </row>
    <row r="1249" spans="1:14" x14ac:dyDescent="0.25">
      <c r="E1249" s="325">
        <v>69</v>
      </c>
      <c r="G1249" s="363">
        <f>G132</f>
        <v>80</v>
      </c>
      <c r="H1249" s="363">
        <f t="shared" ref="H1249:I1249" si="628">H132</f>
        <v>0</v>
      </c>
      <c r="I1249" s="363">
        <f t="shared" si="628"/>
        <v>0</v>
      </c>
    </row>
    <row r="1250" spans="1:14" s="214" customFormat="1" x14ac:dyDescent="0.25">
      <c r="A1250" s="325"/>
      <c r="B1250" s="325"/>
      <c r="C1250" s="325"/>
      <c r="D1250" s="325"/>
      <c r="E1250" s="325">
        <v>70</v>
      </c>
      <c r="F1250" s="325"/>
      <c r="G1250" s="363">
        <f>G1056</f>
        <v>0</v>
      </c>
      <c r="H1250" s="363">
        <f t="shared" ref="H1250:I1250" si="629">H1056</f>
        <v>0</v>
      </c>
      <c r="I1250" s="363" t="e">
        <f t="shared" si="629"/>
        <v>#DIV/0!</v>
      </c>
      <c r="J1250" s="325"/>
      <c r="K1250" s="325"/>
      <c r="L1250" s="325"/>
      <c r="M1250" s="325"/>
      <c r="N1250" s="325"/>
    </row>
    <row r="1251" spans="1:14" x14ac:dyDescent="0.25">
      <c r="G1251" s="215">
        <f>SUM(G1231:G1250)</f>
        <v>477615.79097000003</v>
      </c>
      <c r="H1251" s="215">
        <f t="shared" ref="H1251:I1251" si="630">SUM(H1231:H1250)</f>
        <v>311562.22960000008</v>
      </c>
      <c r="I1251" s="215" t="e">
        <f t="shared" si="630"/>
        <v>#DIV/0!</v>
      </c>
    </row>
  </sheetData>
  <mergeCells count="1">
    <mergeCell ref="A7:I7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  <rowBreaks count="1" manualBreakCount="1">
    <brk id="1196" max="13" man="1"/>
  </rowBreaks>
  <colBreaks count="1" manualBreakCount="1">
    <brk id="9" max="11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10</vt:i4>
      </vt:variant>
    </vt:vector>
  </HeadingPairs>
  <TitlesOfParts>
    <vt:vector size="26" baseType="lpstr">
      <vt:lpstr>пр.1дох.20</vt:lpstr>
      <vt:lpstr>Пр.1.1. дох.21-22</vt:lpstr>
      <vt:lpstr>пр.2 Рд,пр 20</vt:lpstr>
      <vt:lpstr>пр.3.1. рдпр 21-22</vt:lpstr>
      <vt:lpstr>Пр.3 Рд,пр, ЦС,ВР 20</vt:lpstr>
      <vt:lpstr>пр.4.1.рдпрцс 21-22</vt:lpstr>
      <vt:lpstr>Прил.№5 ведомств.старая</vt:lpstr>
      <vt:lpstr>прил.№6 МП старая</vt:lpstr>
      <vt:lpstr>Пр.4 ведом.20</vt:lpstr>
      <vt:lpstr>пр.5.1.ведом.21-22</vt:lpstr>
      <vt:lpstr>пр.5 МП 20</vt:lpstr>
      <vt:lpstr>пр.6.1.МП 21-22</vt:lpstr>
      <vt:lpstr>пр.6 публ. 20</vt:lpstr>
      <vt:lpstr>пр.8.1.публ.21-22</vt:lpstr>
      <vt:lpstr>пр.7 ист-ки 20</vt:lpstr>
      <vt:lpstr>пр.9.1.ист-ки 21-22 </vt:lpstr>
      <vt:lpstr>'Пр.1.1. дох.21-22'!Область_печати</vt:lpstr>
      <vt:lpstr>пр.1дох.20!Область_печати</vt:lpstr>
      <vt:lpstr>'пр.2 Рд,пр 20'!Область_печати</vt:lpstr>
      <vt:lpstr>'Пр.3 Рд,пр, ЦС,ВР 20'!Область_печати</vt:lpstr>
      <vt:lpstr>'Пр.4 ведом.20'!Область_печати</vt:lpstr>
      <vt:lpstr>'пр.5 МП 20'!Область_печати</vt:lpstr>
      <vt:lpstr>'пр.5.1.ведом.21-22'!Область_печати</vt:lpstr>
      <vt:lpstr>'пр.7 ист-ки 20'!Область_печати</vt:lpstr>
      <vt:lpstr>'Прил.№5 ведомств.старая'!Область_печати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2020-10-27T09:16:11Z</dcterms:modified>
</cp:coreProperties>
</file>