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миты 2017 (2)" sheetId="39" r:id="rId1"/>
  </sheets>
  <calcPr calcId="125725"/>
</workbook>
</file>

<file path=xl/calcChain.xml><?xml version="1.0" encoding="utf-8"?>
<calcChain xmlns="http://schemas.openxmlformats.org/spreadsheetml/2006/main">
  <c r="N9" i="39"/>
  <c r="L9"/>
  <c r="J9"/>
  <c r="H9"/>
  <c r="F9"/>
  <c r="D9"/>
  <c r="N15"/>
  <c r="N14"/>
  <c r="N13"/>
  <c r="N12"/>
  <c r="N11"/>
  <c r="N10"/>
  <c r="L15"/>
  <c r="L14"/>
  <c r="L13"/>
  <c r="L12"/>
  <c r="L11"/>
  <c r="L10"/>
  <c r="J15"/>
  <c r="J14"/>
  <c r="J13"/>
  <c r="J12"/>
  <c r="J11"/>
  <c r="J10"/>
  <c r="H15"/>
  <c r="H14"/>
  <c r="H13"/>
  <c r="H12"/>
  <c r="H11"/>
  <c r="H10"/>
  <c r="F15"/>
  <c r="F14"/>
  <c r="F13"/>
  <c r="F12"/>
  <c r="F11"/>
  <c r="F10"/>
  <c r="D15"/>
  <c r="D14"/>
  <c r="D13"/>
  <c r="D12"/>
  <c r="D11"/>
  <c r="D10"/>
  <c r="M16" l="1"/>
  <c r="K16"/>
  <c r="I16"/>
  <c r="G16"/>
  <c r="E16"/>
  <c r="C16"/>
  <c r="O13"/>
  <c r="N16"/>
  <c r="J16"/>
  <c r="D16"/>
  <c r="O10" l="1"/>
  <c r="O15"/>
  <c r="O14"/>
  <c r="O11"/>
  <c r="O12"/>
  <c r="F16"/>
  <c r="O9"/>
  <c r="H16"/>
  <c r="L16"/>
  <c r="O16" l="1"/>
</calcChain>
</file>

<file path=xl/sharedStrings.xml><?xml version="1.0" encoding="utf-8"?>
<sst xmlns="http://schemas.openxmlformats.org/spreadsheetml/2006/main" count="33" uniqueCount="25">
  <si>
    <t>тыс. руб.</t>
  </si>
  <si>
    <t>Управление жилищно-коммунального хозяйства администрации ЕГП</t>
  </si>
  <si>
    <t>Управление делами администрации ЕГП</t>
  </si>
  <si>
    <t>Контрольно-счётная палата Елизовского городского поселения</t>
  </si>
  <si>
    <t>Главные распорядители и получатели средств городского бюджета</t>
  </si>
  <si>
    <t>№                 п/п</t>
  </si>
  <si>
    <t>Гкал.</t>
  </si>
  <si>
    <r>
      <t>м</t>
    </r>
    <r>
      <rPr>
        <vertAlign val="superscript"/>
        <sz val="10"/>
        <color indexed="8"/>
        <rFont val="Times New Roman"/>
        <family val="1"/>
        <charset val="204"/>
      </rPr>
      <t>3</t>
    </r>
  </si>
  <si>
    <t>ИТОГО</t>
  </si>
  <si>
    <t>кВт/ч</t>
  </si>
  <si>
    <r>
      <rPr>
        <b/>
        <sz val="10"/>
        <color indexed="8"/>
        <rFont val="Times New Roman"/>
        <family val="1"/>
        <charset val="204"/>
      </rPr>
      <t>Электроэнергия</t>
    </r>
    <r>
      <rPr>
        <sz val="10"/>
        <color indexed="8"/>
        <rFont val="Times New Roman"/>
        <family val="1"/>
        <charset val="204"/>
      </rPr>
      <t xml:space="preserve"> </t>
    </r>
  </si>
  <si>
    <t xml:space="preserve">Теплоэнергия          </t>
  </si>
  <si>
    <t>Водоснабжение</t>
  </si>
  <si>
    <t xml:space="preserve">Водоотведение </t>
  </si>
  <si>
    <t xml:space="preserve">ХВС для нужд ГВС из системы отопления            </t>
  </si>
  <si>
    <t xml:space="preserve">Теплоэнергия для нужд ГВС </t>
  </si>
  <si>
    <t>гр. 13 =  гр. 4 + гр. 6 + гр.8 + гр.10 + гр.12 + гр.14</t>
  </si>
  <si>
    <t>МБУ "Благоустройство города Елизово"</t>
  </si>
  <si>
    <t>"</t>
  </si>
  <si>
    <t>Годовые объёмы потребления коммунальных услуг для органов администрации Елизовского городского поселения и бюджетных учреждений, финансируемых за счёт средств бюджета Елизовского городского поселения на 2017 год</t>
  </si>
  <si>
    <t>МАУ "Единый расчётно-кассовый центр"</t>
  </si>
  <si>
    <t>МАУ Елизовский городской спортивный физкультурно-оздоровительный центр"</t>
  </si>
  <si>
    <r>
      <t xml:space="preserve">"Приложение № 2  к постановлению администрации Елизовского горродского  поселения                                                                               </t>
    </r>
    <r>
      <rPr>
        <u/>
        <sz val="9"/>
        <color indexed="8"/>
        <rFont val="Times New Roman"/>
        <family val="1"/>
        <charset val="204"/>
      </rPr>
      <t xml:space="preserve">от  24.07.2015 № 518 - п </t>
    </r>
    <r>
      <rPr>
        <sz val="9"/>
        <color indexed="8"/>
        <rFont val="Times New Roman"/>
        <family val="1"/>
        <charset val="204"/>
      </rPr>
      <t xml:space="preserve"> </t>
    </r>
  </si>
  <si>
    <t>МБУК Киноконцертный досуговый центр "Гейзер"</t>
  </si>
  <si>
    <r>
      <t xml:space="preserve">Приложение  к постановлению администрации Елизовского горродского  поселения                                                                        </t>
    </r>
    <r>
      <rPr>
        <u/>
        <sz val="9"/>
        <color indexed="8"/>
        <rFont val="Times New Roman"/>
        <family val="1"/>
        <charset val="204"/>
      </rPr>
      <t>от 22.09.2016 № 801-п</t>
    </r>
    <r>
      <rPr>
        <sz val="9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</t>
    </r>
    <r>
      <rPr>
        <u/>
        <sz val="9"/>
        <color indexed="8"/>
        <rFont val="Times New Roman"/>
        <family val="1"/>
        <charset val="204"/>
      </rPr>
      <t/>
    </r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</si>
</sst>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vertAlign val="superscript"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8"/>
      <color indexed="8"/>
      <name val="Calibri"/>
      <family val="2"/>
      <charset val="204"/>
    </font>
    <font>
      <u/>
      <sz val="9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7" fillId="0" borderId="0" xfId="0" applyFont="1" applyAlignment="1">
      <alignment horizontal="right"/>
    </xf>
    <xf numFmtId="0" fontId="4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2" fillId="2" borderId="0" xfId="0" applyFont="1" applyFill="1"/>
    <xf numFmtId="0" fontId="0" fillId="2" borderId="0" xfId="0" applyFill="1"/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12" fillId="0" borderId="0" xfId="0" applyFont="1"/>
    <xf numFmtId="2" fontId="0" fillId="0" borderId="0" xfId="0" applyNumberFormat="1"/>
    <xf numFmtId="2" fontId="13" fillId="2" borderId="1" xfId="0" applyNumberFormat="1" applyFont="1" applyFill="1" applyBorder="1" applyAlignment="1">
      <alignment horizontal="center" vertical="center"/>
    </xf>
    <xf numFmtId="2" fontId="13" fillId="2" borderId="2" xfId="0" applyNumberFormat="1" applyFont="1" applyFill="1" applyBorder="1" applyAlignment="1">
      <alignment horizontal="center" vertical="center"/>
    </xf>
    <xf numFmtId="2" fontId="13" fillId="2" borderId="10" xfId="0" applyNumberFormat="1" applyFont="1" applyFill="1" applyBorder="1" applyAlignment="1">
      <alignment horizontal="center" vertical="center"/>
    </xf>
    <xf numFmtId="2" fontId="13" fillId="2" borderId="3" xfId="0" applyNumberFormat="1" applyFont="1" applyFill="1" applyBorder="1" applyAlignment="1">
      <alignment horizontal="center" vertical="center"/>
    </xf>
    <xf numFmtId="2" fontId="13" fillId="2" borderId="8" xfId="0" applyNumberFormat="1" applyFont="1" applyFill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2" fontId="13" fillId="3" borderId="2" xfId="0" applyNumberFormat="1" applyFont="1" applyFill="1" applyBorder="1" applyAlignment="1">
      <alignment horizontal="center" vertical="center"/>
    </xf>
    <xf numFmtId="2" fontId="13" fillId="3" borderId="5" xfId="0" applyNumberFormat="1" applyFont="1" applyFill="1" applyBorder="1" applyAlignment="1">
      <alignment horizontal="center" vertical="center"/>
    </xf>
    <xf numFmtId="2" fontId="13" fillId="3" borderId="10" xfId="0" applyNumberFormat="1" applyFont="1" applyFill="1" applyBorder="1" applyAlignment="1">
      <alignment horizontal="center" vertical="center"/>
    </xf>
    <xf numFmtId="2" fontId="13" fillId="3" borderId="6" xfId="0" applyNumberFormat="1" applyFont="1" applyFill="1" applyBorder="1" applyAlignment="1">
      <alignment horizontal="center" vertical="center"/>
    </xf>
    <xf numFmtId="2" fontId="13" fillId="3" borderId="3" xfId="0" applyNumberFormat="1" applyFont="1" applyFill="1" applyBorder="1" applyAlignment="1">
      <alignment horizontal="center" vertical="center"/>
    </xf>
    <xf numFmtId="2" fontId="13" fillId="0" borderId="8" xfId="0" applyNumberFormat="1" applyFont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2" fontId="13" fillId="2" borderId="5" xfId="0" applyNumberFormat="1" applyFont="1" applyFill="1" applyBorder="1" applyAlignment="1">
      <alignment horizontal="center" vertical="center"/>
    </xf>
    <xf numFmtId="2" fontId="13" fillId="2" borderId="6" xfId="0" applyNumberFormat="1" applyFont="1" applyFill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 wrapText="1"/>
    </xf>
    <xf numFmtId="2" fontId="14" fillId="0" borderId="7" xfId="0" applyNumberFormat="1" applyFont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center" vertical="center" wrapText="1"/>
    </xf>
    <xf numFmtId="2" fontId="14" fillId="0" borderId="13" xfId="0" applyNumberFormat="1" applyFont="1" applyBorder="1" applyAlignment="1">
      <alignment horizontal="center" vertical="center"/>
    </xf>
    <xf numFmtId="2" fontId="14" fillId="0" borderId="7" xfId="0" applyNumberFormat="1" applyFont="1" applyBorder="1" applyAlignment="1">
      <alignment horizontal="center" vertical="center"/>
    </xf>
    <xf numFmtId="2" fontId="14" fillId="0" borderId="11" xfId="0" applyNumberFormat="1" applyFont="1" applyBorder="1" applyAlignment="1">
      <alignment horizontal="center" vertical="center"/>
    </xf>
    <xf numFmtId="2" fontId="14" fillId="0" borderId="12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T23"/>
  <sheetViews>
    <sheetView tabSelected="1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P10" sqref="P10"/>
    </sheetView>
  </sheetViews>
  <sheetFormatPr defaultRowHeight="15"/>
  <cols>
    <col min="1" max="1" width="3.42578125" customWidth="1"/>
    <col min="2" max="2" width="24.85546875" customWidth="1"/>
    <col min="3" max="3" width="9" customWidth="1"/>
    <col min="4" max="4" width="8.28515625" customWidth="1"/>
    <col min="5" max="5" width="7.28515625" customWidth="1"/>
    <col min="6" max="6" width="8" customWidth="1"/>
    <col min="7" max="7" width="7.28515625" customWidth="1"/>
    <col min="8" max="8" width="8" customWidth="1"/>
    <col min="9" max="9" width="7.28515625" customWidth="1"/>
    <col min="10" max="10" width="7.7109375" customWidth="1"/>
    <col min="11" max="11" width="8.28515625" customWidth="1"/>
    <col min="12" max="12" width="7.85546875" customWidth="1"/>
    <col min="13" max="13" width="6.7109375" customWidth="1"/>
    <col min="14" max="14" width="7.28515625" customWidth="1"/>
    <col min="15" max="15" width="12.140625" customWidth="1"/>
  </cols>
  <sheetData>
    <row r="1" spans="1:20" ht="37.15" customHeight="1">
      <c r="K1" s="55" t="s">
        <v>24</v>
      </c>
      <c r="L1" s="55"/>
      <c r="M1" s="55"/>
      <c r="N1" s="55"/>
      <c r="O1" s="55"/>
    </row>
    <row r="2" spans="1:20" ht="36" customHeight="1">
      <c r="K2" s="55" t="s">
        <v>22</v>
      </c>
      <c r="L2" s="55"/>
      <c r="M2" s="55"/>
      <c r="N2" s="55"/>
      <c r="O2" s="55"/>
    </row>
    <row r="3" spans="1:20" ht="6.6" hidden="1" customHeight="1">
      <c r="K3" s="55"/>
      <c r="L3" s="55"/>
      <c r="M3" s="55"/>
      <c r="N3" s="55"/>
      <c r="O3" s="55"/>
    </row>
    <row r="4" spans="1:20" ht="35.450000000000003" customHeight="1" thickBot="1">
      <c r="A4" s="59" t="s">
        <v>19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20" ht="4.1500000000000004" hidden="1" customHeight="1" thickBo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20" s="26" customFormat="1" ht="42" customHeight="1">
      <c r="A6" s="60" t="s">
        <v>5</v>
      </c>
      <c r="B6" s="62" t="s">
        <v>4</v>
      </c>
      <c r="C6" s="64" t="s">
        <v>10</v>
      </c>
      <c r="D6" s="65"/>
      <c r="E6" s="56" t="s">
        <v>11</v>
      </c>
      <c r="F6" s="66"/>
      <c r="G6" s="56" t="s">
        <v>12</v>
      </c>
      <c r="H6" s="66"/>
      <c r="I6" s="56" t="s">
        <v>13</v>
      </c>
      <c r="J6" s="57"/>
      <c r="K6" s="56" t="s">
        <v>14</v>
      </c>
      <c r="L6" s="57"/>
      <c r="M6" s="56" t="s">
        <v>15</v>
      </c>
      <c r="N6" s="57"/>
      <c r="O6" s="12"/>
      <c r="P6" s="2"/>
      <c r="Q6" s="2"/>
    </row>
    <row r="7" spans="1:20" s="4" customFormat="1" ht="49.9" customHeight="1">
      <c r="A7" s="61"/>
      <c r="B7" s="63"/>
      <c r="C7" s="6" t="s">
        <v>9</v>
      </c>
      <c r="D7" s="7" t="s">
        <v>0</v>
      </c>
      <c r="E7" s="6" t="s">
        <v>6</v>
      </c>
      <c r="F7" s="7" t="s">
        <v>0</v>
      </c>
      <c r="G7" s="6" t="s">
        <v>7</v>
      </c>
      <c r="H7" s="8" t="s">
        <v>0</v>
      </c>
      <c r="I7" s="6" t="s">
        <v>7</v>
      </c>
      <c r="J7" s="7" t="s">
        <v>0</v>
      </c>
      <c r="K7" s="17" t="s">
        <v>7</v>
      </c>
      <c r="L7" s="7" t="s">
        <v>0</v>
      </c>
      <c r="M7" s="8" t="s">
        <v>6</v>
      </c>
      <c r="N7" s="8" t="s">
        <v>0</v>
      </c>
      <c r="O7" s="16" t="s">
        <v>16</v>
      </c>
      <c r="P7" s="3"/>
      <c r="Q7" s="3"/>
      <c r="R7" s="54"/>
    </row>
    <row r="8" spans="1:20" s="4" customFormat="1" ht="16.5" customHeight="1">
      <c r="A8" s="6">
        <v>1</v>
      </c>
      <c r="B8" s="7">
        <v>2</v>
      </c>
      <c r="C8" s="6">
        <v>3</v>
      </c>
      <c r="D8" s="7">
        <v>4</v>
      </c>
      <c r="E8" s="6">
        <v>5</v>
      </c>
      <c r="F8" s="7">
        <v>6</v>
      </c>
      <c r="G8" s="6">
        <v>7</v>
      </c>
      <c r="H8" s="7">
        <v>8</v>
      </c>
      <c r="I8" s="6">
        <v>9</v>
      </c>
      <c r="J8" s="7">
        <v>10</v>
      </c>
      <c r="K8" s="6">
        <v>11</v>
      </c>
      <c r="L8" s="7">
        <v>12</v>
      </c>
      <c r="M8" s="6">
        <v>13</v>
      </c>
      <c r="N8" s="7">
        <v>14</v>
      </c>
      <c r="O8" s="6">
        <v>15</v>
      </c>
      <c r="P8" s="3"/>
      <c r="Q8" s="3"/>
    </row>
    <row r="9" spans="1:20" ht="31.15" customHeight="1">
      <c r="A9" s="9">
        <v>1</v>
      </c>
      <c r="B9" s="10" t="s">
        <v>23</v>
      </c>
      <c r="C9" s="37">
        <v>24000</v>
      </c>
      <c r="D9" s="32">
        <f>ROUND((((6000+6000)*8.174)+((6000+6000)*8.836))/1000,2)</f>
        <v>204.12</v>
      </c>
      <c r="E9" s="31">
        <v>162.1</v>
      </c>
      <c r="F9" s="32">
        <f>ROUND((((61.9+38.3)*7712.75)+((9.107+52.797)*8530.3))/1000,2)</f>
        <v>1300.8800000000001</v>
      </c>
      <c r="G9" s="31">
        <v>144</v>
      </c>
      <c r="H9" s="32">
        <f>ROUND((((36+36)*10.22)+((36+36)*10.55))/1000,2)</f>
        <v>1.5</v>
      </c>
      <c r="I9" s="31">
        <v>168.18</v>
      </c>
      <c r="J9" s="32">
        <f>ROUND((((43.5+42.5)*45.54)+((37.4+44.78)*49.36))/1000,2)</f>
        <v>7.97</v>
      </c>
      <c r="K9" s="33">
        <v>24.18</v>
      </c>
      <c r="L9" s="32">
        <f>ROUND((((7.5+6.5)*10.22)+((1.4+8.78)*10.55))/1000,2)</f>
        <v>0.25</v>
      </c>
      <c r="M9" s="34">
        <v>1.28</v>
      </c>
      <c r="N9" s="34">
        <f>ROUND(((0.78*7712.75)+(0.5*8530.3))/1000,2)</f>
        <v>10.28</v>
      </c>
      <c r="O9" s="43">
        <f t="shared" ref="O9:O15" si="0">D9+F9+H9+J9+L9+N9</f>
        <v>1525</v>
      </c>
      <c r="P9" s="1"/>
      <c r="Q9" s="1"/>
      <c r="S9" s="30"/>
      <c r="T9" s="30"/>
    </row>
    <row r="10" spans="1:20" ht="43.15" customHeight="1">
      <c r="A10" s="9">
        <v>2</v>
      </c>
      <c r="B10" s="10" t="s">
        <v>21</v>
      </c>
      <c r="C10" s="44">
        <v>35000</v>
      </c>
      <c r="D10" s="32">
        <f>ROUND((((9000+8500)*8.174)+((8500+9000)*8.836))/1000,2)</f>
        <v>297.68</v>
      </c>
      <c r="E10" s="31">
        <v>55.2</v>
      </c>
      <c r="F10" s="32">
        <f>ROUND((((21.421+13.058)*7712.75)+((2.244+18.476)*8530.3))/1000,2)</f>
        <v>442.68</v>
      </c>
      <c r="G10" s="31">
        <v>50</v>
      </c>
      <c r="H10" s="32">
        <f>ROUND((((22+3)*10.22)+((3+22)*10.55))/1000,2)</f>
        <v>0.52</v>
      </c>
      <c r="I10" s="31">
        <v>0</v>
      </c>
      <c r="J10" s="32">
        <f>ROUND(((0*45.54)+(0*49.36))/1000,2)</f>
        <v>0</v>
      </c>
      <c r="K10" s="33">
        <v>162.97999999999999</v>
      </c>
      <c r="L10" s="32">
        <f>ROUND((((128.05+2.08)*10.22)+((0.47+32.38)*10.55))/1000,2)</f>
        <v>1.68</v>
      </c>
      <c r="M10" s="34">
        <v>10.53</v>
      </c>
      <c r="N10" s="34">
        <f>ROUND((((8.56+0.074)*7712.75)+((0.014+1.879)*8530.3))/1000,2)</f>
        <v>82.74</v>
      </c>
      <c r="O10" s="43">
        <f t="shared" si="0"/>
        <v>825.3</v>
      </c>
      <c r="P10" s="1"/>
      <c r="Q10" s="1"/>
    </row>
    <row r="11" spans="1:20" s="23" customFormat="1" ht="38.450000000000003" customHeight="1">
      <c r="A11" s="20">
        <v>3</v>
      </c>
      <c r="B11" s="21" t="s">
        <v>1</v>
      </c>
      <c r="C11" s="37">
        <v>11800</v>
      </c>
      <c r="D11" s="32">
        <f>ROUND((((3000+3000)*8.174)+((3000+2800)*8.836))/1000,2)</f>
        <v>100.29</v>
      </c>
      <c r="E11" s="31">
        <v>49.5</v>
      </c>
      <c r="F11" s="32">
        <f>ROUND((((12.375+12.375)*7712.75)+((12.375+12.375)*8530.3))/1000,2)</f>
        <v>402.02</v>
      </c>
      <c r="G11" s="31">
        <v>48.96</v>
      </c>
      <c r="H11" s="32">
        <f>ROUND((((12.24+12.24)*10.22)+((12.24+12.24)*10.55))/1000,2)</f>
        <v>0.51</v>
      </c>
      <c r="I11" s="31">
        <v>62.79</v>
      </c>
      <c r="J11" s="32">
        <f>ROUND((((16.45+16.07)*45.54)+((13.14+17.13)*49.36))/1000,2)</f>
        <v>2.98</v>
      </c>
      <c r="K11" s="33">
        <v>13.83</v>
      </c>
      <c r="L11" s="32">
        <f>ROUND((((4.21+3.83)*10.22)+((0.9+4.89)*10.55))/1000,2)</f>
        <v>0.14000000000000001</v>
      </c>
      <c r="M11" s="34">
        <v>0.68</v>
      </c>
      <c r="N11" s="34">
        <f>ROUND((((0.25+0.16)*7712.75)+((0.03+0.24)*8530.3))/1000,2)</f>
        <v>5.47</v>
      </c>
      <c r="O11" s="35">
        <f t="shared" si="0"/>
        <v>511.41</v>
      </c>
      <c r="P11" s="22"/>
      <c r="Q11" s="22"/>
    </row>
    <row r="12" spans="1:20" s="23" customFormat="1" ht="31.9" customHeight="1">
      <c r="A12" s="20">
        <v>4</v>
      </c>
      <c r="B12" s="21" t="s">
        <v>2</v>
      </c>
      <c r="C12" s="36">
        <v>37014</v>
      </c>
      <c r="D12" s="32">
        <f>ROUND((((9253.5+9253.5)*8.174)+((9253.5+9253.5)*8.836))/1000,2)</f>
        <v>314.8</v>
      </c>
      <c r="E12" s="31">
        <v>122.9</v>
      </c>
      <c r="F12" s="32">
        <f>ROUND((((30.726+30.726)*7712.75)+((30.726+30.726)*8530.3))/1000,2)</f>
        <v>998.17</v>
      </c>
      <c r="G12" s="31">
        <v>122.27</v>
      </c>
      <c r="H12" s="32">
        <f>ROUND((((30.565+30.565)*10.22)+((30.57+30.57)*10.55))/1000,2)</f>
        <v>1.27</v>
      </c>
      <c r="I12" s="31">
        <v>140.57</v>
      </c>
      <c r="J12" s="32">
        <f>ROUND((((36.165+35.665)*45.54)+((31.77+36.97)*49.36))/1000,2)</f>
        <v>6.66</v>
      </c>
      <c r="K12" s="33">
        <v>18.3</v>
      </c>
      <c r="L12" s="32">
        <f>ROUND((((5.6+5.1)*10.22)+((1.2+6.4)*10.55))/1000,2)</f>
        <v>0.19</v>
      </c>
      <c r="M12" s="34">
        <v>0.8</v>
      </c>
      <c r="N12" s="34">
        <f>ROUND((((0.3+0.2)*7712.75)+(0.3*8530.3))/1000,2)</f>
        <v>6.42</v>
      </c>
      <c r="O12" s="35">
        <f t="shared" si="0"/>
        <v>1327.5100000000002</v>
      </c>
      <c r="P12" s="22"/>
      <c r="Q12" s="22"/>
    </row>
    <row r="13" spans="1:20" s="23" customFormat="1" ht="40.9" customHeight="1">
      <c r="A13" s="24">
        <v>5</v>
      </c>
      <c r="B13" s="25" t="s">
        <v>3</v>
      </c>
      <c r="C13" s="44">
        <v>8000</v>
      </c>
      <c r="D13" s="32">
        <f>ROUND((((2000+2000)*8.174)+((2000+2000)*8.836))/1000,2)</f>
        <v>68.040000000000006</v>
      </c>
      <c r="E13" s="45">
        <v>15.45</v>
      </c>
      <c r="F13" s="32">
        <f>ROUND((((6.67+3.212)*7712.75)+((0.42+5.144)*8530.3))/1000,2)</f>
        <v>123.68</v>
      </c>
      <c r="G13" s="45">
        <v>0</v>
      </c>
      <c r="H13" s="32">
        <f>ROUND(((0*10.22)+(0*10.55))/1000,2)</f>
        <v>0</v>
      </c>
      <c r="I13" s="45">
        <v>0</v>
      </c>
      <c r="J13" s="32">
        <f>ROUND(((0*45.54)+(0*49.36))/1000,2)</f>
        <v>0</v>
      </c>
      <c r="K13" s="33">
        <v>0</v>
      </c>
      <c r="L13" s="32">
        <f>ROUND(((0*10.22)+(0*10.55))/1000,2)</f>
        <v>0</v>
      </c>
      <c r="M13" s="46">
        <v>0</v>
      </c>
      <c r="N13" s="34">
        <f>ROUND(((0*7712.75)+(0*8530.3))/1000,2)</f>
        <v>0</v>
      </c>
      <c r="O13" s="35">
        <f t="shared" si="0"/>
        <v>191.72000000000003</v>
      </c>
      <c r="P13" s="22"/>
      <c r="Q13" s="22"/>
    </row>
    <row r="14" spans="1:20" s="23" customFormat="1" ht="30" customHeight="1">
      <c r="A14" s="24">
        <v>6</v>
      </c>
      <c r="B14" s="25" t="s">
        <v>17</v>
      </c>
      <c r="C14" s="44">
        <v>3574</v>
      </c>
      <c r="D14" s="32">
        <f>ROUND((((893.5+893.5)*8.174)+((893.5+893.5)*8.836))/1000,2)</f>
        <v>30.4</v>
      </c>
      <c r="E14" s="45">
        <v>21.68</v>
      </c>
      <c r="F14" s="32">
        <f>ROUND((((5.421+5.421)*7712.75)+((5.421+5.421)*8530.3))/1000,2)</f>
        <v>176.11</v>
      </c>
      <c r="G14" s="45">
        <v>60</v>
      </c>
      <c r="H14" s="32">
        <f>ROUND((((15+15)*10.22)+((15+15)*10.55))/1000,2)</f>
        <v>0.62</v>
      </c>
      <c r="I14" s="45">
        <v>63.68</v>
      </c>
      <c r="J14" s="32">
        <f>ROUND((((16.12+16.02)*45.54)+((15.24+16.3)*49.36))/1000,2)</f>
        <v>3.02</v>
      </c>
      <c r="K14" s="33">
        <v>3.68</v>
      </c>
      <c r="L14" s="32">
        <f>ROUND((((1.12+1.02)*10.22)+((0.24+1.3)*10.55))/1000,2)</f>
        <v>0.04</v>
      </c>
      <c r="M14" s="46">
        <v>0.18</v>
      </c>
      <c r="N14" s="34">
        <f>ROUND((((0.066+0.043)*7712.75)+((0.008+0.064)*8530.3))/1000,2)</f>
        <v>1.45</v>
      </c>
      <c r="O14" s="35">
        <f t="shared" si="0"/>
        <v>211.64000000000001</v>
      </c>
      <c r="P14" s="22"/>
      <c r="Q14" s="22"/>
    </row>
    <row r="15" spans="1:20" ht="30.6" customHeight="1">
      <c r="A15" s="27">
        <v>6</v>
      </c>
      <c r="B15" s="28" t="s">
        <v>20</v>
      </c>
      <c r="C15" s="37">
        <v>4189</v>
      </c>
      <c r="D15" s="38">
        <f>ROUND(((2095*8.174)+(2094*8.836))/1000,2)</f>
        <v>35.630000000000003</v>
      </c>
      <c r="E15" s="39">
        <v>3.6</v>
      </c>
      <c r="F15" s="38">
        <f>ROUND(((1.8*7712.75)+(1.8*8530.3))/1000,2)</f>
        <v>29.24</v>
      </c>
      <c r="G15" s="39">
        <v>40</v>
      </c>
      <c r="H15" s="38">
        <f>ROUND(((20*10.22)+(20*10.55))/1000,2)</f>
        <v>0.42</v>
      </c>
      <c r="I15" s="39">
        <v>40</v>
      </c>
      <c r="J15" s="38">
        <f>ROUND(((20*45.54)+(20*49.36))/1000,2)</f>
        <v>1.9</v>
      </c>
      <c r="K15" s="40">
        <v>12.4</v>
      </c>
      <c r="L15" s="38">
        <f>ROUND(((7.75*10.22)+(4.65*10.55))/1000,2)</f>
        <v>0.13</v>
      </c>
      <c r="M15" s="41">
        <v>0.23</v>
      </c>
      <c r="N15" s="42">
        <f>ROUND(((0.11*7712.75)+(0.12*8530.3))/1000,2)</f>
        <v>1.87</v>
      </c>
      <c r="O15" s="43">
        <f t="shared" si="0"/>
        <v>69.190000000000012</v>
      </c>
      <c r="P15" s="29"/>
      <c r="Q15" s="29"/>
    </row>
    <row r="16" spans="1:20" s="4" customFormat="1" ht="22.5" customHeight="1" thickBot="1">
      <c r="A16" s="13"/>
      <c r="B16" s="14" t="s">
        <v>8</v>
      </c>
      <c r="C16" s="47">
        <f>SUM(C9:C15)</f>
        <v>123577</v>
      </c>
      <c r="D16" s="48">
        <f>ROUND(SUM(D9:D15),2)</f>
        <v>1050.96</v>
      </c>
      <c r="E16" s="49">
        <f>SUM(E9:E15)</f>
        <v>430.43000000000006</v>
      </c>
      <c r="F16" s="48">
        <f>ROUND(SUM(F9:F15),2)</f>
        <v>3472.78</v>
      </c>
      <c r="G16" s="49">
        <f>SUM(G9:G15)</f>
        <v>465.23</v>
      </c>
      <c r="H16" s="48">
        <f>ROUND(SUM(H9:H15),2)</f>
        <v>4.84</v>
      </c>
      <c r="I16" s="49">
        <f>SUM(I9:I15)</f>
        <v>475.21999999999997</v>
      </c>
      <c r="J16" s="48">
        <f>ROUND(SUM(J9:J15),2)</f>
        <v>22.53</v>
      </c>
      <c r="K16" s="50">
        <f>SUM(K9:K15)</f>
        <v>235.37000000000003</v>
      </c>
      <c r="L16" s="51">
        <f>ROUND(SUM(L9:L15),2)</f>
        <v>2.4300000000000002</v>
      </c>
      <c r="M16" s="52">
        <f>SUM(M9:M15)</f>
        <v>13.7</v>
      </c>
      <c r="N16" s="52">
        <f>ROUND(SUM(N9:N15),2)</f>
        <v>108.23</v>
      </c>
      <c r="O16" s="53">
        <f>ROUND(SUM(O9:O15),2)</f>
        <v>4661.7700000000004</v>
      </c>
      <c r="P16" s="15"/>
      <c r="Q16" s="15"/>
    </row>
    <row r="17" spans="1:15" ht="20.25" customHeight="1">
      <c r="F17" s="5"/>
      <c r="G17" s="5"/>
      <c r="H17" s="5"/>
      <c r="I17" s="5"/>
      <c r="J17" s="5"/>
      <c r="K17" s="11"/>
      <c r="L17" s="1"/>
      <c r="M17" s="1"/>
      <c r="O17" s="18" t="s">
        <v>18</v>
      </c>
    </row>
    <row r="18" spans="1:15" ht="28.5" customHeight="1">
      <c r="A18" s="58"/>
      <c r="B18" s="58"/>
      <c r="C18" s="58"/>
      <c r="D18" s="58"/>
      <c r="E18" s="58"/>
      <c r="F18" s="1"/>
      <c r="G18" s="1"/>
      <c r="H18" s="1"/>
      <c r="I18" s="1"/>
      <c r="J18" s="1"/>
      <c r="K18" s="19"/>
      <c r="L18" s="1"/>
      <c r="M18" s="1"/>
    </row>
    <row r="19" spans="1:15" ht="13.5" customHeight="1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13">
    <mergeCell ref="K1:O1"/>
    <mergeCell ref="M6:N6"/>
    <mergeCell ref="A18:E18"/>
    <mergeCell ref="K2:O2"/>
    <mergeCell ref="K3:O3"/>
    <mergeCell ref="A4:O4"/>
    <mergeCell ref="A6:A7"/>
    <mergeCell ref="B6:B7"/>
    <mergeCell ref="C6:D6"/>
    <mergeCell ref="E6:F6"/>
    <mergeCell ref="G6:H6"/>
    <mergeCell ref="I6:J6"/>
    <mergeCell ref="K6:L6"/>
  </mergeCells>
  <pageMargins left="0.39370078740157483" right="7.874015748031496E-2" top="0.15748031496062992" bottom="0.31496062992125984" header="0.35433070866141736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Лимиты 2017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2014-07-25T01:40:12Z</cp:lastPrinted>
  <dcterms:created xsi:type="dcterms:W3CDTF">2006-09-28T05:33:49Z</dcterms:created>
  <dcterms:modified xsi:type="dcterms:W3CDTF">2016-09-30T06:25:56Z</dcterms:modified>
</cp:coreProperties>
</file>