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515" tabRatio="742" firstSheet="3" activeTab="8"/>
  </bookViews>
  <sheets>
    <sheet name="Авачинская 4 2014" sheetId="1" r:id="rId1"/>
    <sheet name="Авачинская 4 2012-2013" sheetId="2" r:id="rId2"/>
    <sheet name="Заречная 1 2014" sheetId="3" r:id="rId3"/>
    <sheet name="Заречная 1 2012-2013" sheetId="4" r:id="rId4"/>
    <sheet name="Заречная 1А 2014" sheetId="5" r:id="rId5"/>
    <sheet name="Заречная 1А 2012-2013" sheetId="6" r:id="rId6"/>
    <sheet name="Ленина 44 2014" sheetId="7" r:id="rId7"/>
    <sheet name="Ленина 44 2012-2013" sheetId="8" r:id="rId8"/>
    <sheet name="Рябикова 14" sheetId="9" r:id="rId9"/>
    <sheet name="40 лет Октября 3" sheetId="10" r:id="rId10"/>
    <sheet name="40 лет Октября 5" sheetId="11" r:id="rId11"/>
  </sheets>
  <definedNames/>
  <calcPr fullCalcOnLoad="1"/>
</workbook>
</file>

<file path=xl/comments8.xml><?xml version="1.0" encoding="utf-8"?>
<comments xmlns="http://schemas.openxmlformats.org/spreadsheetml/2006/main">
  <authors>
    <author>alina</author>
  </authors>
  <commentList>
    <comment ref="K24" authorId="0">
      <text>
        <r>
          <rPr>
            <b/>
            <sz val="9"/>
            <rFont val="Tahoma"/>
            <family val="0"/>
          </rPr>
          <t>alina:</t>
        </r>
        <r>
          <rPr>
            <sz val="9"/>
            <rFont val="Tahoma"/>
            <family val="0"/>
          </rPr>
          <t xml:space="preserve">
Слуховое окно 10 под.
</t>
        </r>
      </text>
    </comment>
    <comment ref="L24" authorId="0">
      <text>
        <r>
          <rPr>
            <b/>
            <sz val="9"/>
            <rFont val="Tahoma"/>
            <family val="0"/>
          </rPr>
          <t>alina:</t>
        </r>
        <r>
          <rPr>
            <sz val="9"/>
            <rFont val="Tahoma"/>
            <family val="0"/>
          </rPr>
          <t xml:space="preserve">
проушины 6 под.
</t>
        </r>
      </text>
    </comment>
  </commentList>
</comments>
</file>

<file path=xl/sharedStrings.xml><?xml version="1.0" encoding="utf-8"?>
<sst xmlns="http://schemas.openxmlformats.org/spreadsheetml/2006/main" count="985" uniqueCount="173">
  <si>
    <t>Авачинская, 4 (6 под., 75 кв., 4481,6 кв. м)</t>
  </si>
  <si>
    <t>январь</t>
  </si>
  <si>
    <t>февраль</t>
  </si>
  <si>
    <t>март</t>
  </si>
  <si>
    <t>апрель</t>
  </si>
  <si>
    <t>май</t>
  </si>
  <si>
    <t>июнь</t>
  </si>
  <si>
    <t>Инвентарь уборщику</t>
  </si>
  <si>
    <t>Инвентарь дворнику</t>
  </si>
  <si>
    <t>Расчистка территории</t>
  </si>
  <si>
    <t>Сантехнические работы (материал)</t>
  </si>
  <si>
    <t>Сантехнические работы (работа)</t>
  </si>
  <si>
    <t>Электротехнические работы (материал)</t>
  </si>
  <si>
    <t>Электротехнические работы (работа)</t>
  </si>
  <si>
    <t>Общехозяйственные расходы</t>
  </si>
  <si>
    <t>ИТОГО:</t>
  </si>
  <si>
    <t>Итого:</t>
  </si>
  <si>
    <t>Подготовка к отопительному сезону</t>
  </si>
  <si>
    <t>Вывоз КГО</t>
  </si>
  <si>
    <t>ОДПУ ХВС</t>
  </si>
  <si>
    <t>7,3% за электроэнергию</t>
  </si>
  <si>
    <t>Сбивание сосулек</t>
  </si>
  <si>
    <t>Благоустройство:</t>
  </si>
  <si>
    <t>Содержание:</t>
  </si>
  <si>
    <t>Уборщик подъездов (з/плата)</t>
  </si>
  <si>
    <t>Дворник (з/плата)</t>
  </si>
  <si>
    <t>Сантехника:</t>
  </si>
  <si>
    <t>Аварийный сантехник (з/плата)</t>
  </si>
  <si>
    <t>Электрика:</t>
  </si>
  <si>
    <t>Аварийный электрик (з/плата)</t>
  </si>
  <si>
    <t>Бензин</t>
  </si>
  <si>
    <t>Спецодежда</t>
  </si>
  <si>
    <t>Уборка мусора:</t>
  </si>
  <si>
    <t>Капитальный ремонт:</t>
  </si>
  <si>
    <t>Текущий ремонт:</t>
  </si>
  <si>
    <t>Разноска квитанций</t>
  </si>
  <si>
    <t>Уборка офиса</t>
  </si>
  <si>
    <t>Покрытие балконов 5 этажей</t>
  </si>
  <si>
    <t>Герметизация швов (кв. 22)</t>
  </si>
  <si>
    <t>Ремонт креплений парапета</t>
  </si>
  <si>
    <t>Работы:</t>
  </si>
  <si>
    <t>Вывоз ТБО</t>
  </si>
  <si>
    <t>Расходы на ресурсоснабжающие организации:</t>
  </si>
  <si>
    <t>2% за электроэнергию</t>
  </si>
  <si>
    <t>0,01% за отопление, гвс из с/о</t>
  </si>
  <si>
    <t>Почтовые ящики</t>
  </si>
  <si>
    <t>Работа старшего по дому</t>
  </si>
  <si>
    <t>Ежегодные работы:</t>
  </si>
  <si>
    <t>Организационные работы:</t>
  </si>
  <si>
    <t>Печать квитанций</t>
  </si>
  <si>
    <t>Паспортный стол (ЕРКЦ)</t>
  </si>
  <si>
    <t>Программное обслуживание</t>
  </si>
  <si>
    <t>Канцелярские товары</t>
  </si>
  <si>
    <t>Аренда офиса</t>
  </si>
  <si>
    <t>Инструмент</t>
  </si>
  <si>
    <t>Штакетник</t>
  </si>
  <si>
    <t>Лавочки</t>
  </si>
  <si>
    <t>Инструменты для субботника</t>
  </si>
  <si>
    <t>Вывоз КГО (после субботника)</t>
  </si>
  <si>
    <t>Ремонт дверей</t>
  </si>
  <si>
    <t>Замена розлива (4, 5 под.)</t>
  </si>
  <si>
    <t>Установка замков + ключи</t>
  </si>
  <si>
    <t>Оформление, обслуживание ККМ</t>
  </si>
  <si>
    <t>Герметизация торц. стены (кв. 13)</t>
  </si>
  <si>
    <t>Услуги банка</t>
  </si>
  <si>
    <t>Телефон</t>
  </si>
  <si>
    <t>Интернет</t>
  </si>
  <si>
    <t>Клиент-Банк</t>
  </si>
  <si>
    <t>Обслуживание ОДПУ ХВС</t>
  </si>
  <si>
    <t>Обслуживание ОДПУ Тепло</t>
  </si>
  <si>
    <t>СРО</t>
  </si>
  <si>
    <t>Выкос травы</t>
  </si>
  <si>
    <t>Ремонт слуховых окон</t>
  </si>
  <si>
    <t>Песок (мешки)</t>
  </si>
  <si>
    <t>Механизированная посыпка</t>
  </si>
  <si>
    <t>Управление МКД (5 руб. на 1 кв.м)</t>
  </si>
  <si>
    <t>2014 г.</t>
  </si>
  <si>
    <t>Бензин, телефон</t>
  </si>
  <si>
    <t>Утилизация автошин</t>
  </si>
  <si>
    <t>Металлические урны</t>
  </si>
  <si>
    <t>ХВС</t>
  </si>
  <si>
    <t>Водоотведение</t>
  </si>
  <si>
    <t>Начислено</t>
  </si>
  <si>
    <t>Оплачено</t>
  </si>
  <si>
    <t>Уровень собираемости</t>
  </si>
  <si>
    <t>Потрачено</t>
  </si>
  <si>
    <t>Задолженность дома (за 2012-2013 гг.)</t>
  </si>
  <si>
    <t>Задолженность дома (за 2014 г.)</t>
  </si>
  <si>
    <t>Задолженность дома (всего)</t>
  </si>
  <si>
    <t>Проверка ОДПУ ТЭ</t>
  </si>
  <si>
    <t>Заречная, 1 (2 под., 24 кв., 946,6 кв.м)</t>
  </si>
  <si>
    <t>Прочие работы</t>
  </si>
  <si>
    <t>Пластиковые окна</t>
  </si>
  <si>
    <t>Ремонт кровли</t>
  </si>
  <si>
    <t>Посыпка песком (земля)</t>
  </si>
  <si>
    <t>Вывоз ЖБО</t>
  </si>
  <si>
    <t>Обслуживание:</t>
  </si>
  <si>
    <t>Заречная. 1 (1 под., 8 кв., 361,1 кв. м)</t>
  </si>
  <si>
    <t>Ме дверь</t>
  </si>
  <si>
    <t>Козырьки</t>
  </si>
  <si>
    <t>Козырек над подъездом</t>
  </si>
  <si>
    <t>Ремонт кровли 5% софинансирование</t>
  </si>
  <si>
    <t>ЖБО</t>
  </si>
  <si>
    <t>Ленина, 44 (10 под., 132 кв., 6540,3 кв. м)</t>
  </si>
  <si>
    <t xml:space="preserve">Ремонт балконов </t>
  </si>
  <si>
    <t>Герметизация торц. стены (кв. 4)</t>
  </si>
  <si>
    <t>Установка, ремонт дверей</t>
  </si>
  <si>
    <t>Изготовление, установка перилл</t>
  </si>
  <si>
    <t>Изготовление, установка МЕ урн</t>
  </si>
  <si>
    <t>Установка пластиковых окон</t>
  </si>
  <si>
    <t>Доски объявлений</t>
  </si>
  <si>
    <t>Дератизация против грызунов</t>
  </si>
  <si>
    <t>ПГС для конт. площ.</t>
  </si>
  <si>
    <t>Контейнерная площадка устройство</t>
  </si>
  <si>
    <t>Расчистка подвалов (работа)</t>
  </si>
  <si>
    <t>Расчистка подвалов (инвентарь)</t>
  </si>
  <si>
    <t>Бензотример</t>
  </si>
  <si>
    <t>Земля для посадок</t>
  </si>
  <si>
    <t>Спил деревьев</t>
  </si>
  <si>
    <t>Поручни</t>
  </si>
  <si>
    <t>Крыльца подъездные</t>
  </si>
  <si>
    <t>Ремонт детской площадки</t>
  </si>
  <si>
    <t>40 лет Октября, 3 (4 под., 64 кв., 3112,4 кв. м)</t>
  </si>
  <si>
    <t>ноябрь</t>
  </si>
  <si>
    <t>декабрь</t>
  </si>
  <si>
    <t xml:space="preserve">Аварийный сантехник </t>
  </si>
  <si>
    <t xml:space="preserve">Аварийный электрик </t>
  </si>
  <si>
    <t>Установка ограждения</t>
  </si>
  <si>
    <t>Ремонт перилл</t>
  </si>
  <si>
    <t>Отсыпка щебнем</t>
  </si>
  <si>
    <t>Расчистка подвалов</t>
  </si>
  <si>
    <t>Отвод сточных вод</t>
  </si>
  <si>
    <t>Спил дерева</t>
  </si>
  <si>
    <t>Ремонт ОДПУ</t>
  </si>
  <si>
    <t>Расчет, начисление, печать квитанций</t>
  </si>
  <si>
    <t>Задолженность дома</t>
  </si>
  <si>
    <t>40 лет Октября, 5 (7 под., 112 кв., 5324,70 кв. м)</t>
  </si>
  <si>
    <t>Уброрка:</t>
  </si>
  <si>
    <t>Обслуживание узлов учета:</t>
  </si>
  <si>
    <t>ОДПУ ТЭ</t>
  </si>
  <si>
    <t>Поверка ОДПУ ТЭ</t>
  </si>
  <si>
    <t>ОДПУ ГВС</t>
  </si>
  <si>
    <t>Текущие работы:</t>
  </si>
  <si>
    <t>Ме двери</t>
  </si>
  <si>
    <t>Чердачные двери</t>
  </si>
  <si>
    <t>Расшифровка управления МКД</t>
  </si>
  <si>
    <t>2012 г.</t>
  </si>
  <si>
    <t>2013 г.</t>
  </si>
  <si>
    <t>сентябрь</t>
  </si>
  <si>
    <t>октябрь</t>
  </si>
  <si>
    <t>июль</t>
  </si>
  <si>
    <t>август</t>
  </si>
  <si>
    <t>Газонокосилка</t>
  </si>
  <si>
    <t xml:space="preserve">Задолженность дома </t>
  </si>
  <si>
    <t>Ремонт балконов (105 кв.)</t>
  </si>
  <si>
    <t>Кровля 5% софинансирование</t>
  </si>
  <si>
    <t>ФОРМА ОТЧЕТНОСТИ</t>
  </si>
  <si>
    <t xml:space="preserve"> управляющей организации перед собственниками многоквартирного дома</t>
  </si>
  <si>
    <t xml:space="preserve">по услугам/работам по управлению, содержанию и ремонту общего </t>
  </si>
  <si>
    <t>имущества многоквартирного дом, по предоставлению коммунальных услуг</t>
  </si>
  <si>
    <t>за период с 01.06.13  по  30.06.14</t>
  </si>
  <si>
    <t>Рябикова дом №14 (6 подъездов, 64 квартиры, S 3595,30 кв.м)</t>
  </si>
  <si>
    <t>Аварийный сантехник</t>
  </si>
  <si>
    <t>Аварийный электрик</t>
  </si>
  <si>
    <t>Вывоз КГО (по предписанию)</t>
  </si>
  <si>
    <t>Ремонт крылец</t>
  </si>
  <si>
    <t>Ремонт козырька</t>
  </si>
  <si>
    <t>Заделка технологических отверстий</t>
  </si>
  <si>
    <t>Бордюр контейнерная площ.</t>
  </si>
  <si>
    <t>Ремонт окон</t>
  </si>
  <si>
    <t>Замена розливов ЦО (5%)</t>
  </si>
  <si>
    <t>Обслуживание ОДПУ ТЭ</t>
  </si>
  <si>
    <t>Задолженность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</si>
</sst>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88"/>
  <sheetViews>
    <sheetView workbookViewId="0" topLeftCell="A1">
      <pane ySplit="2" topLeftCell="BM36" activePane="bottomLeft" state="frozen"/>
      <selection pane="topLeft" activeCell="A1" sqref="A1"/>
      <selection pane="bottomLeft" activeCell="M83" sqref="M83"/>
    </sheetView>
  </sheetViews>
  <sheetFormatPr defaultColWidth="9.00390625" defaultRowHeight="12.75"/>
  <cols>
    <col min="1" max="1" width="34.00390625" style="2" customWidth="1"/>
    <col min="2" max="7" width="8.875" style="2" customWidth="1"/>
    <col min="8" max="8" width="9.75390625" style="2" customWidth="1"/>
    <col min="9" max="16384" width="9.125" style="2" customWidth="1"/>
  </cols>
  <sheetData>
    <row r="1" spans="1:8" ht="11.25">
      <c r="A1" s="1" t="s">
        <v>0</v>
      </c>
      <c r="B1" s="1" t="s">
        <v>76</v>
      </c>
      <c r="C1" s="1"/>
      <c r="D1" s="1"/>
      <c r="E1" s="1"/>
      <c r="F1" s="1"/>
      <c r="G1" s="1"/>
      <c r="H1" s="1"/>
    </row>
    <row r="2" spans="1:8" ht="11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16</v>
      </c>
    </row>
    <row r="3" spans="1:8" ht="11.25">
      <c r="A3" s="3" t="s">
        <v>34</v>
      </c>
      <c r="B3" s="5"/>
      <c r="C3" s="5"/>
      <c r="D3" s="5"/>
      <c r="E3" s="5"/>
      <c r="F3" s="5"/>
      <c r="G3" s="5"/>
      <c r="H3" s="7"/>
    </row>
    <row r="4" spans="1:8" ht="11.25">
      <c r="A4" s="3" t="s">
        <v>26</v>
      </c>
      <c r="B4" s="7">
        <f aca="true" t="shared" si="0" ref="B4:H4">SUM(B5:B10)</f>
        <v>8119.5</v>
      </c>
      <c r="C4" s="7">
        <f t="shared" si="0"/>
        <v>19360.5</v>
      </c>
      <c r="D4" s="7">
        <f t="shared" si="0"/>
        <v>10584.5</v>
      </c>
      <c r="E4" s="7">
        <f t="shared" si="0"/>
        <v>8119.5</v>
      </c>
      <c r="F4" s="7">
        <f t="shared" si="0"/>
        <v>8119.5</v>
      </c>
      <c r="G4" s="7">
        <f t="shared" si="0"/>
        <v>13649.5</v>
      </c>
      <c r="H4" s="7">
        <f t="shared" si="0"/>
        <v>67953</v>
      </c>
    </row>
    <row r="5" spans="1:8" ht="11.25">
      <c r="A5" s="4" t="s">
        <v>27</v>
      </c>
      <c r="B5" s="5">
        <v>6000</v>
      </c>
      <c r="C5" s="5">
        <v>6000</v>
      </c>
      <c r="D5" s="5">
        <v>6000</v>
      </c>
      <c r="E5" s="5">
        <v>6000</v>
      </c>
      <c r="F5" s="5">
        <v>6000</v>
      </c>
      <c r="G5" s="5">
        <v>6000</v>
      </c>
      <c r="H5" s="5">
        <f aca="true" t="shared" si="1" ref="H5:H10">SUM(B5:G5)</f>
        <v>36000</v>
      </c>
    </row>
    <row r="6" spans="1:8" ht="11.25">
      <c r="A6" s="4" t="s">
        <v>77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5">
        <v>1700</v>
      </c>
      <c r="H6" s="5">
        <f t="shared" si="1"/>
        <v>10200</v>
      </c>
    </row>
    <row r="7" spans="1:8" ht="11.25">
      <c r="A7" s="4" t="s">
        <v>31</v>
      </c>
      <c r="B7" s="5">
        <v>230</v>
      </c>
      <c r="C7" s="5">
        <v>230</v>
      </c>
      <c r="D7" s="5">
        <v>230</v>
      </c>
      <c r="E7" s="5">
        <v>230</v>
      </c>
      <c r="F7" s="5">
        <v>230</v>
      </c>
      <c r="G7" s="5">
        <v>230</v>
      </c>
      <c r="H7" s="5">
        <f t="shared" si="1"/>
        <v>1380</v>
      </c>
    </row>
    <row r="8" spans="1:8" ht="11.25">
      <c r="A8" s="4" t="s">
        <v>54</v>
      </c>
      <c r="B8" s="5">
        <f>379*6/12</f>
        <v>189.5</v>
      </c>
      <c r="C8" s="5">
        <f>379*6/12</f>
        <v>189.5</v>
      </c>
      <c r="D8" s="5">
        <f>379*6/12+415</f>
        <v>604.5</v>
      </c>
      <c r="E8" s="5">
        <f>379*6/12</f>
        <v>189.5</v>
      </c>
      <c r="F8" s="5">
        <f>379*6/12</f>
        <v>189.5</v>
      </c>
      <c r="G8" s="5">
        <f>379*6/12</f>
        <v>189.5</v>
      </c>
      <c r="H8" s="5">
        <f t="shared" si="1"/>
        <v>1552</v>
      </c>
    </row>
    <row r="9" spans="1:8" ht="11.25">
      <c r="A9" s="4" t="s">
        <v>10</v>
      </c>
      <c r="B9" s="5">
        <v>0</v>
      </c>
      <c r="C9" s="5">
        <f>638+5000+155+123+525</f>
        <v>6441</v>
      </c>
      <c r="D9" s="5">
        <f>500+650</f>
        <v>1150</v>
      </c>
      <c r="E9" s="5">
        <v>0</v>
      </c>
      <c r="F9" s="5">
        <v>0</v>
      </c>
      <c r="G9" s="5">
        <v>5530</v>
      </c>
      <c r="H9" s="5">
        <f t="shared" si="1"/>
        <v>13121</v>
      </c>
    </row>
    <row r="10" spans="1:8" ht="11.25">
      <c r="A10" s="4" t="s">
        <v>11</v>
      </c>
      <c r="B10" s="5">
        <v>0</v>
      </c>
      <c r="C10" s="5">
        <v>4800</v>
      </c>
      <c r="D10" s="5">
        <v>900</v>
      </c>
      <c r="E10" s="5">
        <v>0</v>
      </c>
      <c r="F10" s="5">
        <v>0</v>
      </c>
      <c r="G10" s="5">
        <v>0</v>
      </c>
      <c r="H10" s="5">
        <f t="shared" si="1"/>
        <v>5700</v>
      </c>
    </row>
    <row r="11" spans="1:8" ht="11.25">
      <c r="A11" s="3" t="s">
        <v>28</v>
      </c>
      <c r="B11" s="7">
        <f aca="true" t="shared" si="2" ref="B11:H11">SUM(B12:B17)</f>
        <v>6520</v>
      </c>
      <c r="C11" s="7">
        <f t="shared" si="2"/>
        <v>8618.59</v>
      </c>
      <c r="D11" s="7">
        <f t="shared" si="2"/>
        <v>10876</v>
      </c>
      <c r="E11" s="7">
        <f t="shared" si="2"/>
        <v>6462</v>
      </c>
      <c r="F11" s="7">
        <f t="shared" si="2"/>
        <v>7197</v>
      </c>
      <c r="G11" s="7">
        <f t="shared" si="2"/>
        <v>6380</v>
      </c>
      <c r="H11" s="7">
        <f t="shared" si="2"/>
        <v>46053.59</v>
      </c>
    </row>
    <row r="12" spans="1:8" ht="11.25">
      <c r="A12" s="4" t="s">
        <v>29</v>
      </c>
      <c r="B12" s="5">
        <v>5000</v>
      </c>
      <c r="C12" s="5">
        <v>5000</v>
      </c>
      <c r="D12" s="5">
        <v>5000</v>
      </c>
      <c r="E12" s="5">
        <v>5000</v>
      </c>
      <c r="F12" s="5">
        <v>5000</v>
      </c>
      <c r="G12" s="5">
        <v>5000</v>
      </c>
      <c r="H12" s="5">
        <f aca="true" t="shared" si="3" ref="H12:H17">SUM(B12:G12)</f>
        <v>30000</v>
      </c>
    </row>
    <row r="13" spans="1:8" ht="11.25">
      <c r="A13" s="4" t="s">
        <v>30</v>
      </c>
      <c r="B13" s="5">
        <v>1000</v>
      </c>
      <c r="C13" s="5">
        <v>1000</v>
      </c>
      <c r="D13" s="5">
        <v>1000</v>
      </c>
      <c r="E13" s="5">
        <v>1000</v>
      </c>
      <c r="F13" s="5">
        <v>1000</v>
      </c>
      <c r="G13" s="5">
        <v>1000</v>
      </c>
      <c r="H13" s="5">
        <f t="shared" si="3"/>
        <v>6000</v>
      </c>
    </row>
    <row r="14" spans="1: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3"/>
        <v>0</v>
      </c>
    </row>
    <row r="15" spans="1:8" ht="11.25">
      <c r="A15" s="4" t="s">
        <v>54</v>
      </c>
      <c r="B15" s="5">
        <v>120</v>
      </c>
      <c r="C15" s="5">
        <v>120</v>
      </c>
      <c r="D15" s="5">
        <v>120</v>
      </c>
      <c r="E15" s="5">
        <v>120</v>
      </c>
      <c r="F15" s="5">
        <v>120</v>
      </c>
      <c r="G15" s="5">
        <v>120</v>
      </c>
      <c r="H15" s="5">
        <f t="shared" si="3"/>
        <v>720</v>
      </c>
    </row>
    <row r="16" spans="1:8" ht="11.25">
      <c r="A16" s="4" t="s">
        <v>12</v>
      </c>
      <c r="B16" s="5">
        <f>171*2+29*2</f>
        <v>400</v>
      </c>
      <c r="C16" s="5">
        <f>171+29+170+29*3+180*2+29*2+1623.59</f>
        <v>2498.59</v>
      </c>
      <c r="D16" s="5">
        <v>1356</v>
      </c>
      <c r="E16" s="5">
        <v>342</v>
      </c>
      <c r="F16" s="5">
        <f>518+190+212+57+100</f>
        <v>1077</v>
      </c>
      <c r="G16" s="5">
        <v>260</v>
      </c>
      <c r="H16" s="5">
        <f t="shared" si="3"/>
        <v>5933.59</v>
      </c>
    </row>
    <row r="17" spans="1:8" ht="11.25">
      <c r="A17" s="4" t="s">
        <v>13</v>
      </c>
      <c r="B17" s="5">
        <v>0</v>
      </c>
      <c r="C17" s="5">
        <v>0</v>
      </c>
      <c r="D17" s="5">
        <v>3400</v>
      </c>
      <c r="E17" s="5">
        <v>0</v>
      </c>
      <c r="F17" s="5">
        <v>0</v>
      </c>
      <c r="G17" s="5">
        <v>0</v>
      </c>
      <c r="H17" s="5">
        <f t="shared" si="3"/>
        <v>3400</v>
      </c>
    </row>
    <row r="18" spans="1:8" ht="11.25">
      <c r="A18" s="3" t="s">
        <v>40</v>
      </c>
      <c r="B18" s="7">
        <f aca="true" t="shared" si="4" ref="B18:H18">SUM(B19:B26)</f>
        <v>0</v>
      </c>
      <c r="C18" s="7">
        <f t="shared" si="4"/>
        <v>9900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5750</v>
      </c>
      <c r="H18" s="7">
        <f t="shared" si="4"/>
        <v>15650</v>
      </c>
    </row>
    <row r="19" spans="1:8" ht="11.25">
      <c r="A19" s="4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f>2250+1500+2000</f>
        <v>5750</v>
      </c>
      <c r="H19" s="5">
        <f aca="true" t="shared" si="5" ref="H19:H26">SUM(B19:G19)</f>
        <v>5750</v>
      </c>
    </row>
    <row r="20" spans="1:8" ht="11.25">
      <c r="A20" s="4" t="s">
        <v>38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5"/>
        <v>0</v>
      </c>
    </row>
    <row r="21" spans="1:8" ht="11.25">
      <c r="A21" s="4" t="s">
        <v>63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5"/>
        <v>0</v>
      </c>
    </row>
    <row r="22" spans="1:8" ht="11.25">
      <c r="A22" s="4" t="s">
        <v>72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5"/>
        <v>0</v>
      </c>
    </row>
    <row r="23" spans="1:8" ht="11.25">
      <c r="A23" s="4" t="s">
        <v>39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5"/>
        <v>0</v>
      </c>
    </row>
    <row r="24" spans="1:8" ht="11.25">
      <c r="A24" s="4" t="s">
        <v>59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5"/>
        <v>0</v>
      </c>
    </row>
    <row r="25" spans="1:8" ht="11.25">
      <c r="A25" s="4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5"/>
        <v>0</v>
      </c>
    </row>
    <row r="26" spans="1:8" ht="11.25">
      <c r="A26" s="4" t="s">
        <v>45</v>
      </c>
      <c r="B26" s="5">
        <v>0</v>
      </c>
      <c r="C26" s="5">
        <v>9900</v>
      </c>
      <c r="D26" s="5">
        <v>0</v>
      </c>
      <c r="E26" s="5">
        <v>0</v>
      </c>
      <c r="F26" s="5">
        <v>0</v>
      </c>
      <c r="G26" s="5">
        <v>0</v>
      </c>
      <c r="H26" s="5">
        <f t="shared" si="5"/>
        <v>9900</v>
      </c>
    </row>
    <row r="27" spans="1:8" ht="11.25">
      <c r="A27" s="3" t="s">
        <v>23</v>
      </c>
      <c r="B27" s="7">
        <f aca="true" t="shared" si="6" ref="B27:H27">SUM(B28:B32)</f>
        <v>25900</v>
      </c>
      <c r="C27" s="7">
        <f t="shared" si="6"/>
        <v>25500</v>
      </c>
      <c r="D27" s="7">
        <f t="shared" si="6"/>
        <v>25500</v>
      </c>
      <c r="E27" s="7">
        <f t="shared" si="6"/>
        <v>25500</v>
      </c>
      <c r="F27" s="7">
        <f t="shared" si="6"/>
        <v>25780</v>
      </c>
      <c r="G27" s="7">
        <f t="shared" si="6"/>
        <v>25500</v>
      </c>
      <c r="H27" s="7">
        <f t="shared" si="6"/>
        <v>153680</v>
      </c>
    </row>
    <row r="28" spans="1:8" ht="11.25">
      <c r="A28" s="4" t="s">
        <v>24</v>
      </c>
      <c r="B28" s="5">
        <v>7500</v>
      </c>
      <c r="C28" s="5">
        <v>7500</v>
      </c>
      <c r="D28" s="5">
        <v>7500</v>
      </c>
      <c r="E28" s="5">
        <v>7500</v>
      </c>
      <c r="F28" s="5">
        <v>7500</v>
      </c>
      <c r="G28" s="5">
        <v>7500</v>
      </c>
      <c r="H28" s="5">
        <f>SUM(B28:G28)</f>
        <v>45000</v>
      </c>
    </row>
    <row r="29" spans="1:8" ht="11.25">
      <c r="A29" s="4" t="s">
        <v>7</v>
      </c>
      <c r="B29" s="5">
        <v>400</v>
      </c>
      <c r="C29" s="5">
        <v>0</v>
      </c>
      <c r="D29" s="5">
        <v>0</v>
      </c>
      <c r="E29" s="5">
        <v>0</v>
      </c>
      <c r="F29" s="5">
        <v>280</v>
      </c>
      <c r="G29" s="5">
        <v>0</v>
      </c>
      <c r="H29" s="5">
        <f>SUM(B29:G29)</f>
        <v>680</v>
      </c>
    </row>
    <row r="30" spans="1:8" ht="11.25">
      <c r="A30" s="4" t="s">
        <v>25</v>
      </c>
      <c r="B30" s="5">
        <v>8000</v>
      </c>
      <c r="C30" s="5">
        <v>8000</v>
      </c>
      <c r="D30" s="5">
        <v>8000</v>
      </c>
      <c r="E30" s="5">
        <v>8000</v>
      </c>
      <c r="F30" s="5">
        <v>8000</v>
      </c>
      <c r="G30" s="5">
        <v>8000</v>
      </c>
      <c r="H30" s="5">
        <f>SUM(B30:G30)</f>
        <v>48000</v>
      </c>
    </row>
    <row r="31" spans="1:8" ht="11.25">
      <c r="A31" s="4" t="s">
        <v>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SUM(B31:G31)</f>
        <v>0</v>
      </c>
    </row>
    <row r="32" spans="1:8" ht="11.25">
      <c r="A32" s="4" t="s">
        <v>46</v>
      </c>
      <c r="B32" s="5">
        <v>10000</v>
      </c>
      <c r="C32" s="5">
        <v>10000</v>
      </c>
      <c r="D32" s="5">
        <v>10000</v>
      </c>
      <c r="E32" s="5">
        <v>10000</v>
      </c>
      <c r="F32" s="5">
        <v>10000</v>
      </c>
      <c r="G32" s="5">
        <v>10000</v>
      </c>
      <c r="H32" s="5">
        <f>SUM(B32:G32)</f>
        <v>60000</v>
      </c>
    </row>
    <row r="33" spans="1:8" ht="11.25">
      <c r="A33" s="3" t="s">
        <v>32</v>
      </c>
      <c r="B33" s="7">
        <f aca="true" t="shared" si="7" ref="B33:H33">SUM(B34:B36)</f>
        <v>21229.74</v>
      </c>
      <c r="C33" s="7">
        <f t="shared" si="7"/>
        <v>21229.74</v>
      </c>
      <c r="D33" s="7">
        <f t="shared" si="7"/>
        <v>21229.74</v>
      </c>
      <c r="E33" s="7">
        <f t="shared" si="7"/>
        <v>21229.74</v>
      </c>
      <c r="F33" s="7">
        <f t="shared" si="7"/>
        <v>21229.74</v>
      </c>
      <c r="G33" s="7">
        <f t="shared" si="7"/>
        <v>21229.74</v>
      </c>
      <c r="H33" s="7">
        <f t="shared" si="7"/>
        <v>127378.44000000002</v>
      </c>
    </row>
    <row r="34" spans="1:8" ht="11.25">
      <c r="A34" s="4" t="s">
        <v>41</v>
      </c>
      <c r="B34" s="5">
        <v>18825.79</v>
      </c>
      <c r="C34" s="5">
        <v>18825.79</v>
      </c>
      <c r="D34" s="5">
        <v>18825.79</v>
      </c>
      <c r="E34" s="5">
        <v>18825.79</v>
      </c>
      <c r="F34" s="5">
        <v>18825.79</v>
      </c>
      <c r="G34" s="5">
        <v>18825.79</v>
      </c>
      <c r="H34" s="5">
        <f>SUM(B34:G34)</f>
        <v>112954.74000000002</v>
      </c>
    </row>
    <row r="35" spans="1:8" ht="11.25">
      <c r="A35" s="4" t="s">
        <v>18</v>
      </c>
      <c r="B35" s="5">
        <v>2403.95</v>
      </c>
      <c r="C35" s="5">
        <v>2403.95</v>
      </c>
      <c r="D35" s="5">
        <v>2403.95</v>
      </c>
      <c r="E35" s="5">
        <v>2403.95</v>
      </c>
      <c r="F35" s="5">
        <v>2403.95</v>
      </c>
      <c r="G35" s="5">
        <v>2403.95</v>
      </c>
      <c r="H35" s="5">
        <f>SUM(B35:G35)</f>
        <v>14423.7</v>
      </c>
    </row>
    <row r="36" spans="1:8" ht="11.25">
      <c r="A36" s="4" t="s">
        <v>58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f>SUM(B36:G36)</f>
        <v>0</v>
      </c>
    </row>
    <row r="37" spans="1:8" ht="11.25">
      <c r="A37" s="3" t="s">
        <v>22</v>
      </c>
      <c r="B37" s="7">
        <f aca="true" t="shared" si="8" ref="B37:G37">SUM(B38:B47)</f>
        <v>3620.833333333333</v>
      </c>
      <c r="C37" s="7">
        <f t="shared" si="8"/>
        <v>1562.5</v>
      </c>
      <c r="D37" s="7">
        <f t="shared" si="8"/>
        <v>2828.34</v>
      </c>
      <c r="E37" s="7">
        <f t="shared" si="8"/>
        <v>0</v>
      </c>
      <c r="F37" s="7">
        <f t="shared" si="8"/>
        <v>32630</v>
      </c>
      <c r="G37" s="7">
        <f t="shared" si="8"/>
        <v>25000</v>
      </c>
      <c r="H37" s="7">
        <f>SUM(H38:H47)</f>
        <v>65641.67333333334</v>
      </c>
    </row>
    <row r="38" spans="1:8" ht="11.25">
      <c r="A38" s="4" t="s">
        <v>9</v>
      </c>
      <c r="B38" s="5">
        <f>5000/4</f>
        <v>1250</v>
      </c>
      <c r="C38" s="5">
        <v>1562.5</v>
      </c>
      <c r="D38" s="5">
        <v>1562.5</v>
      </c>
      <c r="E38" s="5">
        <v>0</v>
      </c>
      <c r="F38" s="5">
        <v>0</v>
      </c>
      <c r="G38" s="5">
        <v>0</v>
      </c>
      <c r="H38" s="5">
        <f aca="true" t="shared" si="9" ref="H38:H47">SUM(B38:G38)</f>
        <v>4375</v>
      </c>
    </row>
    <row r="39" spans="1:8" ht="11.25">
      <c r="A39" s="4" t="s">
        <v>78</v>
      </c>
      <c r="B39" s="5">
        <v>0</v>
      </c>
      <c r="C39" s="5">
        <v>0</v>
      </c>
      <c r="D39" s="5">
        <v>0</v>
      </c>
      <c r="E39" s="5">
        <v>0</v>
      </c>
      <c r="F39" s="5">
        <v>27300</v>
      </c>
      <c r="G39" s="5">
        <v>0</v>
      </c>
      <c r="H39" s="5">
        <f t="shared" si="9"/>
        <v>27300</v>
      </c>
    </row>
    <row r="40" spans="1:8" ht="11.25">
      <c r="A40" s="4" t="s">
        <v>21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f t="shared" si="9"/>
        <v>0</v>
      </c>
    </row>
    <row r="41" spans="1:8" ht="11.25">
      <c r="A41" s="4" t="s">
        <v>73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f t="shared" si="9"/>
        <v>0</v>
      </c>
    </row>
    <row r="42" spans="1:8" ht="11.25">
      <c r="A42" s="4" t="s">
        <v>74</v>
      </c>
      <c r="B42" s="5">
        <f>3797.5/3+3315/3</f>
        <v>2370.833333333333</v>
      </c>
      <c r="C42" s="5">
        <v>0</v>
      </c>
      <c r="D42" s="5">
        <v>1265.84</v>
      </c>
      <c r="E42" s="5">
        <v>0</v>
      </c>
      <c r="F42" s="5">
        <v>0</v>
      </c>
      <c r="G42" s="5">
        <v>0</v>
      </c>
      <c r="H42" s="5">
        <f t="shared" si="9"/>
        <v>3636.673333333333</v>
      </c>
    </row>
    <row r="43" spans="1:8" ht="11.25">
      <c r="A43" s="4" t="s">
        <v>57</v>
      </c>
      <c r="B43" s="5">
        <v>0</v>
      </c>
      <c r="C43" s="5">
        <v>0</v>
      </c>
      <c r="D43" s="5">
        <v>0</v>
      </c>
      <c r="E43" s="5">
        <v>0</v>
      </c>
      <c r="F43" s="5">
        <f>30*5+18*10</f>
        <v>330</v>
      </c>
      <c r="G43" s="5">
        <v>0</v>
      </c>
      <c r="H43" s="5">
        <f t="shared" si="9"/>
        <v>330</v>
      </c>
    </row>
    <row r="44" spans="1:8" ht="11.25">
      <c r="A44" s="4" t="s">
        <v>71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3000</v>
      </c>
      <c r="H44" s="5">
        <f t="shared" si="9"/>
        <v>3000</v>
      </c>
    </row>
    <row r="45" spans="1:8" ht="11.25">
      <c r="A45" s="4" t="s">
        <v>55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f t="shared" si="9"/>
        <v>0</v>
      </c>
    </row>
    <row r="46" spans="1:8" ht="11.25">
      <c r="A46" s="4" t="s">
        <v>79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21000</v>
      </c>
      <c r="H46" s="5">
        <f t="shared" si="9"/>
        <v>21000</v>
      </c>
    </row>
    <row r="47" spans="1:8" ht="11.25">
      <c r="A47" s="4" t="s">
        <v>56</v>
      </c>
      <c r="B47" s="5">
        <v>0</v>
      </c>
      <c r="C47" s="5">
        <v>0</v>
      </c>
      <c r="D47" s="5">
        <v>0</v>
      </c>
      <c r="E47" s="5">
        <v>0</v>
      </c>
      <c r="F47" s="5">
        <v>5000</v>
      </c>
      <c r="G47" s="5">
        <v>1000</v>
      </c>
      <c r="H47" s="5">
        <f t="shared" si="9"/>
        <v>6000</v>
      </c>
    </row>
    <row r="48" spans="1:8" ht="11.25">
      <c r="A48" s="3" t="s">
        <v>33</v>
      </c>
      <c r="B48" s="7">
        <f aca="true" t="shared" si="10" ref="B48:G48">B49+B50</f>
        <v>0</v>
      </c>
      <c r="C48" s="7">
        <f t="shared" si="10"/>
        <v>0</v>
      </c>
      <c r="D48" s="7">
        <f t="shared" si="10"/>
        <v>0</v>
      </c>
      <c r="E48" s="7">
        <f t="shared" si="10"/>
        <v>0</v>
      </c>
      <c r="F48" s="7">
        <f t="shared" si="10"/>
        <v>0</v>
      </c>
      <c r="G48" s="7">
        <f t="shared" si="10"/>
        <v>0</v>
      </c>
      <c r="H48" s="7">
        <f>SUM(H49:H50)</f>
        <v>0</v>
      </c>
    </row>
    <row r="49" spans="1:8" ht="11.25">
      <c r="A49" s="4" t="s">
        <v>19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>SUM(B49:G49)</f>
        <v>0</v>
      </c>
    </row>
    <row r="50" spans="1:8" ht="11.25">
      <c r="A50" s="4" t="s">
        <v>60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f>SUM(B50:G50)</f>
        <v>0</v>
      </c>
    </row>
    <row r="51" spans="1:8" ht="11.25">
      <c r="A51" s="3" t="s">
        <v>47</v>
      </c>
      <c r="B51" s="7">
        <f aca="true" t="shared" si="11" ref="B51:H51">B52</f>
        <v>0</v>
      </c>
      <c r="C51" s="7">
        <f t="shared" si="11"/>
        <v>0</v>
      </c>
      <c r="D51" s="7">
        <f t="shared" si="11"/>
        <v>0</v>
      </c>
      <c r="E51" s="7">
        <f t="shared" si="11"/>
        <v>0</v>
      </c>
      <c r="F51" s="7">
        <f t="shared" si="11"/>
        <v>0</v>
      </c>
      <c r="G51" s="7">
        <f t="shared" si="11"/>
        <v>0</v>
      </c>
      <c r="H51" s="7">
        <f t="shared" si="11"/>
        <v>0</v>
      </c>
    </row>
    <row r="52" spans="1:8" ht="11.25">
      <c r="A52" s="4" t="s">
        <v>17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f>SUM(B52:G52)</f>
        <v>0</v>
      </c>
    </row>
    <row r="53" spans="1:8" ht="11.25">
      <c r="A53" s="3" t="s">
        <v>42</v>
      </c>
      <c r="B53" s="7">
        <f aca="true" t="shared" si="12" ref="B53:H53">SUM(B54:B61)</f>
        <v>58948.487799999995</v>
      </c>
      <c r="C53" s="7">
        <f t="shared" si="12"/>
        <v>54487.892799999994</v>
      </c>
      <c r="D53" s="7">
        <f t="shared" si="12"/>
        <v>56467.5828</v>
      </c>
      <c r="E53" s="7">
        <f t="shared" si="12"/>
        <v>56342.142799999994</v>
      </c>
      <c r="F53" s="7">
        <f t="shared" si="12"/>
        <v>57466.10279999999</v>
      </c>
      <c r="G53" s="7">
        <f t="shared" si="12"/>
        <v>38391.46000000001</v>
      </c>
      <c r="H53" s="7">
        <f t="shared" si="12"/>
        <v>322103.669</v>
      </c>
    </row>
    <row r="54" spans="1:8" ht="11.25">
      <c r="A54" s="4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f aca="true" t="shared" si="13" ref="H54:H61">SUM(B54:G54)</f>
        <v>0</v>
      </c>
    </row>
    <row r="55" spans="1:8" ht="11.25">
      <c r="A55" s="4" t="s">
        <v>43</v>
      </c>
      <c r="B55" s="5">
        <v>2767.42</v>
      </c>
      <c r="C55" s="5">
        <v>3034.55</v>
      </c>
      <c r="D55" s="5">
        <v>2260.42</v>
      </c>
      <c r="E55" s="5">
        <v>2339.47</v>
      </c>
      <c r="F55" s="5">
        <v>2549.34</v>
      </c>
      <c r="G55" s="5">
        <v>2470.3</v>
      </c>
      <c r="H55" s="5">
        <f t="shared" si="13"/>
        <v>15421.5</v>
      </c>
    </row>
    <row r="56" spans="1:8" ht="11.25">
      <c r="A56" s="4" t="s">
        <v>68</v>
      </c>
      <c r="B56" s="5">
        <v>500</v>
      </c>
      <c r="C56" s="5">
        <v>500</v>
      </c>
      <c r="D56" s="5">
        <v>500</v>
      </c>
      <c r="E56" s="5">
        <v>500</v>
      </c>
      <c r="F56" s="5">
        <v>500</v>
      </c>
      <c r="G56" s="5">
        <v>500</v>
      </c>
      <c r="H56" s="5">
        <f t="shared" si="13"/>
        <v>3000</v>
      </c>
    </row>
    <row r="57" spans="1:8" ht="11.25">
      <c r="A57" s="4" t="s">
        <v>69</v>
      </c>
      <c r="B57" s="5">
        <v>9025</v>
      </c>
      <c r="C57" s="5">
        <v>9025</v>
      </c>
      <c r="D57" s="5">
        <v>9025</v>
      </c>
      <c r="E57" s="5">
        <v>9025</v>
      </c>
      <c r="F57" s="5">
        <v>9025</v>
      </c>
      <c r="G57" s="5">
        <v>9025</v>
      </c>
      <c r="H57" s="5">
        <f t="shared" si="13"/>
        <v>54150</v>
      </c>
    </row>
    <row r="58" spans="1:8" ht="11.25">
      <c r="A58" s="4" t="s">
        <v>89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f t="shared" si="13"/>
        <v>0</v>
      </c>
    </row>
    <row r="59" spans="1:8" ht="11.25">
      <c r="A59" s="4" t="s">
        <v>44</v>
      </c>
      <c r="B59" s="5">
        <f>198.75/2</f>
        <v>99.375</v>
      </c>
      <c r="C59" s="5">
        <f>200.98/2</f>
        <v>100.49</v>
      </c>
      <c r="D59" s="5">
        <f>320.38/2</f>
        <v>160.19</v>
      </c>
      <c r="E59" s="5">
        <v>134.68</v>
      </c>
      <c r="F59" s="5">
        <v>182.13</v>
      </c>
      <c r="G59" s="5">
        <v>154.28</v>
      </c>
      <c r="H59" s="5">
        <f t="shared" si="13"/>
        <v>831.145</v>
      </c>
    </row>
    <row r="60" spans="1:8" ht="11.25">
      <c r="A60" s="4" t="s">
        <v>80</v>
      </c>
      <c r="B60" s="5">
        <f>708*9.42</f>
        <v>6669.36</v>
      </c>
      <c r="C60" s="5">
        <f>206*9.42</f>
        <v>1940.52</v>
      </c>
      <c r="D60" s="5">
        <f>492*9.42</f>
        <v>4634.64</v>
      </c>
      <c r="E60" s="5">
        <f>473*9.42</f>
        <v>4455.66</v>
      </c>
      <c r="F60" s="5">
        <f>565*9.42</f>
        <v>5322.3</v>
      </c>
      <c r="G60" s="5">
        <f>596*9.42</f>
        <v>5614.32</v>
      </c>
      <c r="H60" s="5">
        <f t="shared" si="13"/>
        <v>28636.8</v>
      </c>
    </row>
    <row r="61" spans="1:8" ht="11.25">
      <c r="A61" s="4" t="s">
        <v>81</v>
      </c>
      <c r="B61" s="5">
        <f>1152.48*34.61</f>
        <v>39887.3328</v>
      </c>
      <c r="C61" s="5">
        <f>1152.48*34.61</f>
        <v>39887.3328</v>
      </c>
      <c r="D61" s="5">
        <f>1152.48*34.61</f>
        <v>39887.3328</v>
      </c>
      <c r="E61" s="5">
        <f>1152.48*34.61</f>
        <v>39887.3328</v>
      </c>
      <c r="F61" s="5">
        <f>1152.48*34.61</f>
        <v>39887.3328</v>
      </c>
      <c r="G61" s="5">
        <f>596*34.61</f>
        <v>20627.56</v>
      </c>
      <c r="H61" s="5">
        <f t="shared" si="13"/>
        <v>220064.224</v>
      </c>
    </row>
    <row r="62" spans="1:8" ht="11.25">
      <c r="A62" s="3" t="s">
        <v>75</v>
      </c>
      <c r="B62" s="7">
        <f aca="true" t="shared" si="14" ref="B62:G62">4481.6*5</f>
        <v>22408</v>
      </c>
      <c r="C62" s="7">
        <f t="shared" si="14"/>
        <v>22408</v>
      </c>
      <c r="D62" s="7">
        <f t="shared" si="14"/>
        <v>22408</v>
      </c>
      <c r="E62" s="7">
        <f t="shared" si="14"/>
        <v>22408</v>
      </c>
      <c r="F62" s="7">
        <f t="shared" si="14"/>
        <v>22408</v>
      </c>
      <c r="G62" s="7">
        <f t="shared" si="14"/>
        <v>22408</v>
      </c>
      <c r="H62" s="5"/>
    </row>
    <row r="63" spans="1:8" ht="11.25">
      <c r="A63" s="3" t="s">
        <v>48</v>
      </c>
      <c r="B63" s="7">
        <f aca="true" t="shared" si="15" ref="B63:H63">SUM(B64:B77)</f>
        <v>22408</v>
      </c>
      <c r="C63" s="7">
        <f t="shared" si="15"/>
        <v>22408</v>
      </c>
      <c r="D63" s="7">
        <f t="shared" si="15"/>
        <v>22408</v>
      </c>
      <c r="E63" s="7">
        <f t="shared" si="15"/>
        <v>22408</v>
      </c>
      <c r="F63" s="7">
        <f t="shared" si="15"/>
        <v>22408</v>
      </c>
      <c r="G63" s="7">
        <f t="shared" si="15"/>
        <v>22408</v>
      </c>
      <c r="H63" s="7">
        <f t="shared" si="15"/>
        <v>134448</v>
      </c>
    </row>
    <row r="64" spans="1:8" ht="11.25">
      <c r="A64" s="4" t="s">
        <v>50</v>
      </c>
      <c r="B64" s="5">
        <v>1927.09</v>
      </c>
      <c r="C64" s="5">
        <v>1927.09</v>
      </c>
      <c r="D64" s="5">
        <v>1927.09</v>
      </c>
      <c r="E64" s="5">
        <v>1927.09</v>
      </c>
      <c r="F64" s="5">
        <v>1927.09</v>
      </c>
      <c r="G64" s="5">
        <v>1927.09</v>
      </c>
      <c r="H64" s="5">
        <f aca="true" t="shared" si="16" ref="H64:H77">SUM(B64:G64)</f>
        <v>11562.539999999999</v>
      </c>
    </row>
    <row r="65" spans="1:8" ht="11.25">
      <c r="A65" s="4" t="s">
        <v>49</v>
      </c>
      <c r="B65" s="5">
        <v>1330</v>
      </c>
      <c r="C65" s="5">
        <v>1330</v>
      </c>
      <c r="D65" s="5">
        <v>1330</v>
      </c>
      <c r="E65" s="5">
        <v>1330</v>
      </c>
      <c r="F65" s="5">
        <v>1330</v>
      </c>
      <c r="G65" s="5">
        <v>1330</v>
      </c>
      <c r="H65" s="5">
        <f t="shared" si="16"/>
        <v>7980</v>
      </c>
    </row>
    <row r="66" spans="1:8" ht="11.25">
      <c r="A66" s="4" t="s">
        <v>35</v>
      </c>
      <c r="B66" s="5">
        <v>150</v>
      </c>
      <c r="C66" s="5">
        <v>150</v>
      </c>
      <c r="D66" s="5">
        <v>150</v>
      </c>
      <c r="E66" s="5">
        <v>150</v>
      </c>
      <c r="F66" s="5">
        <v>150</v>
      </c>
      <c r="G66" s="5">
        <v>150</v>
      </c>
      <c r="H66" s="5">
        <f t="shared" si="16"/>
        <v>900</v>
      </c>
    </row>
    <row r="67" spans="1:8" ht="11.25">
      <c r="A67" s="4" t="s">
        <v>62</v>
      </c>
      <c r="B67" s="5">
        <v>500</v>
      </c>
      <c r="C67" s="5">
        <v>500</v>
      </c>
      <c r="D67" s="5">
        <v>500</v>
      </c>
      <c r="E67" s="5">
        <v>500</v>
      </c>
      <c r="F67" s="5">
        <v>500</v>
      </c>
      <c r="G67" s="5">
        <v>500</v>
      </c>
      <c r="H67" s="5">
        <f t="shared" si="16"/>
        <v>3000</v>
      </c>
    </row>
    <row r="68" spans="1:8" ht="11.25">
      <c r="A68" s="4" t="s">
        <v>64</v>
      </c>
      <c r="B68" s="5">
        <v>328.69</v>
      </c>
      <c r="C68" s="5">
        <v>375.18</v>
      </c>
      <c r="D68" s="5">
        <v>375.18</v>
      </c>
      <c r="E68" s="5">
        <v>316.42</v>
      </c>
      <c r="F68" s="5">
        <v>298.88</v>
      </c>
      <c r="G68" s="5">
        <v>232.82</v>
      </c>
      <c r="H68" s="5">
        <f t="shared" si="16"/>
        <v>1927.1699999999998</v>
      </c>
    </row>
    <row r="69" spans="1:8" ht="11.25">
      <c r="A69" s="4" t="s">
        <v>67</v>
      </c>
      <c r="B69" s="5">
        <v>110</v>
      </c>
      <c r="C69" s="5">
        <v>110</v>
      </c>
      <c r="D69" s="5">
        <v>110</v>
      </c>
      <c r="E69" s="5">
        <v>110</v>
      </c>
      <c r="F69" s="5">
        <v>110</v>
      </c>
      <c r="G69" s="5">
        <v>110</v>
      </c>
      <c r="H69" s="5">
        <f t="shared" si="16"/>
        <v>660</v>
      </c>
    </row>
    <row r="70" spans="1:8" ht="11.25">
      <c r="A70" s="4" t="s">
        <v>51</v>
      </c>
      <c r="B70" s="5">
        <v>165</v>
      </c>
      <c r="C70" s="5">
        <v>165</v>
      </c>
      <c r="D70" s="5">
        <v>165</v>
      </c>
      <c r="E70" s="5">
        <v>165</v>
      </c>
      <c r="F70" s="5">
        <v>165</v>
      </c>
      <c r="G70" s="5">
        <v>165</v>
      </c>
      <c r="H70" s="5">
        <f t="shared" si="16"/>
        <v>990</v>
      </c>
    </row>
    <row r="71" spans="1:8" ht="11.25">
      <c r="A71" s="4" t="s">
        <v>52</v>
      </c>
      <c r="B71" s="5">
        <v>1954.85</v>
      </c>
      <c r="C71" s="5">
        <v>1929.63</v>
      </c>
      <c r="D71" s="5">
        <v>1921.66</v>
      </c>
      <c r="E71" s="5">
        <v>1906.16</v>
      </c>
      <c r="F71" s="5">
        <v>1925.42</v>
      </c>
      <c r="G71" s="5">
        <v>1930.93</v>
      </c>
      <c r="H71" s="5">
        <f t="shared" si="16"/>
        <v>11568.650000000001</v>
      </c>
    </row>
    <row r="72" spans="1:8" ht="11.25">
      <c r="A72" s="4" t="s">
        <v>14</v>
      </c>
      <c r="B72" s="5">
        <v>7607.4</v>
      </c>
      <c r="C72" s="5">
        <v>7586.13</v>
      </c>
      <c r="D72" s="5">
        <f>7969.28-375.18</f>
        <v>7594.099999999999</v>
      </c>
      <c r="E72" s="5">
        <f>7984.78-316.42</f>
        <v>7668.36</v>
      </c>
      <c r="F72" s="5">
        <f>7965.52-298.88</f>
        <v>7666.64</v>
      </c>
      <c r="G72" s="5">
        <f>7960.01-232.82</f>
        <v>7727.1900000000005</v>
      </c>
      <c r="H72" s="5">
        <f t="shared" si="16"/>
        <v>45849.82</v>
      </c>
    </row>
    <row r="73" spans="1:8" ht="11.25">
      <c r="A73" s="4" t="s">
        <v>70</v>
      </c>
      <c r="B73" s="5">
        <v>550</v>
      </c>
      <c r="C73" s="5">
        <v>550</v>
      </c>
      <c r="D73" s="5">
        <v>550</v>
      </c>
      <c r="E73" s="5">
        <v>550</v>
      </c>
      <c r="F73" s="5">
        <v>550</v>
      </c>
      <c r="G73" s="5">
        <v>550</v>
      </c>
      <c r="H73" s="5">
        <f t="shared" si="16"/>
        <v>3300</v>
      </c>
    </row>
    <row r="74" spans="1:8" ht="11.25">
      <c r="A74" s="4" t="s">
        <v>65</v>
      </c>
      <c r="B74" s="5">
        <v>450</v>
      </c>
      <c r="C74" s="5">
        <v>450</v>
      </c>
      <c r="D74" s="5">
        <v>450</v>
      </c>
      <c r="E74" s="5">
        <v>450</v>
      </c>
      <c r="F74" s="5">
        <v>450</v>
      </c>
      <c r="G74" s="5">
        <v>450</v>
      </c>
      <c r="H74" s="5">
        <f t="shared" si="16"/>
        <v>2700</v>
      </c>
    </row>
    <row r="75" spans="1:8" ht="11.25">
      <c r="A75" s="4" t="s">
        <v>66</v>
      </c>
      <c r="B75" s="5">
        <v>350</v>
      </c>
      <c r="C75" s="5">
        <v>350</v>
      </c>
      <c r="D75" s="5">
        <v>350</v>
      </c>
      <c r="E75" s="5">
        <v>350</v>
      </c>
      <c r="F75" s="5">
        <v>350</v>
      </c>
      <c r="G75" s="5">
        <v>350</v>
      </c>
      <c r="H75" s="5">
        <f t="shared" si="16"/>
        <v>2100</v>
      </c>
    </row>
    <row r="76" spans="1:8" ht="11.25">
      <c r="A76" s="4" t="s">
        <v>53</v>
      </c>
      <c r="B76" s="5">
        <v>6000</v>
      </c>
      <c r="C76" s="5">
        <v>6000</v>
      </c>
      <c r="D76" s="5">
        <v>6000</v>
      </c>
      <c r="E76" s="5">
        <v>6000</v>
      </c>
      <c r="F76" s="5">
        <v>6000</v>
      </c>
      <c r="G76" s="5">
        <v>6000</v>
      </c>
      <c r="H76" s="5">
        <f t="shared" si="16"/>
        <v>36000</v>
      </c>
    </row>
    <row r="77" spans="1:8" ht="11.25">
      <c r="A77" s="4" t="s">
        <v>36</v>
      </c>
      <c r="B77" s="5">
        <v>984.97</v>
      </c>
      <c r="C77" s="5">
        <v>984.97</v>
      </c>
      <c r="D77" s="5">
        <v>984.97</v>
      </c>
      <c r="E77" s="5">
        <v>984.97</v>
      </c>
      <c r="F77" s="5">
        <v>984.97</v>
      </c>
      <c r="G77" s="5">
        <v>984.97</v>
      </c>
      <c r="H77" s="5">
        <f t="shared" si="16"/>
        <v>5909.820000000001</v>
      </c>
    </row>
    <row r="78" spans="1:8" ht="11.25">
      <c r="A78" s="3" t="s">
        <v>15</v>
      </c>
      <c r="B78" s="7">
        <f aca="true" t="shared" si="17" ref="B78:H78">B4+B11+B18+B27+B33+B37+B48+B51+B53+B63</f>
        <v>146746.56113333334</v>
      </c>
      <c r="C78" s="7">
        <f t="shared" si="17"/>
        <v>163067.2228</v>
      </c>
      <c r="D78" s="7">
        <f t="shared" si="17"/>
        <v>149894.1628</v>
      </c>
      <c r="E78" s="7">
        <f t="shared" si="17"/>
        <v>140061.3828</v>
      </c>
      <c r="F78" s="7">
        <f t="shared" si="17"/>
        <v>174830.34279999998</v>
      </c>
      <c r="G78" s="7">
        <f t="shared" si="17"/>
        <v>158308.7</v>
      </c>
      <c r="H78" s="7">
        <f t="shared" si="17"/>
        <v>932908.3723333334</v>
      </c>
    </row>
    <row r="80" spans="1:8" ht="11.25">
      <c r="A80" s="4" t="s">
        <v>82</v>
      </c>
      <c r="B80" s="5">
        <v>178206.35</v>
      </c>
      <c r="C80" s="5">
        <v>178620.63</v>
      </c>
      <c r="D80" s="5">
        <v>175825.64</v>
      </c>
      <c r="E80" s="5">
        <v>179790.87</v>
      </c>
      <c r="F80" s="5">
        <v>180054.17</v>
      </c>
      <c r="G80" s="5">
        <v>149690.97</v>
      </c>
      <c r="H80" s="5">
        <f>SUM(B80:G80)</f>
        <v>1042188.63</v>
      </c>
    </row>
    <row r="81" spans="1:8" ht="11.25">
      <c r="A81" s="4" t="s">
        <v>83</v>
      </c>
      <c r="B81" s="5">
        <v>207099.71</v>
      </c>
      <c r="C81" s="5">
        <v>152673.54</v>
      </c>
      <c r="D81" s="5">
        <v>151650.18</v>
      </c>
      <c r="E81" s="5">
        <v>169623.68</v>
      </c>
      <c r="F81" s="5">
        <v>168171.83</v>
      </c>
      <c r="G81" s="5">
        <v>184387.02</v>
      </c>
      <c r="H81" s="5">
        <f>SUM(B81:G81)</f>
        <v>1033605.96</v>
      </c>
    </row>
    <row r="82" spans="1:8" ht="11.25">
      <c r="A82" s="4" t="s">
        <v>84</v>
      </c>
      <c r="B82" s="5">
        <v>94.14</v>
      </c>
      <c r="C82" s="5">
        <v>93.58</v>
      </c>
      <c r="D82" s="5">
        <v>93.74</v>
      </c>
      <c r="E82" s="5">
        <v>93.73</v>
      </c>
      <c r="F82" s="5">
        <v>94.18</v>
      </c>
      <c r="G82" s="4">
        <v>90.32</v>
      </c>
      <c r="H82" s="4"/>
    </row>
    <row r="83" spans="1:8" ht="11.25">
      <c r="A83" s="8" t="s">
        <v>85</v>
      </c>
      <c r="B83" s="9">
        <f aca="true" t="shared" si="18" ref="B83:G83">B78</f>
        <v>146746.56113333334</v>
      </c>
      <c r="C83" s="9">
        <f t="shared" si="18"/>
        <v>163067.2228</v>
      </c>
      <c r="D83" s="9">
        <f t="shared" si="18"/>
        <v>149894.1628</v>
      </c>
      <c r="E83" s="9">
        <f t="shared" si="18"/>
        <v>140061.3828</v>
      </c>
      <c r="F83" s="9">
        <f t="shared" si="18"/>
        <v>174830.34279999998</v>
      </c>
      <c r="G83" s="9">
        <f t="shared" si="18"/>
        <v>158308.7</v>
      </c>
      <c r="H83" s="5">
        <f>SUM(B83:G83)</f>
        <v>932908.3723333334</v>
      </c>
    </row>
    <row r="84" spans="1:8" ht="11.25">
      <c r="A84" s="4" t="s">
        <v>86</v>
      </c>
      <c r="B84" s="10"/>
      <c r="C84" s="10"/>
      <c r="D84" s="10"/>
      <c r="E84" s="10"/>
      <c r="F84" s="10"/>
      <c r="G84" s="10"/>
      <c r="H84" s="5">
        <v>-123259.71</v>
      </c>
    </row>
    <row r="85" spans="1:8" ht="11.25">
      <c r="A85" s="4" t="s">
        <v>87</v>
      </c>
      <c r="B85" s="10"/>
      <c r="C85" s="10"/>
      <c r="D85" s="10"/>
      <c r="E85" s="10"/>
      <c r="F85" s="10"/>
      <c r="G85" s="10"/>
      <c r="H85" s="5">
        <f>H81-H83</f>
        <v>100697.5876666666</v>
      </c>
    </row>
    <row r="86" spans="1:8" ht="11.25">
      <c r="A86" s="4" t="s">
        <v>88</v>
      </c>
      <c r="B86" s="11"/>
      <c r="C86" s="11"/>
      <c r="D86" s="11"/>
      <c r="E86" s="11"/>
      <c r="F86" s="11"/>
      <c r="G86" s="11"/>
      <c r="H86" s="5">
        <f>H84+H85</f>
        <v>-22562.122333333406</v>
      </c>
    </row>
    <row r="88" ht="11.25">
      <c r="H88" s="6"/>
    </row>
  </sheetData>
  <printOptions/>
  <pageMargins left="0.43" right="0.37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5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O18" sqref="O18"/>
    </sheetView>
  </sheetViews>
  <sheetFormatPr defaultColWidth="9.00390625" defaultRowHeight="12.75"/>
  <cols>
    <col min="1" max="1" width="31.25390625" style="2" customWidth="1"/>
    <col min="2" max="9" width="8.875" style="2" customWidth="1"/>
    <col min="10" max="10" width="9.75390625" style="2" customWidth="1"/>
    <col min="11" max="16384" width="9.125" style="2" customWidth="1"/>
  </cols>
  <sheetData>
    <row r="1" spans="1:10" ht="11.25">
      <c r="A1" s="1" t="s">
        <v>122</v>
      </c>
      <c r="B1" s="1"/>
      <c r="C1" s="1"/>
      <c r="D1" s="1" t="s">
        <v>76</v>
      </c>
      <c r="E1" s="1"/>
      <c r="F1" s="1"/>
      <c r="G1" s="1"/>
      <c r="H1" s="1"/>
      <c r="I1" s="1"/>
      <c r="J1" s="1"/>
    </row>
    <row r="2" spans="1:10" ht="11.25">
      <c r="A2" s="3"/>
      <c r="B2" s="3" t="s">
        <v>123</v>
      </c>
      <c r="C2" s="3" t="s">
        <v>124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16</v>
      </c>
    </row>
    <row r="3" spans="1:10" ht="11.25">
      <c r="A3" s="3" t="s">
        <v>26</v>
      </c>
      <c r="B3" s="7">
        <f>SUM(B4:B9)</f>
        <v>8525</v>
      </c>
      <c r="C3" s="7">
        <f aca="true" t="shared" si="0" ref="C3:I3">SUM(C4:C9)</f>
        <v>6000</v>
      </c>
      <c r="D3" s="7">
        <f t="shared" si="0"/>
        <v>13167</v>
      </c>
      <c r="E3" s="7">
        <f t="shared" si="0"/>
        <v>6250</v>
      </c>
      <c r="F3" s="7">
        <f t="shared" si="0"/>
        <v>15055</v>
      </c>
      <c r="G3" s="7">
        <f t="shared" si="0"/>
        <v>6600</v>
      </c>
      <c r="H3" s="7">
        <f t="shared" si="0"/>
        <v>6250</v>
      </c>
      <c r="I3" s="7">
        <f t="shared" si="0"/>
        <v>8481.03</v>
      </c>
      <c r="J3" s="7">
        <f>SUM(J4:J9)</f>
        <v>70328.03</v>
      </c>
    </row>
    <row r="4" spans="1:10" ht="11.25">
      <c r="A4" s="4" t="s">
        <v>125</v>
      </c>
      <c r="B4" s="5">
        <v>5000</v>
      </c>
      <c r="C4" s="5">
        <v>5000</v>
      </c>
      <c r="D4" s="5">
        <v>5000</v>
      </c>
      <c r="E4" s="5">
        <v>5000</v>
      </c>
      <c r="F4" s="5">
        <v>5000</v>
      </c>
      <c r="G4" s="5">
        <v>5000</v>
      </c>
      <c r="H4" s="5">
        <v>5000</v>
      </c>
      <c r="I4" s="5">
        <v>5000</v>
      </c>
      <c r="J4" s="5">
        <f aca="true" t="shared" si="1" ref="J4:J9">SUM(B4:I4)</f>
        <v>40000</v>
      </c>
    </row>
    <row r="5" spans="1:10" ht="11.25">
      <c r="A5" s="4" t="s">
        <v>77</v>
      </c>
      <c r="B5" s="5">
        <v>1000</v>
      </c>
      <c r="C5" s="5">
        <v>1000</v>
      </c>
      <c r="D5" s="5">
        <v>1000</v>
      </c>
      <c r="E5" s="5">
        <v>1000</v>
      </c>
      <c r="F5" s="5">
        <v>1000</v>
      </c>
      <c r="G5" s="5">
        <v>1000</v>
      </c>
      <c r="H5" s="5">
        <v>1000</v>
      </c>
      <c r="I5" s="5">
        <v>1000</v>
      </c>
      <c r="J5" s="5">
        <f t="shared" si="1"/>
        <v>8000</v>
      </c>
    </row>
    <row r="6" spans="1:10" ht="11.25">
      <c r="A6" s="4" t="s">
        <v>31</v>
      </c>
      <c r="B6" s="5">
        <v>0</v>
      </c>
      <c r="C6" s="5">
        <v>0</v>
      </c>
      <c r="D6" s="5">
        <v>120</v>
      </c>
      <c r="E6" s="5">
        <v>120</v>
      </c>
      <c r="F6" s="5">
        <v>120</v>
      </c>
      <c r="G6" s="5">
        <v>120</v>
      </c>
      <c r="H6" s="5">
        <v>120</v>
      </c>
      <c r="I6" s="5">
        <v>120</v>
      </c>
      <c r="J6" s="5">
        <f t="shared" si="1"/>
        <v>720</v>
      </c>
    </row>
    <row r="7" spans="1:10" ht="11.25">
      <c r="A7" s="4" t="s">
        <v>54</v>
      </c>
      <c r="B7" s="5">
        <v>0</v>
      </c>
      <c r="C7" s="5">
        <v>0</v>
      </c>
      <c r="D7" s="5">
        <v>130</v>
      </c>
      <c r="E7" s="5">
        <v>130</v>
      </c>
      <c r="F7" s="5">
        <f>415+130</f>
        <v>545</v>
      </c>
      <c r="G7" s="5">
        <v>130</v>
      </c>
      <c r="H7" s="5">
        <v>130</v>
      </c>
      <c r="I7" s="5">
        <v>130</v>
      </c>
      <c r="J7" s="5">
        <f t="shared" si="1"/>
        <v>1195</v>
      </c>
    </row>
    <row r="8" spans="1:10" ht="11.25">
      <c r="A8" s="4" t="s">
        <v>10</v>
      </c>
      <c r="B8" s="5">
        <f>3*95+840+500</f>
        <v>1625</v>
      </c>
      <c r="C8" s="5">
        <v>0</v>
      </c>
      <c r="D8" s="5">
        <f>370+3313+3119+115</f>
        <v>6917</v>
      </c>
      <c r="E8" s="5">
        <v>0</v>
      </c>
      <c r="F8" s="5">
        <f>1600+1940+50</f>
        <v>3590</v>
      </c>
      <c r="G8" s="5">
        <v>350</v>
      </c>
      <c r="H8" s="5">
        <v>0</v>
      </c>
      <c r="I8" s="5">
        <v>2231.03</v>
      </c>
      <c r="J8" s="5">
        <f t="shared" si="1"/>
        <v>14713.03</v>
      </c>
    </row>
    <row r="9" spans="1:10" ht="11.25">
      <c r="A9" s="4" t="s">
        <v>11</v>
      </c>
      <c r="B9" s="5">
        <v>900</v>
      </c>
      <c r="C9" s="5">
        <v>0</v>
      </c>
      <c r="D9" s="5">
        <v>0</v>
      </c>
      <c r="E9" s="5">
        <v>0</v>
      </c>
      <c r="F9" s="5">
        <v>4800</v>
      </c>
      <c r="G9" s="5">
        <v>0</v>
      </c>
      <c r="H9" s="5">
        <v>0</v>
      </c>
      <c r="I9" s="5">
        <v>0</v>
      </c>
      <c r="J9" s="5">
        <f t="shared" si="1"/>
        <v>5700</v>
      </c>
    </row>
    <row r="10" spans="1:10" ht="11.25">
      <c r="A10" s="3" t="s">
        <v>28</v>
      </c>
      <c r="B10" s="7">
        <f>SUM(B11:B16)</f>
        <v>6000</v>
      </c>
      <c r="C10" s="7">
        <f aca="true" t="shared" si="2" ref="C10:I10">SUM(C11:C16)</f>
        <v>6000</v>
      </c>
      <c r="D10" s="7">
        <f t="shared" si="2"/>
        <v>10068</v>
      </c>
      <c r="E10" s="7">
        <f t="shared" si="2"/>
        <v>6000</v>
      </c>
      <c r="F10" s="7">
        <f t="shared" si="2"/>
        <v>7520</v>
      </c>
      <c r="G10" s="7">
        <f t="shared" si="2"/>
        <v>6000</v>
      </c>
      <c r="H10" s="7">
        <f t="shared" si="2"/>
        <v>6000</v>
      </c>
      <c r="I10" s="7">
        <f t="shared" si="2"/>
        <v>6000</v>
      </c>
      <c r="J10" s="7">
        <f>SUM(J11:J16)</f>
        <v>53588</v>
      </c>
    </row>
    <row r="11" spans="1:10" ht="11.25">
      <c r="A11" s="4" t="s">
        <v>126</v>
      </c>
      <c r="B11" s="5">
        <v>5000</v>
      </c>
      <c r="C11" s="5">
        <v>5000</v>
      </c>
      <c r="D11" s="5">
        <v>5000</v>
      </c>
      <c r="E11" s="5">
        <v>5000</v>
      </c>
      <c r="F11" s="5">
        <v>5000</v>
      </c>
      <c r="G11" s="5">
        <v>5000</v>
      </c>
      <c r="H11" s="5">
        <v>5000</v>
      </c>
      <c r="I11" s="5">
        <v>5000</v>
      </c>
      <c r="J11" s="5">
        <f aca="true" t="shared" si="3" ref="J11:J16">SUM(B11:I11)</f>
        <v>40000</v>
      </c>
    </row>
    <row r="12" spans="1:10" ht="11.25">
      <c r="A12" s="4" t="s">
        <v>77</v>
      </c>
      <c r="B12" s="5">
        <v>1000</v>
      </c>
      <c r="C12" s="5">
        <v>1000</v>
      </c>
      <c r="D12" s="5">
        <v>1000</v>
      </c>
      <c r="E12" s="5">
        <v>1000</v>
      </c>
      <c r="F12" s="5">
        <v>1000</v>
      </c>
      <c r="G12" s="5">
        <v>1000</v>
      </c>
      <c r="H12" s="5">
        <v>1000</v>
      </c>
      <c r="I12" s="5">
        <v>1000</v>
      </c>
      <c r="J12" s="5">
        <f t="shared" si="3"/>
        <v>8000</v>
      </c>
    </row>
    <row r="13" spans="1:10" ht="11.25">
      <c r="A13" s="4" t="s">
        <v>31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3"/>
        <v>0</v>
      </c>
    </row>
    <row r="14" spans="1:10" ht="11.25">
      <c r="A14" s="4" t="s">
        <v>54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3"/>
        <v>0</v>
      </c>
    </row>
    <row r="15" spans="1:10" ht="11.25">
      <c r="A15" s="4" t="s">
        <v>12</v>
      </c>
      <c r="B15" s="5">
        <v>0</v>
      </c>
      <c r="C15" s="5">
        <v>0</v>
      </c>
      <c r="D15" s="5">
        <f>260+260+1500+260+1500+19+19+250</f>
        <v>4068</v>
      </c>
      <c r="E15" s="5">
        <v>0</v>
      </c>
      <c r="F15" s="5">
        <f>20+1500</f>
        <v>1520</v>
      </c>
      <c r="G15" s="5">
        <v>0</v>
      </c>
      <c r="H15" s="5">
        <v>0</v>
      </c>
      <c r="I15" s="5">
        <v>0</v>
      </c>
      <c r="J15" s="5">
        <f t="shared" si="3"/>
        <v>5588</v>
      </c>
    </row>
    <row r="16" spans="1:10" ht="11.25">
      <c r="A16" s="4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 t="shared" si="3"/>
        <v>0</v>
      </c>
    </row>
    <row r="17" spans="1:10" ht="11.25">
      <c r="A17" s="3" t="s">
        <v>23</v>
      </c>
      <c r="B17" s="7">
        <f>SUM(B18:B21)</f>
        <v>11000</v>
      </c>
      <c r="C17" s="7">
        <f aca="true" t="shared" si="4" ref="C17:I17">SUM(C18:C21)</f>
        <v>11000</v>
      </c>
      <c r="D17" s="7">
        <f t="shared" si="4"/>
        <v>11400</v>
      </c>
      <c r="E17" s="7">
        <f t="shared" si="4"/>
        <v>11490</v>
      </c>
      <c r="F17" s="7">
        <f t="shared" si="4"/>
        <v>11000</v>
      </c>
      <c r="G17" s="7">
        <f t="shared" si="4"/>
        <v>11150</v>
      </c>
      <c r="H17" s="7">
        <f t="shared" si="4"/>
        <v>11120</v>
      </c>
      <c r="I17" s="7">
        <f t="shared" si="4"/>
        <v>11080</v>
      </c>
      <c r="J17" s="7">
        <f>SUM(J18:J21)</f>
        <v>89240</v>
      </c>
    </row>
    <row r="18" spans="1:10" ht="11.25">
      <c r="A18" s="4" t="s">
        <v>24</v>
      </c>
      <c r="B18" s="5">
        <v>5300</v>
      </c>
      <c r="C18" s="5">
        <v>5300</v>
      </c>
      <c r="D18" s="5">
        <v>5300</v>
      </c>
      <c r="E18" s="5">
        <v>5300</v>
      </c>
      <c r="F18" s="5">
        <v>5300</v>
      </c>
      <c r="G18" s="5">
        <v>5300</v>
      </c>
      <c r="H18" s="5">
        <v>5300</v>
      </c>
      <c r="I18" s="5">
        <v>5300</v>
      </c>
      <c r="J18" s="5">
        <f>SUM(B18:I18)</f>
        <v>42400</v>
      </c>
    </row>
    <row r="19" spans="1:10" ht="11.25">
      <c r="A19" s="4" t="s">
        <v>7</v>
      </c>
      <c r="B19" s="5">
        <v>0</v>
      </c>
      <c r="C19" s="5">
        <v>0</v>
      </c>
      <c r="D19" s="5">
        <v>400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>SUM(B19:I19)</f>
        <v>400</v>
      </c>
    </row>
    <row r="20" spans="1:10" ht="11.25">
      <c r="A20" s="4" t="s">
        <v>25</v>
      </c>
      <c r="B20" s="5">
        <v>5700</v>
      </c>
      <c r="C20" s="5">
        <v>5700</v>
      </c>
      <c r="D20" s="5">
        <v>5700</v>
      </c>
      <c r="E20" s="5">
        <v>5700</v>
      </c>
      <c r="F20" s="5">
        <v>5700</v>
      </c>
      <c r="G20" s="5">
        <v>5700</v>
      </c>
      <c r="H20" s="5">
        <v>5700</v>
      </c>
      <c r="I20" s="5">
        <v>5700</v>
      </c>
      <c r="J20" s="5">
        <f>SUM(B20:I20)</f>
        <v>45600</v>
      </c>
    </row>
    <row r="21" spans="1:10" ht="11.25">
      <c r="A21" s="4" t="s">
        <v>8</v>
      </c>
      <c r="B21" s="5">
        <v>0</v>
      </c>
      <c r="C21" s="5">
        <v>0</v>
      </c>
      <c r="D21" s="5">
        <v>0</v>
      </c>
      <c r="E21" s="5">
        <v>490</v>
      </c>
      <c r="F21" s="5">
        <v>0</v>
      </c>
      <c r="G21" s="5">
        <f>15*10</f>
        <v>150</v>
      </c>
      <c r="H21" s="5">
        <v>120</v>
      </c>
      <c r="I21" s="5">
        <v>80</v>
      </c>
      <c r="J21" s="5">
        <f>SUM(B21:I21)</f>
        <v>840</v>
      </c>
    </row>
    <row r="22" spans="1:10" ht="11.25">
      <c r="A22" s="3" t="s">
        <v>32</v>
      </c>
      <c r="B22" s="7">
        <f>SUM(B23:B25)</f>
        <v>11111.91</v>
      </c>
      <c r="C22" s="7">
        <f aca="true" t="shared" si="5" ref="C22:I22">SUM(C23:C25)</f>
        <v>11111.91</v>
      </c>
      <c r="D22" s="7">
        <f t="shared" si="5"/>
        <v>11111.91</v>
      </c>
      <c r="E22" s="7">
        <f t="shared" si="5"/>
        <v>11111.91</v>
      </c>
      <c r="F22" s="7">
        <f t="shared" si="5"/>
        <v>11111.91</v>
      </c>
      <c r="G22" s="7">
        <f t="shared" si="5"/>
        <v>11111.91</v>
      </c>
      <c r="H22" s="7">
        <f t="shared" si="5"/>
        <v>11111.91</v>
      </c>
      <c r="I22" s="7">
        <f t="shared" si="5"/>
        <v>11111.91</v>
      </c>
      <c r="J22" s="7">
        <f>SUM(J23:J25)</f>
        <v>88895.28</v>
      </c>
    </row>
    <row r="23" spans="1:10" ht="11.25">
      <c r="A23" s="4" t="s">
        <v>41</v>
      </c>
      <c r="B23" s="5">
        <f>75402.19-65961.44</f>
        <v>9440.75</v>
      </c>
      <c r="C23" s="5">
        <v>9440.75</v>
      </c>
      <c r="D23" s="5">
        <v>9440.75</v>
      </c>
      <c r="E23" s="5">
        <v>9440.75</v>
      </c>
      <c r="F23" s="5">
        <v>9440.75</v>
      </c>
      <c r="G23" s="5">
        <v>9440.75</v>
      </c>
      <c r="H23" s="5">
        <v>9440.75</v>
      </c>
      <c r="I23" s="5">
        <v>9440.75</v>
      </c>
      <c r="J23" s="5">
        <f>SUM(B23:I23)</f>
        <v>75526</v>
      </c>
    </row>
    <row r="24" spans="1:10" ht="11.25">
      <c r="A24" s="4" t="s">
        <v>18</v>
      </c>
      <c r="B24" s="5">
        <v>1671.16</v>
      </c>
      <c r="C24" s="5">
        <v>1671.16</v>
      </c>
      <c r="D24" s="5">
        <v>1671.16</v>
      </c>
      <c r="E24" s="5">
        <v>1671.16</v>
      </c>
      <c r="F24" s="5">
        <v>1671.16</v>
      </c>
      <c r="G24" s="5">
        <v>1671.16</v>
      </c>
      <c r="H24" s="5">
        <v>1671.16</v>
      </c>
      <c r="I24" s="5">
        <v>1671.16</v>
      </c>
      <c r="J24" s="5">
        <f>SUM(B24:I24)</f>
        <v>13369.28</v>
      </c>
    </row>
    <row r="25" spans="1:10" ht="11.25">
      <c r="A25" s="4" t="s">
        <v>58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>SUM(B25:I25)</f>
        <v>0</v>
      </c>
    </row>
    <row r="26" spans="1:10" ht="11.25">
      <c r="A26" s="3" t="s">
        <v>40</v>
      </c>
      <c r="B26" s="7">
        <f>SUM(B27:B32)</f>
        <v>240</v>
      </c>
      <c r="C26" s="7">
        <f aca="true" t="shared" si="6" ref="C26:J26">SUM(C27:C32)</f>
        <v>360</v>
      </c>
      <c r="D26" s="7">
        <f t="shared" si="6"/>
        <v>0</v>
      </c>
      <c r="E26" s="7">
        <f t="shared" si="6"/>
        <v>2610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26731.08</v>
      </c>
      <c r="J26" s="7">
        <f t="shared" si="6"/>
        <v>29941.08</v>
      </c>
    </row>
    <row r="27" spans="1:10" ht="11.25">
      <c r="A27" s="4" t="s">
        <v>110</v>
      </c>
      <c r="B27" s="5">
        <v>0</v>
      </c>
      <c r="C27" s="5">
        <v>0</v>
      </c>
      <c r="D27" s="5">
        <v>0</v>
      </c>
      <c r="E27" s="5">
        <v>2400</v>
      </c>
      <c r="F27" s="5">
        <v>0</v>
      </c>
      <c r="G27" s="5">
        <v>0</v>
      </c>
      <c r="H27" s="5">
        <v>0</v>
      </c>
      <c r="I27" s="5">
        <v>0</v>
      </c>
      <c r="J27" s="5">
        <f aca="true" t="shared" si="7" ref="J27:J32">SUM(B27:I27)</f>
        <v>2400</v>
      </c>
    </row>
    <row r="28" spans="1:10" ht="11.25">
      <c r="A28" s="4" t="s">
        <v>127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17400+4331.08</f>
        <v>21731.08</v>
      </c>
      <c r="J28" s="5">
        <f t="shared" si="7"/>
        <v>21731.08</v>
      </c>
    </row>
    <row r="29" spans="1:10" ht="11.25">
      <c r="A29" s="4" t="s">
        <v>128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5000</v>
      </c>
      <c r="J29" s="5">
        <f t="shared" si="7"/>
        <v>5000</v>
      </c>
    </row>
    <row r="30" spans="1:10" ht="11.25">
      <c r="A30" s="4" t="s">
        <v>59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f t="shared" si="7"/>
        <v>0</v>
      </c>
    </row>
    <row r="31" spans="1:10" ht="11.25">
      <c r="A31" s="4" t="s">
        <v>61</v>
      </c>
      <c r="B31" s="5">
        <v>240</v>
      </c>
      <c r="C31" s="5">
        <f>180*2</f>
        <v>360</v>
      </c>
      <c r="D31" s="5">
        <v>0</v>
      </c>
      <c r="E31" s="5">
        <v>210</v>
      </c>
      <c r="F31" s="5">
        <v>0</v>
      </c>
      <c r="G31" s="5">
        <v>0</v>
      </c>
      <c r="H31" s="5">
        <v>0</v>
      </c>
      <c r="I31" s="5">
        <v>0</v>
      </c>
      <c r="J31" s="5">
        <f t="shared" si="7"/>
        <v>810</v>
      </c>
    </row>
    <row r="32" spans="1:10" ht="11.25">
      <c r="A32" s="4" t="s">
        <v>45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 t="shared" si="7"/>
        <v>0</v>
      </c>
    </row>
    <row r="33" spans="1:10" ht="11.25">
      <c r="A33" s="3" t="s">
        <v>22</v>
      </c>
      <c r="B33" s="7">
        <f>SUM(B34:B44)</f>
        <v>14800</v>
      </c>
      <c r="C33" s="7">
        <f aca="true" t="shared" si="8" ref="C33:I33">SUM(C34:C44)</f>
        <v>5561</v>
      </c>
      <c r="D33" s="7">
        <f t="shared" si="8"/>
        <v>3620.8333333333335</v>
      </c>
      <c r="E33" s="7">
        <f t="shared" si="8"/>
        <v>3125</v>
      </c>
      <c r="F33" s="7">
        <f t="shared" si="8"/>
        <v>4265.833333333333</v>
      </c>
      <c r="G33" s="7">
        <f t="shared" si="8"/>
        <v>4715</v>
      </c>
      <c r="H33" s="7">
        <f t="shared" si="8"/>
        <v>2300</v>
      </c>
      <c r="I33" s="7">
        <f t="shared" si="8"/>
        <v>2000</v>
      </c>
      <c r="J33" s="7">
        <f>SUM(J34:J44)</f>
        <v>40387.66666666667</v>
      </c>
    </row>
    <row r="34" spans="1:10" ht="11.25">
      <c r="A34" s="4" t="s">
        <v>9</v>
      </c>
      <c r="B34" s="5">
        <v>0</v>
      </c>
      <c r="C34" s="5">
        <v>1250</v>
      </c>
      <c r="D34" s="5">
        <v>1250</v>
      </c>
      <c r="E34" s="5">
        <f>1562.5*2</f>
        <v>3125</v>
      </c>
      <c r="F34" s="5">
        <v>2000</v>
      </c>
      <c r="G34" s="5">
        <v>0</v>
      </c>
      <c r="H34" s="5">
        <v>0</v>
      </c>
      <c r="I34" s="5">
        <v>0</v>
      </c>
      <c r="J34" s="5">
        <f aca="true" t="shared" si="9" ref="J34:J44">SUM(B34:I34)</f>
        <v>7625</v>
      </c>
    </row>
    <row r="35" spans="1:10" ht="11.25">
      <c r="A35" s="4" t="s">
        <v>21</v>
      </c>
      <c r="B35" s="5">
        <v>0</v>
      </c>
      <c r="C35" s="5">
        <v>0</v>
      </c>
      <c r="D35" s="5">
        <v>0</v>
      </c>
      <c r="E35" s="5">
        <v>0</v>
      </c>
      <c r="F35" s="5">
        <v>1000</v>
      </c>
      <c r="G35" s="5">
        <v>0</v>
      </c>
      <c r="H35" s="5">
        <v>0</v>
      </c>
      <c r="I35" s="5">
        <v>0</v>
      </c>
      <c r="J35" s="5">
        <f t="shared" si="9"/>
        <v>1000</v>
      </c>
    </row>
    <row r="36" spans="1:10" ht="11.25">
      <c r="A36" s="4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2000</v>
      </c>
      <c r="J36" s="5">
        <f t="shared" si="9"/>
        <v>2000</v>
      </c>
    </row>
    <row r="37" spans="1:10" ht="11.25">
      <c r="A37" s="4" t="s">
        <v>73</v>
      </c>
      <c r="B37" s="5">
        <f>4*200</f>
        <v>800</v>
      </c>
      <c r="C37" s="5">
        <f>200*4</f>
        <v>800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 t="shared" si="9"/>
        <v>1600</v>
      </c>
    </row>
    <row r="38" spans="1:10" ht="11.25">
      <c r="A38" s="4" t="s">
        <v>74</v>
      </c>
      <c r="B38" s="5">
        <v>0</v>
      </c>
      <c r="C38" s="5">
        <f>3022/2</f>
        <v>1511</v>
      </c>
      <c r="D38" s="5">
        <f>(3797.5+3315)/3</f>
        <v>2370.8333333333335</v>
      </c>
      <c r="E38" s="5">
        <v>0</v>
      </c>
      <c r="F38" s="5">
        <f>3797.5/3</f>
        <v>1265.8333333333333</v>
      </c>
      <c r="G38" s="5">
        <v>0</v>
      </c>
      <c r="H38" s="5">
        <v>0</v>
      </c>
      <c r="I38" s="5">
        <v>0</v>
      </c>
      <c r="J38" s="5">
        <f t="shared" si="9"/>
        <v>5147.666666666667</v>
      </c>
    </row>
    <row r="39" spans="1:10" ht="11.25">
      <c r="A39" s="4" t="s">
        <v>57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315</v>
      </c>
      <c r="H39" s="5">
        <v>0</v>
      </c>
      <c r="I39" s="5">
        <v>0</v>
      </c>
      <c r="J39" s="5">
        <f t="shared" si="9"/>
        <v>315</v>
      </c>
    </row>
    <row r="40" spans="1:10" ht="11.25">
      <c r="A40" s="4" t="s">
        <v>129</v>
      </c>
      <c r="B40" s="5">
        <v>6000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 t="shared" si="9"/>
        <v>6000</v>
      </c>
    </row>
    <row r="41" spans="1:10" ht="11.25">
      <c r="A41" s="4" t="s">
        <v>130</v>
      </c>
      <c r="B41" s="5">
        <v>0</v>
      </c>
      <c r="C41" s="5">
        <v>2000</v>
      </c>
      <c r="D41" s="5">
        <v>0</v>
      </c>
      <c r="E41" s="5">
        <v>0</v>
      </c>
      <c r="F41" s="5">
        <v>0</v>
      </c>
      <c r="G41" s="5">
        <f>500+1500</f>
        <v>2000</v>
      </c>
      <c r="H41" s="5">
        <v>0</v>
      </c>
      <c r="I41" s="5">
        <v>0</v>
      </c>
      <c r="J41" s="5">
        <f t="shared" si="9"/>
        <v>4000</v>
      </c>
    </row>
    <row r="42" spans="1:10" ht="11.25">
      <c r="A42" s="4" t="s">
        <v>131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>2000+400</f>
        <v>2400</v>
      </c>
      <c r="H42" s="5">
        <v>0</v>
      </c>
      <c r="I42" s="5">
        <v>0</v>
      </c>
      <c r="J42" s="5">
        <f t="shared" si="9"/>
        <v>2400</v>
      </c>
    </row>
    <row r="43" spans="1:10" ht="11.25">
      <c r="A43" s="4" t="s">
        <v>132</v>
      </c>
      <c r="B43" s="5">
        <v>8000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2300</v>
      </c>
      <c r="I43" s="5">
        <v>0</v>
      </c>
      <c r="J43" s="5">
        <f t="shared" si="9"/>
        <v>10300</v>
      </c>
    </row>
    <row r="44" spans="1:10" ht="11.25">
      <c r="A44" s="4" t="s">
        <v>56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 t="shared" si="9"/>
        <v>0</v>
      </c>
    </row>
    <row r="45" spans="1:10" ht="11.25">
      <c r="A45" s="3" t="s">
        <v>33</v>
      </c>
      <c r="B45" s="7">
        <f aca="true" t="shared" si="10" ref="B45:J45">SUM(B46:B46)</f>
        <v>0</v>
      </c>
      <c r="C45" s="7">
        <f t="shared" si="10"/>
        <v>0</v>
      </c>
      <c r="D45" s="7">
        <f t="shared" si="10"/>
        <v>0</v>
      </c>
      <c r="E45" s="7">
        <f t="shared" si="10"/>
        <v>0</v>
      </c>
      <c r="F45" s="7">
        <f t="shared" si="10"/>
        <v>0</v>
      </c>
      <c r="G45" s="7">
        <f t="shared" si="10"/>
        <v>112524.8</v>
      </c>
      <c r="H45" s="7">
        <f t="shared" si="10"/>
        <v>30767.379999999997</v>
      </c>
      <c r="I45" s="7">
        <f t="shared" si="10"/>
        <v>0</v>
      </c>
      <c r="J45" s="7">
        <f t="shared" si="10"/>
        <v>0</v>
      </c>
    </row>
    <row r="46" spans="1:10" ht="11.25">
      <c r="A46" s="4" t="s">
        <v>133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112524.8</v>
      </c>
      <c r="H46" s="5">
        <f>9500+10367.38+10900</f>
        <v>30767.379999999997</v>
      </c>
      <c r="I46" s="5">
        <v>0</v>
      </c>
      <c r="J46" s="5">
        <v>0</v>
      </c>
    </row>
    <row r="47" spans="1:10" ht="11.25">
      <c r="A47" s="3" t="s">
        <v>47</v>
      </c>
      <c r="B47" s="7">
        <f>B48</f>
        <v>0</v>
      </c>
      <c r="C47" s="7">
        <f aca="true" t="shared" si="11" ref="C47:J47">C48</f>
        <v>0</v>
      </c>
      <c r="D47" s="7">
        <f t="shared" si="11"/>
        <v>0</v>
      </c>
      <c r="E47" s="7">
        <f t="shared" si="11"/>
        <v>0</v>
      </c>
      <c r="F47" s="7">
        <f t="shared" si="11"/>
        <v>0</v>
      </c>
      <c r="G47" s="7">
        <f t="shared" si="11"/>
        <v>0</v>
      </c>
      <c r="H47" s="7">
        <f t="shared" si="11"/>
        <v>0</v>
      </c>
      <c r="I47" s="7">
        <f t="shared" si="11"/>
        <v>0</v>
      </c>
      <c r="J47" s="7">
        <f t="shared" si="11"/>
        <v>0</v>
      </c>
    </row>
    <row r="48" spans="1:10" ht="11.25">
      <c r="A48" s="4" t="s">
        <v>17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>SUM(B48:I48)</f>
        <v>0</v>
      </c>
    </row>
    <row r="49" spans="1:10" ht="11.25">
      <c r="A49" s="3" t="s">
        <v>42</v>
      </c>
      <c r="B49" s="7">
        <f>SUM(B50:B55)</f>
        <v>34501.5346</v>
      </c>
      <c r="C49" s="7">
        <f aca="true" t="shared" si="12" ref="C49:J49">SUM(C50:C55)</f>
        <v>38240.5116</v>
      </c>
      <c r="D49" s="7">
        <f t="shared" si="12"/>
        <v>26226.017799999998</v>
      </c>
      <c r="E49" s="7">
        <f t="shared" si="12"/>
        <v>26587.426399999997</v>
      </c>
      <c r="F49" s="7">
        <f t="shared" si="12"/>
        <v>26342.136399999996</v>
      </c>
      <c r="G49" s="7">
        <f t="shared" si="12"/>
        <v>34546.41679999999</v>
      </c>
      <c r="H49" s="7">
        <f t="shared" si="12"/>
        <v>25407.7294</v>
      </c>
      <c r="I49" s="7">
        <f t="shared" si="12"/>
        <v>25085.335799999997</v>
      </c>
      <c r="J49" s="7">
        <f t="shared" si="12"/>
        <v>236937.1088</v>
      </c>
    </row>
    <row r="50" spans="1:10" ht="11.25">
      <c r="A50" s="4" t="s">
        <v>20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f aca="true" t="shared" si="13" ref="J50:J55">SUM(B50:I50)</f>
        <v>0</v>
      </c>
    </row>
    <row r="51" spans="1:10" ht="11.25">
      <c r="A51" s="4" t="s">
        <v>43</v>
      </c>
      <c r="B51" s="5">
        <v>1474.66</v>
      </c>
      <c r="C51" s="5">
        <v>1162.1</v>
      </c>
      <c r="D51" s="5">
        <v>1202.08</v>
      </c>
      <c r="E51" s="5">
        <v>1311.11</v>
      </c>
      <c r="F51" s="5">
        <v>1005.82</v>
      </c>
      <c r="G51" s="5">
        <v>1045.8</v>
      </c>
      <c r="H51" s="5">
        <v>1056.7</v>
      </c>
      <c r="I51" s="5">
        <v>1340.19</v>
      </c>
      <c r="J51" s="5">
        <f t="shared" si="13"/>
        <v>9598.460000000001</v>
      </c>
    </row>
    <row r="52" spans="1:10" ht="11.25">
      <c r="A52" s="4" t="s">
        <v>44</v>
      </c>
      <c r="B52" s="5">
        <v>106.56</v>
      </c>
      <c r="C52" s="5">
        <v>180.78</v>
      </c>
      <c r="D52" s="5">
        <v>99.38</v>
      </c>
      <c r="E52" s="5">
        <v>100.49</v>
      </c>
      <c r="F52" s="5">
        <v>160.49</v>
      </c>
      <c r="G52" s="5">
        <v>134.68</v>
      </c>
      <c r="H52" s="5">
        <v>182.13</v>
      </c>
      <c r="I52" s="5">
        <v>154.28</v>
      </c>
      <c r="J52" s="5">
        <f t="shared" si="13"/>
        <v>1118.7900000000002</v>
      </c>
    </row>
    <row r="53" spans="1:10" ht="11.25">
      <c r="A53" s="4" t="s">
        <v>69</v>
      </c>
      <c r="B53" s="5">
        <v>0</v>
      </c>
      <c r="C53" s="5">
        <v>3000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13"/>
        <v>3000</v>
      </c>
    </row>
    <row r="54" spans="1:10" ht="11.25">
      <c r="A54" s="4" t="s">
        <v>80</v>
      </c>
      <c r="B54" s="5">
        <f>479*10.5</f>
        <v>5029.5</v>
      </c>
      <c r="C54" s="5">
        <f>492.31*10.5</f>
        <v>5169.255</v>
      </c>
      <c r="D54" s="5">
        <f>492.31*9.42</f>
        <v>4637.5602</v>
      </c>
      <c r="E54" s="5">
        <f>492.31*9.42</f>
        <v>4637.5602</v>
      </c>
      <c r="F54" s="5">
        <f>492.31*9.42</f>
        <v>4637.5602</v>
      </c>
      <c r="G54" s="5">
        <f>492.31*9.42</f>
        <v>4637.5602</v>
      </c>
      <c r="H54" s="5">
        <f>399.82*9.42</f>
        <v>3766.3044</v>
      </c>
      <c r="I54" s="5">
        <f>455*9.42</f>
        <v>4286.1</v>
      </c>
      <c r="J54" s="5">
        <f t="shared" si="13"/>
        <v>36801.400200000004</v>
      </c>
    </row>
    <row r="55" spans="1:10" ht="11.25">
      <c r="A55" s="4" t="s">
        <v>81</v>
      </c>
      <c r="B55" s="5">
        <f>805.86*34.61</f>
        <v>27890.8146</v>
      </c>
      <c r="C55" s="5">
        <f>830.06*34.61</f>
        <v>28728.376599999996</v>
      </c>
      <c r="D55" s="5">
        <f>586.16*34.61</f>
        <v>20286.9976</v>
      </c>
      <c r="E55" s="5">
        <f>593.42*34.61</f>
        <v>20538.2662</v>
      </c>
      <c r="F55" s="5">
        <f>593.42*34.61</f>
        <v>20538.2662</v>
      </c>
      <c r="G55" s="5">
        <f>830.06*34.61</f>
        <v>28728.376599999996</v>
      </c>
      <c r="H55" s="5">
        <f>589.5*34.61</f>
        <v>20402.595</v>
      </c>
      <c r="I55" s="5">
        <f>557.78*34.61</f>
        <v>19304.765799999997</v>
      </c>
      <c r="J55" s="5">
        <f t="shared" si="13"/>
        <v>186418.45859999998</v>
      </c>
    </row>
    <row r="56" spans="1:10" ht="11.25">
      <c r="A56" s="4" t="s">
        <v>75</v>
      </c>
      <c r="B56" s="7">
        <f>3112.4*5</f>
        <v>15562</v>
      </c>
      <c r="C56" s="7">
        <f aca="true" t="shared" si="14" ref="C56:I56">3112.4*5</f>
        <v>15562</v>
      </c>
      <c r="D56" s="7">
        <f t="shared" si="14"/>
        <v>15562</v>
      </c>
      <c r="E56" s="7">
        <f t="shared" si="14"/>
        <v>15562</v>
      </c>
      <c r="F56" s="7">
        <f t="shared" si="14"/>
        <v>15562</v>
      </c>
      <c r="G56" s="7">
        <f t="shared" si="14"/>
        <v>15562</v>
      </c>
      <c r="H56" s="7">
        <f t="shared" si="14"/>
        <v>15562</v>
      </c>
      <c r="I56" s="7">
        <f t="shared" si="14"/>
        <v>15562</v>
      </c>
      <c r="J56" s="5"/>
    </row>
    <row r="57" spans="1:10" ht="11.25">
      <c r="A57" s="3" t="s">
        <v>96</v>
      </c>
      <c r="B57" s="7">
        <f>SUM(B58:B71)</f>
        <v>15562</v>
      </c>
      <c r="C57" s="7">
        <f aca="true" t="shared" si="15" ref="C57:I57">SUM(C58:C71)</f>
        <v>15562</v>
      </c>
      <c r="D57" s="7">
        <f t="shared" si="15"/>
        <v>15562</v>
      </c>
      <c r="E57" s="7">
        <f t="shared" si="15"/>
        <v>15562</v>
      </c>
      <c r="F57" s="7">
        <f t="shared" si="15"/>
        <v>15562</v>
      </c>
      <c r="G57" s="7">
        <f t="shared" si="15"/>
        <v>15561.996666666666</v>
      </c>
      <c r="H57" s="7">
        <f t="shared" si="15"/>
        <v>15562</v>
      </c>
      <c r="I57" s="7">
        <f t="shared" si="15"/>
        <v>15562</v>
      </c>
      <c r="J57" s="7">
        <f>SUM(J58:J71)</f>
        <v>124495.99666666667</v>
      </c>
    </row>
    <row r="58" spans="1:10" ht="11.25">
      <c r="A58" s="4" t="s">
        <v>50</v>
      </c>
      <c r="B58" s="5">
        <v>1338.33</v>
      </c>
      <c r="C58" s="5">
        <v>1338.33</v>
      </c>
      <c r="D58" s="5">
        <v>1338.33</v>
      </c>
      <c r="E58" s="5">
        <v>1338.33</v>
      </c>
      <c r="F58" s="5">
        <v>1338.33</v>
      </c>
      <c r="G58" s="5">
        <v>1339.33</v>
      </c>
      <c r="H58" s="5">
        <v>1340.33</v>
      </c>
      <c r="I58" s="5">
        <v>1341.33</v>
      </c>
      <c r="J58" s="5">
        <f aca="true" t="shared" si="16" ref="J58:J72">SUM(B58:I58)</f>
        <v>10712.64</v>
      </c>
    </row>
    <row r="59" spans="1:10" ht="11.25">
      <c r="A59" s="4" t="s">
        <v>134</v>
      </c>
      <c r="B59" s="5">
        <f aca="true" t="shared" si="17" ref="B59:G59">66*20</f>
        <v>1320</v>
      </c>
      <c r="C59" s="5">
        <f t="shared" si="17"/>
        <v>1320</v>
      </c>
      <c r="D59" s="5">
        <f t="shared" si="17"/>
        <v>1320</v>
      </c>
      <c r="E59" s="5">
        <f t="shared" si="17"/>
        <v>1320</v>
      </c>
      <c r="F59" s="5">
        <f t="shared" si="17"/>
        <v>1320</v>
      </c>
      <c r="G59" s="5">
        <f t="shared" si="17"/>
        <v>1320</v>
      </c>
      <c r="H59" s="5">
        <f>66*20</f>
        <v>1320</v>
      </c>
      <c r="I59" s="5">
        <f>66*20</f>
        <v>1320</v>
      </c>
      <c r="J59" s="5">
        <f t="shared" si="16"/>
        <v>10560</v>
      </c>
    </row>
    <row r="60" spans="1:10" ht="11.25">
      <c r="A60" s="4" t="s">
        <v>35</v>
      </c>
      <c r="B60" s="5">
        <v>150</v>
      </c>
      <c r="C60" s="5">
        <v>150</v>
      </c>
      <c r="D60" s="5">
        <v>150</v>
      </c>
      <c r="E60" s="5">
        <v>150</v>
      </c>
      <c r="F60" s="5">
        <v>150</v>
      </c>
      <c r="G60" s="5">
        <v>150</v>
      </c>
      <c r="H60" s="5">
        <v>150</v>
      </c>
      <c r="I60" s="5">
        <v>150</v>
      </c>
      <c r="J60" s="5">
        <f t="shared" si="16"/>
        <v>1200</v>
      </c>
    </row>
    <row r="61" spans="1:10" ht="11.25">
      <c r="A61" s="4" t="s">
        <v>62</v>
      </c>
      <c r="B61" s="5">
        <v>350</v>
      </c>
      <c r="C61" s="5">
        <v>350</v>
      </c>
      <c r="D61" s="5">
        <v>350</v>
      </c>
      <c r="E61" s="5">
        <v>350</v>
      </c>
      <c r="F61" s="5">
        <v>350</v>
      </c>
      <c r="G61" s="5">
        <v>350</v>
      </c>
      <c r="H61" s="5">
        <v>350</v>
      </c>
      <c r="I61" s="5">
        <v>350</v>
      </c>
      <c r="J61" s="5">
        <f t="shared" si="16"/>
        <v>2800</v>
      </c>
    </row>
    <row r="62" spans="1:10" ht="11.25">
      <c r="A62" s="4" t="s">
        <v>64</v>
      </c>
      <c r="B62" s="5">
        <v>320.47</v>
      </c>
      <c r="C62" s="5">
        <v>229.11</v>
      </c>
      <c r="D62" s="5">
        <v>304.79</v>
      </c>
      <c r="E62" s="5">
        <v>328.69</v>
      </c>
      <c r="F62" s="5">
        <v>375.18</v>
      </c>
      <c r="G62" s="5">
        <f>(355.77+593.48)/3</f>
        <v>316.4166666666667</v>
      </c>
      <c r="H62" s="5">
        <f>(407.5+489.14)/3</f>
        <v>298.88</v>
      </c>
      <c r="I62" s="5">
        <f>698.46/3</f>
        <v>232.82000000000002</v>
      </c>
      <c r="J62" s="5">
        <f t="shared" si="16"/>
        <v>2406.356666666667</v>
      </c>
    </row>
    <row r="63" spans="1:10" ht="11.25">
      <c r="A63" s="4" t="s">
        <v>67</v>
      </c>
      <c r="B63" s="5">
        <v>75</v>
      </c>
      <c r="C63" s="5">
        <v>75</v>
      </c>
      <c r="D63" s="5">
        <v>75</v>
      </c>
      <c r="E63" s="5">
        <v>75</v>
      </c>
      <c r="F63" s="5">
        <v>75</v>
      </c>
      <c r="G63" s="5">
        <v>75</v>
      </c>
      <c r="H63" s="5">
        <v>75</v>
      </c>
      <c r="I63" s="5">
        <v>75</v>
      </c>
      <c r="J63" s="5">
        <f t="shared" si="16"/>
        <v>600</v>
      </c>
    </row>
    <row r="64" spans="1:10" ht="11.25">
      <c r="A64" s="4" t="s">
        <v>51</v>
      </c>
      <c r="B64" s="5">
        <v>165</v>
      </c>
      <c r="C64" s="5">
        <v>165</v>
      </c>
      <c r="D64" s="5">
        <v>165</v>
      </c>
      <c r="E64" s="5">
        <v>165</v>
      </c>
      <c r="F64" s="5">
        <v>165</v>
      </c>
      <c r="G64" s="5">
        <v>165</v>
      </c>
      <c r="H64" s="5">
        <v>165</v>
      </c>
      <c r="I64" s="5">
        <v>165</v>
      </c>
      <c r="J64" s="5">
        <f t="shared" si="16"/>
        <v>1320</v>
      </c>
    </row>
    <row r="65" spans="1:10" ht="11.25">
      <c r="A65" s="4" t="s">
        <v>52</v>
      </c>
      <c r="B65" s="5">
        <v>1924.4</v>
      </c>
      <c r="C65" s="5">
        <v>1954.85</v>
      </c>
      <c r="D65" s="5">
        <v>1929.63</v>
      </c>
      <c r="E65" s="5">
        <v>1921.66</v>
      </c>
      <c r="F65" s="5">
        <v>1906.16</v>
      </c>
      <c r="G65" s="5">
        <v>1925.42</v>
      </c>
      <c r="H65" s="5">
        <v>1930.93</v>
      </c>
      <c r="I65" s="5">
        <v>1952.62</v>
      </c>
      <c r="J65" s="5">
        <f t="shared" si="16"/>
        <v>15445.670000000002</v>
      </c>
    </row>
    <row r="66" spans="1:13" ht="11.25">
      <c r="A66" s="4" t="s">
        <v>14</v>
      </c>
      <c r="B66" s="5">
        <v>3848.8</v>
      </c>
      <c r="C66" s="5">
        <v>3909.71</v>
      </c>
      <c r="D66" s="5">
        <v>3859.25</v>
      </c>
      <c r="E66" s="5">
        <v>3843.32</v>
      </c>
      <c r="F66" s="5">
        <v>3812.33</v>
      </c>
      <c r="G66" s="5">
        <v>3850.83</v>
      </c>
      <c r="H66" s="5">
        <v>3861.86</v>
      </c>
      <c r="I66" s="5">
        <v>3905.23</v>
      </c>
      <c r="J66" s="5">
        <f t="shared" si="16"/>
        <v>30891.329999999998</v>
      </c>
      <c r="M66" s="6"/>
    </row>
    <row r="67" spans="1:10" ht="11.25">
      <c r="A67" s="4" t="s">
        <v>70</v>
      </c>
      <c r="B67" s="5">
        <v>370</v>
      </c>
      <c r="C67" s="5">
        <v>370</v>
      </c>
      <c r="D67" s="5">
        <v>370</v>
      </c>
      <c r="E67" s="5">
        <v>370</v>
      </c>
      <c r="F67" s="5">
        <v>370</v>
      </c>
      <c r="G67" s="5">
        <v>370</v>
      </c>
      <c r="H67" s="5">
        <v>370</v>
      </c>
      <c r="I67" s="5">
        <v>370</v>
      </c>
      <c r="J67" s="5">
        <f t="shared" si="16"/>
        <v>2960</v>
      </c>
    </row>
    <row r="68" spans="1:10" ht="11.25">
      <c r="A68" s="4" t="s">
        <v>65</v>
      </c>
      <c r="B68" s="5">
        <v>450</v>
      </c>
      <c r="C68" s="5">
        <v>450</v>
      </c>
      <c r="D68" s="5">
        <v>450</v>
      </c>
      <c r="E68" s="5">
        <v>450</v>
      </c>
      <c r="F68" s="5">
        <v>450</v>
      </c>
      <c r="G68" s="5">
        <v>450</v>
      </c>
      <c r="H68" s="5">
        <v>450</v>
      </c>
      <c r="I68" s="5">
        <v>450</v>
      </c>
      <c r="J68" s="5">
        <f t="shared" si="16"/>
        <v>3600</v>
      </c>
    </row>
    <row r="69" spans="1:10" ht="11.25">
      <c r="A69" s="4" t="s">
        <v>66</v>
      </c>
      <c r="B69" s="5">
        <v>300</v>
      </c>
      <c r="C69" s="5">
        <v>300</v>
      </c>
      <c r="D69" s="5">
        <v>300</v>
      </c>
      <c r="E69" s="5">
        <v>300</v>
      </c>
      <c r="F69" s="5">
        <v>300</v>
      </c>
      <c r="G69" s="5">
        <v>300</v>
      </c>
      <c r="H69" s="5">
        <v>300</v>
      </c>
      <c r="I69" s="5">
        <v>300</v>
      </c>
      <c r="J69" s="5">
        <f t="shared" si="16"/>
        <v>2400</v>
      </c>
    </row>
    <row r="70" spans="1:10" ht="11.25">
      <c r="A70" s="4" t="s">
        <v>53</v>
      </c>
      <c r="B70" s="5">
        <v>4500</v>
      </c>
      <c r="C70" s="5">
        <v>4500</v>
      </c>
      <c r="D70" s="5">
        <v>4500</v>
      </c>
      <c r="E70" s="5">
        <v>4500</v>
      </c>
      <c r="F70" s="5">
        <v>4500</v>
      </c>
      <c r="G70" s="5">
        <v>4500</v>
      </c>
      <c r="H70" s="5">
        <v>4500</v>
      </c>
      <c r="I70" s="5">
        <v>4500</v>
      </c>
      <c r="J70" s="5">
        <f t="shared" si="16"/>
        <v>36000</v>
      </c>
    </row>
    <row r="71" spans="1:10" ht="11.25">
      <c r="A71" s="4" t="s">
        <v>36</v>
      </c>
      <c r="B71" s="5">
        <v>450</v>
      </c>
      <c r="C71" s="5">
        <v>450</v>
      </c>
      <c r="D71" s="5">
        <v>450</v>
      </c>
      <c r="E71" s="5">
        <v>450</v>
      </c>
      <c r="F71" s="5">
        <v>450</v>
      </c>
      <c r="G71" s="5">
        <v>450</v>
      </c>
      <c r="H71" s="5">
        <v>450</v>
      </c>
      <c r="I71" s="5">
        <v>450</v>
      </c>
      <c r="J71" s="5">
        <f t="shared" si="16"/>
        <v>3600</v>
      </c>
    </row>
    <row r="72" spans="1:10" ht="11.25">
      <c r="A72" s="3" t="s">
        <v>15</v>
      </c>
      <c r="B72" s="7">
        <f>B3+B10+B17+B22+B26+B33+B45+B47+B49+B56</f>
        <v>101740.4446</v>
      </c>
      <c r="C72" s="7">
        <f aca="true" t="shared" si="18" ref="C72:I72">C3+C10+C17+C22+C26+C33+C45+C47+C49+C56</f>
        <v>93835.4216</v>
      </c>
      <c r="D72" s="7">
        <f t="shared" si="18"/>
        <v>91155.76113333333</v>
      </c>
      <c r="E72" s="7">
        <f t="shared" si="18"/>
        <v>82736.3364</v>
      </c>
      <c r="F72" s="7">
        <f t="shared" si="18"/>
        <v>90856.87973333334</v>
      </c>
      <c r="G72" s="7">
        <f t="shared" si="18"/>
        <v>202210.12680000003</v>
      </c>
      <c r="H72" s="7">
        <f t="shared" si="18"/>
        <v>108519.0194</v>
      </c>
      <c r="I72" s="7">
        <f t="shared" si="18"/>
        <v>106051.3558</v>
      </c>
      <c r="J72" s="7">
        <f t="shared" si="16"/>
        <v>877105.3454666667</v>
      </c>
    </row>
    <row r="74" spans="1:10" ht="11.25">
      <c r="A74" s="4" t="s">
        <v>82</v>
      </c>
      <c r="B74" s="5">
        <v>114958.16</v>
      </c>
      <c r="C74" s="5">
        <v>113336.8</v>
      </c>
      <c r="D74" s="5">
        <v>112773.36</v>
      </c>
      <c r="E74" s="5">
        <v>112797.02</v>
      </c>
      <c r="F74" s="5">
        <v>111981.55</v>
      </c>
      <c r="G74" s="5">
        <v>115618.14</v>
      </c>
      <c r="H74" s="5">
        <v>111976.38</v>
      </c>
      <c r="I74" s="5">
        <v>98504.26</v>
      </c>
      <c r="J74" s="5">
        <f>SUM(B74:I74)</f>
        <v>891945.67</v>
      </c>
    </row>
    <row r="75" spans="1:10" ht="11.25">
      <c r="A75" s="4" t="s">
        <v>83</v>
      </c>
      <c r="B75" s="5">
        <v>0</v>
      </c>
      <c r="C75" s="5">
        <v>67677.1</v>
      </c>
      <c r="D75" s="5">
        <v>99351.72</v>
      </c>
      <c r="E75" s="5">
        <v>104929.1</v>
      </c>
      <c r="F75" s="5">
        <v>104139.5</v>
      </c>
      <c r="G75" s="5">
        <v>83986</v>
      </c>
      <c r="H75" s="5">
        <v>110592.1</v>
      </c>
      <c r="I75" s="5">
        <v>113541.5</v>
      </c>
      <c r="J75" s="5">
        <f>SUM(B75:I75)</f>
        <v>684217.02</v>
      </c>
    </row>
    <row r="76" spans="1:10" ht="11.25">
      <c r="A76" s="4" t="s">
        <v>84</v>
      </c>
      <c r="B76" s="5">
        <v>58.87</v>
      </c>
      <c r="C76" s="5">
        <v>73.16</v>
      </c>
      <c r="D76" s="5">
        <v>79.74</v>
      </c>
      <c r="E76" s="5">
        <v>82.87</v>
      </c>
      <c r="F76" s="5">
        <v>81.31</v>
      </c>
      <c r="G76" s="4">
        <v>83.74</v>
      </c>
      <c r="H76" s="4">
        <v>86.23</v>
      </c>
      <c r="I76" s="4">
        <v>76.71</v>
      </c>
      <c r="J76" s="4"/>
    </row>
    <row r="77" spans="1:10" ht="11.25">
      <c r="A77" s="8" t="s">
        <v>85</v>
      </c>
      <c r="B77" s="9">
        <f aca="true" t="shared" si="19" ref="B77:I77">B72</f>
        <v>101740.4446</v>
      </c>
      <c r="C77" s="9">
        <f t="shared" si="19"/>
        <v>93835.4216</v>
      </c>
      <c r="D77" s="9">
        <f t="shared" si="19"/>
        <v>91155.76113333333</v>
      </c>
      <c r="E77" s="9">
        <f t="shared" si="19"/>
        <v>82736.3364</v>
      </c>
      <c r="F77" s="9">
        <f t="shared" si="19"/>
        <v>90856.87973333334</v>
      </c>
      <c r="G77" s="9">
        <f t="shared" si="19"/>
        <v>202210.12680000003</v>
      </c>
      <c r="H77" s="9">
        <f t="shared" si="19"/>
        <v>108519.0194</v>
      </c>
      <c r="I77" s="9">
        <f t="shared" si="19"/>
        <v>106051.3558</v>
      </c>
      <c r="J77" s="5">
        <f>SUM(B77:I77)</f>
        <v>877105.3454666667</v>
      </c>
    </row>
    <row r="78" spans="1:10" ht="11.25">
      <c r="A78" s="13" t="s">
        <v>135</v>
      </c>
      <c r="B78" s="11"/>
      <c r="C78" s="11"/>
      <c r="D78" s="11"/>
      <c r="E78" s="11"/>
      <c r="F78" s="11"/>
      <c r="G78" s="11"/>
      <c r="H78" s="11"/>
      <c r="I78" s="11"/>
      <c r="J78" s="5">
        <f>J75-J77</f>
        <v>-192888.32546666672</v>
      </c>
    </row>
    <row r="84" spans="7:9" ht="11.25">
      <c r="G84" s="6"/>
      <c r="H84" s="6"/>
      <c r="I84" s="6"/>
    </row>
    <row r="85" spans="7:9" ht="11.25">
      <c r="G85" s="6"/>
      <c r="H85" s="6"/>
      <c r="I85" s="6"/>
    </row>
  </sheetData>
  <printOptions/>
  <pageMargins left="0.75" right="0.75" top="0.63" bottom="0.6" header="0.28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zoomScale="115" zoomScaleNormal="115" workbookViewId="0" topLeftCell="A1">
      <pane ySplit="2" topLeftCell="BM51" activePane="bottomLeft" state="frozen"/>
      <selection pane="topLeft" activeCell="A1" sqref="A1"/>
      <selection pane="bottomLeft" activeCell="L85" sqref="L85"/>
    </sheetView>
  </sheetViews>
  <sheetFormatPr defaultColWidth="9.00390625" defaultRowHeight="12.75"/>
  <cols>
    <col min="1" max="1" width="31.25390625" style="17" customWidth="1"/>
    <col min="2" max="8" width="8.875" style="17" customWidth="1"/>
    <col min="9" max="9" width="9.75390625" style="17" customWidth="1"/>
    <col min="10" max="16384" width="9.125" style="17" customWidth="1"/>
  </cols>
  <sheetData>
    <row r="1" spans="1:9" s="2" customFormat="1" ht="11.25">
      <c r="A1" s="1" t="s">
        <v>136</v>
      </c>
      <c r="B1" s="1"/>
      <c r="C1" s="1" t="s">
        <v>76</v>
      </c>
      <c r="D1" s="1"/>
      <c r="E1" s="1"/>
      <c r="F1" s="1"/>
      <c r="G1" s="1"/>
      <c r="H1" s="1"/>
      <c r="I1" s="1"/>
    </row>
    <row r="2" spans="1:9" ht="11.25">
      <c r="A2" s="16"/>
      <c r="B2" s="3" t="s">
        <v>124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16</v>
      </c>
    </row>
    <row r="3" spans="1:9" ht="11.25">
      <c r="A3" s="3" t="s">
        <v>23</v>
      </c>
      <c r="B3" s="3"/>
      <c r="C3" s="3"/>
      <c r="D3" s="3"/>
      <c r="E3" s="3"/>
      <c r="F3" s="3"/>
      <c r="G3" s="3"/>
      <c r="H3" s="3"/>
      <c r="I3" s="3"/>
    </row>
    <row r="4" spans="1:9" ht="11.25">
      <c r="A4" s="3" t="s">
        <v>26</v>
      </c>
      <c r="B4" s="7">
        <f>SUM(B5:B10)</f>
        <v>6240</v>
      </c>
      <c r="C4" s="7">
        <f aca="true" t="shared" si="0" ref="C4:I4">SUM(C5:C10)</f>
        <v>19066</v>
      </c>
      <c r="D4" s="7">
        <f t="shared" si="0"/>
        <v>22155</v>
      </c>
      <c r="E4" s="7">
        <f t="shared" si="0"/>
        <v>7335</v>
      </c>
      <c r="F4" s="7">
        <f t="shared" si="0"/>
        <v>6330</v>
      </c>
      <c r="G4" s="7">
        <f t="shared" si="0"/>
        <v>7563</v>
      </c>
      <c r="H4" s="7">
        <f t="shared" si="0"/>
        <v>8792.02</v>
      </c>
      <c r="I4" s="7">
        <f t="shared" si="0"/>
        <v>77481.02</v>
      </c>
    </row>
    <row r="5" spans="1:9" ht="11.25">
      <c r="A5" s="4" t="s">
        <v>125</v>
      </c>
      <c r="B5" s="5">
        <v>5000</v>
      </c>
      <c r="C5" s="5">
        <v>5000</v>
      </c>
      <c r="D5" s="5">
        <v>5000</v>
      </c>
      <c r="E5" s="5">
        <v>5000</v>
      </c>
      <c r="F5" s="5">
        <v>5000</v>
      </c>
      <c r="G5" s="5">
        <v>5000</v>
      </c>
      <c r="H5" s="5">
        <v>5000</v>
      </c>
      <c r="I5" s="5">
        <f aca="true" t="shared" si="1" ref="I5:I10">SUM(B5:H5)</f>
        <v>35000</v>
      </c>
    </row>
    <row r="6" spans="1:9" ht="11.25">
      <c r="A6" s="4" t="s">
        <v>77</v>
      </c>
      <c r="B6" s="5">
        <v>1000</v>
      </c>
      <c r="C6" s="5">
        <v>1000</v>
      </c>
      <c r="D6" s="5">
        <v>1000</v>
      </c>
      <c r="E6" s="5">
        <v>1000</v>
      </c>
      <c r="F6" s="5">
        <v>1000</v>
      </c>
      <c r="G6" s="5">
        <v>1000</v>
      </c>
      <c r="H6" s="5">
        <v>1000</v>
      </c>
      <c r="I6" s="5">
        <f t="shared" si="1"/>
        <v>7000</v>
      </c>
    </row>
    <row r="7" spans="1:9" ht="11.25">
      <c r="A7" s="4" t="s">
        <v>31</v>
      </c>
      <c r="B7" s="5">
        <v>0</v>
      </c>
      <c r="C7" s="5">
        <v>200</v>
      </c>
      <c r="D7" s="5">
        <v>200</v>
      </c>
      <c r="E7" s="5">
        <v>200</v>
      </c>
      <c r="F7" s="5">
        <v>200</v>
      </c>
      <c r="G7" s="5">
        <v>200</v>
      </c>
      <c r="H7" s="5">
        <v>200</v>
      </c>
      <c r="I7" s="5">
        <f t="shared" si="1"/>
        <v>1200</v>
      </c>
    </row>
    <row r="8" spans="1:9" ht="11.25">
      <c r="A8" s="4" t="s">
        <v>54</v>
      </c>
      <c r="B8" s="5">
        <v>0</v>
      </c>
      <c r="C8" s="5">
        <v>130</v>
      </c>
      <c r="D8" s="5">
        <v>130</v>
      </c>
      <c r="E8" s="5">
        <f>415+130</f>
        <v>545</v>
      </c>
      <c r="F8" s="5">
        <v>130</v>
      </c>
      <c r="G8" s="5">
        <v>130</v>
      </c>
      <c r="H8" s="5">
        <v>130</v>
      </c>
      <c r="I8" s="5">
        <f t="shared" si="1"/>
        <v>1195</v>
      </c>
    </row>
    <row r="9" spans="1:9" ht="11.25">
      <c r="A9" s="4" t="s">
        <v>10</v>
      </c>
      <c r="B9" s="5">
        <v>240</v>
      </c>
      <c r="C9" s="5">
        <v>4736</v>
      </c>
      <c r="D9" s="5">
        <v>2625</v>
      </c>
      <c r="E9" s="5">
        <f>590</f>
        <v>590</v>
      </c>
      <c r="F9" s="5">
        <v>0</v>
      </c>
      <c r="G9" s="5">
        <f>350+450+48</f>
        <v>848</v>
      </c>
      <c r="H9" s="5">
        <f>2462.02</f>
        <v>2462.02</v>
      </c>
      <c r="I9" s="5">
        <f t="shared" si="1"/>
        <v>11501.02</v>
      </c>
    </row>
    <row r="10" spans="1:9" ht="11.25">
      <c r="A10" s="4" t="s">
        <v>11</v>
      </c>
      <c r="B10" s="5">
        <v>0</v>
      </c>
      <c r="C10" s="5">
        <v>8000</v>
      </c>
      <c r="D10" s="5">
        <v>13200</v>
      </c>
      <c r="E10" s="5">
        <v>0</v>
      </c>
      <c r="F10" s="5">
        <v>0</v>
      </c>
      <c r="G10" s="5">
        <v>385</v>
      </c>
      <c r="H10" s="5">
        <v>0</v>
      </c>
      <c r="I10" s="5">
        <f t="shared" si="1"/>
        <v>21585</v>
      </c>
    </row>
    <row r="11" spans="1:9" ht="11.25">
      <c r="A11" s="3" t="s">
        <v>28</v>
      </c>
      <c r="B11" s="7">
        <f>SUM(B12:B17)</f>
        <v>6721</v>
      </c>
      <c r="C11" s="7">
        <f aca="true" t="shared" si="2" ref="C11:I11">SUM(C12:C17)</f>
        <v>6606</v>
      </c>
      <c r="D11" s="7">
        <f t="shared" si="2"/>
        <v>6698</v>
      </c>
      <c r="E11" s="7">
        <f t="shared" si="2"/>
        <v>6820</v>
      </c>
      <c r="F11" s="7">
        <f t="shared" si="2"/>
        <v>7218</v>
      </c>
      <c r="G11" s="7">
        <f t="shared" si="2"/>
        <v>6310</v>
      </c>
      <c r="H11" s="7">
        <f t="shared" si="2"/>
        <v>6310</v>
      </c>
      <c r="I11" s="7">
        <f t="shared" si="2"/>
        <v>46683</v>
      </c>
    </row>
    <row r="12" spans="1:9" ht="11.25">
      <c r="A12" s="4" t="s">
        <v>126</v>
      </c>
      <c r="B12" s="5">
        <v>5000</v>
      </c>
      <c r="C12" s="5">
        <v>5000</v>
      </c>
      <c r="D12" s="5">
        <v>5000</v>
      </c>
      <c r="E12" s="5">
        <v>5000</v>
      </c>
      <c r="F12" s="5">
        <v>5000</v>
      </c>
      <c r="G12" s="5">
        <v>5000</v>
      </c>
      <c r="H12" s="5">
        <v>5000</v>
      </c>
      <c r="I12" s="5">
        <f aca="true" t="shared" si="3" ref="I12:I17">SUM(B12:H12)</f>
        <v>35000</v>
      </c>
    </row>
    <row r="13" spans="1:9" ht="11.25">
      <c r="A13" s="4" t="s">
        <v>77</v>
      </c>
      <c r="B13" s="5">
        <v>1000</v>
      </c>
      <c r="C13" s="5">
        <v>1000</v>
      </c>
      <c r="D13" s="5">
        <v>1000</v>
      </c>
      <c r="E13" s="5">
        <v>1000</v>
      </c>
      <c r="F13" s="5">
        <v>1000</v>
      </c>
      <c r="G13" s="5">
        <v>1000</v>
      </c>
      <c r="H13" s="5">
        <v>1000</v>
      </c>
      <c r="I13" s="5">
        <f t="shared" si="3"/>
        <v>7000</v>
      </c>
    </row>
    <row r="14" spans="1:9" ht="11.25">
      <c r="A14" s="4" t="s">
        <v>31</v>
      </c>
      <c r="B14" s="5">
        <v>0</v>
      </c>
      <c r="C14" s="5">
        <v>200</v>
      </c>
      <c r="D14" s="5">
        <v>200</v>
      </c>
      <c r="E14" s="5">
        <v>200</v>
      </c>
      <c r="F14" s="5">
        <v>200</v>
      </c>
      <c r="G14" s="5">
        <v>200</v>
      </c>
      <c r="H14" s="5">
        <v>200</v>
      </c>
      <c r="I14" s="5">
        <f t="shared" si="3"/>
        <v>1200</v>
      </c>
    </row>
    <row r="15" spans="1:9" ht="11.25">
      <c r="A15" s="4" t="s">
        <v>54</v>
      </c>
      <c r="B15" s="5">
        <v>0</v>
      </c>
      <c r="C15" s="5">
        <v>110</v>
      </c>
      <c r="D15" s="5">
        <v>110</v>
      </c>
      <c r="E15" s="5">
        <v>110</v>
      </c>
      <c r="F15" s="5">
        <v>110</v>
      </c>
      <c r="G15" s="5">
        <v>110</v>
      </c>
      <c r="H15" s="5">
        <v>110</v>
      </c>
      <c r="I15" s="5">
        <f t="shared" si="3"/>
        <v>660</v>
      </c>
    </row>
    <row r="16" spans="1:9" ht="11.25">
      <c r="A16" s="4" t="s">
        <v>12</v>
      </c>
      <c r="B16" s="5">
        <v>721</v>
      </c>
      <c r="C16" s="5">
        <v>296</v>
      </c>
      <c r="D16" s="5">
        <v>388</v>
      </c>
      <c r="E16" s="5">
        <f>250+260</f>
        <v>510</v>
      </c>
      <c r="F16" s="5">
        <f>304+604</f>
        <v>908</v>
      </c>
      <c r="G16" s="5">
        <v>0</v>
      </c>
      <c r="H16" s="5">
        <v>0</v>
      </c>
      <c r="I16" s="5">
        <f t="shared" si="3"/>
        <v>2823</v>
      </c>
    </row>
    <row r="17" spans="1:9" ht="11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3"/>
        <v>0</v>
      </c>
    </row>
    <row r="18" spans="1:9" s="18" customFormat="1" ht="11.25">
      <c r="A18" s="3" t="s">
        <v>137</v>
      </c>
      <c r="B18" s="7">
        <f>SUM(B19:B22)</f>
        <v>16720</v>
      </c>
      <c r="C18" s="7">
        <f aca="true" t="shared" si="4" ref="C18:I18">SUM(C19:C22)</f>
        <v>16200</v>
      </c>
      <c r="D18" s="7">
        <f t="shared" si="4"/>
        <v>16490</v>
      </c>
      <c r="E18" s="7">
        <f t="shared" si="4"/>
        <v>16000</v>
      </c>
      <c r="F18" s="7">
        <f t="shared" si="4"/>
        <v>16350</v>
      </c>
      <c r="G18" s="7">
        <f t="shared" si="4"/>
        <v>16000</v>
      </c>
      <c r="H18" s="7">
        <f t="shared" si="4"/>
        <v>16150</v>
      </c>
      <c r="I18" s="7">
        <f t="shared" si="4"/>
        <v>113910</v>
      </c>
    </row>
    <row r="19" spans="1:9" ht="11.25">
      <c r="A19" s="4" t="s">
        <v>24</v>
      </c>
      <c r="B19" s="5">
        <v>7000</v>
      </c>
      <c r="C19" s="5">
        <v>7000</v>
      </c>
      <c r="D19" s="5">
        <v>7000</v>
      </c>
      <c r="E19" s="5">
        <v>7000</v>
      </c>
      <c r="F19" s="5">
        <v>7000</v>
      </c>
      <c r="G19" s="5">
        <v>7000</v>
      </c>
      <c r="H19" s="5">
        <v>7000</v>
      </c>
      <c r="I19" s="5">
        <f>SUM(B19:H19)</f>
        <v>49000</v>
      </c>
    </row>
    <row r="20" spans="1:9" ht="11.25">
      <c r="A20" s="4" t="s">
        <v>7</v>
      </c>
      <c r="B20" s="5">
        <v>200</v>
      </c>
      <c r="C20" s="5">
        <v>200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SUM(B20:H20)</f>
        <v>400</v>
      </c>
    </row>
    <row r="21" spans="1:9" ht="11.25">
      <c r="A21" s="4" t="s">
        <v>25</v>
      </c>
      <c r="B21" s="5">
        <v>9000</v>
      </c>
      <c r="C21" s="5">
        <v>9000</v>
      </c>
      <c r="D21" s="5">
        <v>9000</v>
      </c>
      <c r="E21" s="5">
        <v>9000</v>
      </c>
      <c r="F21" s="5">
        <v>9000</v>
      </c>
      <c r="G21" s="5">
        <v>9000</v>
      </c>
      <c r="H21" s="5">
        <v>9000</v>
      </c>
      <c r="I21" s="5">
        <f>SUM(B21:H21)</f>
        <v>63000</v>
      </c>
    </row>
    <row r="22" spans="1:9" ht="11.25">
      <c r="A22" s="4" t="s">
        <v>8</v>
      </c>
      <c r="B22" s="5">
        <v>520</v>
      </c>
      <c r="C22" s="5">
        <v>0</v>
      </c>
      <c r="D22" s="5">
        <v>490</v>
      </c>
      <c r="E22" s="5">
        <v>0</v>
      </c>
      <c r="F22" s="5">
        <v>350</v>
      </c>
      <c r="G22" s="5">
        <v>0</v>
      </c>
      <c r="H22" s="5">
        <v>150</v>
      </c>
      <c r="I22" s="5">
        <f>SUM(B22:H22)</f>
        <v>1510</v>
      </c>
    </row>
    <row r="23" spans="1:9" ht="11.25">
      <c r="A23" s="3" t="s">
        <v>32</v>
      </c>
      <c r="B23" s="7">
        <f aca="true" t="shared" si="5" ref="B23:I23">SUM(B24:B26)</f>
        <v>12448.71</v>
      </c>
      <c r="C23" s="7">
        <f t="shared" si="5"/>
        <v>12448.71</v>
      </c>
      <c r="D23" s="7">
        <f t="shared" si="5"/>
        <v>12448.71</v>
      </c>
      <c r="E23" s="7">
        <f t="shared" si="5"/>
        <v>12448.71</v>
      </c>
      <c r="F23" s="7">
        <f t="shared" si="5"/>
        <v>12448.71</v>
      </c>
      <c r="G23" s="7">
        <f t="shared" si="5"/>
        <v>12448.71</v>
      </c>
      <c r="H23" s="7">
        <f t="shared" si="5"/>
        <v>12448.71</v>
      </c>
      <c r="I23" s="7">
        <f t="shared" si="5"/>
        <v>87140.97</v>
      </c>
    </row>
    <row r="24" spans="1:9" ht="11.25">
      <c r="A24" s="4" t="s">
        <v>41</v>
      </c>
      <c r="B24" s="5">
        <v>9593.42</v>
      </c>
      <c r="C24" s="5">
        <v>9593.42</v>
      </c>
      <c r="D24" s="5">
        <v>9593.42</v>
      </c>
      <c r="E24" s="5">
        <v>9593.42</v>
      </c>
      <c r="F24" s="5">
        <v>9593.42</v>
      </c>
      <c r="G24" s="5">
        <v>9593.42</v>
      </c>
      <c r="H24" s="5">
        <v>9593.42</v>
      </c>
      <c r="I24" s="5">
        <f>SUM(B24:H24)</f>
        <v>67153.94</v>
      </c>
    </row>
    <row r="25" spans="1:9" ht="11.25">
      <c r="A25" s="4" t="s">
        <v>18</v>
      </c>
      <c r="B25" s="5">
        <v>2855.29</v>
      </c>
      <c r="C25" s="5">
        <v>2855.29</v>
      </c>
      <c r="D25" s="5">
        <v>2855.29</v>
      </c>
      <c r="E25" s="5">
        <v>2855.29</v>
      </c>
      <c r="F25" s="5">
        <v>2855.29</v>
      </c>
      <c r="G25" s="5">
        <v>2855.29</v>
      </c>
      <c r="H25" s="5">
        <v>2855.29</v>
      </c>
      <c r="I25" s="5">
        <f>SUM(B25:H25)</f>
        <v>19987.030000000002</v>
      </c>
    </row>
    <row r="26" spans="1:9" ht="11.25">
      <c r="A26" s="4" t="s">
        <v>58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SUM(B26:H26)</f>
        <v>0</v>
      </c>
    </row>
    <row r="27" spans="1:9" ht="11.25">
      <c r="A27" s="3" t="s">
        <v>22</v>
      </c>
      <c r="B27" s="7">
        <f>SUM(B28:B38)</f>
        <v>7911</v>
      </c>
      <c r="C27" s="7">
        <f aca="true" t="shared" si="6" ref="C27:I27">SUM(C28:C38)</f>
        <v>5020.833333333334</v>
      </c>
      <c r="D27" s="7">
        <f t="shared" si="6"/>
        <v>8650</v>
      </c>
      <c r="E27" s="7">
        <f t="shared" si="6"/>
        <v>5265.833333333333</v>
      </c>
      <c r="F27" s="7">
        <f t="shared" si="6"/>
        <v>315</v>
      </c>
      <c r="G27" s="7">
        <f t="shared" si="6"/>
        <v>0</v>
      </c>
      <c r="H27" s="7">
        <f>SUM(H28:H38)</f>
        <v>3000</v>
      </c>
      <c r="I27" s="7">
        <f t="shared" si="6"/>
        <v>30162.666666666668</v>
      </c>
    </row>
    <row r="28" spans="1:9" ht="11.25">
      <c r="A28" s="4" t="s">
        <v>9</v>
      </c>
      <c r="B28" s="5">
        <v>5000</v>
      </c>
      <c r="C28" s="5">
        <v>1250</v>
      </c>
      <c r="D28" s="5">
        <v>3650</v>
      </c>
      <c r="E28" s="5">
        <v>2500</v>
      </c>
      <c r="F28" s="5">
        <v>0</v>
      </c>
      <c r="G28" s="5">
        <v>0</v>
      </c>
      <c r="H28" s="5">
        <v>0</v>
      </c>
      <c r="I28" s="5">
        <f aca="true" t="shared" si="7" ref="I28:I38">SUM(B28:H28)</f>
        <v>12400</v>
      </c>
    </row>
    <row r="29" spans="1:9" ht="11.25">
      <c r="A29" s="4" t="s">
        <v>21</v>
      </c>
      <c r="B29" s="5">
        <v>0</v>
      </c>
      <c r="C29" s="5">
        <v>0</v>
      </c>
      <c r="D29" s="5">
        <v>0</v>
      </c>
      <c r="E29" s="5">
        <v>1500</v>
      </c>
      <c r="F29" s="5">
        <v>0</v>
      </c>
      <c r="G29" s="5">
        <v>0</v>
      </c>
      <c r="H29" s="5">
        <v>0</v>
      </c>
      <c r="I29" s="5">
        <f t="shared" si="7"/>
        <v>1500</v>
      </c>
    </row>
    <row r="30" spans="1:9" ht="11.25">
      <c r="A30" s="4" t="s">
        <v>73</v>
      </c>
      <c r="B30" s="5">
        <v>1400</v>
      </c>
      <c r="C30" s="5">
        <v>1400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7"/>
        <v>2800</v>
      </c>
    </row>
    <row r="31" spans="1:9" ht="11.25">
      <c r="A31" s="4" t="s">
        <v>74</v>
      </c>
      <c r="B31" s="5">
        <f>3022/2</f>
        <v>1511</v>
      </c>
      <c r="C31" s="5">
        <f>(3797.5+3315)/3</f>
        <v>2370.8333333333335</v>
      </c>
      <c r="D31" s="5">
        <v>0</v>
      </c>
      <c r="E31" s="5">
        <f>3797.5/3</f>
        <v>1265.8333333333333</v>
      </c>
      <c r="F31" s="5">
        <v>0</v>
      </c>
      <c r="G31" s="5">
        <v>0</v>
      </c>
      <c r="H31" s="5">
        <v>0</v>
      </c>
      <c r="I31" s="5">
        <f t="shared" si="7"/>
        <v>5147.666666666667</v>
      </c>
    </row>
    <row r="32" spans="1:9" ht="11.25">
      <c r="A32" s="4" t="s">
        <v>57</v>
      </c>
      <c r="B32" s="5">
        <v>0</v>
      </c>
      <c r="C32" s="5">
        <v>0</v>
      </c>
      <c r="D32" s="5">
        <v>0</v>
      </c>
      <c r="E32" s="5">
        <v>0</v>
      </c>
      <c r="F32" s="5">
        <v>315</v>
      </c>
      <c r="G32" s="5">
        <v>0</v>
      </c>
      <c r="H32" s="5">
        <v>0</v>
      </c>
      <c r="I32" s="5">
        <f t="shared" si="7"/>
        <v>315</v>
      </c>
    </row>
    <row r="33" spans="1:9" ht="11.25">
      <c r="A33" s="4" t="s">
        <v>71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3000</v>
      </c>
      <c r="I33" s="5">
        <f t="shared" si="7"/>
        <v>3000</v>
      </c>
    </row>
    <row r="34" spans="1:9" ht="11.25">
      <c r="A34" s="4" t="s">
        <v>129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7"/>
        <v>0</v>
      </c>
    </row>
    <row r="35" spans="1:9" ht="11.25">
      <c r="A35" s="4" t="s">
        <v>130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7"/>
        <v>0</v>
      </c>
    </row>
    <row r="36" spans="1:9" ht="11.25">
      <c r="A36" s="4" t="s">
        <v>131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7"/>
        <v>0</v>
      </c>
    </row>
    <row r="37" spans="1:9" ht="11.25">
      <c r="A37" s="4" t="s">
        <v>132</v>
      </c>
      <c r="B37" s="5">
        <v>0</v>
      </c>
      <c r="C37" s="5">
        <v>0</v>
      </c>
      <c r="D37" s="5">
        <v>5000</v>
      </c>
      <c r="E37" s="5">
        <v>0</v>
      </c>
      <c r="F37" s="5">
        <v>0</v>
      </c>
      <c r="G37" s="5">
        <v>0</v>
      </c>
      <c r="H37" s="5">
        <v>0</v>
      </c>
      <c r="I37" s="5">
        <f t="shared" si="7"/>
        <v>5000</v>
      </c>
    </row>
    <row r="38" spans="1:9" ht="11.25">
      <c r="A38" s="4" t="s">
        <v>56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7"/>
        <v>0</v>
      </c>
    </row>
    <row r="39" spans="1:9" ht="11.25">
      <c r="A39" s="3" t="s">
        <v>138</v>
      </c>
      <c r="B39" s="7">
        <f aca="true" t="shared" si="8" ref="B39:I39">SUM(B40:B43)</f>
        <v>12000</v>
      </c>
      <c r="C39" s="7">
        <f t="shared" si="8"/>
        <v>12000</v>
      </c>
      <c r="D39" s="7">
        <f t="shared" si="8"/>
        <v>12000</v>
      </c>
      <c r="E39" s="7">
        <f t="shared" si="8"/>
        <v>12000</v>
      </c>
      <c r="F39" s="7">
        <f t="shared" si="8"/>
        <v>12000</v>
      </c>
      <c r="G39" s="7">
        <f t="shared" si="8"/>
        <v>12000</v>
      </c>
      <c r="H39" s="7">
        <f t="shared" si="8"/>
        <v>15200</v>
      </c>
      <c r="I39" s="7">
        <f t="shared" si="8"/>
        <v>87200</v>
      </c>
    </row>
    <row r="40" spans="1:9" ht="11.25">
      <c r="A40" s="4" t="s">
        <v>139</v>
      </c>
      <c r="B40" s="5">
        <v>6000</v>
      </c>
      <c r="C40" s="5">
        <v>6000</v>
      </c>
      <c r="D40" s="5">
        <v>6000</v>
      </c>
      <c r="E40" s="5">
        <v>6000</v>
      </c>
      <c r="F40" s="5">
        <v>6000</v>
      </c>
      <c r="G40" s="5">
        <v>6000</v>
      </c>
      <c r="H40" s="5">
        <f>3800*2</f>
        <v>7600</v>
      </c>
      <c r="I40" s="5">
        <f>SUM(B40:H40)</f>
        <v>43600</v>
      </c>
    </row>
    <row r="41" spans="1:9" ht="11.25">
      <c r="A41" s="4" t="s">
        <v>140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SUM(B41:H41)</f>
        <v>0</v>
      </c>
    </row>
    <row r="42" spans="1:9" ht="11.25">
      <c r="A42" s="4" t="s">
        <v>141</v>
      </c>
      <c r="B42" s="5">
        <v>6000</v>
      </c>
      <c r="C42" s="5">
        <v>6000</v>
      </c>
      <c r="D42" s="5">
        <v>6000</v>
      </c>
      <c r="E42" s="5">
        <v>6000</v>
      </c>
      <c r="F42" s="5">
        <v>6000</v>
      </c>
      <c r="G42" s="5">
        <v>6000</v>
      </c>
      <c r="H42" s="5">
        <v>7600</v>
      </c>
      <c r="I42" s="5">
        <f>SUM(B42:H42)</f>
        <v>43600</v>
      </c>
    </row>
    <row r="43" spans="1:9" ht="11.25">
      <c r="A43" s="4" t="s">
        <v>19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SUM(B43:H43)</f>
        <v>0</v>
      </c>
    </row>
    <row r="44" spans="1:9" ht="11.25">
      <c r="A44" s="3" t="s">
        <v>142</v>
      </c>
      <c r="B44" s="7">
        <f>SUM(B45:B52)</f>
        <v>2735</v>
      </c>
      <c r="C44" s="7">
        <f aca="true" t="shared" si="9" ref="C44:I44">SUM(C45:C52)</f>
        <v>10540</v>
      </c>
      <c r="D44" s="7">
        <f t="shared" si="9"/>
        <v>36700</v>
      </c>
      <c r="E44" s="7">
        <f t="shared" si="9"/>
        <v>5000</v>
      </c>
      <c r="F44" s="7">
        <f t="shared" si="9"/>
        <v>0</v>
      </c>
      <c r="G44" s="7">
        <f t="shared" si="9"/>
        <v>300</v>
      </c>
      <c r="H44" s="7">
        <f t="shared" si="9"/>
        <v>27331.08</v>
      </c>
      <c r="I44" s="7">
        <f t="shared" si="9"/>
        <v>82606.08</v>
      </c>
    </row>
    <row r="45" spans="1:9" ht="11.25">
      <c r="A45" s="4" t="s">
        <v>110</v>
      </c>
      <c r="B45" s="5">
        <v>0</v>
      </c>
      <c r="C45" s="5">
        <v>0</v>
      </c>
      <c r="D45" s="5">
        <v>4200</v>
      </c>
      <c r="E45" s="5">
        <v>0</v>
      </c>
      <c r="F45" s="5">
        <v>0</v>
      </c>
      <c r="G45" s="5">
        <v>0</v>
      </c>
      <c r="H45" s="5">
        <v>0</v>
      </c>
      <c r="I45" s="5">
        <f aca="true" t="shared" si="10" ref="I45:I52">SUM(B45:H45)</f>
        <v>4200</v>
      </c>
    </row>
    <row r="46" spans="1:9" ht="11.25">
      <c r="A46" s="4" t="s">
        <v>128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5000</v>
      </c>
      <c r="I46" s="5">
        <f t="shared" si="10"/>
        <v>5000</v>
      </c>
    </row>
    <row r="47" spans="1:9" ht="11.25">
      <c r="A47" s="4" t="s">
        <v>127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f>18000+4331.08</f>
        <v>22331.08</v>
      </c>
      <c r="I47" s="5">
        <f t="shared" si="10"/>
        <v>22331.08</v>
      </c>
    </row>
    <row r="48" spans="1:9" ht="11.25">
      <c r="A48" s="4" t="s">
        <v>143</v>
      </c>
      <c r="B48" s="5">
        <v>0</v>
      </c>
      <c r="C48" s="5">
        <v>0</v>
      </c>
      <c r="D48" s="5">
        <v>32000</v>
      </c>
      <c r="E48" s="5">
        <v>5000</v>
      </c>
      <c r="F48" s="5">
        <v>0</v>
      </c>
      <c r="G48" s="5">
        <v>0</v>
      </c>
      <c r="H48" s="5">
        <v>0</v>
      </c>
      <c r="I48" s="5">
        <f t="shared" si="10"/>
        <v>37000</v>
      </c>
    </row>
    <row r="49" spans="1:9" ht="11.25">
      <c r="A49" s="4" t="s">
        <v>59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0"/>
        <v>0</v>
      </c>
    </row>
    <row r="50" spans="1:9" ht="11.25">
      <c r="A50" s="4" t="s">
        <v>61</v>
      </c>
      <c r="B50" s="5">
        <f>1000+1040+695</f>
        <v>2735</v>
      </c>
      <c r="C50" s="5">
        <v>540</v>
      </c>
      <c r="D50" s="5">
        <v>500</v>
      </c>
      <c r="E50" s="5">
        <v>0</v>
      </c>
      <c r="F50" s="5">
        <v>0</v>
      </c>
      <c r="G50" s="5">
        <v>300</v>
      </c>
      <c r="H50" s="5">
        <v>0</v>
      </c>
      <c r="I50" s="5">
        <f t="shared" si="10"/>
        <v>4075</v>
      </c>
    </row>
    <row r="51" spans="1:9" ht="11.25">
      <c r="A51" s="4" t="s">
        <v>144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0"/>
        <v>0</v>
      </c>
    </row>
    <row r="52" spans="1:9" ht="11.25">
      <c r="A52" s="4" t="s">
        <v>45</v>
      </c>
      <c r="B52" s="5">
        <v>0</v>
      </c>
      <c r="C52" s="5">
        <v>10000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0"/>
        <v>10000</v>
      </c>
    </row>
    <row r="53" spans="1:9" ht="11.25">
      <c r="A53" s="3" t="s">
        <v>47</v>
      </c>
      <c r="B53" s="7">
        <f>B54</f>
        <v>0</v>
      </c>
      <c r="C53" s="7">
        <f aca="true" t="shared" si="11" ref="C53:I53">C54</f>
        <v>0</v>
      </c>
      <c r="D53" s="7">
        <f t="shared" si="11"/>
        <v>0</v>
      </c>
      <c r="E53" s="7">
        <f t="shared" si="11"/>
        <v>0</v>
      </c>
      <c r="F53" s="7">
        <f t="shared" si="11"/>
        <v>0</v>
      </c>
      <c r="G53" s="7">
        <f t="shared" si="11"/>
        <v>0</v>
      </c>
      <c r="H53" s="7">
        <f t="shared" si="11"/>
        <v>0</v>
      </c>
      <c r="I53" s="7">
        <f t="shared" si="11"/>
        <v>0</v>
      </c>
    </row>
    <row r="54" spans="1:9" ht="11.25">
      <c r="A54" s="4" t="s">
        <v>17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SUM(B54:H54)</f>
        <v>0</v>
      </c>
    </row>
    <row r="55" spans="1:9" ht="11.25">
      <c r="A55" s="3" t="s">
        <v>42</v>
      </c>
      <c r="B55" s="7">
        <f aca="true" t="shared" si="12" ref="B55:I55">SUM(B56:B60)</f>
        <v>71808.058</v>
      </c>
      <c r="C55" s="7">
        <f t="shared" si="12"/>
        <v>69770.6589</v>
      </c>
      <c r="D55" s="7">
        <f t="shared" si="12"/>
        <v>36396.513699999996</v>
      </c>
      <c r="E55" s="7">
        <f t="shared" si="12"/>
        <v>41467.304099999994</v>
      </c>
      <c r="F55" s="7">
        <f t="shared" si="12"/>
        <v>49093.9016</v>
      </c>
      <c r="G55" s="7">
        <f t="shared" si="12"/>
        <v>48749.694800000005</v>
      </c>
      <c r="H55" s="7">
        <f t="shared" si="12"/>
        <v>45645.724</v>
      </c>
      <c r="I55" s="7">
        <f t="shared" si="12"/>
        <v>362931.85510000004</v>
      </c>
    </row>
    <row r="56" spans="1:9" ht="11.25">
      <c r="A56" s="4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SUM(B56:H56)</f>
        <v>0</v>
      </c>
    </row>
    <row r="57" spans="1:9" ht="11.25">
      <c r="A57" s="4" t="s">
        <v>43</v>
      </c>
      <c r="B57" s="5">
        <v>2724.9</v>
      </c>
      <c r="C57" s="5">
        <v>1556.44</v>
      </c>
      <c r="D57" s="5">
        <v>2510.47</v>
      </c>
      <c r="E57" s="5">
        <v>1910.79</v>
      </c>
      <c r="F57" s="5">
        <v>2067.07</v>
      </c>
      <c r="G57" s="5">
        <v>2052.52</v>
      </c>
      <c r="H57" s="5">
        <v>2630.4</v>
      </c>
      <c r="I57" s="5">
        <f>SUM(B57:H57)</f>
        <v>15452.589999999998</v>
      </c>
    </row>
    <row r="58" spans="1:9" ht="11.25">
      <c r="A58" s="4" t="s">
        <v>44</v>
      </c>
      <c r="B58" s="5">
        <v>180.78</v>
      </c>
      <c r="C58" s="5">
        <v>99.38</v>
      </c>
      <c r="D58" s="5">
        <v>100.49</v>
      </c>
      <c r="E58" s="5">
        <v>160.49</v>
      </c>
      <c r="F58" s="5">
        <v>134.68</v>
      </c>
      <c r="G58" s="5">
        <v>182.13</v>
      </c>
      <c r="H58" s="5">
        <v>154.28</v>
      </c>
      <c r="I58" s="5">
        <f>SUM(B58:H58)</f>
        <v>1012.2299999999999</v>
      </c>
    </row>
    <row r="59" spans="1:9" ht="11.25">
      <c r="A59" s="4" t="s">
        <v>80</v>
      </c>
      <c r="B59" s="5">
        <f>1013.4*9.42</f>
        <v>9546.228</v>
      </c>
      <c r="C59" s="5">
        <f>1424*9.42</f>
        <v>13414.08</v>
      </c>
      <c r="D59" s="5">
        <f>(437+206)*9.42</f>
        <v>6057.06</v>
      </c>
      <c r="E59" s="5">
        <f>(561+227)*9.42</f>
        <v>7422.96</v>
      </c>
      <c r="F59" s="5">
        <f>(569+347)*9.42</f>
        <v>8628.72</v>
      </c>
      <c r="G59" s="5">
        <f>(477+303)*9.42</f>
        <v>7347.6</v>
      </c>
      <c r="H59" s="5">
        <f>(492+331)*9.42</f>
        <v>7752.66</v>
      </c>
      <c r="I59" s="5">
        <f>SUM(B59:H59)</f>
        <v>60169.308000000005</v>
      </c>
    </row>
    <row r="60" spans="1:9" ht="11.25">
      <c r="A60" s="4" t="s">
        <v>81</v>
      </c>
      <c r="B60" s="5">
        <f>1715*34.61</f>
        <v>59356.15</v>
      </c>
      <c r="C60" s="5">
        <f>1580.49*34.61</f>
        <v>54700.7589</v>
      </c>
      <c r="D60" s="5">
        <f>(400.59+400.58)*34.61</f>
        <v>27728.4937</v>
      </c>
      <c r="E60" s="5">
        <f>(696.81+227)*34.61</f>
        <v>31973.064099999996</v>
      </c>
      <c r="F60" s="5">
        <f>(552.78+552.78)*34.61</f>
        <v>38263.431599999996</v>
      </c>
      <c r="G60" s="5">
        <f>(565.84+565.84)*34.61</f>
        <v>39167.444800000005</v>
      </c>
      <c r="H60" s="5">
        <f>(602.51+411.89)*34.61</f>
        <v>35108.384</v>
      </c>
      <c r="I60" s="5">
        <f>SUM(B60:H60)</f>
        <v>286297.7271</v>
      </c>
    </row>
    <row r="61" spans="1:9" ht="11.25">
      <c r="A61" s="3" t="s">
        <v>75</v>
      </c>
      <c r="B61" s="7">
        <f>5324.7*5</f>
        <v>26623.5</v>
      </c>
      <c r="C61" s="7">
        <f aca="true" t="shared" si="13" ref="C61:H61">5324.7*5</f>
        <v>26623.5</v>
      </c>
      <c r="D61" s="7">
        <f t="shared" si="13"/>
        <v>26623.5</v>
      </c>
      <c r="E61" s="7">
        <f t="shared" si="13"/>
        <v>26623.5</v>
      </c>
      <c r="F61" s="7">
        <f t="shared" si="13"/>
        <v>26623.5</v>
      </c>
      <c r="G61" s="7">
        <f t="shared" si="13"/>
        <v>26623.5</v>
      </c>
      <c r="H61" s="7">
        <f t="shared" si="13"/>
        <v>26623.5</v>
      </c>
      <c r="I61" s="7"/>
    </row>
    <row r="62" spans="1:9" ht="11.25">
      <c r="A62" s="3" t="s">
        <v>145</v>
      </c>
      <c r="B62" s="7">
        <f>SUM(B63:B76)</f>
        <v>26623.5</v>
      </c>
      <c r="C62" s="7">
        <f aca="true" t="shared" si="14" ref="C62:H62">SUM(C63:C76)</f>
        <v>26623.5</v>
      </c>
      <c r="D62" s="7">
        <f t="shared" si="14"/>
        <v>26623.5</v>
      </c>
      <c r="E62" s="7">
        <f t="shared" si="14"/>
        <v>26623.5</v>
      </c>
      <c r="F62" s="7">
        <f t="shared" si="14"/>
        <v>26623.5</v>
      </c>
      <c r="G62" s="7">
        <f t="shared" si="14"/>
        <v>26623.5</v>
      </c>
      <c r="H62" s="7">
        <f t="shared" si="14"/>
        <v>26623.5</v>
      </c>
      <c r="I62" s="7">
        <f>SUM(I63:I76)</f>
        <v>186364.5</v>
      </c>
    </row>
    <row r="63" spans="1:9" ht="11.25">
      <c r="A63" s="4" t="s">
        <v>50</v>
      </c>
      <c r="B63" s="5">
        <v>2289.23</v>
      </c>
      <c r="C63" s="5">
        <v>2289.23</v>
      </c>
      <c r="D63" s="5">
        <v>2289.23</v>
      </c>
      <c r="E63" s="5">
        <v>2289.23</v>
      </c>
      <c r="F63" s="5">
        <v>2289.23</v>
      </c>
      <c r="G63" s="5">
        <v>2289.23</v>
      </c>
      <c r="H63" s="5">
        <v>2289.23</v>
      </c>
      <c r="I63" s="5">
        <f aca="true" t="shared" si="15" ref="I63:I76">SUM(B63:H63)</f>
        <v>16024.609999999999</v>
      </c>
    </row>
    <row r="64" spans="1:9" ht="11.25">
      <c r="A64" s="4" t="s">
        <v>134</v>
      </c>
      <c r="B64" s="5">
        <v>2310</v>
      </c>
      <c r="C64" s="5">
        <v>2310</v>
      </c>
      <c r="D64" s="5">
        <v>2310</v>
      </c>
      <c r="E64" s="5">
        <v>2310</v>
      </c>
      <c r="F64" s="5">
        <v>2310</v>
      </c>
      <c r="G64" s="5">
        <v>2310</v>
      </c>
      <c r="H64" s="5">
        <v>2310</v>
      </c>
      <c r="I64" s="5">
        <f t="shared" si="15"/>
        <v>16170</v>
      </c>
    </row>
    <row r="65" spans="1:9" ht="11.25">
      <c r="A65" s="4" t="s">
        <v>35</v>
      </c>
      <c r="B65" s="5">
        <v>200</v>
      </c>
      <c r="C65" s="5">
        <v>200</v>
      </c>
      <c r="D65" s="5">
        <v>200</v>
      </c>
      <c r="E65" s="5">
        <v>200</v>
      </c>
      <c r="F65" s="5">
        <v>200</v>
      </c>
      <c r="G65" s="5">
        <v>200</v>
      </c>
      <c r="H65" s="5">
        <v>200</v>
      </c>
      <c r="I65" s="5">
        <f t="shared" si="15"/>
        <v>1400</v>
      </c>
    </row>
    <row r="66" spans="1:9" ht="11.25">
      <c r="A66" s="4" t="s">
        <v>62</v>
      </c>
      <c r="B66" s="5">
        <v>420</v>
      </c>
      <c r="C66" s="5">
        <v>420</v>
      </c>
      <c r="D66" s="5">
        <v>420</v>
      </c>
      <c r="E66" s="5">
        <v>420</v>
      </c>
      <c r="F66" s="5">
        <v>420</v>
      </c>
      <c r="G66" s="5">
        <v>420</v>
      </c>
      <c r="H66" s="5">
        <v>420</v>
      </c>
      <c r="I66" s="5">
        <f t="shared" si="15"/>
        <v>2940</v>
      </c>
    </row>
    <row r="67" spans="1:9" ht="11.25">
      <c r="A67" s="4" t="s">
        <v>64</v>
      </c>
      <c r="B67" s="5">
        <v>229.11</v>
      </c>
      <c r="C67" s="5">
        <v>304.79</v>
      </c>
      <c r="D67" s="5">
        <v>328.69</v>
      </c>
      <c r="E67" s="5">
        <v>375.18</v>
      </c>
      <c r="F67" s="5">
        <v>316.42</v>
      </c>
      <c r="G67" s="5">
        <v>298.88</v>
      </c>
      <c r="H67" s="5">
        <v>232.82</v>
      </c>
      <c r="I67" s="5">
        <f t="shared" si="15"/>
        <v>2085.8900000000003</v>
      </c>
    </row>
    <row r="68" spans="1:9" ht="11.25">
      <c r="A68" s="4" t="s">
        <v>67</v>
      </c>
      <c r="B68" s="5">
        <v>85</v>
      </c>
      <c r="C68" s="5">
        <v>85</v>
      </c>
      <c r="D68" s="5">
        <v>85</v>
      </c>
      <c r="E68" s="5">
        <v>85</v>
      </c>
      <c r="F68" s="5">
        <v>85</v>
      </c>
      <c r="G68" s="5">
        <v>85</v>
      </c>
      <c r="H68" s="5">
        <v>85</v>
      </c>
      <c r="I68" s="5">
        <f t="shared" si="15"/>
        <v>595</v>
      </c>
    </row>
    <row r="69" spans="1:9" ht="11.25">
      <c r="A69" s="4" t="s">
        <v>51</v>
      </c>
      <c r="B69" s="5">
        <v>180</v>
      </c>
      <c r="C69" s="5">
        <v>180</v>
      </c>
      <c r="D69" s="5">
        <v>180</v>
      </c>
      <c r="E69" s="5">
        <v>180</v>
      </c>
      <c r="F69" s="5">
        <v>180</v>
      </c>
      <c r="G69" s="5">
        <v>180</v>
      </c>
      <c r="H69" s="5">
        <v>180</v>
      </c>
      <c r="I69" s="5">
        <f t="shared" si="15"/>
        <v>1260</v>
      </c>
    </row>
    <row r="70" spans="1:9" ht="11.25">
      <c r="A70" s="4" t="s">
        <v>52</v>
      </c>
      <c r="B70" s="5">
        <v>1954.85</v>
      </c>
      <c r="C70" s="5">
        <v>1929.63</v>
      </c>
      <c r="D70" s="5">
        <v>1921.66</v>
      </c>
      <c r="E70" s="5">
        <v>1906.16</v>
      </c>
      <c r="F70" s="5">
        <v>1925.42</v>
      </c>
      <c r="G70" s="5">
        <v>1930.93</v>
      </c>
      <c r="H70" s="5">
        <v>1952.62</v>
      </c>
      <c r="I70" s="5">
        <f t="shared" si="15"/>
        <v>13521.27</v>
      </c>
    </row>
    <row r="71" spans="1:12" ht="11.25">
      <c r="A71" s="4" t="s">
        <v>14</v>
      </c>
      <c r="B71" s="5">
        <v>10755.31</v>
      </c>
      <c r="C71" s="5">
        <v>10704.85</v>
      </c>
      <c r="D71" s="5">
        <v>10688.92</v>
      </c>
      <c r="E71" s="5">
        <v>10657.93</v>
      </c>
      <c r="F71" s="5">
        <v>10697.43</v>
      </c>
      <c r="G71" s="5">
        <v>10709.46</v>
      </c>
      <c r="H71" s="5">
        <v>10753.83</v>
      </c>
      <c r="I71" s="5">
        <f t="shared" si="15"/>
        <v>74967.73</v>
      </c>
      <c r="L71" s="19"/>
    </row>
    <row r="72" spans="1:9" ht="11.25">
      <c r="A72" s="4" t="s">
        <v>70</v>
      </c>
      <c r="B72" s="5">
        <v>650</v>
      </c>
      <c r="C72" s="5">
        <v>650</v>
      </c>
      <c r="D72" s="5">
        <v>650</v>
      </c>
      <c r="E72" s="5">
        <v>650</v>
      </c>
      <c r="F72" s="5">
        <v>650</v>
      </c>
      <c r="G72" s="5">
        <v>650</v>
      </c>
      <c r="H72" s="5">
        <v>650</v>
      </c>
      <c r="I72" s="5">
        <f t="shared" si="15"/>
        <v>4550</v>
      </c>
    </row>
    <row r="73" spans="1:9" ht="11.25">
      <c r="A73" s="4" t="s">
        <v>65</v>
      </c>
      <c r="B73" s="5">
        <v>600</v>
      </c>
      <c r="C73" s="5">
        <v>600</v>
      </c>
      <c r="D73" s="5">
        <v>600</v>
      </c>
      <c r="E73" s="5">
        <v>600</v>
      </c>
      <c r="F73" s="5">
        <v>600</v>
      </c>
      <c r="G73" s="5">
        <v>600</v>
      </c>
      <c r="H73" s="5">
        <v>600</v>
      </c>
      <c r="I73" s="5">
        <f t="shared" si="15"/>
        <v>4200</v>
      </c>
    </row>
    <row r="74" spans="1:9" ht="11.25">
      <c r="A74" s="4" t="s">
        <v>66</v>
      </c>
      <c r="B74" s="5">
        <v>400</v>
      </c>
      <c r="C74" s="5">
        <v>400</v>
      </c>
      <c r="D74" s="5">
        <v>400</v>
      </c>
      <c r="E74" s="5">
        <v>400</v>
      </c>
      <c r="F74" s="5">
        <v>400</v>
      </c>
      <c r="G74" s="5">
        <v>400</v>
      </c>
      <c r="H74" s="5">
        <v>400</v>
      </c>
      <c r="I74" s="5">
        <f t="shared" si="15"/>
        <v>2800</v>
      </c>
    </row>
    <row r="75" spans="1:9" ht="11.25">
      <c r="A75" s="4" t="s">
        <v>53</v>
      </c>
      <c r="B75" s="5">
        <v>5600</v>
      </c>
      <c r="C75" s="5">
        <v>5600</v>
      </c>
      <c r="D75" s="5">
        <v>5600</v>
      </c>
      <c r="E75" s="5">
        <v>5600</v>
      </c>
      <c r="F75" s="5">
        <v>5600</v>
      </c>
      <c r="G75" s="5">
        <v>5600</v>
      </c>
      <c r="H75" s="5">
        <v>5600</v>
      </c>
      <c r="I75" s="5">
        <f t="shared" si="15"/>
        <v>39200</v>
      </c>
    </row>
    <row r="76" spans="1:9" ht="11.25">
      <c r="A76" s="4" t="s">
        <v>36</v>
      </c>
      <c r="B76" s="5">
        <v>950</v>
      </c>
      <c r="C76" s="5">
        <v>950</v>
      </c>
      <c r="D76" s="5">
        <v>950</v>
      </c>
      <c r="E76" s="5">
        <v>950</v>
      </c>
      <c r="F76" s="5">
        <v>950</v>
      </c>
      <c r="G76" s="5">
        <v>950</v>
      </c>
      <c r="H76" s="5">
        <v>950</v>
      </c>
      <c r="I76" s="5">
        <f t="shared" si="15"/>
        <v>6650</v>
      </c>
    </row>
    <row r="77" spans="1:9" ht="11.25">
      <c r="A77" s="3" t="s">
        <v>15</v>
      </c>
      <c r="B77" s="7">
        <f aca="true" t="shared" si="16" ref="B77:H77">B4+B11+B18+B23+B27+B39+B44+B53+B55+B61</f>
        <v>163207.268</v>
      </c>
      <c r="C77" s="7">
        <f t="shared" si="16"/>
        <v>178275.70223333332</v>
      </c>
      <c r="D77" s="7">
        <f t="shared" si="16"/>
        <v>178161.72369999997</v>
      </c>
      <c r="E77" s="7">
        <f t="shared" si="16"/>
        <v>132960.34743333334</v>
      </c>
      <c r="F77" s="7">
        <f t="shared" si="16"/>
        <v>130379.1116</v>
      </c>
      <c r="G77" s="7">
        <f t="shared" si="16"/>
        <v>129994.9048</v>
      </c>
      <c r="H77" s="7">
        <f t="shared" si="16"/>
        <v>161501.03399999999</v>
      </c>
      <c r="I77" s="7">
        <f>I4+I11+I18+I23+I27+I39+I44+I53+I55+I61</f>
        <v>888115.5917666667</v>
      </c>
    </row>
    <row r="79" spans="1:9" ht="11.25">
      <c r="A79" s="4" t="s">
        <v>82</v>
      </c>
      <c r="B79" s="4">
        <v>213155.92</v>
      </c>
      <c r="C79" s="4">
        <v>204189.22</v>
      </c>
      <c r="D79" s="4">
        <v>202529.39</v>
      </c>
      <c r="E79" s="4">
        <v>203890.61</v>
      </c>
      <c r="F79" s="4">
        <v>204616.64</v>
      </c>
      <c r="G79" s="4">
        <v>200550.14</v>
      </c>
      <c r="H79" s="4">
        <v>179089.54</v>
      </c>
      <c r="I79" s="4">
        <f>SUM(B79:H79)</f>
        <v>1408021.46</v>
      </c>
    </row>
    <row r="80" spans="1:9" ht="11.25">
      <c r="A80" s="4" t="s">
        <v>83</v>
      </c>
      <c r="B80" s="5">
        <v>0</v>
      </c>
      <c r="C80" s="5">
        <v>131855.69</v>
      </c>
      <c r="D80" s="5">
        <v>184412</v>
      </c>
      <c r="E80" s="5">
        <v>163031.5</v>
      </c>
      <c r="F80" s="5">
        <v>179577</v>
      </c>
      <c r="G80" s="5">
        <v>161609.4</v>
      </c>
      <c r="H80" s="5">
        <v>187173.75</v>
      </c>
      <c r="I80" s="4">
        <f>SUM(B80:H80)</f>
        <v>1007659.34</v>
      </c>
    </row>
    <row r="81" spans="1:9" ht="11.25">
      <c r="A81" s="4" t="s">
        <v>84</v>
      </c>
      <c r="B81" s="5">
        <v>61.86</v>
      </c>
      <c r="C81" s="5">
        <v>75.78</v>
      </c>
      <c r="D81" s="5">
        <v>77.32</v>
      </c>
      <c r="E81" s="5">
        <v>79.98</v>
      </c>
      <c r="F81" s="5">
        <v>79.78</v>
      </c>
      <c r="G81" s="5">
        <v>81.99</v>
      </c>
      <c r="H81" s="5">
        <v>71.57</v>
      </c>
      <c r="I81" s="4"/>
    </row>
    <row r="82" spans="1:9" ht="11.25">
      <c r="A82" s="8" t="s">
        <v>85</v>
      </c>
      <c r="B82" s="5">
        <f>B77</f>
        <v>163207.268</v>
      </c>
      <c r="C82" s="5">
        <f aca="true" t="shared" si="17" ref="C82:H82">C77</f>
        <v>178275.70223333332</v>
      </c>
      <c r="D82" s="5">
        <f t="shared" si="17"/>
        <v>178161.72369999997</v>
      </c>
      <c r="E82" s="5">
        <f t="shared" si="17"/>
        <v>132960.34743333334</v>
      </c>
      <c r="F82" s="5">
        <f t="shared" si="17"/>
        <v>130379.1116</v>
      </c>
      <c r="G82" s="5">
        <f t="shared" si="17"/>
        <v>129994.9048</v>
      </c>
      <c r="H82" s="5">
        <f t="shared" si="17"/>
        <v>161501.03399999999</v>
      </c>
      <c r="I82" s="5">
        <f>SUM(B82:H82)</f>
        <v>1074480.0917666666</v>
      </c>
    </row>
    <row r="83" spans="1:9" ht="11.25">
      <c r="A83" s="13" t="s">
        <v>135</v>
      </c>
      <c r="B83" s="20"/>
      <c r="C83" s="21"/>
      <c r="D83" s="21"/>
      <c r="E83" s="21"/>
      <c r="F83" s="21"/>
      <c r="G83" s="21"/>
      <c r="H83" s="21"/>
      <c r="I83" s="5">
        <f>I80-I82</f>
        <v>-66820.75176666665</v>
      </c>
    </row>
  </sheetData>
  <printOptions/>
  <pageMargins left="0.75" right="0.75" top="0.63" bottom="0.6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82"/>
  <sheetViews>
    <sheetView workbookViewId="0" topLeftCell="A1">
      <pane ySplit="2" topLeftCell="BM39" activePane="bottomLeft" state="frozen"/>
      <selection pane="topLeft" activeCell="A1" sqref="A1"/>
      <selection pane="bottomLeft" activeCell="N27" sqref="N27"/>
    </sheetView>
  </sheetViews>
  <sheetFormatPr defaultColWidth="9.00390625" defaultRowHeight="12.75"/>
  <cols>
    <col min="1" max="1" width="34.00390625" style="2" customWidth="1"/>
    <col min="2" max="17" width="8.875" style="2" customWidth="1"/>
    <col min="18" max="18" width="9.75390625" style="2" customWidth="1"/>
    <col min="19" max="16384" width="9.125" style="2" customWidth="1"/>
  </cols>
  <sheetData>
    <row r="1" spans="1:18" ht="11.25">
      <c r="A1" s="1" t="s">
        <v>0</v>
      </c>
      <c r="B1" s="1" t="s">
        <v>146</v>
      </c>
      <c r="C1" s="1"/>
      <c r="D1" s="1"/>
      <c r="E1" s="1"/>
      <c r="F1" s="1" t="s">
        <v>147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>
      <c r="A2" s="3"/>
      <c r="B2" s="3" t="s">
        <v>148</v>
      </c>
      <c r="C2" s="3" t="s">
        <v>149</v>
      </c>
      <c r="D2" s="3" t="s">
        <v>123</v>
      </c>
      <c r="E2" s="3" t="s">
        <v>124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150</v>
      </c>
      <c r="M2" s="3" t="s">
        <v>151</v>
      </c>
      <c r="N2" s="3" t="s">
        <v>148</v>
      </c>
      <c r="O2" s="3" t="s">
        <v>149</v>
      </c>
      <c r="P2" s="3" t="s">
        <v>123</v>
      </c>
      <c r="Q2" s="3" t="s">
        <v>124</v>
      </c>
      <c r="R2" s="3" t="s">
        <v>16</v>
      </c>
    </row>
    <row r="3" spans="1:18" ht="11.25">
      <c r="A3" s="3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18" ht="11.25">
      <c r="A4" s="3" t="s">
        <v>26</v>
      </c>
      <c r="B4" s="7">
        <f aca="true" t="shared" si="0" ref="B4:Q4">SUM(B5:B10)</f>
        <v>7930</v>
      </c>
      <c r="C4" s="7">
        <f t="shared" si="0"/>
        <v>65540</v>
      </c>
      <c r="D4" s="7">
        <f t="shared" si="0"/>
        <v>17620</v>
      </c>
      <c r="E4" s="7">
        <f t="shared" si="0"/>
        <v>7930</v>
      </c>
      <c r="F4" s="7">
        <f t="shared" si="0"/>
        <v>7930</v>
      </c>
      <c r="G4" s="7">
        <f t="shared" si="0"/>
        <v>10869.42</v>
      </c>
      <c r="H4" s="7">
        <f t="shared" si="0"/>
        <v>7930</v>
      </c>
      <c r="I4" s="7">
        <f t="shared" si="0"/>
        <v>7930</v>
      </c>
      <c r="J4" s="7">
        <f t="shared" si="0"/>
        <v>7930</v>
      </c>
      <c r="K4" s="7">
        <f t="shared" si="0"/>
        <v>8165</v>
      </c>
      <c r="L4" s="7">
        <f t="shared" si="0"/>
        <v>7930</v>
      </c>
      <c r="M4" s="7">
        <f t="shared" si="0"/>
        <v>7930</v>
      </c>
      <c r="N4" s="7">
        <f t="shared" si="0"/>
        <v>13620</v>
      </c>
      <c r="O4" s="7">
        <f t="shared" si="0"/>
        <v>9776</v>
      </c>
      <c r="P4" s="7">
        <f t="shared" si="0"/>
        <v>7930</v>
      </c>
      <c r="Q4" s="7">
        <f t="shared" si="0"/>
        <v>7930</v>
      </c>
      <c r="R4" s="7">
        <f>SUM(R5:R10)</f>
        <v>204890.41999999998</v>
      </c>
    </row>
    <row r="5" spans="1:18" ht="11.25">
      <c r="A5" s="4" t="s">
        <v>27</v>
      </c>
      <c r="B5" s="5">
        <v>6000</v>
      </c>
      <c r="C5" s="5">
        <v>6000</v>
      </c>
      <c r="D5" s="5">
        <v>6000</v>
      </c>
      <c r="E5" s="5">
        <v>6000</v>
      </c>
      <c r="F5" s="5">
        <v>6000</v>
      </c>
      <c r="G5" s="5">
        <v>6000</v>
      </c>
      <c r="H5" s="5">
        <v>6000</v>
      </c>
      <c r="I5" s="5">
        <v>6000</v>
      </c>
      <c r="J5" s="5">
        <v>6000</v>
      </c>
      <c r="K5" s="5">
        <v>6000</v>
      </c>
      <c r="L5" s="5">
        <v>6000</v>
      </c>
      <c r="M5" s="5">
        <v>6000</v>
      </c>
      <c r="N5" s="5">
        <v>6000</v>
      </c>
      <c r="O5" s="5">
        <v>6000</v>
      </c>
      <c r="P5" s="5">
        <v>6000</v>
      </c>
      <c r="Q5" s="5">
        <v>6000</v>
      </c>
      <c r="R5" s="5">
        <f aca="true" t="shared" si="1" ref="R5:R10">SUM(B5:Q5)</f>
        <v>96000</v>
      </c>
    </row>
    <row r="6" spans="1:18" ht="11.25">
      <c r="A6" s="4" t="s">
        <v>30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5">
        <v>1700</v>
      </c>
      <c r="H6" s="5">
        <v>1700</v>
      </c>
      <c r="I6" s="5">
        <v>1700</v>
      </c>
      <c r="J6" s="5">
        <v>1700</v>
      </c>
      <c r="K6" s="5">
        <v>1700</v>
      </c>
      <c r="L6" s="5">
        <v>1700</v>
      </c>
      <c r="M6" s="5">
        <v>1700</v>
      </c>
      <c r="N6" s="5">
        <v>1700</v>
      </c>
      <c r="O6" s="5">
        <v>1700</v>
      </c>
      <c r="P6" s="5">
        <v>1700</v>
      </c>
      <c r="Q6" s="5">
        <v>1700</v>
      </c>
      <c r="R6" s="5">
        <f t="shared" si="1"/>
        <v>27200</v>
      </c>
    </row>
    <row r="7" spans="1:18" ht="11.25">
      <c r="A7" s="4" t="s">
        <v>31</v>
      </c>
      <c r="B7" s="5">
        <v>230</v>
      </c>
      <c r="C7" s="5">
        <v>230</v>
      </c>
      <c r="D7" s="5">
        <v>230</v>
      </c>
      <c r="E7" s="5">
        <v>230</v>
      </c>
      <c r="F7" s="5">
        <v>230</v>
      </c>
      <c r="G7" s="5">
        <v>230</v>
      </c>
      <c r="H7" s="5">
        <v>230</v>
      </c>
      <c r="I7" s="5">
        <v>230</v>
      </c>
      <c r="J7" s="5">
        <v>230</v>
      </c>
      <c r="K7" s="5">
        <v>230</v>
      </c>
      <c r="L7" s="5">
        <v>230</v>
      </c>
      <c r="M7" s="5">
        <v>230</v>
      </c>
      <c r="N7" s="5">
        <v>230</v>
      </c>
      <c r="O7" s="5">
        <v>230</v>
      </c>
      <c r="P7" s="5">
        <v>230</v>
      </c>
      <c r="Q7" s="5">
        <v>230</v>
      </c>
      <c r="R7" s="5">
        <f t="shared" si="1"/>
        <v>3680</v>
      </c>
    </row>
    <row r="8" spans="1:18" ht="11.25">
      <c r="A8" s="4" t="s">
        <v>54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1"/>
        <v>0</v>
      </c>
    </row>
    <row r="9" spans="1:18" ht="11.25">
      <c r="A9" s="4" t="s">
        <v>10</v>
      </c>
      <c r="B9" s="5">
        <v>0</v>
      </c>
      <c r="C9" s="5">
        <v>32410</v>
      </c>
      <c r="D9" s="5">
        <v>5490</v>
      </c>
      <c r="E9" s="5">
        <v>0</v>
      </c>
      <c r="F9" s="5">
        <v>0</v>
      </c>
      <c r="G9" s="5">
        <f>340+225+374.42</f>
        <v>939.4200000000001</v>
      </c>
      <c r="H9" s="5">
        <v>0</v>
      </c>
      <c r="I9" s="5">
        <v>0</v>
      </c>
      <c r="J9" s="5">
        <v>0</v>
      </c>
      <c r="K9" s="5">
        <v>235</v>
      </c>
      <c r="L9" s="5">
        <v>0</v>
      </c>
      <c r="M9" s="5">
        <v>0</v>
      </c>
      <c r="N9" s="5">
        <f>520+2110+3060</f>
        <v>5690</v>
      </c>
      <c r="O9" s="5">
        <f>236+360+1250</f>
        <v>1846</v>
      </c>
      <c r="P9" s="5">
        <v>0</v>
      </c>
      <c r="Q9" s="5">
        <v>0</v>
      </c>
      <c r="R9" s="5">
        <f t="shared" si="1"/>
        <v>46610.42</v>
      </c>
    </row>
    <row r="10" spans="1:18" ht="11.25">
      <c r="A10" s="4" t="s">
        <v>11</v>
      </c>
      <c r="B10" s="5">
        <v>0</v>
      </c>
      <c r="C10" s="5">
        <v>25200</v>
      </c>
      <c r="D10" s="5">
        <v>4200</v>
      </c>
      <c r="E10" s="5">
        <v>0</v>
      </c>
      <c r="F10" s="5">
        <v>0</v>
      </c>
      <c r="G10" s="5">
        <v>2000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1"/>
        <v>31400</v>
      </c>
    </row>
    <row r="11" spans="1:18" ht="11.25">
      <c r="A11" s="3" t="s">
        <v>28</v>
      </c>
      <c r="B11" s="7">
        <f aca="true" t="shared" si="2" ref="B11:R11">SUM(B12:B17)</f>
        <v>6885</v>
      </c>
      <c r="C11" s="7">
        <f t="shared" si="2"/>
        <v>6200</v>
      </c>
      <c r="D11" s="7">
        <f t="shared" si="2"/>
        <v>6990</v>
      </c>
      <c r="E11" s="7">
        <f t="shared" si="2"/>
        <v>6990</v>
      </c>
      <c r="F11" s="7">
        <f t="shared" si="2"/>
        <v>6000</v>
      </c>
      <c r="G11" s="7">
        <f t="shared" si="2"/>
        <v>18425</v>
      </c>
      <c r="H11" s="7">
        <f t="shared" si="2"/>
        <v>6000</v>
      </c>
      <c r="I11" s="7">
        <f t="shared" si="2"/>
        <v>6600</v>
      </c>
      <c r="J11" s="7">
        <f t="shared" si="2"/>
        <v>7490</v>
      </c>
      <c r="K11" s="7">
        <f t="shared" si="2"/>
        <v>7200</v>
      </c>
      <c r="L11" s="7">
        <f t="shared" si="2"/>
        <v>7065</v>
      </c>
      <c r="M11" s="7">
        <f t="shared" si="2"/>
        <v>8010</v>
      </c>
      <c r="N11" s="7">
        <f t="shared" si="2"/>
        <v>6850</v>
      </c>
      <c r="O11" s="7">
        <f t="shared" si="2"/>
        <v>8650</v>
      </c>
      <c r="P11" s="7">
        <f t="shared" si="2"/>
        <v>8220</v>
      </c>
      <c r="Q11" s="7">
        <f t="shared" si="2"/>
        <v>6744</v>
      </c>
      <c r="R11" s="7">
        <f t="shared" si="2"/>
        <v>124319</v>
      </c>
    </row>
    <row r="12" spans="1:18" ht="11.25">
      <c r="A12" s="4" t="s">
        <v>29</v>
      </c>
      <c r="B12" s="5">
        <v>5000</v>
      </c>
      <c r="C12" s="5">
        <v>5000</v>
      </c>
      <c r="D12" s="5">
        <v>5000</v>
      </c>
      <c r="E12" s="5">
        <v>5000</v>
      </c>
      <c r="F12" s="5">
        <v>5000</v>
      </c>
      <c r="G12" s="5">
        <v>5000</v>
      </c>
      <c r="H12" s="5">
        <v>5000</v>
      </c>
      <c r="I12" s="5">
        <v>5000</v>
      </c>
      <c r="J12" s="5">
        <v>5000</v>
      </c>
      <c r="K12" s="5">
        <v>5000</v>
      </c>
      <c r="L12" s="5">
        <v>5000</v>
      </c>
      <c r="M12" s="5">
        <v>5000</v>
      </c>
      <c r="N12" s="5">
        <v>5000</v>
      </c>
      <c r="O12" s="5">
        <v>5000</v>
      </c>
      <c r="P12" s="5">
        <v>5000</v>
      </c>
      <c r="Q12" s="5">
        <v>5000</v>
      </c>
      <c r="R12" s="5">
        <f aca="true" t="shared" si="3" ref="R12:R17">SUM(B12:Q12)</f>
        <v>80000</v>
      </c>
    </row>
    <row r="13" spans="1:18" ht="11.25">
      <c r="A13" s="4" t="s">
        <v>30</v>
      </c>
      <c r="B13" s="5">
        <v>1000</v>
      </c>
      <c r="C13" s="5">
        <v>1000</v>
      </c>
      <c r="D13" s="5">
        <v>1000</v>
      </c>
      <c r="E13" s="5">
        <v>1000</v>
      </c>
      <c r="F13" s="5">
        <v>1000</v>
      </c>
      <c r="G13" s="5">
        <v>1000</v>
      </c>
      <c r="H13" s="5">
        <v>1000</v>
      </c>
      <c r="I13" s="5">
        <v>1000</v>
      </c>
      <c r="J13" s="5">
        <v>1000</v>
      </c>
      <c r="K13" s="5">
        <v>1000</v>
      </c>
      <c r="L13" s="5">
        <v>1000</v>
      </c>
      <c r="M13" s="5">
        <v>1000</v>
      </c>
      <c r="N13" s="5">
        <v>1000</v>
      </c>
      <c r="O13" s="5">
        <v>1000</v>
      </c>
      <c r="P13" s="5">
        <v>1000</v>
      </c>
      <c r="Q13" s="5">
        <v>1000</v>
      </c>
      <c r="R13" s="5">
        <f t="shared" si="3"/>
        <v>16000</v>
      </c>
    </row>
    <row r="14" spans="1:1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3"/>
        <v>0</v>
      </c>
    </row>
    <row r="15" spans="1:18" ht="11.25">
      <c r="A15" s="4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si="3"/>
        <v>0</v>
      </c>
    </row>
    <row r="16" spans="1:18" ht="11.25">
      <c r="A16" s="4" t="s">
        <v>12</v>
      </c>
      <c r="B16" s="5">
        <f>400+485</f>
        <v>885</v>
      </c>
      <c r="C16" s="5">
        <v>200</v>
      </c>
      <c r="D16" s="5">
        <f>390+600</f>
        <v>990</v>
      </c>
      <c r="E16" s="5">
        <f>390+600</f>
        <v>990</v>
      </c>
      <c r="F16" s="5">
        <v>0</v>
      </c>
      <c r="G16" s="5">
        <f>600+185+900+240</f>
        <v>1925</v>
      </c>
      <c r="H16" s="5">
        <v>0</v>
      </c>
      <c r="I16" s="5">
        <v>600</v>
      </c>
      <c r="J16" s="5">
        <f>150+1200+140</f>
        <v>1490</v>
      </c>
      <c r="K16" s="5">
        <v>1200</v>
      </c>
      <c r="L16" s="5">
        <f>465+300+300</f>
        <v>1065</v>
      </c>
      <c r="M16" s="5">
        <f>2010</f>
        <v>2010</v>
      </c>
      <c r="N16" s="5">
        <f>300+550</f>
        <v>850</v>
      </c>
      <c r="O16" s="5">
        <f>250+300+600</f>
        <v>1150</v>
      </c>
      <c r="P16" s="5">
        <f>900+600+120+600</f>
        <v>2220</v>
      </c>
      <c r="Q16" s="5">
        <f>171*4+2*30</f>
        <v>744</v>
      </c>
      <c r="R16" s="5">
        <f t="shared" si="3"/>
        <v>16319</v>
      </c>
    </row>
    <row r="17" spans="1:18" ht="11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10500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1500</v>
      </c>
      <c r="P17" s="5">
        <v>0</v>
      </c>
      <c r="Q17" s="5">
        <v>0</v>
      </c>
      <c r="R17" s="5">
        <f t="shared" si="3"/>
        <v>12000</v>
      </c>
    </row>
    <row r="18" spans="1:18" ht="11.25">
      <c r="A18" s="3" t="s">
        <v>40</v>
      </c>
      <c r="B18" s="7">
        <f aca="true" t="shared" si="4" ref="B18:Q18">SUM(B19:B26)</f>
        <v>0</v>
      </c>
      <c r="C18" s="7">
        <f t="shared" si="4"/>
        <v>4000</v>
      </c>
      <c r="D18" s="7">
        <f t="shared" si="4"/>
        <v>0</v>
      </c>
      <c r="E18" s="7">
        <f t="shared" si="4"/>
        <v>18900</v>
      </c>
      <c r="F18" s="7">
        <f t="shared" si="4"/>
        <v>0</v>
      </c>
      <c r="G18" s="7">
        <f t="shared" si="4"/>
        <v>0</v>
      </c>
      <c r="H18" s="7">
        <f t="shared" si="4"/>
        <v>1000</v>
      </c>
      <c r="I18" s="7">
        <f t="shared" si="4"/>
        <v>0</v>
      </c>
      <c r="J18" s="7">
        <f t="shared" si="4"/>
        <v>905</v>
      </c>
      <c r="K18" s="7">
        <f t="shared" si="4"/>
        <v>1500</v>
      </c>
      <c r="L18" s="7">
        <f t="shared" si="4"/>
        <v>650</v>
      </c>
      <c r="M18" s="7">
        <f t="shared" si="4"/>
        <v>1435</v>
      </c>
      <c r="N18" s="7">
        <f t="shared" si="4"/>
        <v>4000</v>
      </c>
      <c r="O18" s="7">
        <f t="shared" si="4"/>
        <v>0</v>
      </c>
      <c r="P18" s="7">
        <f t="shared" si="4"/>
        <v>4500</v>
      </c>
      <c r="Q18" s="7">
        <f t="shared" si="4"/>
        <v>1700</v>
      </c>
      <c r="R18" s="7">
        <f>SUM(R19:R26)</f>
        <v>38590</v>
      </c>
    </row>
    <row r="19" spans="1:18" ht="11.25">
      <c r="A19" s="4" t="s">
        <v>37</v>
      </c>
      <c r="B19" s="5">
        <v>0</v>
      </c>
      <c r="C19" s="5">
        <v>0</v>
      </c>
      <c r="D19" s="5">
        <v>0</v>
      </c>
      <c r="E19" s="5">
        <v>12000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4500</v>
      </c>
      <c r="Q19" s="5">
        <v>0</v>
      </c>
      <c r="R19" s="5">
        <f aca="true" t="shared" si="5" ref="R19:R26">SUM(B19:Q19)</f>
        <v>16500</v>
      </c>
    </row>
    <row r="20" spans="1:18" ht="11.25">
      <c r="A20" s="4" t="s">
        <v>38</v>
      </c>
      <c r="B20" s="5">
        <v>0</v>
      </c>
      <c r="C20" s="5">
        <v>4000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5"/>
        <v>4000</v>
      </c>
    </row>
    <row r="21" spans="1:18" ht="11.25">
      <c r="A21" s="4" t="s">
        <v>63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4000</v>
      </c>
      <c r="O21" s="5">
        <v>0</v>
      </c>
      <c r="P21" s="5">
        <v>0</v>
      </c>
      <c r="Q21" s="5">
        <v>0</v>
      </c>
      <c r="R21" s="5">
        <f t="shared" si="5"/>
        <v>4000</v>
      </c>
    </row>
    <row r="22" spans="1:18" ht="11.25">
      <c r="A22" s="4" t="s">
        <v>72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600</v>
      </c>
      <c r="R22" s="5">
        <f t="shared" si="5"/>
        <v>600</v>
      </c>
    </row>
    <row r="23" spans="1:18" ht="11.25">
      <c r="A23" s="4" t="s">
        <v>39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5"/>
        <v>1000</v>
      </c>
    </row>
    <row r="24" spans="1:18" ht="11.25">
      <c r="A24" s="4" t="s">
        <v>59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f>750+155</f>
        <v>905</v>
      </c>
      <c r="K24" s="5">
        <v>1500</v>
      </c>
      <c r="L24" s="5">
        <v>0</v>
      </c>
      <c r="M24" s="5">
        <v>750</v>
      </c>
      <c r="N24" s="5">
        <v>0</v>
      </c>
      <c r="O24" s="5">
        <v>0</v>
      </c>
      <c r="P24" s="5">
        <v>0</v>
      </c>
      <c r="Q24" s="5">
        <v>500</v>
      </c>
      <c r="R24" s="5">
        <f t="shared" si="5"/>
        <v>3655</v>
      </c>
    </row>
    <row r="25" spans="1:18" ht="11.25">
      <c r="A25" s="4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>200+450</f>
        <v>650</v>
      </c>
      <c r="M25" s="5">
        <f>435+250</f>
        <v>685</v>
      </c>
      <c r="N25" s="5">
        <v>0</v>
      </c>
      <c r="O25" s="5">
        <v>0</v>
      </c>
      <c r="P25" s="5">
        <v>0</v>
      </c>
      <c r="Q25" s="5">
        <v>600</v>
      </c>
      <c r="R25" s="5">
        <f t="shared" si="5"/>
        <v>1935</v>
      </c>
    </row>
    <row r="26" spans="1:18" ht="11.25">
      <c r="A26" s="4" t="s">
        <v>45</v>
      </c>
      <c r="B26" s="5">
        <v>0</v>
      </c>
      <c r="C26" s="5">
        <v>0</v>
      </c>
      <c r="D26" s="5">
        <v>0</v>
      </c>
      <c r="E26" s="5">
        <v>6900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5"/>
        <v>6900</v>
      </c>
    </row>
    <row r="27" spans="1:18" ht="11.25">
      <c r="A27" s="3" t="s">
        <v>23</v>
      </c>
      <c r="B27" s="7">
        <f aca="true" t="shared" si="6" ref="B27:R27">SUM(B28:B32)</f>
        <v>26629.1</v>
      </c>
      <c r="C27" s="7">
        <f t="shared" si="6"/>
        <v>27500</v>
      </c>
      <c r="D27" s="7">
        <f t="shared" si="6"/>
        <v>25500</v>
      </c>
      <c r="E27" s="7">
        <f t="shared" si="6"/>
        <v>26000</v>
      </c>
      <c r="F27" s="7">
        <f t="shared" si="6"/>
        <v>26500</v>
      </c>
      <c r="G27" s="7">
        <f t="shared" si="6"/>
        <v>25500</v>
      </c>
      <c r="H27" s="7">
        <f t="shared" si="6"/>
        <v>25500</v>
      </c>
      <c r="I27" s="7">
        <f t="shared" si="6"/>
        <v>25500</v>
      </c>
      <c r="J27" s="7">
        <f t="shared" si="6"/>
        <v>26030</v>
      </c>
      <c r="K27" s="7">
        <f t="shared" si="6"/>
        <v>25500</v>
      </c>
      <c r="L27" s="7">
        <f t="shared" si="6"/>
        <v>25500</v>
      </c>
      <c r="M27" s="7">
        <f t="shared" si="6"/>
        <v>25500</v>
      </c>
      <c r="N27" s="7">
        <f t="shared" si="6"/>
        <v>25500</v>
      </c>
      <c r="O27" s="7">
        <f t="shared" si="6"/>
        <v>25500</v>
      </c>
      <c r="P27" s="7">
        <f t="shared" si="6"/>
        <v>25500</v>
      </c>
      <c r="Q27" s="7">
        <f t="shared" si="6"/>
        <v>25500</v>
      </c>
      <c r="R27" s="7">
        <f t="shared" si="6"/>
        <v>413159.1</v>
      </c>
    </row>
    <row r="28" spans="1:18" ht="11.25">
      <c r="A28" s="4" t="s">
        <v>24</v>
      </c>
      <c r="B28" s="5">
        <v>7500</v>
      </c>
      <c r="C28" s="5">
        <v>7500</v>
      </c>
      <c r="D28" s="5">
        <v>7500</v>
      </c>
      <c r="E28" s="5">
        <v>7500</v>
      </c>
      <c r="F28" s="5">
        <v>7500</v>
      </c>
      <c r="G28" s="5">
        <v>7500</v>
      </c>
      <c r="H28" s="5">
        <v>7500</v>
      </c>
      <c r="I28" s="5">
        <v>7500</v>
      </c>
      <c r="J28" s="5">
        <v>7500</v>
      </c>
      <c r="K28" s="5">
        <v>7500</v>
      </c>
      <c r="L28" s="5">
        <v>7500</v>
      </c>
      <c r="M28" s="5">
        <v>7500</v>
      </c>
      <c r="N28" s="5">
        <v>7500</v>
      </c>
      <c r="O28" s="5">
        <v>7500</v>
      </c>
      <c r="P28" s="5">
        <v>7500</v>
      </c>
      <c r="Q28" s="5">
        <v>7500</v>
      </c>
      <c r="R28" s="5">
        <f>SUM(B28:Q28)</f>
        <v>120000</v>
      </c>
    </row>
    <row r="29" spans="1:18" ht="11.25">
      <c r="A29" s="4" t="s">
        <v>7</v>
      </c>
      <c r="B29" s="5">
        <f>320+200+580+29.1</f>
        <v>1129.1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>1160-820</f>
        <v>340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>SUM(B29:Q29)</f>
        <v>1469.1</v>
      </c>
    </row>
    <row r="30" spans="1:18" ht="11.25">
      <c r="A30" s="4" t="s">
        <v>25</v>
      </c>
      <c r="B30" s="5">
        <v>8000</v>
      </c>
      <c r="C30" s="5">
        <v>8000</v>
      </c>
      <c r="D30" s="5">
        <v>8000</v>
      </c>
      <c r="E30" s="5">
        <v>8000</v>
      </c>
      <c r="F30" s="5">
        <f>1000+8000</f>
        <v>9000</v>
      </c>
      <c r="G30" s="5">
        <v>8000</v>
      </c>
      <c r="H30" s="5">
        <v>8000</v>
      </c>
      <c r="I30" s="5">
        <v>8000</v>
      </c>
      <c r="J30" s="5">
        <v>8000</v>
      </c>
      <c r="K30" s="5">
        <v>8000</v>
      </c>
      <c r="L30" s="5">
        <v>8000</v>
      </c>
      <c r="M30" s="5">
        <v>8000</v>
      </c>
      <c r="N30" s="5">
        <v>8000</v>
      </c>
      <c r="O30" s="5">
        <v>8000</v>
      </c>
      <c r="P30" s="5">
        <v>8000</v>
      </c>
      <c r="Q30" s="5">
        <v>8000</v>
      </c>
      <c r="R30" s="5">
        <f>SUM(B30:Q30)</f>
        <v>129000</v>
      </c>
    </row>
    <row r="31" spans="1:18" ht="11.25">
      <c r="A31" s="4" t="s">
        <v>8</v>
      </c>
      <c r="B31" s="5">
        <v>0</v>
      </c>
      <c r="C31" s="5">
        <v>2000</v>
      </c>
      <c r="D31" s="5">
        <v>0</v>
      </c>
      <c r="E31" s="5">
        <v>500</v>
      </c>
      <c r="F31" s="5">
        <v>0</v>
      </c>
      <c r="G31" s="5">
        <v>0</v>
      </c>
      <c r="H31" s="5">
        <v>0</v>
      </c>
      <c r="I31" s="5">
        <v>0</v>
      </c>
      <c r="J31" s="5">
        <v>190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>SUM(B31:Q31)</f>
        <v>2690</v>
      </c>
    </row>
    <row r="32" spans="1:18" ht="11.25">
      <c r="A32" s="4" t="s">
        <v>46</v>
      </c>
      <c r="B32" s="5">
        <v>10000</v>
      </c>
      <c r="C32" s="5">
        <v>10000</v>
      </c>
      <c r="D32" s="5">
        <v>10000</v>
      </c>
      <c r="E32" s="5">
        <v>10000</v>
      </c>
      <c r="F32" s="5">
        <v>10000</v>
      </c>
      <c r="G32" s="5">
        <v>10000</v>
      </c>
      <c r="H32" s="5">
        <v>10000</v>
      </c>
      <c r="I32" s="5">
        <v>10000</v>
      </c>
      <c r="J32" s="5">
        <v>10000</v>
      </c>
      <c r="K32" s="5">
        <v>10000</v>
      </c>
      <c r="L32" s="5">
        <v>10000</v>
      </c>
      <c r="M32" s="5">
        <v>10000</v>
      </c>
      <c r="N32" s="5">
        <v>10000</v>
      </c>
      <c r="O32" s="5">
        <v>10000</v>
      </c>
      <c r="P32" s="5">
        <v>10000</v>
      </c>
      <c r="Q32" s="5">
        <v>10000</v>
      </c>
      <c r="R32" s="5">
        <f>SUM(B32:Q32)</f>
        <v>160000</v>
      </c>
    </row>
    <row r="33" spans="1:18" ht="11.25">
      <c r="A33" s="3" t="s">
        <v>32</v>
      </c>
      <c r="B33" s="7">
        <f aca="true" t="shared" si="7" ref="B33:R33">SUM(B34:B36)</f>
        <v>21229.74</v>
      </c>
      <c r="C33" s="7">
        <f t="shared" si="7"/>
        <v>21229.74</v>
      </c>
      <c r="D33" s="7">
        <f t="shared" si="7"/>
        <v>21229.74</v>
      </c>
      <c r="E33" s="7">
        <f t="shared" si="7"/>
        <v>21229.74</v>
      </c>
      <c r="F33" s="7">
        <f t="shared" si="7"/>
        <v>21229.74</v>
      </c>
      <c r="G33" s="7">
        <f t="shared" si="7"/>
        <v>21229.74</v>
      </c>
      <c r="H33" s="7">
        <f t="shared" si="7"/>
        <v>21229.74</v>
      </c>
      <c r="I33" s="7">
        <f t="shared" si="7"/>
        <v>21229.74</v>
      </c>
      <c r="J33" s="7">
        <f t="shared" si="7"/>
        <v>28729.74</v>
      </c>
      <c r="K33" s="7">
        <f t="shared" si="7"/>
        <v>21229.74</v>
      </c>
      <c r="L33" s="7">
        <f t="shared" si="7"/>
        <v>21229.74</v>
      </c>
      <c r="M33" s="7">
        <f t="shared" si="7"/>
        <v>21229.74</v>
      </c>
      <c r="N33" s="7">
        <f t="shared" si="7"/>
        <v>21229.74</v>
      </c>
      <c r="O33" s="7">
        <f t="shared" si="7"/>
        <v>21229.74</v>
      </c>
      <c r="P33" s="7">
        <f t="shared" si="7"/>
        <v>21229.74</v>
      </c>
      <c r="Q33" s="7">
        <f t="shared" si="7"/>
        <v>21229.74</v>
      </c>
      <c r="R33" s="7">
        <f t="shared" si="7"/>
        <v>347175.84</v>
      </c>
    </row>
    <row r="34" spans="1:18" ht="11.25">
      <c r="A34" s="4" t="s">
        <v>41</v>
      </c>
      <c r="B34" s="5">
        <v>18825.79</v>
      </c>
      <c r="C34" s="5">
        <v>18825.79</v>
      </c>
      <c r="D34" s="5">
        <v>18825.79</v>
      </c>
      <c r="E34" s="5">
        <v>18825.79</v>
      </c>
      <c r="F34" s="5">
        <v>18825.79</v>
      </c>
      <c r="G34" s="5">
        <v>18825.79</v>
      </c>
      <c r="H34" s="5">
        <v>18825.79</v>
      </c>
      <c r="I34" s="5">
        <v>18825.79</v>
      </c>
      <c r="J34" s="5">
        <v>18825.79</v>
      </c>
      <c r="K34" s="5">
        <v>18825.79</v>
      </c>
      <c r="L34" s="5">
        <v>18825.79</v>
      </c>
      <c r="M34" s="5">
        <v>18825.79</v>
      </c>
      <c r="N34" s="5">
        <v>18825.79</v>
      </c>
      <c r="O34" s="5">
        <v>18825.79</v>
      </c>
      <c r="P34" s="5">
        <v>18825.79</v>
      </c>
      <c r="Q34" s="5">
        <v>18825.79</v>
      </c>
      <c r="R34" s="5">
        <f>SUM(B34:Q34)</f>
        <v>301212.64</v>
      </c>
    </row>
    <row r="35" spans="1:18" ht="11.25">
      <c r="A35" s="4" t="s">
        <v>18</v>
      </c>
      <c r="B35" s="5">
        <v>2403.95</v>
      </c>
      <c r="C35" s="5">
        <v>2403.95</v>
      </c>
      <c r="D35" s="5">
        <v>2403.95</v>
      </c>
      <c r="E35" s="5">
        <v>2403.95</v>
      </c>
      <c r="F35" s="5">
        <v>2403.95</v>
      </c>
      <c r="G35" s="5">
        <v>2403.95</v>
      </c>
      <c r="H35" s="5">
        <v>2403.95</v>
      </c>
      <c r="I35" s="5">
        <v>2403.95</v>
      </c>
      <c r="J35" s="5">
        <v>2403.95</v>
      </c>
      <c r="K35" s="5">
        <v>2403.95</v>
      </c>
      <c r="L35" s="5">
        <v>2403.95</v>
      </c>
      <c r="M35" s="5">
        <v>2403.95</v>
      </c>
      <c r="N35" s="5">
        <v>2403.95</v>
      </c>
      <c r="O35" s="5">
        <v>2403.95</v>
      </c>
      <c r="P35" s="5">
        <v>2403.95</v>
      </c>
      <c r="Q35" s="5">
        <v>2403.95</v>
      </c>
      <c r="R35" s="5">
        <f>SUM(B35:Q35)</f>
        <v>38463.2</v>
      </c>
    </row>
    <row r="36" spans="1:18" ht="11.25">
      <c r="A36" s="4" t="s">
        <v>58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7500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>SUM(B36:Q36)</f>
        <v>7500</v>
      </c>
    </row>
    <row r="37" spans="1:18" ht="11.25">
      <c r="A37" s="3" t="s">
        <v>22</v>
      </c>
      <c r="B37" s="7">
        <f>SUM(B38:B46)</f>
        <v>0</v>
      </c>
      <c r="C37" s="7">
        <f aca="true" t="shared" si="8" ref="C37:Q37">SUM(C38:C46)</f>
        <v>0</v>
      </c>
      <c r="D37" s="7">
        <f t="shared" si="8"/>
        <v>600</v>
      </c>
      <c r="E37" s="7">
        <f t="shared" si="8"/>
        <v>3100</v>
      </c>
      <c r="F37" s="7">
        <f t="shared" si="8"/>
        <v>600</v>
      </c>
      <c r="G37" s="7">
        <f t="shared" si="8"/>
        <v>6600</v>
      </c>
      <c r="H37" s="7">
        <f t="shared" si="8"/>
        <v>6850</v>
      </c>
      <c r="I37" s="7">
        <f t="shared" si="8"/>
        <v>5000</v>
      </c>
      <c r="J37" s="7">
        <f t="shared" si="8"/>
        <v>9230</v>
      </c>
      <c r="K37" s="7">
        <f t="shared" si="8"/>
        <v>4026.23</v>
      </c>
      <c r="L37" s="7">
        <f t="shared" si="8"/>
        <v>23940</v>
      </c>
      <c r="M37" s="7">
        <f t="shared" si="8"/>
        <v>24988</v>
      </c>
      <c r="N37" s="7">
        <f t="shared" si="8"/>
        <v>0</v>
      </c>
      <c r="O37" s="7">
        <f t="shared" si="8"/>
        <v>0</v>
      </c>
      <c r="P37" s="7">
        <f t="shared" si="8"/>
        <v>2400</v>
      </c>
      <c r="Q37" s="7">
        <f t="shared" si="8"/>
        <v>4011</v>
      </c>
      <c r="R37" s="7">
        <f>SUM(R38:R46)</f>
        <v>91345.23000000001</v>
      </c>
    </row>
    <row r="38" spans="1:18" ht="11.25">
      <c r="A38" s="4" t="s">
        <v>9</v>
      </c>
      <c r="B38" s="5">
        <v>0</v>
      </c>
      <c r="C38" s="5">
        <v>0</v>
      </c>
      <c r="D38" s="5">
        <v>0</v>
      </c>
      <c r="E38" s="5">
        <v>2500</v>
      </c>
      <c r="F38" s="5">
        <v>0</v>
      </c>
      <c r="G38" s="5">
        <v>6000</v>
      </c>
      <c r="H38" s="5">
        <v>6250</v>
      </c>
      <c r="I38" s="5">
        <v>5000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2500</v>
      </c>
      <c r="R38" s="5">
        <f>SUM(B38:Q38)</f>
        <v>22250</v>
      </c>
    </row>
    <row r="39" spans="1:18" ht="11.25">
      <c r="A39" s="4" t="s">
        <v>21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>SUM(B39:Q39)</f>
        <v>0</v>
      </c>
    </row>
    <row r="40" spans="1:18" ht="11.25">
      <c r="A40" s="4" t="s">
        <v>73</v>
      </c>
      <c r="B40" s="5">
        <v>0</v>
      </c>
      <c r="C40" s="5">
        <v>0</v>
      </c>
      <c r="D40" s="5">
        <v>600</v>
      </c>
      <c r="E40" s="5">
        <v>600</v>
      </c>
      <c r="F40" s="5">
        <v>600</v>
      </c>
      <c r="G40" s="5">
        <v>600</v>
      </c>
      <c r="H40" s="5">
        <v>600</v>
      </c>
      <c r="I40" s="5">
        <v>0</v>
      </c>
      <c r="J40" s="5">
        <v>6000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>200*12</f>
        <v>2400</v>
      </c>
      <c r="Q40" s="5">
        <v>0</v>
      </c>
      <c r="R40" s="5">
        <f aca="true" t="shared" si="9" ref="R40:R45">SUM(B40:Q40)</f>
        <v>11400</v>
      </c>
    </row>
    <row r="41" spans="1:18" ht="11.25">
      <c r="A41" s="4" t="s">
        <v>74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f>3022/2</f>
        <v>1511</v>
      </c>
      <c r="R41" s="5">
        <f t="shared" si="9"/>
        <v>1511</v>
      </c>
    </row>
    <row r="42" spans="1:18" ht="11.25">
      <c r="A42" s="4" t="s">
        <v>57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3420-190</f>
        <v>3230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9"/>
        <v>3230</v>
      </c>
    </row>
    <row r="43" spans="1:18" ht="11.25">
      <c r="A43" s="4" t="s">
        <v>116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2026.23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9"/>
        <v>2026.23</v>
      </c>
    </row>
    <row r="44" spans="1:18" ht="11.25">
      <c r="A44" s="4" t="s">
        <v>71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2000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9"/>
        <v>2000</v>
      </c>
    </row>
    <row r="45" spans="1:18" ht="11.25">
      <c r="A45" s="4" t="s">
        <v>55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23940</v>
      </c>
      <c r="M45" s="5">
        <f>13000+1160+552+276</f>
        <v>14988</v>
      </c>
      <c r="N45" s="5">
        <v>0</v>
      </c>
      <c r="O45" s="5">
        <v>0</v>
      </c>
      <c r="P45" s="5">
        <v>0</v>
      </c>
      <c r="Q45" s="5">
        <v>0</v>
      </c>
      <c r="R45" s="5">
        <f t="shared" si="9"/>
        <v>38928</v>
      </c>
    </row>
    <row r="46" spans="1:18" ht="11.25">
      <c r="A46" s="4" t="s">
        <v>56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10000</v>
      </c>
      <c r="N46" s="5">
        <v>0</v>
      </c>
      <c r="O46" s="5">
        <v>0</v>
      </c>
      <c r="P46" s="5">
        <v>0</v>
      </c>
      <c r="Q46" s="5">
        <v>0</v>
      </c>
      <c r="R46" s="5">
        <f>SUM(B46:Q46)</f>
        <v>10000</v>
      </c>
    </row>
    <row r="47" spans="1:18" ht="11.25">
      <c r="A47" s="3" t="s">
        <v>33</v>
      </c>
      <c r="B47" s="7">
        <f>B48+B49</f>
        <v>170000</v>
      </c>
      <c r="C47" s="7">
        <f aca="true" t="shared" si="10" ref="C47:Q47">C48+C49</f>
        <v>0</v>
      </c>
      <c r="D47" s="7">
        <f t="shared" si="10"/>
        <v>0</v>
      </c>
      <c r="E47" s="7">
        <f t="shared" si="10"/>
        <v>50000</v>
      </c>
      <c r="F47" s="7">
        <f t="shared" si="10"/>
        <v>0</v>
      </c>
      <c r="G47" s="7">
        <f t="shared" si="10"/>
        <v>0</v>
      </c>
      <c r="H47" s="7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  <c r="O47" s="7">
        <f t="shared" si="10"/>
        <v>0</v>
      </c>
      <c r="P47" s="7">
        <f t="shared" si="10"/>
        <v>0</v>
      </c>
      <c r="Q47" s="7">
        <f t="shared" si="10"/>
        <v>0</v>
      </c>
      <c r="R47" s="7">
        <f>SUM(R48:R49)</f>
        <v>220000</v>
      </c>
    </row>
    <row r="48" spans="1:18" ht="11.25">
      <c r="A48" s="4" t="s">
        <v>19</v>
      </c>
      <c r="B48" s="5">
        <v>0</v>
      </c>
      <c r="C48" s="5">
        <v>0</v>
      </c>
      <c r="D48" s="5">
        <v>0</v>
      </c>
      <c r="E48" s="5">
        <v>50000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f>SUM(B48:Q48)</f>
        <v>50000</v>
      </c>
    </row>
    <row r="49" spans="1:18" ht="11.25">
      <c r="A49" s="4" t="s">
        <v>60</v>
      </c>
      <c r="B49" s="5">
        <f>54435.06+115564.94</f>
        <v>170000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>SUM(B49:Q49)</f>
        <v>170000</v>
      </c>
    </row>
    <row r="50" spans="1:18" ht="11.25">
      <c r="A50" s="3" t="s">
        <v>47</v>
      </c>
      <c r="B50" s="7">
        <f>B51</f>
        <v>5000</v>
      </c>
      <c r="C50" s="7">
        <f aca="true" t="shared" si="11" ref="C50:Q50">C51</f>
        <v>0</v>
      </c>
      <c r="D50" s="7">
        <f t="shared" si="11"/>
        <v>0</v>
      </c>
      <c r="E50" s="7">
        <f t="shared" si="11"/>
        <v>0</v>
      </c>
      <c r="F50" s="7">
        <f t="shared" si="11"/>
        <v>0</v>
      </c>
      <c r="G50" s="7">
        <f t="shared" si="11"/>
        <v>0</v>
      </c>
      <c r="H50" s="7">
        <f t="shared" si="11"/>
        <v>0</v>
      </c>
      <c r="I50" s="7">
        <f t="shared" si="11"/>
        <v>0</v>
      </c>
      <c r="J50" s="7">
        <f t="shared" si="11"/>
        <v>0</v>
      </c>
      <c r="K50" s="7">
        <f t="shared" si="11"/>
        <v>5000</v>
      </c>
      <c r="L50" s="7">
        <f t="shared" si="11"/>
        <v>0</v>
      </c>
      <c r="M50" s="7">
        <f t="shared" si="11"/>
        <v>0</v>
      </c>
      <c r="N50" s="7">
        <f t="shared" si="11"/>
        <v>0</v>
      </c>
      <c r="O50" s="7">
        <f t="shared" si="11"/>
        <v>0</v>
      </c>
      <c r="P50" s="7">
        <f t="shared" si="11"/>
        <v>0</v>
      </c>
      <c r="Q50" s="7">
        <f t="shared" si="11"/>
        <v>0</v>
      </c>
      <c r="R50" s="7">
        <f>R51</f>
        <v>10000</v>
      </c>
    </row>
    <row r="51" spans="1:18" ht="11.25">
      <c r="A51" s="4" t="s">
        <v>17</v>
      </c>
      <c r="B51" s="5">
        <v>5000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5000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>SUM(B51:Q51)</f>
        <v>10000</v>
      </c>
    </row>
    <row r="52" spans="1:18" ht="11.25">
      <c r="A52" s="3" t="s">
        <v>42</v>
      </c>
      <c r="B52" s="7">
        <f aca="true" t="shared" si="12" ref="B52:R52">SUM(B53:B59)</f>
        <v>32590.54</v>
      </c>
      <c r="C52" s="7">
        <f t="shared" si="12"/>
        <v>38371.119999999995</v>
      </c>
      <c r="D52" s="7">
        <f t="shared" si="12"/>
        <v>37107.51</v>
      </c>
      <c r="E52" s="7">
        <f t="shared" si="12"/>
        <v>21819.73</v>
      </c>
      <c r="F52" s="7">
        <f t="shared" si="12"/>
        <v>18900.770200000003</v>
      </c>
      <c r="G52" s="7">
        <f t="shared" si="12"/>
        <v>18718.63</v>
      </c>
      <c r="H52" s="7">
        <f t="shared" si="12"/>
        <v>17720.420000000002</v>
      </c>
      <c r="I52" s="7">
        <f t="shared" si="12"/>
        <v>77543.72</v>
      </c>
      <c r="J52" s="7">
        <f t="shared" si="12"/>
        <v>29980.9</v>
      </c>
      <c r="K52" s="7">
        <f t="shared" si="12"/>
        <v>27451.38</v>
      </c>
      <c r="L52" s="7">
        <f t="shared" si="12"/>
        <v>33001.86</v>
      </c>
      <c r="M52" s="7">
        <f t="shared" si="12"/>
        <v>38058.770000000004</v>
      </c>
      <c r="N52" s="7">
        <f t="shared" si="12"/>
        <v>36167.8582</v>
      </c>
      <c r="O52" s="7">
        <f t="shared" si="12"/>
        <v>52713.3739</v>
      </c>
      <c r="P52" s="7">
        <f t="shared" si="12"/>
        <v>45447.4046</v>
      </c>
      <c r="Q52" s="7">
        <f t="shared" si="12"/>
        <v>59557.1728</v>
      </c>
      <c r="R52" s="7">
        <f t="shared" si="12"/>
        <v>585151.1597</v>
      </c>
    </row>
    <row r="53" spans="1:18" ht="11.25">
      <c r="A53" s="4" t="s">
        <v>20</v>
      </c>
      <c r="B53" s="5">
        <v>7079.62</v>
      </c>
      <c r="C53" s="5">
        <v>8066.55</v>
      </c>
      <c r="D53" s="5">
        <v>7103.08</v>
      </c>
      <c r="E53" s="5">
        <v>7285.52</v>
      </c>
      <c r="F53" s="5">
        <v>7463.2</v>
      </c>
      <c r="G53" s="5">
        <v>7559.71</v>
      </c>
      <c r="H53" s="5">
        <v>7025.18</v>
      </c>
      <c r="I53" s="5">
        <v>7166.24</v>
      </c>
      <c r="J53" s="5">
        <v>6876.7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 aca="true" t="shared" si="13" ref="R53:R59">SUM(B53:Q53)</f>
        <v>65625.8</v>
      </c>
    </row>
    <row r="54" spans="1:18" ht="11.25">
      <c r="A54" s="4" t="s">
        <v>43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1700.97</v>
      </c>
      <c r="L54" s="5">
        <v>2312.31</v>
      </c>
      <c r="M54" s="5">
        <v>2135.06</v>
      </c>
      <c r="N54" s="5">
        <v>2834.83</v>
      </c>
      <c r="O54" s="5">
        <v>2426.69</v>
      </c>
      <c r="P54" s="5">
        <v>2895.53</v>
      </c>
      <c r="Q54" s="5">
        <v>2666.56</v>
      </c>
      <c r="R54" s="5">
        <f t="shared" si="13"/>
        <v>16971.95</v>
      </c>
    </row>
    <row r="55" spans="1:18" ht="11.25">
      <c r="A55" s="4" t="s">
        <v>68</v>
      </c>
      <c r="B55" s="5">
        <v>0</v>
      </c>
      <c r="C55" s="5">
        <v>0</v>
      </c>
      <c r="D55" s="5">
        <v>0</v>
      </c>
      <c r="E55" s="5">
        <v>500</v>
      </c>
      <c r="F55" s="5">
        <v>500</v>
      </c>
      <c r="G55" s="5">
        <v>500</v>
      </c>
      <c r="H55" s="5">
        <v>500</v>
      </c>
      <c r="I55" s="5">
        <v>500</v>
      </c>
      <c r="J55" s="5">
        <v>500</v>
      </c>
      <c r="K55" s="5">
        <v>500</v>
      </c>
      <c r="L55" s="5">
        <v>500</v>
      </c>
      <c r="M55" s="5">
        <v>500</v>
      </c>
      <c r="N55" s="5">
        <v>500</v>
      </c>
      <c r="O55" s="5">
        <v>500</v>
      </c>
      <c r="P55" s="5">
        <v>500</v>
      </c>
      <c r="Q55" s="5">
        <v>500</v>
      </c>
      <c r="R55" s="5">
        <f t="shared" si="13"/>
        <v>6500</v>
      </c>
    </row>
    <row r="56" spans="1:18" ht="11.25">
      <c r="A56" s="4" t="s">
        <v>69</v>
      </c>
      <c r="B56" s="5">
        <f>127*75</f>
        <v>9525</v>
      </c>
      <c r="C56" s="5">
        <f>127*75</f>
        <v>9525</v>
      </c>
      <c r="D56" s="5">
        <f>127*75</f>
        <v>9525</v>
      </c>
      <c r="E56" s="5">
        <v>9025</v>
      </c>
      <c r="F56" s="5">
        <v>9025</v>
      </c>
      <c r="G56" s="5">
        <v>9025</v>
      </c>
      <c r="H56" s="5">
        <v>9025</v>
      </c>
      <c r="I56" s="5">
        <v>9025</v>
      </c>
      <c r="J56" s="5">
        <v>9025</v>
      </c>
      <c r="K56" s="5">
        <v>9025</v>
      </c>
      <c r="L56" s="5">
        <v>0</v>
      </c>
      <c r="M56" s="5">
        <v>0</v>
      </c>
      <c r="N56" s="5">
        <v>0</v>
      </c>
      <c r="O56" s="5">
        <v>9025</v>
      </c>
      <c r="P56" s="5">
        <v>9025</v>
      </c>
      <c r="Q56" s="5">
        <v>9025</v>
      </c>
      <c r="R56" s="5">
        <f t="shared" si="13"/>
        <v>118825</v>
      </c>
    </row>
    <row r="57" spans="1:18" ht="11.25">
      <c r="A57" s="4" t="s">
        <v>44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40.77</v>
      </c>
      <c r="L57" s="5">
        <v>10.96</v>
      </c>
      <c r="M57" s="5">
        <v>102.58</v>
      </c>
      <c r="N57" s="5">
        <v>43.45</v>
      </c>
      <c r="O57" s="5">
        <v>101.63</v>
      </c>
      <c r="P57" s="5">
        <v>106.56</v>
      </c>
      <c r="Q57" s="5">
        <v>180.78</v>
      </c>
      <c r="R57" s="5">
        <f t="shared" si="13"/>
        <v>586.73</v>
      </c>
    </row>
    <row r="58" spans="1:18" ht="11.25">
      <c r="A58" s="4" t="s">
        <v>80</v>
      </c>
      <c r="B58" s="5">
        <f>724*8.37</f>
        <v>6059.879999999999</v>
      </c>
      <c r="C58" s="5">
        <v>5194.89</v>
      </c>
      <c r="D58" s="5">
        <v>5119.86</v>
      </c>
      <c r="E58" s="5">
        <v>1252.3</v>
      </c>
      <c r="F58" s="5">
        <f>103*8.37</f>
        <v>862.1099999999999</v>
      </c>
      <c r="G58" s="5">
        <f>74*8.37</f>
        <v>619.38</v>
      </c>
      <c r="H58" s="5">
        <f>53*8.37</f>
        <v>443.60999999999996</v>
      </c>
      <c r="I58" s="5">
        <f>2756*8.37</f>
        <v>23067.719999999998</v>
      </c>
      <c r="J58" s="5">
        <f>615*8.37</f>
        <v>5147.549999999999</v>
      </c>
      <c r="K58" s="5">
        <f>733*8.37</f>
        <v>6135.209999999999</v>
      </c>
      <c r="L58" s="5">
        <f>669*10.5</f>
        <v>7024.5</v>
      </c>
      <c r="M58" s="5">
        <f>783*10.5</f>
        <v>8221.5</v>
      </c>
      <c r="N58" s="5">
        <f>675*10.5</f>
        <v>7087.5</v>
      </c>
      <c r="O58" s="5">
        <f>774*10.5</f>
        <v>8127</v>
      </c>
      <c r="P58" s="5">
        <f>479*10.5</f>
        <v>5029.5</v>
      </c>
      <c r="Q58" s="5">
        <f>695*10.5</f>
        <v>7297.5</v>
      </c>
      <c r="R58" s="5">
        <f t="shared" si="13"/>
        <v>96690.01000000001</v>
      </c>
    </row>
    <row r="59" spans="1:18" ht="11.25">
      <c r="A59" s="4" t="s">
        <v>81</v>
      </c>
      <c r="B59" s="5">
        <f>724*13.71</f>
        <v>9926.04</v>
      </c>
      <c r="C59" s="5">
        <f>20779.57-C58</f>
        <v>15584.68</v>
      </c>
      <c r="D59" s="5">
        <f>20479.43-D58</f>
        <v>15359.57</v>
      </c>
      <c r="E59" s="5">
        <f>5009.21-E58</f>
        <v>3756.91</v>
      </c>
      <c r="F59" s="5">
        <f>76.62*13.71</f>
        <v>1050.4602000000002</v>
      </c>
      <c r="G59" s="5">
        <f>74*13.71</f>
        <v>1014.5400000000001</v>
      </c>
      <c r="H59" s="5">
        <f>53*13.71</f>
        <v>726.63</v>
      </c>
      <c r="I59" s="5">
        <f>2756*13.71</f>
        <v>37784.76</v>
      </c>
      <c r="J59" s="5">
        <f>615*13.71</f>
        <v>8431.65</v>
      </c>
      <c r="K59" s="5">
        <f>733*13.71</f>
        <v>10049.43</v>
      </c>
      <c r="L59" s="5">
        <f>669*34.61</f>
        <v>23154.09</v>
      </c>
      <c r="M59" s="5">
        <f>783*34.61</f>
        <v>27099.63</v>
      </c>
      <c r="N59" s="5">
        <f>(675+67.62)*34.61</f>
        <v>25702.0782</v>
      </c>
      <c r="O59" s="5">
        <f>(774+165.99)*34.61</f>
        <v>32533.0539</v>
      </c>
      <c r="P59" s="5">
        <f>805.86*34.61</f>
        <v>27890.8146</v>
      </c>
      <c r="Q59" s="5">
        <f>1152.48*34.61</f>
        <v>39887.3328</v>
      </c>
      <c r="R59" s="5">
        <f t="shared" si="13"/>
        <v>279951.66969999997</v>
      </c>
    </row>
    <row r="60" spans="1:18" ht="11.25">
      <c r="A60" s="3" t="s">
        <v>75</v>
      </c>
      <c r="B60" s="7">
        <f>4481.6*5</f>
        <v>22408</v>
      </c>
      <c r="C60" s="7">
        <f aca="true" t="shared" si="14" ref="C60:Q60">4481.6*5</f>
        <v>22408</v>
      </c>
      <c r="D60" s="7">
        <f t="shared" si="14"/>
        <v>22408</v>
      </c>
      <c r="E60" s="7">
        <f t="shared" si="14"/>
        <v>22408</v>
      </c>
      <c r="F60" s="7">
        <f t="shared" si="14"/>
        <v>22408</v>
      </c>
      <c r="G60" s="7">
        <f t="shared" si="14"/>
        <v>22408</v>
      </c>
      <c r="H60" s="7">
        <f t="shared" si="14"/>
        <v>22408</v>
      </c>
      <c r="I60" s="7">
        <f t="shared" si="14"/>
        <v>22408</v>
      </c>
      <c r="J60" s="7">
        <f t="shared" si="14"/>
        <v>22408</v>
      </c>
      <c r="K60" s="7">
        <f t="shared" si="14"/>
        <v>22408</v>
      </c>
      <c r="L60" s="7">
        <f t="shared" si="14"/>
        <v>22408</v>
      </c>
      <c r="M60" s="7">
        <f t="shared" si="14"/>
        <v>22408</v>
      </c>
      <c r="N60" s="7">
        <f t="shared" si="14"/>
        <v>22408</v>
      </c>
      <c r="O60" s="7">
        <f t="shared" si="14"/>
        <v>22408</v>
      </c>
      <c r="P60" s="7">
        <f t="shared" si="14"/>
        <v>22408</v>
      </c>
      <c r="Q60" s="7">
        <f t="shared" si="14"/>
        <v>22408</v>
      </c>
      <c r="R60" s="5"/>
    </row>
    <row r="61" spans="1:18" ht="11.25">
      <c r="A61" s="3" t="s">
        <v>48</v>
      </c>
      <c r="B61" s="7">
        <f>SUM(B62:B75)</f>
        <v>22408</v>
      </c>
      <c r="C61" s="7">
        <f aca="true" t="shared" si="15" ref="C61:Q61">SUM(C62:C75)</f>
        <v>22408</v>
      </c>
      <c r="D61" s="7">
        <f t="shared" si="15"/>
        <v>22407.999999999996</v>
      </c>
      <c r="E61" s="7">
        <f t="shared" si="15"/>
        <v>22407.999999999996</v>
      </c>
      <c r="F61" s="7">
        <f t="shared" si="15"/>
        <v>22407.999999999996</v>
      </c>
      <c r="G61" s="7">
        <f t="shared" si="15"/>
        <v>22407.999999999996</v>
      </c>
      <c r="H61" s="7">
        <f t="shared" si="15"/>
        <v>22407.999999999996</v>
      </c>
      <c r="I61" s="7">
        <f t="shared" si="15"/>
        <v>22408</v>
      </c>
      <c r="J61" s="7">
        <f t="shared" si="15"/>
        <v>22407.999999999996</v>
      </c>
      <c r="K61" s="7">
        <f t="shared" si="15"/>
        <v>22408</v>
      </c>
      <c r="L61" s="7">
        <f t="shared" si="15"/>
        <v>22408</v>
      </c>
      <c r="M61" s="7">
        <f t="shared" si="15"/>
        <v>22408</v>
      </c>
      <c r="N61" s="7">
        <f t="shared" si="15"/>
        <v>22408</v>
      </c>
      <c r="O61" s="7">
        <f t="shared" si="15"/>
        <v>22408</v>
      </c>
      <c r="P61" s="7">
        <f t="shared" si="15"/>
        <v>22408</v>
      </c>
      <c r="Q61" s="7">
        <f t="shared" si="15"/>
        <v>22408</v>
      </c>
      <c r="R61" s="7">
        <f>SUM(R62:R75)</f>
        <v>358528</v>
      </c>
    </row>
    <row r="62" spans="1:18" ht="11.25">
      <c r="A62" s="4" t="s">
        <v>50</v>
      </c>
      <c r="B62" s="5">
        <v>1927.09</v>
      </c>
      <c r="C62" s="5">
        <v>1927.09</v>
      </c>
      <c r="D62" s="5">
        <v>1927.09</v>
      </c>
      <c r="E62" s="5">
        <v>1927.09</v>
      </c>
      <c r="F62" s="5">
        <v>1927.09</v>
      </c>
      <c r="G62" s="5">
        <v>1927.09</v>
      </c>
      <c r="H62" s="5">
        <v>1927.09</v>
      </c>
      <c r="I62" s="5">
        <v>1927.09</v>
      </c>
      <c r="J62" s="5">
        <v>1927.09</v>
      </c>
      <c r="K62" s="5">
        <v>1927.09</v>
      </c>
      <c r="L62" s="5">
        <v>1927.09</v>
      </c>
      <c r="M62" s="5">
        <v>1927.09</v>
      </c>
      <c r="N62" s="5">
        <v>1927.09</v>
      </c>
      <c r="O62" s="5">
        <v>1927.09</v>
      </c>
      <c r="P62" s="5">
        <v>1927.09</v>
      </c>
      <c r="Q62" s="5">
        <v>1927.09</v>
      </c>
      <c r="R62" s="5">
        <f aca="true" t="shared" si="16" ref="R62:R75">SUM(B62:Q62)</f>
        <v>30833.44</v>
      </c>
    </row>
    <row r="63" spans="1:18" ht="11.25">
      <c r="A63" s="4" t="s">
        <v>49</v>
      </c>
      <c r="B63" s="5">
        <v>1330</v>
      </c>
      <c r="C63" s="5">
        <v>1330</v>
      </c>
      <c r="D63" s="5">
        <v>1330</v>
      </c>
      <c r="E63" s="5">
        <v>1330</v>
      </c>
      <c r="F63" s="5">
        <v>1330</v>
      </c>
      <c r="G63" s="5">
        <v>1330</v>
      </c>
      <c r="H63" s="5">
        <v>1330</v>
      </c>
      <c r="I63" s="5">
        <v>1330</v>
      </c>
      <c r="J63" s="5">
        <v>1330</v>
      </c>
      <c r="K63" s="5">
        <v>1330</v>
      </c>
      <c r="L63" s="5">
        <v>1330</v>
      </c>
      <c r="M63" s="5">
        <v>1330</v>
      </c>
      <c r="N63" s="5">
        <v>1330</v>
      </c>
      <c r="O63" s="5">
        <v>1330</v>
      </c>
      <c r="P63" s="5">
        <v>1330</v>
      </c>
      <c r="Q63" s="5">
        <v>1330</v>
      </c>
      <c r="R63" s="5">
        <f t="shared" si="16"/>
        <v>21280</v>
      </c>
    </row>
    <row r="64" spans="1:18" ht="11.25">
      <c r="A64" s="4" t="s">
        <v>35</v>
      </c>
      <c r="B64" s="5">
        <v>150</v>
      </c>
      <c r="C64" s="5">
        <v>150</v>
      </c>
      <c r="D64" s="5">
        <v>150</v>
      </c>
      <c r="E64" s="5">
        <v>150</v>
      </c>
      <c r="F64" s="5">
        <v>150</v>
      </c>
      <c r="G64" s="5">
        <v>150</v>
      </c>
      <c r="H64" s="5">
        <v>150</v>
      </c>
      <c r="I64" s="5">
        <v>150</v>
      </c>
      <c r="J64" s="5">
        <v>150</v>
      </c>
      <c r="K64" s="5">
        <v>150</v>
      </c>
      <c r="L64" s="5">
        <v>150</v>
      </c>
      <c r="M64" s="5">
        <v>150</v>
      </c>
      <c r="N64" s="5">
        <v>150</v>
      </c>
      <c r="O64" s="5">
        <v>150</v>
      </c>
      <c r="P64" s="5">
        <v>150</v>
      </c>
      <c r="Q64" s="5">
        <v>150</v>
      </c>
      <c r="R64" s="5">
        <f t="shared" si="16"/>
        <v>2400</v>
      </c>
    </row>
    <row r="65" spans="1:18" ht="11.25">
      <c r="A65" s="4" t="s">
        <v>62</v>
      </c>
      <c r="B65" s="5">
        <v>500</v>
      </c>
      <c r="C65" s="5">
        <v>500</v>
      </c>
      <c r="D65" s="5">
        <v>500</v>
      </c>
      <c r="E65" s="5">
        <v>500</v>
      </c>
      <c r="F65" s="5">
        <v>500</v>
      </c>
      <c r="G65" s="5">
        <v>500</v>
      </c>
      <c r="H65" s="5">
        <v>500</v>
      </c>
      <c r="I65" s="5">
        <v>500</v>
      </c>
      <c r="J65" s="5">
        <v>500</v>
      </c>
      <c r="K65" s="5">
        <v>500</v>
      </c>
      <c r="L65" s="5">
        <v>500</v>
      </c>
      <c r="M65" s="5">
        <v>500</v>
      </c>
      <c r="N65" s="5">
        <v>500</v>
      </c>
      <c r="O65" s="5">
        <v>500</v>
      </c>
      <c r="P65" s="5">
        <v>500</v>
      </c>
      <c r="Q65" s="5">
        <v>500</v>
      </c>
      <c r="R65" s="5">
        <f t="shared" si="16"/>
        <v>8000</v>
      </c>
    </row>
    <row r="66" spans="1:18" ht="11.25">
      <c r="A66" s="4" t="s">
        <v>64</v>
      </c>
      <c r="B66" s="5">
        <v>251.76</v>
      </c>
      <c r="C66" s="5">
        <v>187.76</v>
      </c>
      <c r="D66" s="5">
        <v>343.65</v>
      </c>
      <c r="E66" s="5">
        <v>363.91</v>
      </c>
      <c r="F66" s="5">
        <v>1111.4</v>
      </c>
      <c r="G66" s="5">
        <v>494.66</v>
      </c>
      <c r="H66" s="5">
        <v>382.11</v>
      </c>
      <c r="I66" s="5">
        <v>391.92</v>
      </c>
      <c r="J66" s="5">
        <v>375.58</v>
      </c>
      <c r="K66" s="5">
        <v>391.71</v>
      </c>
      <c r="L66" s="5">
        <v>450.36</v>
      </c>
      <c r="M66" s="5">
        <v>273.35</v>
      </c>
      <c r="N66" s="5">
        <v>389.42</v>
      </c>
      <c r="O66" s="5">
        <v>320.47</v>
      </c>
      <c r="P66" s="5">
        <v>229.11</v>
      </c>
      <c r="Q66" s="5">
        <v>304.79</v>
      </c>
      <c r="R66" s="5">
        <f t="shared" si="16"/>
        <v>6261.96</v>
      </c>
    </row>
    <row r="67" spans="1:18" ht="11.25">
      <c r="A67" s="4" t="s">
        <v>67</v>
      </c>
      <c r="B67" s="5">
        <v>110</v>
      </c>
      <c r="C67" s="5">
        <v>110</v>
      </c>
      <c r="D67" s="5">
        <v>110</v>
      </c>
      <c r="E67" s="5">
        <v>110</v>
      </c>
      <c r="F67" s="5">
        <v>110</v>
      </c>
      <c r="G67" s="5">
        <v>110</v>
      </c>
      <c r="H67" s="5">
        <v>110</v>
      </c>
      <c r="I67" s="5">
        <v>110</v>
      </c>
      <c r="J67" s="5">
        <v>110</v>
      </c>
      <c r="K67" s="5">
        <v>110</v>
      </c>
      <c r="L67" s="5">
        <v>110</v>
      </c>
      <c r="M67" s="5">
        <v>110</v>
      </c>
      <c r="N67" s="5">
        <v>110</v>
      </c>
      <c r="O67" s="5">
        <v>110</v>
      </c>
      <c r="P67" s="5">
        <v>110</v>
      </c>
      <c r="Q67" s="5">
        <v>110</v>
      </c>
      <c r="R67" s="5">
        <f t="shared" si="16"/>
        <v>1760</v>
      </c>
    </row>
    <row r="68" spans="1:18" ht="11.25">
      <c r="A68" s="4" t="s">
        <v>51</v>
      </c>
      <c r="B68" s="5">
        <v>165</v>
      </c>
      <c r="C68" s="5">
        <v>165</v>
      </c>
      <c r="D68" s="5">
        <v>165</v>
      </c>
      <c r="E68" s="5">
        <v>165</v>
      </c>
      <c r="F68" s="5">
        <v>165</v>
      </c>
      <c r="G68" s="5">
        <v>165</v>
      </c>
      <c r="H68" s="5">
        <v>165</v>
      </c>
      <c r="I68" s="5">
        <v>165</v>
      </c>
      <c r="J68" s="5">
        <v>165</v>
      </c>
      <c r="K68" s="5">
        <v>165</v>
      </c>
      <c r="L68" s="5">
        <v>165</v>
      </c>
      <c r="M68" s="5">
        <v>165</v>
      </c>
      <c r="N68" s="5">
        <v>165</v>
      </c>
      <c r="O68" s="5">
        <v>165</v>
      </c>
      <c r="P68" s="5">
        <v>165</v>
      </c>
      <c r="Q68" s="5">
        <v>165</v>
      </c>
      <c r="R68" s="5">
        <f t="shared" si="16"/>
        <v>2640</v>
      </c>
    </row>
    <row r="69" spans="1:18" ht="11.25">
      <c r="A69" s="4" t="s">
        <v>52</v>
      </c>
      <c r="B69" s="5">
        <v>883.63</v>
      </c>
      <c r="C69" s="5">
        <v>481.63</v>
      </c>
      <c r="D69" s="5">
        <v>785.66</v>
      </c>
      <c r="E69" s="5">
        <v>879.99</v>
      </c>
      <c r="F69" s="5">
        <v>581.57</v>
      </c>
      <c r="G69" s="5">
        <v>294.42</v>
      </c>
      <c r="H69" s="5">
        <v>2095.12</v>
      </c>
      <c r="I69" s="5">
        <v>690.62</v>
      </c>
      <c r="J69" s="5">
        <v>808.75</v>
      </c>
      <c r="K69" s="5">
        <v>946.7</v>
      </c>
      <c r="L69" s="5">
        <v>746.33</v>
      </c>
      <c r="M69" s="5">
        <v>417.91</v>
      </c>
      <c r="N69" s="5">
        <v>589.01</v>
      </c>
      <c r="O69" s="5">
        <v>678.23</v>
      </c>
      <c r="P69" s="5">
        <v>1480</v>
      </c>
      <c r="Q69" s="5">
        <v>657</v>
      </c>
      <c r="R69" s="5">
        <f t="shared" si="16"/>
        <v>13016.57</v>
      </c>
    </row>
    <row r="70" spans="1:18" ht="11.25">
      <c r="A70" s="4" t="s">
        <v>14</v>
      </c>
      <c r="B70" s="5">
        <v>8468.33</v>
      </c>
      <c r="C70" s="5">
        <v>8934.33</v>
      </c>
      <c r="D70" s="5">
        <v>8474.41</v>
      </c>
      <c r="E70" s="5">
        <v>8359.82</v>
      </c>
      <c r="F70" s="5">
        <v>7910.75</v>
      </c>
      <c r="G70" s="5">
        <v>8814.64</v>
      </c>
      <c r="H70" s="5">
        <v>7126.49</v>
      </c>
      <c r="I70" s="5">
        <v>8521.18</v>
      </c>
      <c r="J70" s="5">
        <v>8419.39</v>
      </c>
      <c r="K70" s="5">
        <v>8552.53</v>
      </c>
      <c r="L70" s="5">
        <v>8694.25</v>
      </c>
      <c r="M70" s="5">
        <v>9199.68</v>
      </c>
      <c r="N70" s="5">
        <v>8912.51</v>
      </c>
      <c r="O70" s="5">
        <v>8892.24</v>
      </c>
      <c r="P70" s="5">
        <v>8181.83</v>
      </c>
      <c r="Q70" s="5">
        <v>8929.15</v>
      </c>
      <c r="R70" s="5">
        <f t="shared" si="16"/>
        <v>136391.53</v>
      </c>
    </row>
    <row r="71" spans="1:18" ht="11.25">
      <c r="A71" s="4" t="s">
        <v>70</v>
      </c>
      <c r="B71" s="5">
        <v>550</v>
      </c>
      <c r="C71" s="5">
        <v>550</v>
      </c>
      <c r="D71" s="5">
        <v>550</v>
      </c>
      <c r="E71" s="5">
        <v>550</v>
      </c>
      <c r="F71" s="5">
        <v>550</v>
      </c>
      <c r="G71" s="5">
        <v>550</v>
      </c>
      <c r="H71" s="5">
        <v>550</v>
      </c>
      <c r="I71" s="5">
        <v>550</v>
      </c>
      <c r="J71" s="5">
        <v>550</v>
      </c>
      <c r="K71" s="5">
        <v>550</v>
      </c>
      <c r="L71" s="5">
        <v>550</v>
      </c>
      <c r="M71" s="5">
        <v>550</v>
      </c>
      <c r="N71" s="5">
        <v>550</v>
      </c>
      <c r="O71" s="5">
        <v>550</v>
      </c>
      <c r="P71" s="5">
        <v>550</v>
      </c>
      <c r="Q71" s="5">
        <v>550</v>
      </c>
      <c r="R71" s="5">
        <f t="shared" si="16"/>
        <v>8800</v>
      </c>
    </row>
    <row r="72" spans="1:18" ht="11.25">
      <c r="A72" s="4" t="s">
        <v>65</v>
      </c>
      <c r="B72" s="5">
        <v>450</v>
      </c>
      <c r="C72" s="5">
        <v>450</v>
      </c>
      <c r="D72" s="5">
        <v>450</v>
      </c>
      <c r="E72" s="5">
        <v>450</v>
      </c>
      <c r="F72" s="5">
        <v>450</v>
      </c>
      <c r="G72" s="5">
        <v>450</v>
      </c>
      <c r="H72" s="5">
        <v>450</v>
      </c>
      <c r="I72" s="5">
        <v>450</v>
      </c>
      <c r="J72" s="5">
        <v>450</v>
      </c>
      <c r="K72" s="5">
        <v>450</v>
      </c>
      <c r="L72" s="5">
        <v>450</v>
      </c>
      <c r="M72" s="5">
        <v>450</v>
      </c>
      <c r="N72" s="5">
        <v>450</v>
      </c>
      <c r="O72" s="5">
        <v>450</v>
      </c>
      <c r="P72" s="5">
        <v>450</v>
      </c>
      <c r="Q72" s="5">
        <v>450</v>
      </c>
      <c r="R72" s="5">
        <f t="shared" si="16"/>
        <v>7200</v>
      </c>
    </row>
    <row r="73" spans="1:18" ht="11.25">
      <c r="A73" s="4" t="s">
        <v>66</v>
      </c>
      <c r="B73" s="5">
        <v>350</v>
      </c>
      <c r="C73" s="5">
        <v>350</v>
      </c>
      <c r="D73" s="5">
        <v>350</v>
      </c>
      <c r="E73" s="5">
        <v>350</v>
      </c>
      <c r="F73" s="5">
        <v>350</v>
      </c>
      <c r="G73" s="5">
        <v>350</v>
      </c>
      <c r="H73" s="5">
        <v>350</v>
      </c>
      <c r="I73" s="5">
        <v>350</v>
      </c>
      <c r="J73" s="5">
        <v>350</v>
      </c>
      <c r="K73" s="5">
        <v>350</v>
      </c>
      <c r="L73" s="5">
        <v>350</v>
      </c>
      <c r="M73" s="5">
        <v>350</v>
      </c>
      <c r="N73" s="5">
        <v>350</v>
      </c>
      <c r="O73" s="5">
        <v>350</v>
      </c>
      <c r="P73" s="5">
        <v>350</v>
      </c>
      <c r="Q73" s="5">
        <v>350</v>
      </c>
      <c r="R73" s="5">
        <f t="shared" si="16"/>
        <v>5600</v>
      </c>
    </row>
    <row r="74" spans="1:18" ht="11.25">
      <c r="A74" s="4" t="s">
        <v>53</v>
      </c>
      <c r="B74" s="5">
        <v>6000</v>
      </c>
      <c r="C74" s="5">
        <v>6000</v>
      </c>
      <c r="D74" s="5">
        <v>6000</v>
      </c>
      <c r="E74" s="5">
        <v>6000</v>
      </c>
      <c r="F74" s="5">
        <v>6000</v>
      </c>
      <c r="G74" s="5">
        <v>6000</v>
      </c>
      <c r="H74" s="5">
        <v>6000</v>
      </c>
      <c r="I74" s="5">
        <v>6000</v>
      </c>
      <c r="J74" s="5">
        <v>6000</v>
      </c>
      <c r="K74" s="5">
        <v>6000</v>
      </c>
      <c r="L74" s="5">
        <v>6000</v>
      </c>
      <c r="M74" s="5">
        <v>6000</v>
      </c>
      <c r="N74" s="5">
        <v>6000</v>
      </c>
      <c r="O74" s="5">
        <v>6000</v>
      </c>
      <c r="P74" s="5">
        <v>6000</v>
      </c>
      <c r="Q74" s="5">
        <v>6000</v>
      </c>
      <c r="R74" s="5">
        <f t="shared" si="16"/>
        <v>96000</v>
      </c>
    </row>
    <row r="75" spans="1:18" ht="11.25">
      <c r="A75" s="4" t="s">
        <v>36</v>
      </c>
      <c r="B75" s="5">
        <v>1272.19</v>
      </c>
      <c r="C75" s="5">
        <v>1272.19</v>
      </c>
      <c r="D75" s="5">
        <v>1272.19</v>
      </c>
      <c r="E75" s="5">
        <v>1272.19</v>
      </c>
      <c r="F75" s="5">
        <v>1272.19</v>
      </c>
      <c r="G75" s="5">
        <v>1272.19</v>
      </c>
      <c r="H75" s="5">
        <v>1272.19</v>
      </c>
      <c r="I75" s="5">
        <v>1272.19</v>
      </c>
      <c r="J75" s="5">
        <v>1272.19</v>
      </c>
      <c r="K75" s="5">
        <v>984.97</v>
      </c>
      <c r="L75" s="5">
        <v>984.97</v>
      </c>
      <c r="M75" s="5">
        <v>984.97</v>
      </c>
      <c r="N75" s="5">
        <v>984.97</v>
      </c>
      <c r="O75" s="5">
        <v>984.97</v>
      </c>
      <c r="P75" s="5">
        <v>984.97</v>
      </c>
      <c r="Q75" s="5">
        <v>984.97</v>
      </c>
      <c r="R75" s="5">
        <f t="shared" si="16"/>
        <v>18344.5</v>
      </c>
    </row>
    <row r="76" spans="1:18" ht="11.25">
      <c r="A76" s="3" t="s">
        <v>15</v>
      </c>
      <c r="B76" s="7">
        <f aca="true" t="shared" si="17" ref="B76:R76">B4+B11+B18+B27+B33+B37+B47+B50+B52+B61</f>
        <v>292672.38</v>
      </c>
      <c r="C76" s="7">
        <f t="shared" si="17"/>
        <v>185248.86</v>
      </c>
      <c r="D76" s="7">
        <f t="shared" si="17"/>
        <v>131455.25</v>
      </c>
      <c r="E76" s="7">
        <f t="shared" si="17"/>
        <v>178377.47</v>
      </c>
      <c r="F76" s="7">
        <f t="shared" si="17"/>
        <v>103568.5102</v>
      </c>
      <c r="G76" s="7">
        <f t="shared" si="17"/>
        <v>123750.79000000001</v>
      </c>
      <c r="H76" s="7">
        <f t="shared" si="17"/>
        <v>108638.16</v>
      </c>
      <c r="I76" s="7">
        <f t="shared" si="17"/>
        <v>166211.46000000002</v>
      </c>
      <c r="J76" s="7">
        <f t="shared" si="17"/>
        <v>132703.64</v>
      </c>
      <c r="K76" s="7">
        <f t="shared" si="17"/>
        <v>122480.35</v>
      </c>
      <c r="L76" s="7">
        <f t="shared" si="17"/>
        <v>141724.6</v>
      </c>
      <c r="M76" s="7">
        <f t="shared" si="17"/>
        <v>149559.51</v>
      </c>
      <c r="N76" s="7">
        <f t="shared" si="17"/>
        <v>129775.59820000001</v>
      </c>
      <c r="O76" s="7">
        <f t="shared" si="17"/>
        <v>140277.1139</v>
      </c>
      <c r="P76" s="7">
        <f t="shared" si="17"/>
        <v>137635.1446</v>
      </c>
      <c r="Q76" s="7">
        <f t="shared" si="17"/>
        <v>149079.9128</v>
      </c>
      <c r="R76" s="7">
        <f t="shared" si="17"/>
        <v>2393158.7497</v>
      </c>
    </row>
    <row r="78" spans="1:18" ht="11.25">
      <c r="A78" s="4" t="s">
        <v>82</v>
      </c>
      <c r="B78" s="5">
        <v>158845.9</v>
      </c>
      <c r="C78" s="5">
        <v>160439.72</v>
      </c>
      <c r="D78" s="5">
        <v>158852.49</v>
      </c>
      <c r="E78" s="5">
        <v>156874.97</v>
      </c>
      <c r="F78" s="5">
        <v>160158.16</v>
      </c>
      <c r="G78" s="5">
        <v>159994.92</v>
      </c>
      <c r="H78" s="5">
        <v>156884.08</v>
      </c>
      <c r="I78" s="5">
        <v>163122.43</v>
      </c>
      <c r="J78" s="5">
        <v>165082.58</v>
      </c>
      <c r="K78" s="5">
        <v>157437.06</v>
      </c>
      <c r="L78" s="5">
        <v>165091.02</v>
      </c>
      <c r="M78" s="5">
        <v>164601.44</v>
      </c>
      <c r="N78" s="5">
        <v>160746.95</v>
      </c>
      <c r="O78" s="5">
        <v>166138.81</v>
      </c>
      <c r="P78" s="5">
        <v>181042.36</v>
      </c>
      <c r="Q78" s="14">
        <v>179977.86</v>
      </c>
      <c r="R78" s="5">
        <f>SUM(B78:Q78)</f>
        <v>2615290.7499999995</v>
      </c>
    </row>
    <row r="79" spans="1:18" ht="11.25">
      <c r="A79" s="4" t="s">
        <v>83</v>
      </c>
      <c r="B79" s="5">
        <v>0</v>
      </c>
      <c r="C79" s="5">
        <v>99485.26</v>
      </c>
      <c r="D79" s="5">
        <v>137411</v>
      </c>
      <c r="E79" s="5">
        <v>197629</v>
      </c>
      <c r="F79" s="5">
        <v>134030.22</v>
      </c>
      <c r="G79" s="5">
        <v>148433.42</v>
      </c>
      <c r="H79" s="5">
        <v>133764.16</v>
      </c>
      <c r="I79" s="5">
        <v>184303.11</v>
      </c>
      <c r="J79" s="5">
        <v>137816.56</v>
      </c>
      <c r="K79" s="5">
        <v>158745.01</v>
      </c>
      <c r="L79" s="5">
        <v>135812</v>
      </c>
      <c r="M79" s="5">
        <v>157408.32</v>
      </c>
      <c r="N79" s="5">
        <v>158988.56</v>
      </c>
      <c r="O79" s="5">
        <v>153065</v>
      </c>
      <c r="P79" s="5">
        <v>147999.5</v>
      </c>
      <c r="Q79" s="14">
        <v>185007.92</v>
      </c>
      <c r="R79" s="5">
        <f>SUM(B79:Q79)</f>
        <v>2269899.04</v>
      </c>
    </row>
    <row r="80" spans="1:18" ht="11.25">
      <c r="A80" s="4" t="s">
        <v>84</v>
      </c>
      <c r="B80" s="5">
        <v>62.63</v>
      </c>
      <c r="C80" s="5">
        <v>74.2</v>
      </c>
      <c r="D80" s="5">
        <v>90.88</v>
      </c>
      <c r="E80" s="5">
        <v>89.53</v>
      </c>
      <c r="F80" s="5">
        <v>90.17</v>
      </c>
      <c r="G80" s="4">
        <v>89.07</v>
      </c>
      <c r="H80" s="4">
        <v>93.08</v>
      </c>
      <c r="I80" s="4">
        <v>91.98</v>
      </c>
      <c r="J80" s="4">
        <v>92.46</v>
      </c>
      <c r="K80" s="4">
        <v>91.85</v>
      </c>
      <c r="L80" s="4">
        <v>92.17</v>
      </c>
      <c r="M80" s="4">
        <v>92.55</v>
      </c>
      <c r="N80" s="4">
        <v>92.76</v>
      </c>
      <c r="O80" s="4">
        <v>92.49</v>
      </c>
      <c r="P80" s="4">
        <v>93.21</v>
      </c>
      <c r="Q80" s="13">
        <v>94.71</v>
      </c>
      <c r="R80" s="4"/>
    </row>
    <row r="81" spans="1:18" ht="11.25">
      <c r="A81" s="8" t="s">
        <v>85</v>
      </c>
      <c r="B81" s="9">
        <f>B76</f>
        <v>292672.38</v>
      </c>
      <c r="C81" s="9">
        <f aca="true" t="shared" si="18" ref="C81:Q81">C76</f>
        <v>185248.86</v>
      </c>
      <c r="D81" s="9">
        <f t="shared" si="18"/>
        <v>131455.25</v>
      </c>
      <c r="E81" s="9">
        <f t="shared" si="18"/>
        <v>178377.47</v>
      </c>
      <c r="F81" s="9">
        <f t="shared" si="18"/>
        <v>103568.5102</v>
      </c>
      <c r="G81" s="9">
        <f t="shared" si="18"/>
        <v>123750.79000000001</v>
      </c>
      <c r="H81" s="9">
        <f t="shared" si="18"/>
        <v>108638.16</v>
      </c>
      <c r="I81" s="9">
        <f t="shared" si="18"/>
        <v>166211.46000000002</v>
      </c>
      <c r="J81" s="9">
        <f t="shared" si="18"/>
        <v>132703.64</v>
      </c>
      <c r="K81" s="9">
        <f t="shared" si="18"/>
        <v>122480.35</v>
      </c>
      <c r="L81" s="9">
        <f t="shared" si="18"/>
        <v>141724.6</v>
      </c>
      <c r="M81" s="9">
        <f t="shared" si="18"/>
        <v>149559.51</v>
      </c>
      <c r="N81" s="9">
        <f t="shared" si="18"/>
        <v>129775.59820000001</v>
      </c>
      <c r="O81" s="9">
        <f t="shared" si="18"/>
        <v>140277.1139</v>
      </c>
      <c r="P81" s="9">
        <f t="shared" si="18"/>
        <v>137635.1446</v>
      </c>
      <c r="Q81" s="9">
        <f t="shared" si="18"/>
        <v>149079.9128</v>
      </c>
      <c r="R81" s="5">
        <f>SUM(B81:Q81)</f>
        <v>2393158.7497000005</v>
      </c>
    </row>
    <row r="82" spans="1:18" ht="11.25">
      <c r="A82" s="4" t="s">
        <v>135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5">
        <f>R79-R81</f>
        <v>-123259.70970000047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pane ySplit="2" topLeftCell="BM21" activePane="bottomLeft" state="frozen"/>
      <selection pane="topLeft" activeCell="A1" sqref="A1"/>
      <selection pane="bottomLeft" activeCell="Q14" sqref="Q14"/>
    </sheetView>
  </sheetViews>
  <sheetFormatPr defaultColWidth="9.00390625" defaultRowHeight="12.75"/>
  <cols>
    <col min="1" max="1" width="31.25390625" style="2" customWidth="1"/>
    <col min="2" max="7" width="8.875" style="2" customWidth="1"/>
    <col min="8" max="8" width="9.75390625" style="2" customWidth="1"/>
    <col min="9" max="16384" width="9.125" style="2" customWidth="1"/>
  </cols>
  <sheetData>
    <row r="1" spans="1:8" ht="11.25">
      <c r="A1" s="1" t="s">
        <v>90</v>
      </c>
      <c r="B1" s="1" t="s">
        <v>76</v>
      </c>
      <c r="C1" s="1"/>
      <c r="D1" s="1"/>
      <c r="E1" s="1"/>
      <c r="F1" s="1"/>
      <c r="G1" s="1"/>
      <c r="H1" s="1"/>
    </row>
    <row r="2" spans="1:8" ht="11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16</v>
      </c>
    </row>
    <row r="3" spans="1:8" ht="11.25">
      <c r="A3" s="3" t="s">
        <v>34</v>
      </c>
      <c r="B3" s="5"/>
      <c r="C3" s="5"/>
      <c r="D3" s="5"/>
      <c r="E3" s="5"/>
      <c r="F3" s="5"/>
      <c r="G3" s="5"/>
      <c r="H3" s="7"/>
    </row>
    <row r="4" spans="1:8" ht="11.25">
      <c r="A4" s="3" t="s">
        <v>26</v>
      </c>
      <c r="B4" s="7">
        <f aca="true" t="shared" si="0" ref="B4:G4">SUM(B5:B10)</f>
        <v>2760</v>
      </c>
      <c r="C4" s="7">
        <f t="shared" si="0"/>
        <v>2760</v>
      </c>
      <c r="D4" s="7">
        <f t="shared" si="0"/>
        <v>2760</v>
      </c>
      <c r="E4" s="7">
        <f t="shared" si="0"/>
        <v>2760</v>
      </c>
      <c r="F4" s="7">
        <f t="shared" si="0"/>
        <v>3818</v>
      </c>
      <c r="G4" s="7">
        <f t="shared" si="0"/>
        <v>2760</v>
      </c>
      <c r="H4" s="7">
        <f>SUM(H5:H10)</f>
        <v>17618</v>
      </c>
    </row>
    <row r="5" spans="1:8" ht="11.25">
      <c r="A5" s="4" t="s">
        <v>27</v>
      </c>
      <c r="B5" s="5">
        <v>1650</v>
      </c>
      <c r="C5" s="5">
        <v>1650</v>
      </c>
      <c r="D5" s="5">
        <v>1650</v>
      </c>
      <c r="E5" s="5">
        <v>1650</v>
      </c>
      <c r="F5" s="5">
        <v>1650</v>
      </c>
      <c r="G5" s="5">
        <v>1650</v>
      </c>
      <c r="H5" s="7">
        <f aca="true" t="shared" si="1" ref="H5:H10">SUM(B5:G5)</f>
        <v>9900</v>
      </c>
    </row>
    <row r="6" spans="1:8" ht="11.25">
      <c r="A6" s="4" t="s">
        <v>30</v>
      </c>
      <c r="B6" s="5">
        <v>750</v>
      </c>
      <c r="C6" s="5">
        <v>750</v>
      </c>
      <c r="D6" s="5">
        <v>750</v>
      </c>
      <c r="E6" s="5">
        <v>750</v>
      </c>
      <c r="F6" s="5">
        <v>750</v>
      </c>
      <c r="G6" s="5">
        <v>750</v>
      </c>
      <c r="H6" s="7">
        <f t="shared" si="1"/>
        <v>4500</v>
      </c>
    </row>
    <row r="7" spans="1:8" ht="11.25">
      <c r="A7" s="4" t="s">
        <v>31</v>
      </c>
      <c r="B7" s="5">
        <v>250</v>
      </c>
      <c r="C7" s="5">
        <v>250</v>
      </c>
      <c r="D7" s="5">
        <v>250</v>
      </c>
      <c r="E7" s="5">
        <v>250</v>
      </c>
      <c r="F7" s="5">
        <v>250</v>
      </c>
      <c r="G7" s="5">
        <v>250</v>
      </c>
      <c r="H7" s="7">
        <f t="shared" si="1"/>
        <v>1500</v>
      </c>
    </row>
    <row r="8" spans="1:8" ht="11.25">
      <c r="A8" s="4" t="s">
        <v>54</v>
      </c>
      <c r="B8" s="5">
        <v>110</v>
      </c>
      <c r="C8" s="5">
        <v>110</v>
      </c>
      <c r="D8" s="5">
        <v>110</v>
      </c>
      <c r="E8" s="5">
        <v>110</v>
      </c>
      <c r="F8" s="5">
        <v>110</v>
      </c>
      <c r="G8" s="5">
        <v>110</v>
      </c>
      <c r="H8" s="7">
        <f t="shared" si="1"/>
        <v>660</v>
      </c>
    </row>
    <row r="9" spans="1:8" ht="11.25">
      <c r="A9" s="4" t="s">
        <v>10</v>
      </c>
      <c r="B9" s="5">
        <v>0</v>
      </c>
      <c r="C9" s="5">
        <v>0</v>
      </c>
      <c r="D9" s="5">
        <v>0</v>
      </c>
      <c r="E9" s="5">
        <v>0</v>
      </c>
      <c r="F9" s="5">
        <f>1058</f>
        <v>1058</v>
      </c>
      <c r="G9" s="5">
        <v>0</v>
      </c>
      <c r="H9" s="7">
        <f t="shared" si="1"/>
        <v>1058</v>
      </c>
    </row>
    <row r="10" spans="1:8" ht="11.25">
      <c r="A10" s="4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 t="shared" si="1"/>
        <v>0</v>
      </c>
    </row>
    <row r="11" spans="1:8" ht="11.25">
      <c r="A11" s="3" t="s">
        <v>28</v>
      </c>
      <c r="B11" s="7">
        <f aca="true" t="shared" si="2" ref="B11:G11">SUM(B12:B17)</f>
        <v>2230</v>
      </c>
      <c r="C11" s="7">
        <f t="shared" si="2"/>
        <v>2230</v>
      </c>
      <c r="D11" s="7">
        <f t="shared" si="2"/>
        <v>2710</v>
      </c>
      <c r="E11" s="7">
        <f t="shared" si="2"/>
        <v>2230</v>
      </c>
      <c r="F11" s="7">
        <f t="shared" si="2"/>
        <v>2295</v>
      </c>
      <c r="G11" s="7">
        <f t="shared" si="2"/>
        <v>2230</v>
      </c>
      <c r="H11" s="7">
        <f>SUM(H12:H17)</f>
        <v>13925</v>
      </c>
    </row>
    <row r="12" spans="1:8" ht="11.25">
      <c r="A12" s="4" t="s">
        <v>29</v>
      </c>
      <c r="B12" s="5">
        <v>1650</v>
      </c>
      <c r="C12" s="5">
        <v>1650</v>
      </c>
      <c r="D12" s="5">
        <v>1650</v>
      </c>
      <c r="E12" s="5">
        <v>1650</v>
      </c>
      <c r="F12" s="5">
        <v>1650</v>
      </c>
      <c r="G12" s="5">
        <v>1650</v>
      </c>
      <c r="H12" s="7">
        <f aca="true" t="shared" si="3" ref="H12:H17">SUM(B12:G12)</f>
        <v>9900</v>
      </c>
    </row>
    <row r="13" spans="1:8" ht="11.25">
      <c r="A13" s="4" t="s">
        <v>30</v>
      </c>
      <c r="B13" s="5">
        <v>500</v>
      </c>
      <c r="C13" s="5">
        <v>500</v>
      </c>
      <c r="D13" s="5">
        <v>500</v>
      </c>
      <c r="E13" s="5">
        <v>500</v>
      </c>
      <c r="F13" s="5">
        <v>500</v>
      </c>
      <c r="G13" s="5">
        <v>500</v>
      </c>
      <c r="H13" s="7">
        <f t="shared" si="3"/>
        <v>3000</v>
      </c>
    </row>
    <row r="14" spans="1: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7">
        <f t="shared" si="3"/>
        <v>0</v>
      </c>
    </row>
    <row r="15" spans="1:8" ht="11.25">
      <c r="A15" s="4" t="s">
        <v>54</v>
      </c>
      <c r="B15" s="5">
        <v>80</v>
      </c>
      <c r="C15" s="5">
        <v>80</v>
      </c>
      <c r="D15" s="5">
        <v>80</v>
      </c>
      <c r="E15" s="5">
        <v>80</v>
      </c>
      <c r="F15" s="5">
        <v>80</v>
      </c>
      <c r="G15" s="5">
        <v>80</v>
      </c>
      <c r="H15" s="7">
        <f t="shared" si="3"/>
        <v>480</v>
      </c>
    </row>
    <row r="16" spans="1:8" ht="11.25">
      <c r="A16" s="4" t="s">
        <v>12</v>
      </c>
      <c r="B16" s="5">
        <v>0</v>
      </c>
      <c r="C16" s="5">
        <v>0</v>
      </c>
      <c r="D16" s="5">
        <f>220*2+40</f>
        <v>480</v>
      </c>
      <c r="E16" s="5">
        <v>0</v>
      </c>
      <c r="F16" s="5">
        <v>65</v>
      </c>
      <c r="G16" s="5">
        <v>0</v>
      </c>
      <c r="H16" s="7">
        <f t="shared" si="3"/>
        <v>545</v>
      </c>
    </row>
    <row r="17" spans="1:8" ht="11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7">
        <f t="shared" si="3"/>
        <v>0</v>
      </c>
    </row>
    <row r="18" spans="1:8" ht="11.25">
      <c r="A18" s="3" t="s">
        <v>40</v>
      </c>
      <c r="B18" s="7">
        <f aca="true" t="shared" si="4" ref="B18:H18">SUM(B19:B24)</f>
        <v>0</v>
      </c>
      <c r="C18" s="7">
        <f t="shared" si="4"/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3500</v>
      </c>
      <c r="H18" s="7">
        <f t="shared" si="4"/>
        <v>3500</v>
      </c>
    </row>
    <row r="19" spans="1:8" ht="11.25">
      <c r="A19" s="4" t="s">
        <v>91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7">
        <f aca="true" t="shared" si="5" ref="H19:H24">SUM(B19:G19)</f>
        <v>0</v>
      </c>
    </row>
    <row r="20" spans="1:8" ht="11.25">
      <c r="A20" s="4" t="s">
        <v>92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7">
        <f t="shared" si="5"/>
        <v>0</v>
      </c>
    </row>
    <row r="21" spans="1:8" ht="11.25">
      <c r="A21" s="4" t="s">
        <v>93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>2000+1500</f>
        <v>3500</v>
      </c>
      <c r="H21" s="7">
        <f t="shared" si="5"/>
        <v>3500</v>
      </c>
    </row>
    <row r="22" spans="1:8" ht="11.25">
      <c r="A22" s="4" t="s">
        <v>39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7">
        <f t="shared" si="5"/>
        <v>0</v>
      </c>
    </row>
    <row r="23" spans="1:8" ht="11.25">
      <c r="A23" s="4" t="s">
        <v>59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7">
        <f t="shared" si="5"/>
        <v>0</v>
      </c>
    </row>
    <row r="24" spans="1:8" ht="11.25">
      <c r="A24" s="4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7">
        <f t="shared" si="5"/>
        <v>0</v>
      </c>
    </row>
    <row r="25" spans="1:8" ht="11.25">
      <c r="A25" s="3" t="s">
        <v>23</v>
      </c>
      <c r="B25" s="7">
        <f aca="true" t="shared" si="6" ref="B25:H25">SUM(B26:B29)</f>
        <v>5250</v>
      </c>
      <c r="C25" s="7">
        <f t="shared" si="6"/>
        <v>5490</v>
      </c>
      <c r="D25" s="7">
        <f t="shared" si="6"/>
        <v>5250</v>
      </c>
      <c r="E25" s="7">
        <f t="shared" si="6"/>
        <v>5250</v>
      </c>
      <c r="F25" s="7">
        <f t="shared" si="6"/>
        <v>5520</v>
      </c>
      <c r="G25" s="7">
        <f t="shared" si="6"/>
        <v>5250</v>
      </c>
      <c r="H25" s="7">
        <f t="shared" si="6"/>
        <v>32010</v>
      </c>
    </row>
    <row r="26" spans="1:8" ht="11.25">
      <c r="A26" s="4" t="s">
        <v>24</v>
      </c>
      <c r="B26" s="5">
        <v>2625</v>
      </c>
      <c r="C26" s="5">
        <v>2625</v>
      </c>
      <c r="D26" s="5">
        <v>2625</v>
      </c>
      <c r="E26" s="5">
        <v>2625</v>
      </c>
      <c r="F26" s="5">
        <v>2625</v>
      </c>
      <c r="G26" s="5">
        <v>2625</v>
      </c>
      <c r="H26" s="7">
        <f>SUM(B26:G26)</f>
        <v>15750</v>
      </c>
    </row>
    <row r="27" spans="1:8" ht="11.25">
      <c r="A27" s="4" t="s">
        <v>7</v>
      </c>
      <c r="B27" s="5">
        <v>0</v>
      </c>
      <c r="C27" s="5">
        <v>120</v>
      </c>
      <c r="D27" s="5">
        <v>0</v>
      </c>
      <c r="E27" s="5">
        <v>0</v>
      </c>
      <c r="F27" s="5">
        <v>135</v>
      </c>
      <c r="G27" s="5">
        <v>0</v>
      </c>
      <c r="H27" s="7">
        <f>SUM(B27:G27)</f>
        <v>255</v>
      </c>
    </row>
    <row r="28" spans="1:8" ht="11.25">
      <c r="A28" s="4" t="s">
        <v>25</v>
      </c>
      <c r="B28" s="5">
        <v>2625</v>
      </c>
      <c r="C28" s="5">
        <v>2625</v>
      </c>
      <c r="D28" s="5">
        <v>2625</v>
      </c>
      <c r="E28" s="5">
        <v>2625</v>
      </c>
      <c r="F28" s="5">
        <v>2625</v>
      </c>
      <c r="G28" s="5">
        <v>2625</v>
      </c>
      <c r="H28" s="7">
        <f>SUM(B28:G28)</f>
        <v>15750</v>
      </c>
    </row>
    <row r="29" spans="1:8" ht="11.25">
      <c r="A29" s="4" t="s">
        <v>8</v>
      </c>
      <c r="B29" s="5">
        <v>0</v>
      </c>
      <c r="C29" s="5">
        <v>120</v>
      </c>
      <c r="D29" s="5">
        <v>0</v>
      </c>
      <c r="E29" s="5">
        <v>0</v>
      </c>
      <c r="F29" s="5">
        <v>135</v>
      </c>
      <c r="G29" s="5">
        <v>0</v>
      </c>
      <c r="H29" s="7">
        <f>SUM(B29:G29)</f>
        <v>255</v>
      </c>
    </row>
    <row r="30" spans="1:8" ht="11.25">
      <c r="A30" s="3" t="s">
        <v>32</v>
      </c>
      <c r="B30" s="7">
        <f>SUM(B31:B33)</f>
        <v>2828.7494196000002</v>
      </c>
      <c r="C30" s="7">
        <f aca="true" t="shared" si="7" ref="C30:H30">SUM(C31:C33)</f>
        <v>2828.7475000000004</v>
      </c>
      <c r="D30" s="7">
        <f t="shared" si="7"/>
        <v>2828.7475000000004</v>
      </c>
      <c r="E30" s="7">
        <f t="shared" si="7"/>
        <v>2828.7475000000004</v>
      </c>
      <c r="F30" s="7">
        <f t="shared" si="7"/>
        <v>2828.7475000000004</v>
      </c>
      <c r="G30" s="7">
        <f t="shared" si="7"/>
        <v>2828.7475000000004</v>
      </c>
      <c r="H30" s="7">
        <f t="shared" si="7"/>
        <v>16972.4869196</v>
      </c>
    </row>
    <row r="31" spans="1:8" ht="11.25">
      <c r="A31" s="4" t="s">
        <v>41</v>
      </c>
      <c r="B31" s="5">
        <f aca="true" t="shared" si="8" ref="B31:G31">(0.75*15*412.62)/2</f>
        <v>2320.9875</v>
      </c>
      <c r="C31" s="5">
        <f t="shared" si="8"/>
        <v>2320.9875</v>
      </c>
      <c r="D31" s="5">
        <f t="shared" si="8"/>
        <v>2320.9875</v>
      </c>
      <c r="E31" s="5">
        <f t="shared" si="8"/>
        <v>2320.9875</v>
      </c>
      <c r="F31" s="5">
        <f t="shared" si="8"/>
        <v>2320.9875</v>
      </c>
      <c r="G31" s="5">
        <f t="shared" si="8"/>
        <v>2320.9875</v>
      </c>
      <c r="H31" s="7">
        <f>SUM(B31:G31)</f>
        <v>13925.925</v>
      </c>
    </row>
    <row r="32" spans="1:8" ht="11.25">
      <c r="A32" s="4" t="s">
        <v>18</v>
      </c>
      <c r="B32" s="5">
        <f>946.6*0.0013*412.62</f>
        <v>507.7619196</v>
      </c>
      <c r="C32" s="5">
        <v>507.76</v>
      </c>
      <c r="D32" s="5">
        <v>507.76</v>
      </c>
      <c r="E32" s="5">
        <v>507.76</v>
      </c>
      <c r="F32" s="5">
        <v>507.76</v>
      </c>
      <c r="G32" s="5">
        <v>507.76</v>
      </c>
      <c r="H32" s="7">
        <f>SUM(B32:G32)</f>
        <v>3046.5619196</v>
      </c>
    </row>
    <row r="33" spans="1:8" ht="11.25">
      <c r="A33" s="4" t="s">
        <v>58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7">
        <f>SUM(B33:G33)</f>
        <v>0</v>
      </c>
    </row>
    <row r="34" spans="1:8" ht="11.25">
      <c r="A34" s="3" t="s">
        <v>22</v>
      </c>
      <c r="B34" s="7">
        <f>SUM(B35:B37)</f>
        <v>0</v>
      </c>
      <c r="C34" s="7">
        <f aca="true" t="shared" si="9" ref="C34:H34">SUM(C35:C37)</f>
        <v>400</v>
      </c>
      <c r="D34" s="7">
        <f t="shared" si="9"/>
        <v>625</v>
      </c>
      <c r="E34" s="7">
        <f t="shared" si="9"/>
        <v>1000</v>
      </c>
      <c r="F34" s="7">
        <f t="shared" si="9"/>
        <v>0</v>
      </c>
      <c r="G34" s="7">
        <f t="shared" si="9"/>
        <v>0</v>
      </c>
      <c r="H34" s="7">
        <f t="shared" si="9"/>
        <v>2025</v>
      </c>
    </row>
    <row r="35" spans="1:8" ht="11.25">
      <c r="A35" s="4" t="s">
        <v>9</v>
      </c>
      <c r="B35" s="5">
        <v>0</v>
      </c>
      <c r="C35" s="5">
        <v>0</v>
      </c>
      <c r="D35" s="5">
        <v>625</v>
      </c>
      <c r="E35" s="5">
        <v>0</v>
      </c>
      <c r="F35" s="5">
        <v>0</v>
      </c>
      <c r="G35" s="5">
        <v>0</v>
      </c>
      <c r="H35" s="7">
        <f>SUM(B35:G35)</f>
        <v>625</v>
      </c>
    </row>
    <row r="36" spans="1:8" ht="11.25">
      <c r="A36" s="4" t="s">
        <v>21</v>
      </c>
      <c r="B36" s="5">
        <v>0</v>
      </c>
      <c r="C36" s="5">
        <v>0</v>
      </c>
      <c r="D36" s="5">
        <v>0</v>
      </c>
      <c r="E36" s="5">
        <v>1000</v>
      </c>
      <c r="F36" s="5">
        <v>0</v>
      </c>
      <c r="G36" s="5">
        <v>0</v>
      </c>
      <c r="H36" s="7">
        <f>SUM(B36:G36)</f>
        <v>1000</v>
      </c>
    </row>
    <row r="37" spans="1:8" ht="11.25">
      <c r="A37" s="4" t="s">
        <v>94</v>
      </c>
      <c r="B37" s="5">
        <v>0</v>
      </c>
      <c r="C37" s="5">
        <v>400</v>
      </c>
      <c r="D37" s="5">
        <v>0</v>
      </c>
      <c r="E37" s="5">
        <v>0</v>
      </c>
      <c r="F37" s="5">
        <v>0</v>
      </c>
      <c r="G37" s="5">
        <v>0</v>
      </c>
      <c r="H37" s="7">
        <f>SUM(B37:G37)</f>
        <v>400</v>
      </c>
    </row>
    <row r="38" spans="1:8" ht="11.25">
      <c r="A38" s="3" t="s">
        <v>47</v>
      </c>
      <c r="B38" s="7">
        <f>SUM(B39)</f>
        <v>0</v>
      </c>
      <c r="C38" s="7">
        <f aca="true" t="shared" si="10" ref="C38:H38">SUM(C39)</f>
        <v>0</v>
      </c>
      <c r="D38" s="7">
        <f t="shared" si="10"/>
        <v>0</v>
      </c>
      <c r="E38" s="7">
        <f t="shared" si="10"/>
        <v>0</v>
      </c>
      <c r="F38" s="7">
        <f t="shared" si="10"/>
        <v>0</v>
      </c>
      <c r="G38" s="7">
        <f t="shared" si="10"/>
        <v>0</v>
      </c>
      <c r="H38" s="7">
        <f t="shared" si="10"/>
        <v>0</v>
      </c>
    </row>
    <row r="39" spans="1:8" ht="11.25">
      <c r="A39" s="4" t="s">
        <v>17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7">
        <f>SUM(B39:G39)</f>
        <v>0</v>
      </c>
    </row>
    <row r="40" spans="1:8" ht="11.25">
      <c r="A40" s="3" t="s">
        <v>42</v>
      </c>
      <c r="B40" s="7">
        <f>SUM(B41:B43)</f>
        <v>6137.067499999999</v>
      </c>
      <c r="C40" s="7">
        <f aca="true" t="shared" si="11" ref="C40:H40">SUM(C41:C43)</f>
        <v>6302.415</v>
      </c>
      <c r="D40" s="7">
        <f t="shared" si="11"/>
        <v>7548.446666666667</v>
      </c>
      <c r="E40" s="7">
        <f t="shared" si="11"/>
        <v>11790.105</v>
      </c>
      <c r="F40" s="7">
        <f t="shared" si="11"/>
        <v>11774.02</v>
      </c>
      <c r="G40" s="7">
        <f t="shared" si="11"/>
        <v>9723.13</v>
      </c>
      <c r="H40" s="7">
        <f t="shared" si="11"/>
        <v>53275.18416666667</v>
      </c>
    </row>
    <row r="41" spans="1:8" ht="11.25">
      <c r="A41" s="4" t="s">
        <v>43</v>
      </c>
      <c r="B41" s="5">
        <v>378.44</v>
      </c>
      <c r="C41" s="5">
        <v>319.74</v>
      </c>
      <c r="D41" s="5">
        <v>289.94</v>
      </c>
      <c r="E41" s="5">
        <v>351.9</v>
      </c>
      <c r="F41" s="5">
        <v>320.46</v>
      </c>
      <c r="G41" s="5">
        <v>387.52</v>
      </c>
      <c r="H41" s="7">
        <f>SUM(B41:G41)</f>
        <v>2048</v>
      </c>
    </row>
    <row r="42" spans="1:8" ht="11.25">
      <c r="A42" s="4" t="s">
        <v>44</v>
      </c>
      <c r="B42" s="12">
        <f>198.75/4</f>
        <v>49.6875</v>
      </c>
      <c r="C42" s="12">
        <f>200.98/4</f>
        <v>50.245</v>
      </c>
      <c r="D42" s="12">
        <f>320.38/6</f>
        <v>53.39666666666667</v>
      </c>
      <c r="E42" s="12">
        <f>201.45/6</f>
        <v>33.574999999999996</v>
      </c>
      <c r="F42" s="12">
        <f>180.1/5</f>
        <v>36.019999999999996</v>
      </c>
      <c r="G42" s="12">
        <v>32.46</v>
      </c>
      <c r="H42" s="7">
        <f>SUM(B42:G42)</f>
        <v>255.3841666666667</v>
      </c>
    </row>
    <row r="43" spans="1:8" ht="11.25">
      <c r="A43" s="4" t="s">
        <v>95</v>
      </c>
      <c r="B43" s="4">
        <v>5708.94</v>
      </c>
      <c r="C43" s="4">
        <v>5932.43</v>
      </c>
      <c r="D43" s="4">
        <v>7205.11</v>
      </c>
      <c r="E43" s="4">
        <v>11404.63</v>
      </c>
      <c r="F43" s="4">
        <v>11417.54</v>
      </c>
      <c r="G43" s="4">
        <v>9303.15</v>
      </c>
      <c r="H43" s="7">
        <f>SUM(B43:G43)</f>
        <v>50971.8</v>
      </c>
    </row>
    <row r="44" spans="1:8" ht="11.25">
      <c r="A44" s="3" t="s">
        <v>75</v>
      </c>
      <c r="B44" s="7">
        <f aca="true" t="shared" si="12" ref="B44:G44">946.6*5</f>
        <v>4733</v>
      </c>
      <c r="C44" s="7">
        <f t="shared" si="12"/>
        <v>4733</v>
      </c>
      <c r="D44" s="7">
        <f t="shared" si="12"/>
        <v>4733</v>
      </c>
      <c r="E44" s="7">
        <f t="shared" si="12"/>
        <v>4733</v>
      </c>
      <c r="F44" s="7">
        <f t="shared" si="12"/>
        <v>4733</v>
      </c>
      <c r="G44" s="7">
        <f t="shared" si="12"/>
        <v>4733</v>
      </c>
      <c r="H44" s="7"/>
    </row>
    <row r="45" spans="1:8" ht="11.25">
      <c r="A45" s="3" t="s">
        <v>96</v>
      </c>
      <c r="B45" s="7">
        <f>SUM(B46:B58)</f>
        <v>4733</v>
      </c>
      <c r="C45" s="7">
        <f aca="true" t="shared" si="13" ref="C45:H45">SUM(C46:C58)</f>
        <v>4733</v>
      </c>
      <c r="D45" s="7">
        <f t="shared" si="13"/>
        <v>4733</v>
      </c>
      <c r="E45" s="7">
        <f t="shared" si="13"/>
        <v>4733</v>
      </c>
      <c r="F45" s="7">
        <f t="shared" si="13"/>
        <v>4733</v>
      </c>
      <c r="G45" s="7">
        <f t="shared" si="13"/>
        <v>4733</v>
      </c>
      <c r="H45" s="7">
        <f t="shared" si="13"/>
        <v>28397.999999999996</v>
      </c>
    </row>
    <row r="46" spans="1:8" ht="11.25">
      <c r="A46" s="4" t="s">
        <v>50</v>
      </c>
      <c r="B46" s="5">
        <v>407.04</v>
      </c>
      <c r="C46" s="5">
        <v>407.04</v>
      </c>
      <c r="D46" s="5">
        <v>407.04</v>
      </c>
      <c r="E46" s="5">
        <v>407.04</v>
      </c>
      <c r="F46" s="5">
        <v>407.04</v>
      </c>
      <c r="G46" s="5">
        <v>407.04</v>
      </c>
      <c r="H46" s="7">
        <f aca="true" t="shared" si="14" ref="H46:H58">SUM(B46:G46)</f>
        <v>2442.2400000000002</v>
      </c>
    </row>
    <row r="47" spans="1:8" ht="11.25">
      <c r="A47" s="4" t="s">
        <v>49</v>
      </c>
      <c r="B47" s="5">
        <v>420</v>
      </c>
      <c r="C47" s="5">
        <v>420</v>
      </c>
      <c r="D47" s="5">
        <v>420</v>
      </c>
      <c r="E47" s="5">
        <v>420</v>
      </c>
      <c r="F47" s="5">
        <v>420</v>
      </c>
      <c r="G47" s="5">
        <v>420</v>
      </c>
      <c r="H47" s="7">
        <f t="shared" si="14"/>
        <v>2520</v>
      </c>
    </row>
    <row r="48" spans="1:8" ht="11.25">
      <c r="A48" s="4" t="s">
        <v>35</v>
      </c>
      <c r="B48" s="5">
        <v>75</v>
      </c>
      <c r="C48" s="5">
        <v>75</v>
      </c>
      <c r="D48" s="5">
        <v>75</v>
      </c>
      <c r="E48" s="5">
        <v>75</v>
      </c>
      <c r="F48" s="5">
        <v>75</v>
      </c>
      <c r="G48" s="5">
        <v>75</v>
      </c>
      <c r="H48" s="7">
        <f t="shared" si="14"/>
        <v>450</v>
      </c>
    </row>
    <row r="49" spans="1:8" ht="11.25">
      <c r="A49" s="4" t="s">
        <v>62</v>
      </c>
      <c r="B49" s="5">
        <v>58.7</v>
      </c>
      <c r="C49" s="5">
        <v>58.7</v>
      </c>
      <c r="D49" s="5">
        <v>58.7</v>
      </c>
      <c r="E49" s="5">
        <v>58.7</v>
      </c>
      <c r="F49" s="5">
        <v>58.7</v>
      </c>
      <c r="G49" s="5">
        <v>58.7</v>
      </c>
      <c r="H49" s="7">
        <f t="shared" si="14"/>
        <v>352.2</v>
      </c>
    </row>
    <row r="50" spans="1:8" ht="11.25">
      <c r="A50" s="4" t="s">
        <v>67</v>
      </c>
      <c r="B50" s="5">
        <v>125</v>
      </c>
      <c r="C50" s="5">
        <v>125</v>
      </c>
      <c r="D50" s="5">
        <v>125</v>
      </c>
      <c r="E50" s="5">
        <v>125</v>
      </c>
      <c r="F50" s="5">
        <v>125</v>
      </c>
      <c r="G50" s="5">
        <v>125</v>
      </c>
      <c r="H50" s="7">
        <f t="shared" si="14"/>
        <v>750</v>
      </c>
    </row>
    <row r="51" spans="1:8" ht="11.25">
      <c r="A51" s="4" t="s">
        <v>51</v>
      </c>
      <c r="B51" s="5">
        <v>85</v>
      </c>
      <c r="C51" s="5">
        <v>85</v>
      </c>
      <c r="D51" s="5">
        <v>85</v>
      </c>
      <c r="E51" s="5">
        <v>85</v>
      </c>
      <c r="F51" s="5">
        <v>85</v>
      </c>
      <c r="G51" s="5">
        <v>85</v>
      </c>
      <c r="H51" s="7">
        <f t="shared" si="14"/>
        <v>510</v>
      </c>
    </row>
    <row r="52" spans="1:8" ht="11.25">
      <c r="A52" s="4" t="s">
        <v>52</v>
      </c>
      <c r="B52" s="5">
        <v>350</v>
      </c>
      <c r="C52" s="5">
        <v>350</v>
      </c>
      <c r="D52" s="5">
        <v>350</v>
      </c>
      <c r="E52" s="5">
        <v>350</v>
      </c>
      <c r="F52" s="5">
        <v>350</v>
      </c>
      <c r="G52" s="5">
        <v>350</v>
      </c>
      <c r="H52" s="7">
        <f t="shared" si="14"/>
        <v>2100</v>
      </c>
    </row>
    <row r="53" spans="1:8" ht="11.25">
      <c r="A53" s="4" t="s">
        <v>14</v>
      </c>
      <c r="B53" s="5">
        <v>883.08</v>
      </c>
      <c r="C53" s="5">
        <v>883.08</v>
      </c>
      <c r="D53" s="5">
        <v>883.08</v>
      </c>
      <c r="E53" s="5">
        <v>883.08</v>
      </c>
      <c r="F53" s="5">
        <v>883.08</v>
      </c>
      <c r="G53" s="5">
        <v>883.08</v>
      </c>
      <c r="H53" s="7">
        <f t="shared" si="14"/>
        <v>5298.4800000000005</v>
      </c>
    </row>
    <row r="54" spans="1:8" ht="11.25">
      <c r="A54" s="4" t="s">
        <v>70</v>
      </c>
      <c r="B54" s="5">
        <v>150</v>
      </c>
      <c r="C54" s="5">
        <v>150</v>
      </c>
      <c r="D54" s="5">
        <v>150</v>
      </c>
      <c r="E54" s="5">
        <v>150</v>
      </c>
      <c r="F54" s="5">
        <v>150</v>
      </c>
      <c r="G54" s="5">
        <v>150</v>
      </c>
      <c r="H54" s="7">
        <f t="shared" si="14"/>
        <v>900</v>
      </c>
    </row>
    <row r="55" spans="1:8" ht="11.25">
      <c r="A55" s="4" t="s">
        <v>65</v>
      </c>
      <c r="B55" s="5">
        <v>150</v>
      </c>
      <c r="C55" s="5">
        <v>150</v>
      </c>
      <c r="D55" s="5">
        <v>150</v>
      </c>
      <c r="E55" s="5">
        <v>150</v>
      </c>
      <c r="F55" s="5">
        <v>150</v>
      </c>
      <c r="G55" s="5">
        <v>150</v>
      </c>
      <c r="H55" s="7">
        <f t="shared" si="14"/>
        <v>900</v>
      </c>
    </row>
    <row r="56" spans="1:8" ht="11.25">
      <c r="A56" s="4" t="s">
        <v>66</v>
      </c>
      <c r="B56" s="5">
        <f aca="true" t="shared" si="15" ref="B56:G56">250/2</f>
        <v>125</v>
      </c>
      <c r="C56" s="5">
        <f t="shared" si="15"/>
        <v>125</v>
      </c>
      <c r="D56" s="5">
        <f t="shared" si="15"/>
        <v>125</v>
      </c>
      <c r="E56" s="5">
        <f t="shared" si="15"/>
        <v>125</v>
      </c>
      <c r="F56" s="5">
        <f t="shared" si="15"/>
        <v>125</v>
      </c>
      <c r="G56" s="5">
        <f t="shared" si="15"/>
        <v>125</v>
      </c>
      <c r="H56" s="7">
        <f t="shared" si="14"/>
        <v>750</v>
      </c>
    </row>
    <row r="57" spans="1:8" ht="11.25">
      <c r="A57" s="4" t="s">
        <v>53</v>
      </c>
      <c r="B57" s="5">
        <v>1635.47</v>
      </c>
      <c r="C57" s="5">
        <v>1635.47</v>
      </c>
      <c r="D57" s="5">
        <v>1635.47</v>
      </c>
      <c r="E57" s="5">
        <v>1635.47</v>
      </c>
      <c r="F57" s="5">
        <v>1635.47</v>
      </c>
      <c r="G57" s="5">
        <v>1635.47</v>
      </c>
      <c r="H57" s="7">
        <f t="shared" si="14"/>
        <v>9812.82</v>
      </c>
    </row>
    <row r="58" spans="1:8" ht="11.25">
      <c r="A58" s="4" t="s">
        <v>36</v>
      </c>
      <c r="B58" s="5">
        <v>268.71</v>
      </c>
      <c r="C58" s="5">
        <v>268.71</v>
      </c>
      <c r="D58" s="5">
        <v>268.71</v>
      </c>
      <c r="E58" s="5">
        <v>268.71</v>
      </c>
      <c r="F58" s="5">
        <v>268.71</v>
      </c>
      <c r="G58" s="5">
        <v>268.71</v>
      </c>
      <c r="H58" s="7">
        <f t="shared" si="14"/>
        <v>1612.26</v>
      </c>
    </row>
    <row r="59" spans="1:8" ht="11.25">
      <c r="A59" s="3" t="s">
        <v>15</v>
      </c>
      <c r="B59" s="7">
        <f aca="true" t="shared" si="16" ref="B59:G59">B4+B11+B18+B25+B30+B34+B38+B40+B45</f>
        <v>23938.8169196</v>
      </c>
      <c r="C59" s="7">
        <f t="shared" si="16"/>
        <v>24744.162500000002</v>
      </c>
      <c r="D59" s="7">
        <f t="shared" si="16"/>
        <v>26455.194166666668</v>
      </c>
      <c r="E59" s="7">
        <f t="shared" si="16"/>
        <v>30591.8525</v>
      </c>
      <c r="F59" s="7">
        <f t="shared" si="16"/>
        <v>30968.7675</v>
      </c>
      <c r="G59" s="7">
        <f t="shared" si="16"/>
        <v>31024.877500000002</v>
      </c>
      <c r="H59" s="7">
        <f>SUM(H3:H58)</f>
        <v>335447.34217253333</v>
      </c>
    </row>
    <row r="61" spans="1:8" ht="11.25">
      <c r="A61" s="4" t="s">
        <v>82</v>
      </c>
      <c r="B61" s="5">
        <v>31865.27</v>
      </c>
      <c r="C61" s="5">
        <v>32088.76</v>
      </c>
      <c r="D61" s="5">
        <v>32644.83</v>
      </c>
      <c r="E61" s="5">
        <v>37002.71</v>
      </c>
      <c r="F61" s="5">
        <v>37015.62</v>
      </c>
      <c r="G61" s="5">
        <v>31611.01</v>
      </c>
      <c r="H61" s="5">
        <f>SUM(B61:G61)</f>
        <v>202228.2</v>
      </c>
    </row>
    <row r="62" spans="1:8" ht="11.25">
      <c r="A62" s="4" t="s">
        <v>83</v>
      </c>
      <c r="B62" s="5">
        <v>25030.04</v>
      </c>
      <c r="C62" s="5">
        <v>51777</v>
      </c>
      <c r="D62" s="5">
        <v>21737</v>
      </c>
      <c r="E62" s="5">
        <v>39808</v>
      </c>
      <c r="F62" s="5">
        <v>35061</v>
      </c>
      <c r="G62" s="5">
        <v>32675</v>
      </c>
      <c r="H62" s="5">
        <f>SUM(B62:G62)</f>
        <v>206088.04</v>
      </c>
    </row>
    <row r="63" spans="1:8" ht="11.25">
      <c r="A63" s="4" t="s">
        <v>84</v>
      </c>
      <c r="B63" s="4">
        <v>87.54</v>
      </c>
      <c r="C63" s="4">
        <v>86.47</v>
      </c>
      <c r="D63" s="4">
        <v>88.32</v>
      </c>
      <c r="E63" s="4">
        <v>88.68</v>
      </c>
      <c r="F63" s="4">
        <v>88.66</v>
      </c>
      <c r="G63" s="4">
        <v>84.83</v>
      </c>
      <c r="H63" s="4"/>
    </row>
    <row r="64" spans="1:8" ht="11.25">
      <c r="A64" s="8" t="s">
        <v>85</v>
      </c>
      <c r="B64" s="5">
        <f aca="true" t="shared" si="17" ref="B64:G64">B59</f>
        <v>23938.8169196</v>
      </c>
      <c r="C64" s="5">
        <f t="shared" si="17"/>
        <v>24744.162500000002</v>
      </c>
      <c r="D64" s="5">
        <f t="shared" si="17"/>
        <v>26455.194166666668</v>
      </c>
      <c r="E64" s="5">
        <f t="shared" si="17"/>
        <v>30591.8525</v>
      </c>
      <c r="F64" s="5">
        <f t="shared" si="17"/>
        <v>30968.7675</v>
      </c>
      <c r="G64" s="5">
        <f t="shared" si="17"/>
        <v>31024.877500000002</v>
      </c>
      <c r="H64" s="5">
        <f>SUM(B64:G64)</f>
        <v>167723.6710862667</v>
      </c>
    </row>
    <row r="65" spans="1:8" ht="11.25">
      <c r="A65" s="4" t="s">
        <v>86</v>
      </c>
      <c r="B65" s="13"/>
      <c r="C65" s="11"/>
      <c r="D65" s="11"/>
      <c r="E65" s="11"/>
      <c r="F65" s="11"/>
      <c r="G65" s="11"/>
      <c r="H65" s="5">
        <v>-132452.15</v>
      </c>
    </row>
    <row r="66" spans="1:8" ht="11.25">
      <c r="A66" s="4" t="s">
        <v>87</v>
      </c>
      <c r="H66" s="5">
        <f>H62-H64</f>
        <v>38364.36891373331</v>
      </c>
    </row>
    <row r="67" spans="1:8" ht="11.25">
      <c r="A67" s="4" t="s">
        <v>88</v>
      </c>
      <c r="B67" s="13"/>
      <c r="C67" s="11"/>
      <c r="D67" s="11"/>
      <c r="E67" s="11"/>
      <c r="F67" s="11"/>
      <c r="G67" s="11"/>
      <c r="H67" s="5">
        <f>H65+H66</f>
        <v>-94087.78108626668</v>
      </c>
    </row>
    <row r="68" spans="2:7" ht="11.25">
      <c r="B68" s="6"/>
      <c r="C68" s="6"/>
      <c r="D68" s="6"/>
      <c r="E68" s="6"/>
      <c r="F68" s="6"/>
      <c r="G68" s="6"/>
    </row>
    <row r="69" spans="2:7" ht="11.25">
      <c r="B69" s="6"/>
      <c r="C69" s="6"/>
      <c r="D69" s="6"/>
      <c r="E69" s="6"/>
      <c r="F69" s="6"/>
      <c r="G69" s="6"/>
    </row>
    <row r="70" spans="2:7" ht="11.25">
      <c r="B70" s="6"/>
      <c r="C70" s="6"/>
      <c r="D70" s="6"/>
      <c r="E70" s="6"/>
      <c r="F70" s="6"/>
      <c r="G70" s="6"/>
    </row>
  </sheetData>
  <printOptions/>
  <pageMargins left="0.75" right="0.17" top="0.6" bottom="0.5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pane ySplit="2" topLeftCell="BM3" activePane="bottomLeft" state="frozen"/>
      <selection pane="topLeft" activeCell="A1" sqref="A1"/>
      <selection pane="bottomLeft" activeCell="V30" sqref="V30"/>
    </sheetView>
  </sheetViews>
  <sheetFormatPr defaultColWidth="9.00390625" defaultRowHeight="12.75"/>
  <cols>
    <col min="1" max="1" width="31.25390625" style="2" customWidth="1"/>
    <col min="2" max="17" width="8.875" style="2" customWidth="1"/>
    <col min="18" max="18" width="9.75390625" style="2" customWidth="1"/>
    <col min="19" max="16384" width="9.125" style="2" customWidth="1"/>
  </cols>
  <sheetData>
    <row r="1" spans="1:18" ht="11.25">
      <c r="A1" s="1" t="s">
        <v>90</v>
      </c>
      <c r="B1" s="1"/>
      <c r="C1" s="1"/>
      <c r="D1" s="1"/>
      <c r="E1" s="1"/>
      <c r="F1" s="1" t="s">
        <v>147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>
      <c r="A2" s="3"/>
      <c r="B2" s="3" t="s">
        <v>148</v>
      </c>
      <c r="C2" s="3" t="s">
        <v>149</v>
      </c>
      <c r="D2" s="3" t="s">
        <v>123</v>
      </c>
      <c r="E2" s="3" t="s">
        <v>124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150</v>
      </c>
      <c r="M2" s="3" t="s">
        <v>151</v>
      </c>
      <c r="N2" s="3" t="s">
        <v>148</v>
      </c>
      <c r="O2" s="3" t="s">
        <v>149</v>
      </c>
      <c r="P2" s="3" t="s">
        <v>123</v>
      </c>
      <c r="Q2" s="3" t="s">
        <v>124</v>
      </c>
      <c r="R2" s="3" t="s">
        <v>16</v>
      </c>
    </row>
    <row r="3" spans="1:18" ht="11.25">
      <c r="A3" s="3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18" ht="11.25">
      <c r="A4" s="3" t="s">
        <v>26</v>
      </c>
      <c r="B4" s="7">
        <f>SUM(B5:B10)</f>
        <v>4140</v>
      </c>
      <c r="C4" s="7">
        <f aca="true" t="shared" si="0" ref="C4:Q4">SUM(C5:C10)</f>
        <v>3090</v>
      </c>
      <c r="D4" s="7">
        <f t="shared" si="0"/>
        <v>3070</v>
      </c>
      <c r="E4" s="7">
        <f t="shared" si="0"/>
        <v>2770</v>
      </c>
      <c r="F4" s="7">
        <f t="shared" si="0"/>
        <v>5020</v>
      </c>
      <c r="G4" s="7">
        <f t="shared" si="0"/>
        <v>2770</v>
      </c>
      <c r="H4" s="7">
        <f t="shared" si="0"/>
        <v>2770</v>
      </c>
      <c r="I4" s="7">
        <f t="shared" si="0"/>
        <v>2770</v>
      </c>
      <c r="J4" s="7">
        <f t="shared" si="0"/>
        <v>2770</v>
      </c>
      <c r="K4" s="7">
        <f t="shared" si="0"/>
        <v>2770</v>
      </c>
      <c r="L4" s="7">
        <f t="shared" si="0"/>
        <v>2770</v>
      </c>
      <c r="M4" s="7">
        <f t="shared" si="0"/>
        <v>2770</v>
      </c>
      <c r="N4" s="7">
        <f t="shared" si="0"/>
        <v>3035</v>
      </c>
      <c r="O4" s="7">
        <f t="shared" si="0"/>
        <v>2760</v>
      </c>
      <c r="P4" s="7">
        <f t="shared" si="0"/>
        <v>2760</v>
      </c>
      <c r="Q4" s="7">
        <f t="shared" si="0"/>
        <v>3010</v>
      </c>
      <c r="R4" s="7">
        <f>SUM(R5:R10)</f>
        <v>49045</v>
      </c>
    </row>
    <row r="5" spans="1:18" ht="11.25">
      <c r="A5" s="4" t="s">
        <v>27</v>
      </c>
      <c r="B5" s="5">
        <v>1650</v>
      </c>
      <c r="C5" s="5">
        <v>1650</v>
      </c>
      <c r="D5" s="5">
        <v>1650</v>
      </c>
      <c r="E5" s="5">
        <v>1650</v>
      </c>
      <c r="F5" s="5">
        <v>1650</v>
      </c>
      <c r="G5" s="5">
        <v>1650</v>
      </c>
      <c r="H5" s="5">
        <v>1650</v>
      </c>
      <c r="I5" s="5">
        <v>1650</v>
      </c>
      <c r="J5" s="5">
        <v>1650</v>
      </c>
      <c r="K5" s="5">
        <v>1650</v>
      </c>
      <c r="L5" s="5">
        <v>1650</v>
      </c>
      <c r="M5" s="5">
        <v>1650</v>
      </c>
      <c r="N5" s="5">
        <v>1650</v>
      </c>
      <c r="O5" s="5">
        <v>1650</v>
      </c>
      <c r="P5" s="5">
        <v>1650</v>
      </c>
      <c r="Q5" s="5">
        <v>1650</v>
      </c>
      <c r="R5" s="7">
        <f aca="true" t="shared" si="1" ref="R5:R10">SUM(B5:Q5)</f>
        <v>26400</v>
      </c>
    </row>
    <row r="6" spans="1:18" ht="11.25">
      <c r="A6" s="4" t="s">
        <v>30</v>
      </c>
      <c r="B6" s="5">
        <v>750</v>
      </c>
      <c r="C6" s="5">
        <v>750</v>
      </c>
      <c r="D6" s="5">
        <v>750</v>
      </c>
      <c r="E6" s="5">
        <v>750</v>
      </c>
      <c r="F6" s="5">
        <v>750</v>
      </c>
      <c r="G6" s="5">
        <v>750</v>
      </c>
      <c r="H6" s="5">
        <v>750</v>
      </c>
      <c r="I6" s="5">
        <v>750</v>
      </c>
      <c r="J6" s="5">
        <v>750</v>
      </c>
      <c r="K6" s="5">
        <v>750</v>
      </c>
      <c r="L6" s="5">
        <v>750</v>
      </c>
      <c r="M6" s="5">
        <v>750</v>
      </c>
      <c r="N6" s="5">
        <v>750</v>
      </c>
      <c r="O6" s="5">
        <v>750</v>
      </c>
      <c r="P6" s="5">
        <v>750</v>
      </c>
      <c r="Q6" s="5">
        <v>750</v>
      </c>
      <c r="R6" s="7">
        <f t="shared" si="1"/>
        <v>12000</v>
      </c>
    </row>
    <row r="7" spans="1:18" ht="11.25">
      <c r="A7" s="4" t="s">
        <v>31</v>
      </c>
      <c r="B7" s="5">
        <v>250</v>
      </c>
      <c r="C7" s="5">
        <v>250</v>
      </c>
      <c r="D7" s="5">
        <v>250</v>
      </c>
      <c r="E7" s="5">
        <v>250</v>
      </c>
      <c r="F7" s="5">
        <v>250</v>
      </c>
      <c r="G7" s="5">
        <v>250</v>
      </c>
      <c r="H7" s="5">
        <v>250</v>
      </c>
      <c r="I7" s="5">
        <v>250</v>
      </c>
      <c r="J7" s="5">
        <v>250</v>
      </c>
      <c r="K7" s="5">
        <v>250</v>
      </c>
      <c r="L7" s="5">
        <v>250</v>
      </c>
      <c r="M7" s="5">
        <v>250</v>
      </c>
      <c r="N7" s="5">
        <v>250</v>
      </c>
      <c r="O7" s="5">
        <v>250</v>
      </c>
      <c r="P7" s="5">
        <v>250</v>
      </c>
      <c r="Q7" s="5">
        <v>250</v>
      </c>
      <c r="R7" s="7">
        <f t="shared" si="1"/>
        <v>4000</v>
      </c>
    </row>
    <row r="8" spans="1:18" ht="11.25">
      <c r="A8" s="4" t="s">
        <v>54</v>
      </c>
      <c r="B8" s="5">
        <v>120</v>
      </c>
      <c r="C8" s="5">
        <v>120</v>
      </c>
      <c r="D8" s="5">
        <v>120</v>
      </c>
      <c r="E8" s="5">
        <v>120</v>
      </c>
      <c r="F8" s="5">
        <v>120</v>
      </c>
      <c r="G8" s="5">
        <v>120</v>
      </c>
      <c r="H8" s="5">
        <v>120</v>
      </c>
      <c r="I8" s="5">
        <v>120</v>
      </c>
      <c r="J8" s="5">
        <v>120</v>
      </c>
      <c r="K8" s="5">
        <v>120</v>
      </c>
      <c r="L8" s="5">
        <v>120</v>
      </c>
      <c r="M8" s="5">
        <v>120</v>
      </c>
      <c r="N8" s="5">
        <v>110</v>
      </c>
      <c r="O8" s="5">
        <v>110</v>
      </c>
      <c r="P8" s="5">
        <v>110</v>
      </c>
      <c r="Q8" s="5">
        <v>110</v>
      </c>
      <c r="R8" s="7">
        <f t="shared" si="1"/>
        <v>1880</v>
      </c>
    </row>
    <row r="9" spans="1:18" ht="11.25">
      <c r="A9" s="4" t="s">
        <v>10</v>
      </c>
      <c r="B9" s="5">
        <f>1370-600</f>
        <v>770</v>
      </c>
      <c r="C9" s="5">
        <v>320</v>
      </c>
      <c r="D9" s="5">
        <v>300</v>
      </c>
      <c r="E9" s="5">
        <v>0</v>
      </c>
      <c r="F9" s="5">
        <v>2250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275</v>
      </c>
      <c r="O9" s="5">
        <v>0</v>
      </c>
      <c r="P9" s="5">
        <v>0</v>
      </c>
      <c r="Q9" s="5">
        <v>250</v>
      </c>
      <c r="R9" s="7">
        <f t="shared" si="1"/>
        <v>4165</v>
      </c>
    </row>
    <row r="10" spans="1:18" ht="11.25">
      <c r="A10" s="4" t="s">
        <v>11</v>
      </c>
      <c r="B10" s="5">
        <v>600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7">
        <f t="shared" si="1"/>
        <v>600</v>
      </c>
    </row>
    <row r="11" spans="1:18" ht="11.25">
      <c r="A11" s="3" t="s">
        <v>28</v>
      </c>
      <c r="B11" s="7">
        <f aca="true" t="shared" si="2" ref="B11:P11">SUM(B12:B17)</f>
        <v>2245</v>
      </c>
      <c r="C11" s="7">
        <f t="shared" si="2"/>
        <v>2245</v>
      </c>
      <c r="D11" s="7">
        <f t="shared" si="2"/>
        <v>2540</v>
      </c>
      <c r="E11" s="7">
        <f t="shared" si="2"/>
        <v>2285</v>
      </c>
      <c r="F11" s="7">
        <f t="shared" si="2"/>
        <v>2245</v>
      </c>
      <c r="G11" s="7">
        <f t="shared" si="2"/>
        <v>2245</v>
      </c>
      <c r="H11" s="7">
        <f t="shared" si="2"/>
        <v>2245</v>
      </c>
      <c r="I11" s="7">
        <f t="shared" si="2"/>
        <v>3245</v>
      </c>
      <c r="J11" s="7">
        <f t="shared" si="2"/>
        <v>2565</v>
      </c>
      <c r="K11" s="7">
        <f t="shared" si="2"/>
        <v>2245</v>
      </c>
      <c r="L11" s="7">
        <f t="shared" si="2"/>
        <v>2531</v>
      </c>
      <c r="M11" s="7">
        <f t="shared" si="2"/>
        <v>2245</v>
      </c>
      <c r="N11" s="7">
        <f t="shared" si="2"/>
        <v>2860</v>
      </c>
      <c r="O11" s="7">
        <f t="shared" si="2"/>
        <v>2230</v>
      </c>
      <c r="P11" s="7">
        <f t="shared" si="2"/>
        <v>2230</v>
      </c>
      <c r="Q11" s="7">
        <f>SUM(Q12:Q17)</f>
        <v>2680</v>
      </c>
      <c r="R11" s="7">
        <f>SUM(R12:R17)</f>
        <v>38881</v>
      </c>
    </row>
    <row r="12" spans="1:18" ht="11.25">
      <c r="A12" s="4" t="s">
        <v>29</v>
      </c>
      <c r="B12" s="5">
        <v>1650</v>
      </c>
      <c r="C12" s="5">
        <v>1650</v>
      </c>
      <c r="D12" s="5">
        <v>1650</v>
      </c>
      <c r="E12" s="5">
        <v>1650</v>
      </c>
      <c r="F12" s="5">
        <v>1650</v>
      </c>
      <c r="G12" s="5">
        <v>1650</v>
      </c>
      <c r="H12" s="5">
        <v>1650</v>
      </c>
      <c r="I12" s="5">
        <v>1650</v>
      </c>
      <c r="J12" s="5">
        <v>1650</v>
      </c>
      <c r="K12" s="5">
        <v>1650</v>
      </c>
      <c r="L12" s="5">
        <v>1650</v>
      </c>
      <c r="M12" s="5">
        <v>1650</v>
      </c>
      <c r="N12" s="5">
        <v>1650</v>
      </c>
      <c r="O12" s="5">
        <v>1650</v>
      </c>
      <c r="P12" s="5">
        <v>1650</v>
      </c>
      <c r="Q12" s="5">
        <v>1650</v>
      </c>
      <c r="R12" s="7">
        <f aca="true" t="shared" si="3" ref="R12:R17">SUM(B12:Q12)</f>
        <v>26400</v>
      </c>
    </row>
    <row r="13" spans="1:18" ht="11.25">
      <c r="A13" s="4" t="s">
        <v>30</v>
      </c>
      <c r="B13" s="5">
        <v>500</v>
      </c>
      <c r="C13" s="5">
        <v>500</v>
      </c>
      <c r="D13" s="5">
        <v>500</v>
      </c>
      <c r="E13" s="5">
        <v>500</v>
      </c>
      <c r="F13" s="5">
        <v>500</v>
      </c>
      <c r="G13" s="5">
        <v>500</v>
      </c>
      <c r="H13" s="5">
        <v>500</v>
      </c>
      <c r="I13" s="5">
        <v>500</v>
      </c>
      <c r="J13" s="5">
        <v>500</v>
      </c>
      <c r="K13" s="5">
        <v>500</v>
      </c>
      <c r="L13" s="5">
        <v>500</v>
      </c>
      <c r="M13" s="5">
        <v>500</v>
      </c>
      <c r="N13" s="5">
        <v>500</v>
      </c>
      <c r="O13" s="5">
        <v>500</v>
      </c>
      <c r="P13" s="5">
        <v>500</v>
      </c>
      <c r="Q13" s="5">
        <v>500</v>
      </c>
      <c r="R13" s="7">
        <f t="shared" si="3"/>
        <v>8000</v>
      </c>
    </row>
    <row r="14" spans="1:1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7">
        <f t="shared" si="3"/>
        <v>0</v>
      </c>
    </row>
    <row r="15" spans="1:18" ht="11.25">
      <c r="A15" s="4" t="s">
        <v>54</v>
      </c>
      <c r="B15" s="5">
        <v>95</v>
      </c>
      <c r="C15" s="5">
        <v>95</v>
      </c>
      <c r="D15" s="5">
        <v>95</v>
      </c>
      <c r="E15" s="5">
        <v>95</v>
      </c>
      <c r="F15" s="5">
        <v>95</v>
      </c>
      <c r="G15" s="5">
        <v>95</v>
      </c>
      <c r="H15" s="5">
        <v>95</v>
      </c>
      <c r="I15" s="5">
        <v>95</v>
      </c>
      <c r="J15" s="5">
        <v>95</v>
      </c>
      <c r="K15" s="5">
        <v>95</v>
      </c>
      <c r="L15" s="5">
        <v>95</v>
      </c>
      <c r="M15" s="5">
        <v>95</v>
      </c>
      <c r="N15" s="5">
        <v>80</v>
      </c>
      <c r="O15" s="5">
        <v>80</v>
      </c>
      <c r="P15" s="5">
        <v>80</v>
      </c>
      <c r="Q15" s="5">
        <v>80</v>
      </c>
      <c r="R15" s="7">
        <f t="shared" si="3"/>
        <v>1460</v>
      </c>
    </row>
    <row r="16" spans="1:18" ht="11.25">
      <c r="A16" s="4" t="s">
        <v>12</v>
      </c>
      <c r="B16" s="5">
        <v>0</v>
      </c>
      <c r="C16" s="5">
        <v>0</v>
      </c>
      <c r="D16" s="5">
        <f>250+45</f>
        <v>295</v>
      </c>
      <c r="E16" s="5">
        <v>40</v>
      </c>
      <c r="F16" s="5">
        <v>0</v>
      </c>
      <c r="G16" s="5">
        <v>0</v>
      </c>
      <c r="H16" s="5">
        <v>0</v>
      </c>
      <c r="I16" s="5">
        <v>0</v>
      </c>
      <c r="J16" s="5">
        <v>320</v>
      </c>
      <c r="K16" s="5">
        <v>0</v>
      </c>
      <c r="L16" s="5">
        <v>286</v>
      </c>
      <c r="M16" s="5">
        <v>0</v>
      </c>
      <c r="N16" s="5">
        <f>60+320+250</f>
        <v>630</v>
      </c>
      <c r="O16" s="5">
        <v>0</v>
      </c>
      <c r="P16" s="5">
        <v>0</v>
      </c>
      <c r="Q16" s="5">
        <f>250+200</f>
        <v>450</v>
      </c>
      <c r="R16" s="7">
        <f t="shared" si="3"/>
        <v>2021</v>
      </c>
    </row>
    <row r="17" spans="1:18" ht="11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1000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7">
        <f t="shared" si="3"/>
        <v>1000</v>
      </c>
    </row>
    <row r="18" spans="1:18" ht="11.25">
      <c r="A18" s="3" t="s">
        <v>40</v>
      </c>
      <c r="B18" s="7">
        <f>SUM(B19:B26)</f>
        <v>0</v>
      </c>
      <c r="C18" s="7">
        <f aca="true" t="shared" si="4" ref="C18:R18">SUM(C19:C26)</f>
        <v>0</v>
      </c>
      <c r="D18" s="7">
        <f t="shared" si="4"/>
        <v>0</v>
      </c>
      <c r="E18" s="7">
        <f t="shared" si="4"/>
        <v>500</v>
      </c>
      <c r="F18" s="7">
        <f t="shared" si="4"/>
        <v>7468</v>
      </c>
      <c r="G18" s="7">
        <f t="shared" si="4"/>
        <v>24488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0</v>
      </c>
      <c r="N18" s="7">
        <f t="shared" si="4"/>
        <v>0</v>
      </c>
      <c r="O18" s="7">
        <f t="shared" si="4"/>
        <v>0</v>
      </c>
      <c r="P18" s="7">
        <f t="shared" si="4"/>
        <v>0</v>
      </c>
      <c r="Q18" s="7">
        <f t="shared" si="4"/>
        <v>10000</v>
      </c>
      <c r="R18" s="7">
        <f t="shared" si="4"/>
        <v>42456</v>
      </c>
    </row>
    <row r="19" spans="1:18" ht="11.25">
      <c r="A19" s="4" t="s">
        <v>99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f>22000+2488</f>
        <v>24488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7">
        <f>SUM(B19:Q19)</f>
        <v>24488</v>
      </c>
    </row>
    <row r="20" spans="1:18" ht="11.25">
      <c r="A20" s="4" t="s">
        <v>91</v>
      </c>
      <c r="B20" s="5">
        <v>0</v>
      </c>
      <c r="C20" s="5">
        <v>0</v>
      </c>
      <c r="D20" s="5">
        <v>0</v>
      </c>
      <c r="E20" s="5">
        <v>0</v>
      </c>
      <c r="F20" s="5">
        <v>468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7">
        <f aca="true" t="shared" si="5" ref="R20:R26">SUM(B20:Q20)</f>
        <v>468</v>
      </c>
    </row>
    <row r="21" spans="1:18" ht="11.25">
      <c r="A21" s="4" t="s">
        <v>92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10000</v>
      </c>
      <c r="R21" s="7">
        <f t="shared" si="5"/>
        <v>10000</v>
      </c>
    </row>
    <row r="22" spans="1:18" ht="11.25">
      <c r="A22" s="4" t="s">
        <v>93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7">
        <f t="shared" si="5"/>
        <v>0</v>
      </c>
    </row>
    <row r="23" spans="1:18" ht="11.25">
      <c r="A23" s="4" t="s">
        <v>39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7">
        <f t="shared" si="5"/>
        <v>0</v>
      </c>
    </row>
    <row r="24" spans="1:18" ht="11.25">
      <c r="A24" s="4" t="s">
        <v>59</v>
      </c>
      <c r="B24" s="5">
        <v>0</v>
      </c>
      <c r="C24" s="5">
        <v>0</v>
      </c>
      <c r="D24" s="5">
        <v>0</v>
      </c>
      <c r="E24" s="5">
        <v>500</v>
      </c>
      <c r="F24" s="5">
        <v>7000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7">
        <f t="shared" si="5"/>
        <v>7500</v>
      </c>
    </row>
    <row r="25" spans="1:18" ht="11.25">
      <c r="A25" s="4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7">
        <f t="shared" si="5"/>
        <v>0</v>
      </c>
    </row>
    <row r="26" spans="1:18" ht="11.25">
      <c r="A26" s="4" t="s">
        <v>45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7">
        <f t="shared" si="5"/>
        <v>0</v>
      </c>
    </row>
    <row r="27" spans="1:18" ht="11.25">
      <c r="A27" s="3" t="s">
        <v>23</v>
      </c>
      <c r="B27" s="7">
        <f>SUM(B28:B31)</f>
        <v>5250</v>
      </c>
      <c r="C27" s="7">
        <f aca="true" t="shared" si="6" ref="C27:R27">SUM(C28:C31)</f>
        <v>6935</v>
      </c>
      <c r="D27" s="7">
        <f t="shared" si="6"/>
        <v>5250</v>
      </c>
      <c r="E27" s="7">
        <f t="shared" si="6"/>
        <v>5580</v>
      </c>
      <c r="F27" s="7">
        <f t="shared" si="6"/>
        <v>6000</v>
      </c>
      <c r="G27" s="7">
        <f t="shared" si="6"/>
        <v>5250</v>
      </c>
      <c r="H27" s="7">
        <f t="shared" si="6"/>
        <v>5490</v>
      </c>
      <c r="I27" s="7">
        <f t="shared" si="6"/>
        <v>5250</v>
      </c>
      <c r="J27" s="7">
        <f t="shared" si="6"/>
        <v>6010</v>
      </c>
      <c r="K27" s="7">
        <f t="shared" si="6"/>
        <v>5250</v>
      </c>
      <c r="L27" s="7">
        <f t="shared" si="6"/>
        <v>5500</v>
      </c>
      <c r="M27" s="7">
        <f t="shared" si="6"/>
        <v>5250</v>
      </c>
      <c r="N27" s="7">
        <f t="shared" si="6"/>
        <v>5490</v>
      </c>
      <c r="O27" s="7">
        <f t="shared" si="6"/>
        <v>5250</v>
      </c>
      <c r="P27" s="7">
        <f t="shared" si="6"/>
        <v>5500</v>
      </c>
      <c r="Q27" s="7">
        <f t="shared" si="6"/>
        <v>5250</v>
      </c>
      <c r="R27" s="7">
        <f t="shared" si="6"/>
        <v>88505</v>
      </c>
    </row>
    <row r="28" spans="1:18" ht="11.25">
      <c r="A28" s="4" t="s">
        <v>24</v>
      </c>
      <c r="B28" s="5">
        <v>2625</v>
      </c>
      <c r="C28" s="5">
        <v>2625</v>
      </c>
      <c r="D28" s="5">
        <v>2625</v>
      </c>
      <c r="E28" s="5">
        <v>2625</v>
      </c>
      <c r="F28" s="5">
        <v>3000</v>
      </c>
      <c r="G28" s="5">
        <v>2625</v>
      </c>
      <c r="H28" s="5">
        <v>2625</v>
      </c>
      <c r="I28" s="5">
        <v>2625</v>
      </c>
      <c r="J28" s="5">
        <v>2625</v>
      </c>
      <c r="K28" s="5">
        <v>2625</v>
      </c>
      <c r="L28" s="5">
        <v>2625</v>
      </c>
      <c r="M28" s="5">
        <v>2625</v>
      </c>
      <c r="N28" s="5">
        <v>2625</v>
      </c>
      <c r="O28" s="5">
        <v>2625</v>
      </c>
      <c r="P28" s="5">
        <v>2625</v>
      </c>
      <c r="Q28" s="5">
        <v>2625</v>
      </c>
      <c r="R28" s="7">
        <f>SUM(B28:Q28)</f>
        <v>42375</v>
      </c>
    </row>
    <row r="29" spans="1:18" ht="11.25">
      <c r="A29" s="4" t="s">
        <v>7</v>
      </c>
      <c r="B29" s="5">
        <v>0</v>
      </c>
      <c r="C29" s="5">
        <f>1685/2</f>
        <v>842.5</v>
      </c>
      <c r="D29" s="5">
        <v>0</v>
      </c>
      <c r="E29" s="5">
        <f>330/2</f>
        <v>165</v>
      </c>
      <c r="F29" s="5">
        <v>0</v>
      </c>
      <c r="G29" s="5">
        <v>0</v>
      </c>
      <c r="H29" s="5">
        <v>120</v>
      </c>
      <c r="I29" s="5">
        <v>0</v>
      </c>
      <c r="J29" s="5">
        <v>380</v>
      </c>
      <c r="K29" s="5">
        <v>0</v>
      </c>
      <c r="L29" s="5">
        <v>125</v>
      </c>
      <c r="M29" s="5">
        <v>0</v>
      </c>
      <c r="N29" s="5">
        <v>120</v>
      </c>
      <c r="O29" s="5">
        <v>0</v>
      </c>
      <c r="P29" s="5">
        <v>125</v>
      </c>
      <c r="Q29" s="5">
        <v>0</v>
      </c>
      <c r="R29" s="7">
        <f aca="true" t="shared" si="7" ref="R29:R35">SUM(B29:Q29)</f>
        <v>1877.5</v>
      </c>
    </row>
    <row r="30" spans="1:18" ht="11.25">
      <c r="A30" s="4" t="s">
        <v>25</v>
      </c>
      <c r="B30" s="5">
        <v>2625</v>
      </c>
      <c r="C30" s="5">
        <v>2625</v>
      </c>
      <c r="D30" s="5">
        <v>2625</v>
      </c>
      <c r="E30" s="5">
        <v>2625</v>
      </c>
      <c r="F30" s="5">
        <v>3000</v>
      </c>
      <c r="G30" s="5">
        <v>2625</v>
      </c>
      <c r="H30" s="5">
        <v>2625</v>
      </c>
      <c r="I30" s="5">
        <v>2625</v>
      </c>
      <c r="J30" s="5">
        <v>2625</v>
      </c>
      <c r="K30" s="5">
        <v>2625</v>
      </c>
      <c r="L30" s="5">
        <v>2625</v>
      </c>
      <c r="M30" s="5">
        <v>2625</v>
      </c>
      <c r="N30" s="5">
        <v>2625</v>
      </c>
      <c r="O30" s="5">
        <v>2625</v>
      </c>
      <c r="P30" s="5">
        <v>2625</v>
      </c>
      <c r="Q30" s="5">
        <v>2625</v>
      </c>
      <c r="R30" s="7">
        <f t="shared" si="7"/>
        <v>42375</v>
      </c>
    </row>
    <row r="31" spans="1:18" ht="11.25">
      <c r="A31" s="4" t="s">
        <v>8</v>
      </c>
      <c r="B31" s="5">
        <v>0</v>
      </c>
      <c r="C31" s="5">
        <v>842.5</v>
      </c>
      <c r="D31" s="5">
        <v>0</v>
      </c>
      <c r="E31" s="5">
        <v>165</v>
      </c>
      <c r="F31" s="5">
        <v>0</v>
      </c>
      <c r="G31" s="5">
        <v>0</v>
      </c>
      <c r="H31" s="5">
        <v>120</v>
      </c>
      <c r="I31" s="5">
        <v>0</v>
      </c>
      <c r="J31" s="5">
        <v>380</v>
      </c>
      <c r="K31" s="5">
        <v>0</v>
      </c>
      <c r="L31" s="5">
        <v>125</v>
      </c>
      <c r="M31" s="5">
        <v>0</v>
      </c>
      <c r="N31" s="5">
        <v>120</v>
      </c>
      <c r="O31" s="5">
        <v>0</v>
      </c>
      <c r="P31" s="5">
        <v>125</v>
      </c>
      <c r="Q31" s="5">
        <v>0</v>
      </c>
      <c r="R31" s="7">
        <f t="shared" si="7"/>
        <v>1877.5</v>
      </c>
    </row>
    <row r="32" spans="1:18" ht="11.25">
      <c r="A32" s="3" t="s">
        <v>32</v>
      </c>
      <c r="B32" s="7">
        <f>SUM(B33:B35)</f>
        <v>2828.7494196000002</v>
      </c>
      <c r="C32" s="7">
        <f aca="true" t="shared" si="8" ref="C32:R32">SUM(C33:C35)</f>
        <v>7548.09</v>
      </c>
      <c r="D32" s="7">
        <f t="shared" si="8"/>
        <v>7548.09</v>
      </c>
      <c r="E32" s="7">
        <f t="shared" si="8"/>
        <v>7548.09</v>
      </c>
      <c r="F32" s="7">
        <f t="shared" si="8"/>
        <v>7548.09</v>
      </c>
      <c r="G32" s="7">
        <f t="shared" si="8"/>
        <v>7548.09</v>
      </c>
      <c r="H32" s="7">
        <f t="shared" si="8"/>
        <v>7548.09</v>
      </c>
      <c r="I32" s="7">
        <f t="shared" si="8"/>
        <v>7548.09</v>
      </c>
      <c r="J32" s="7">
        <f t="shared" si="8"/>
        <v>7548.09</v>
      </c>
      <c r="K32" s="7">
        <f t="shared" si="8"/>
        <v>7548.09</v>
      </c>
      <c r="L32" s="7">
        <f t="shared" si="8"/>
        <v>7548.09</v>
      </c>
      <c r="M32" s="7">
        <f t="shared" si="8"/>
        <v>7548.09</v>
      </c>
      <c r="N32" s="7">
        <f t="shared" si="8"/>
        <v>7548.09</v>
      </c>
      <c r="O32" s="7">
        <f t="shared" si="8"/>
        <v>7548.09</v>
      </c>
      <c r="P32" s="7">
        <f t="shared" si="8"/>
        <v>7548.09</v>
      </c>
      <c r="Q32" s="7">
        <f t="shared" si="8"/>
        <v>7548.09</v>
      </c>
      <c r="R32" s="7">
        <f t="shared" si="8"/>
        <v>116050.09941960001</v>
      </c>
    </row>
    <row r="33" spans="1:18" ht="11.25">
      <c r="A33" s="4" t="s">
        <v>41</v>
      </c>
      <c r="B33" s="5">
        <f>(0.75*15*412.62)/2</f>
        <v>2320.9875</v>
      </c>
      <c r="C33" s="5">
        <v>7040.33</v>
      </c>
      <c r="D33" s="5">
        <v>7040.33</v>
      </c>
      <c r="E33" s="5">
        <v>7040.33</v>
      </c>
      <c r="F33" s="5">
        <v>7040.33</v>
      </c>
      <c r="G33" s="5">
        <v>7040.33</v>
      </c>
      <c r="H33" s="5">
        <v>7040.33</v>
      </c>
      <c r="I33" s="5">
        <v>7040.33</v>
      </c>
      <c r="J33" s="5">
        <v>7040.33</v>
      </c>
      <c r="K33" s="5">
        <v>7040.33</v>
      </c>
      <c r="L33" s="5">
        <v>7040.33</v>
      </c>
      <c r="M33" s="5">
        <v>7040.33</v>
      </c>
      <c r="N33" s="5">
        <v>7040.33</v>
      </c>
      <c r="O33" s="5">
        <v>7040.33</v>
      </c>
      <c r="P33" s="5">
        <v>7040.33</v>
      </c>
      <c r="Q33" s="5">
        <v>7040.33</v>
      </c>
      <c r="R33" s="7">
        <f>SUM(B33:Q33)</f>
        <v>107925.93750000001</v>
      </c>
    </row>
    <row r="34" spans="1:18" ht="11.25">
      <c r="A34" s="4" t="s">
        <v>18</v>
      </c>
      <c r="B34" s="5">
        <f>946.6*0.0013*412.62</f>
        <v>507.7619196</v>
      </c>
      <c r="C34" s="5">
        <v>507.76</v>
      </c>
      <c r="D34" s="5">
        <v>507.76</v>
      </c>
      <c r="E34" s="5">
        <v>507.76</v>
      </c>
      <c r="F34" s="5">
        <v>507.76</v>
      </c>
      <c r="G34" s="5">
        <v>507.76</v>
      </c>
      <c r="H34" s="5">
        <v>507.76</v>
      </c>
      <c r="I34" s="5">
        <v>507.76</v>
      </c>
      <c r="J34" s="5">
        <v>507.76</v>
      </c>
      <c r="K34" s="5">
        <v>507.76</v>
      </c>
      <c r="L34" s="5">
        <v>507.76</v>
      </c>
      <c r="M34" s="5">
        <v>507.76</v>
      </c>
      <c r="N34" s="5">
        <v>507.76</v>
      </c>
      <c r="O34" s="5">
        <v>507.76</v>
      </c>
      <c r="P34" s="5">
        <v>507.76</v>
      </c>
      <c r="Q34" s="5">
        <v>507.76</v>
      </c>
      <c r="R34" s="7">
        <f>SUM(B34:Q34)</f>
        <v>8124.161919600002</v>
      </c>
    </row>
    <row r="35" spans="1:18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7">
        <f t="shared" si="7"/>
        <v>0</v>
      </c>
    </row>
    <row r="36" spans="1:18" ht="11.25">
      <c r="A36" s="3" t="s">
        <v>22</v>
      </c>
      <c r="B36" s="7">
        <f>SUM(B37:B41)</f>
        <v>0</v>
      </c>
      <c r="C36" s="7">
        <f aca="true" t="shared" si="9" ref="C36:R36">SUM(C37:C41)</f>
        <v>0</v>
      </c>
      <c r="D36" s="7">
        <f t="shared" si="9"/>
        <v>0</v>
      </c>
      <c r="E36" s="7">
        <f t="shared" si="9"/>
        <v>1000</v>
      </c>
      <c r="F36" s="7">
        <f t="shared" si="9"/>
        <v>3300</v>
      </c>
      <c r="G36" s="7">
        <f t="shared" si="9"/>
        <v>1000</v>
      </c>
      <c r="H36" s="7">
        <f t="shared" si="9"/>
        <v>1875</v>
      </c>
      <c r="I36" s="7">
        <f t="shared" si="9"/>
        <v>1000</v>
      </c>
      <c r="J36" s="7">
        <f t="shared" si="9"/>
        <v>0</v>
      </c>
      <c r="K36" s="7">
        <f t="shared" si="9"/>
        <v>0</v>
      </c>
      <c r="L36" s="7">
        <f t="shared" si="9"/>
        <v>0</v>
      </c>
      <c r="M36" s="7">
        <f t="shared" si="9"/>
        <v>0</v>
      </c>
      <c r="N36" s="7">
        <f t="shared" si="9"/>
        <v>0</v>
      </c>
      <c r="O36" s="7">
        <f t="shared" si="9"/>
        <v>0</v>
      </c>
      <c r="P36" s="7">
        <f t="shared" si="9"/>
        <v>800</v>
      </c>
      <c r="Q36" s="7">
        <f t="shared" si="9"/>
        <v>0</v>
      </c>
      <c r="R36" s="7">
        <f t="shared" si="9"/>
        <v>8975</v>
      </c>
    </row>
    <row r="37" spans="1:18" ht="11.25">
      <c r="A37" s="4" t="s">
        <v>9</v>
      </c>
      <c r="B37" s="5">
        <v>0</v>
      </c>
      <c r="C37" s="5">
        <v>0</v>
      </c>
      <c r="D37" s="5">
        <v>0</v>
      </c>
      <c r="E37" s="5">
        <v>1000</v>
      </c>
      <c r="F37" s="5">
        <v>1000</v>
      </c>
      <c r="G37" s="5">
        <v>1000</v>
      </c>
      <c r="H37" s="5">
        <f>1250+1250/2</f>
        <v>1875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7">
        <f>SUM(B37:Q37)</f>
        <v>4875</v>
      </c>
    </row>
    <row r="38" spans="1:18" ht="11.25">
      <c r="A38" s="4" t="s">
        <v>21</v>
      </c>
      <c r="B38" s="5">
        <v>0</v>
      </c>
      <c r="C38" s="5">
        <v>0</v>
      </c>
      <c r="D38" s="5">
        <v>0</v>
      </c>
      <c r="E38" s="5">
        <v>0</v>
      </c>
      <c r="F38" s="5">
        <v>2000</v>
      </c>
      <c r="G38" s="5">
        <v>0</v>
      </c>
      <c r="H38" s="5">
        <v>0</v>
      </c>
      <c r="I38" s="5">
        <v>1000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7">
        <f>SUM(B38:Q38)</f>
        <v>3000</v>
      </c>
    </row>
    <row r="39" spans="1:18" ht="11.25">
      <c r="A39" s="4" t="s">
        <v>94</v>
      </c>
      <c r="B39" s="5">
        <v>0</v>
      </c>
      <c r="C39" s="5">
        <v>0</v>
      </c>
      <c r="D39" s="5">
        <v>0</v>
      </c>
      <c r="E39" s="5">
        <v>0</v>
      </c>
      <c r="F39" s="5">
        <v>300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f>200*4</f>
        <v>800</v>
      </c>
      <c r="Q39" s="5">
        <v>0</v>
      </c>
      <c r="R39" s="7">
        <f>SUM(B39:Q39)</f>
        <v>1100</v>
      </c>
    </row>
    <row r="40" spans="1:18" ht="11.25">
      <c r="A40" s="4" t="s">
        <v>57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7">
        <f>SUM(B40:Q40)</f>
        <v>0</v>
      </c>
    </row>
    <row r="41" spans="1:18" ht="11.25">
      <c r="A41" s="4" t="s">
        <v>152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7">
        <f>SUM(B41:Q41)</f>
        <v>0</v>
      </c>
    </row>
    <row r="42" spans="1:18" ht="11.25">
      <c r="A42" s="3" t="s">
        <v>33</v>
      </c>
      <c r="B42" s="7">
        <f>SUM(B43)</f>
        <v>2100</v>
      </c>
      <c r="C42" s="7">
        <f aca="true" t="shared" si="10" ref="C42:R42">SUM(C43)</f>
        <v>0</v>
      </c>
      <c r="D42" s="7">
        <f t="shared" si="10"/>
        <v>0</v>
      </c>
      <c r="E42" s="7">
        <f t="shared" si="10"/>
        <v>0</v>
      </c>
      <c r="F42" s="7">
        <f t="shared" si="10"/>
        <v>0</v>
      </c>
      <c r="G42" s="7">
        <f t="shared" si="10"/>
        <v>0</v>
      </c>
      <c r="H42" s="7">
        <f t="shared" si="10"/>
        <v>0</v>
      </c>
      <c r="I42" s="7">
        <f t="shared" si="10"/>
        <v>0</v>
      </c>
      <c r="J42" s="7">
        <f t="shared" si="10"/>
        <v>0</v>
      </c>
      <c r="K42" s="7">
        <f t="shared" si="10"/>
        <v>0</v>
      </c>
      <c r="L42" s="7">
        <f t="shared" si="10"/>
        <v>0</v>
      </c>
      <c r="M42" s="7">
        <f t="shared" si="10"/>
        <v>0</v>
      </c>
      <c r="N42" s="7">
        <f t="shared" si="10"/>
        <v>0</v>
      </c>
      <c r="O42" s="7">
        <f t="shared" si="10"/>
        <v>0</v>
      </c>
      <c r="P42" s="7">
        <f t="shared" si="10"/>
        <v>0</v>
      </c>
      <c r="Q42" s="7">
        <f t="shared" si="10"/>
        <v>0</v>
      </c>
      <c r="R42" s="7">
        <f t="shared" si="10"/>
        <v>2100</v>
      </c>
    </row>
    <row r="43" spans="1:18" ht="11.25">
      <c r="A43" s="4" t="s">
        <v>19</v>
      </c>
      <c r="B43" s="5">
        <f>4200/2</f>
        <v>2100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7">
        <f aca="true" t="shared" si="11" ref="R43:R66">SUM(B43:Q43)</f>
        <v>2100</v>
      </c>
    </row>
    <row r="44" spans="1:18" ht="11.25">
      <c r="A44" s="3" t="s">
        <v>47</v>
      </c>
      <c r="B44" s="7">
        <f>B45</f>
        <v>0</v>
      </c>
      <c r="C44" s="7">
        <f aca="true" t="shared" si="12" ref="C44:R44">C45</f>
        <v>0</v>
      </c>
      <c r="D44" s="7">
        <f t="shared" si="12"/>
        <v>0</v>
      </c>
      <c r="E44" s="7">
        <f t="shared" si="12"/>
        <v>0</v>
      </c>
      <c r="F44" s="7">
        <f t="shared" si="12"/>
        <v>0</v>
      </c>
      <c r="G44" s="7">
        <f t="shared" si="12"/>
        <v>0</v>
      </c>
      <c r="H44" s="7">
        <f t="shared" si="12"/>
        <v>0</v>
      </c>
      <c r="I44" s="7">
        <f t="shared" si="12"/>
        <v>0</v>
      </c>
      <c r="J44" s="7">
        <f t="shared" si="12"/>
        <v>0</v>
      </c>
      <c r="K44" s="7">
        <f t="shared" si="12"/>
        <v>0</v>
      </c>
      <c r="L44" s="7">
        <f t="shared" si="12"/>
        <v>5000</v>
      </c>
      <c r="M44" s="7">
        <f t="shared" si="12"/>
        <v>0</v>
      </c>
      <c r="N44" s="7">
        <f t="shared" si="12"/>
        <v>0</v>
      </c>
      <c r="O44" s="7">
        <f t="shared" si="12"/>
        <v>0</v>
      </c>
      <c r="P44" s="7">
        <f t="shared" si="12"/>
        <v>0</v>
      </c>
      <c r="Q44" s="7">
        <f t="shared" si="12"/>
        <v>0</v>
      </c>
      <c r="R44" s="7">
        <f t="shared" si="12"/>
        <v>5000</v>
      </c>
    </row>
    <row r="45" spans="1:18" ht="11.25">
      <c r="A45" s="4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5000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7">
        <f t="shared" si="11"/>
        <v>5000</v>
      </c>
    </row>
    <row r="46" spans="1:18" ht="11.25">
      <c r="A46" s="3" t="s">
        <v>42</v>
      </c>
      <c r="B46" s="7">
        <f aca="true" t="shared" si="13" ref="B46:R46">SUM(B47:B50)</f>
        <v>9295.59</v>
      </c>
      <c r="C46" s="7">
        <f t="shared" si="13"/>
        <v>5566.41</v>
      </c>
      <c r="D46" s="7">
        <f t="shared" si="13"/>
        <v>8056.2</v>
      </c>
      <c r="E46" s="7">
        <f t="shared" si="13"/>
        <v>9969</v>
      </c>
      <c r="F46" s="7">
        <f t="shared" si="13"/>
        <v>9003.039999999999</v>
      </c>
      <c r="G46" s="7">
        <f t="shared" si="13"/>
        <v>5725.67</v>
      </c>
      <c r="H46" s="7">
        <f t="shared" si="13"/>
        <v>9102.06</v>
      </c>
      <c r="I46" s="7">
        <f t="shared" si="13"/>
        <v>7720.780000000001</v>
      </c>
      <c r="J46" s="7">
        <f t="shared" si="13"/>
        <v>10060.96</v>
      </c>
      <c r="K46" s="7">
        <f t="shared" si="13"/>
        <v>10428.945</v>
      </c>
      <c r="L46" s="7">
        <f t="shared" si="13"/>
        <v>6244.45</v>
      </c>
      <c r="M46" s="7">
        <f t="shared" si="13"/>
        <v>6596.66</v>
      </c>
      <c r="N46" s="7">
        <f t="shared" si="13"/>
        <v>6644.88</v>
      </c>
      <c r="O46" s="7">
        <f t="shared" si="13"/>
        <v>6264.485</v>
      </c>
      <c r="P46" s="7">
        <f t="shared" si="13"/>
        <v>9886.289999999999</v>
      </c>
      <c r="Q46" s="7">
        <f t="shared" si="13"/>
        <v>5515.63</v>
      </c>
      <c r="R46" s="7">
        <f t="shared" si="13"/>
        <v>126081.05</v>
      </c>
    </row>
    <row r="47" spans="1:18" ht="11.25">
      <c r="A47" s="4" t="s">
        <v>20</v>
      </c>
      <c r="B47" s="5">
        <v>1295.34</v>
      </c>
      <c r="C47" s="5">
        <v>1288.41</v>
      </c>
      <c r="D47" s="5">
        <v>1255.95</v>
      </c>
      <c r="E47" s="5">
        <v>1365.75</v>
      </c>
      <c r="F47" s="5">
        <v>1271.14</v>
      </c>
      <c r="G47" s="5">
        <v>1104.11</v>
      </c>
      <c r="H47" s="5">
        <v>992.56</v>
      </c>
      <c r="I47" s="5">
        <v>1270.85</v>
      </c>
      <c r="J47" s="5">
        <v>1177.4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7">
        <f>SUM(B47:Q47)</f>
        <v>11021.51</v>
      </c>
    </row>
    <row r="48" spans="1:18" ht="11.25">
      <c r="A48" s="4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360.34</v>
      </c>
      <c r="L48" s="5">
        <v>447.78</v>
      </c>
      <c r="M48" s="5">
        <v>497.37</v>
      </c>
      <c r="N48" s="5">
        <v>553.43</v>
      </c>
      <c r="O48" s="5">
        <v>427.96</v>
      </c>
      <c r="P48" s="5">
        <v>386.61</v>
      </c>
      <c r="Q48" s="5">
        <v>335.37</v>
      </c>
      <c r="R48" s="7">
        <f>SUM(B48:Q48)</f>
        <v>3008.8599999999997</v>
      </c>
    </row>
    <row r="49" spans="1:18" ht="11.25">
      <c r="A49" s="4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4">
        <f>40.77/2</f>
        <v>20.385</v>
      </c>
      <c r="L49" s="4">
        <v>10.96</v>
      </c>
      <c r="M49" s="4">
        <f>102.58/2</f>
        <v>51.29</v>
      </c>
      <c r="N49" s="4">
        <v>43.45</v>
      </c>
      <c r="O49" s="4">
        <f>101.63/2</f>
        <v>50.815</v>
      </c>
      <c r="P49" s="4">
        <f>106.56/2</f>
        <v>53.28</v>
      </c>
      <c r="Q49" s="4">
        <f>180.78/3</f>
        <v>60.26</v>
      </c>
      <c r="R49" s="7">
        <f>SUM(B49:Q49)</f>
        <v>290.44</v>
      </c>
    </row>
    <row r="50" spans="1:18" ht="11.25">
      <c r="A50" s="4" t="s">
        <v>95</v>
      </c>
      <c r="B50" s="5">
        <v>8000.25</v>
      </c>
      <c r="C50" s="5">
        <v>4278</v>
      </c>
      <c r="D50" s="5">
        <v>6800.25</v>
      </c>
      <c r="E50" s="5">
        <v>8603.25</v>
      </c>
      <c r="F50" s="5">
        <v>7731.9</v>
      </c>
      <c r="G50" s="5">
        <v>4621.56</v>
      </c>
      <c r="H50" s="5">
        <v>8109.5</v>
      </c>
      <c r="I50" s="5">
        <v>6449.93</v>
      </c>
      <c r="J50" s="5">
        <v>8883.56</v>
      </c>
      <c r="K50" s="5">
        <v>10048.22</v>
      </c>
      <c r="L50" s="5">
        <v>5785.71</v>
      </c>
      <c r="M50" s="5">
        <v>6048</v>
      </c>
      <c r="N50" s="5">
        <v>6048</v>
      </c>
      <c r="O50" s="5">
        <v>5785.71</v>
      </c>
      <c r="P50" s="5">
        <v>9446.4</v>
      </c>
      <c r="Q50" s="5">
        <v>5120</v>
      </c>
      <c r="R50" s="7">
        <f>SUM(B50:Q50)</f>
        <v>111760.24</v>
      </c>
    </row>
    <row r="51" spans="1:18" ht="11.25">
      <c r="A51" s="3" t="s">
        <v>75</v>
      </c>
      <c r="B51" s="7">
        <f>946.6*5</f>
        <v>4733</v>
      </c>
      <c r="C51" s="7">
        <f aca="true" t="shared" si="14" ref="C51:Q51">946.6*5</f>
        <v>4733</v>
      </c>
      <c r="D51" s="7">
        <f t="shared" si="14"/>
        <v>4733</v>
      </c>
      <c r="E51" s="7">
        <f t="shared" si="14"/>
        <v>4733</v>
      </c>
      <c r="F51" s="7">
        <f t="shared" si="14"/>
        <v>4733</v>
      </c>
      <c r="G51" s="7">
        <f t="shared" si="14"/>
        <v>4733</v>
      </c>
      <c r="H51" s="7">
        <f t="shared" si="14"/>
        <v>4733</v>
      </c>
      <c r="I51" s="7">
        <f t="shared" si="14"/>
        <v>4733</v>
      </c>
      <c r="J51" s="7">
        <f t="shared" si="14"/>
        <v>4733</v>
      </c>
      <c r="K51" s="7">
        <f t="shared" si="14"/>
        <v>4733</v>
      </c>
      <c r="L51" s="7">
        <f t="shared" si="14"/>
        <v>4733</v>
      </c>
      <c r="M51" s="7">
        <f t="shared" si="14"/>
        <v>4733</v>
      </c>
      <c r="N51" s="7">
        <f t="shared" si="14"/>
        <v>4733</v>
      </c>
      <c r="O51" s="7">
        <f t="shared" si="14"/>
        <v>4733</v>
      </c>
      <c r="P51" s="7">
        <f t="shared" si="14"/>
        <v>4733</v>
      </c>
      <c r="Q51" s="7">
        <f t="shared" si="14"/>
        <v>4733</v>
      </c>
      <c r="R51" s="7"/>
    </row>
    <row r="52" spans="1:18" ht="11.25">
      <c r="A52" s="3" t="s">
        <v>96</v>
      </c>
      <c r="B52" s="7">
        <f>SUM(B53:B66)</f>
        <v>4733</v>
      </c>
      <c r="C52" s="7">
        <f aca="true" t="shared" si="15" ref="C52:R52">SUM(C53:C66)</f>
        <v>4733</v>
      </c>
      <c r="D52" s="7">
        <f t="shared" si="15"/>
        <v>4733</v>
      </c>
      <c r="E52" s="7">
        <f t="shared" si="15"/>
        <v>4733</v>
      </c>
      <c r="F52" s="7">
        <f t="shared" si="15"/>
        <v>4733</v>
      </c>
      <c r="G52" s="7">
        <f t="shared" si="15"/>
        <v>4733</v>
      </c>
      <c r="H52" s="7">
        <f t="shared" si="15"/>
        <v>4733</v>
      </c>
      <c r="I52" s="7">
        <f t="shared" si="15"/>
        <v>4733</v>
      </c>
      <c r="J52" s="7">
        <f t="shared" si="15"/>
        <v>4733</v>
      </c>
      <c r="K52" s="7">
        <f t="shared" si="15"/>
        <v>4733</v>
      </c>
      <c r="L52" s="7">
        <f t="shared" si="15"/>
        <v>4733</v>
      </c>
      <c r="M52" s="7">
        <f t="shared" si="15"/>
        <v>4733</v>
      </c>
      <c r="N52" s="7">
        <f t="shared" si="15"/>
        <v>4733</v>
      </c>
      <c r="O52" s="7">
        <f t="shared" si="15"/>
        <v>4733</v>
      </c>
      <c r="P52" s="7">
        <f t="shared" si="15"/>
        <v>4733</v>
      </c>
      <c r="Q52" s="7">
        <f t="shared" si="15"/>
        <v>4733</v>
      </c>
      <c r="R52" s="7">
        <f t="shared" si="15"/>
        <v>75728</v>
      </c>
    </row>
    <row r="53" spans="1:18" ht="11.25">
      <c r="A53" s="4" t="s">
        <v>50</v>
      </c>
      <c r="B53" s="5">
        <v>407.04</v>
      </c>
      <c r="C53" s="5">
        <v>407.04</v>
      </c>
      <c r="D53" s="5">
        <v>407.04</v>
      </c>
      <c r="E53" s="5">
        <v>407.04</v>
      </c>
      <c r="F53" s="5">
        <v>407.04</v>
      </c>
      <c r="G53" s="5">
        <v>407.04</v>
      </c>
      <c r="H53" s="5">
        <v>407.04</v>
      </c>
      <c r="I53" s="5">
        <v>407.04</v>
      </c>
      <c r="J53" s="5">
        <v>407.04</v>
      </c>
      <c r="K53" s="5">
        <v>407.04</v>
      </c>
      <c r="L53" s="5">
        <v>407.04</v>
      </c>
      <c r="M53" s="5">
        <v>407.04</v>
      </c>
      <c r="N53" s="5">
        <v>407.04</v>
      </c>
      <c r="O53" s="5">
        <v>407.04</v>
      </c>
      <c r="P53" s="5">
        <v>407.04</v>
      </c>
      <c r="Q53" s="5">
        <v>407.04</v>
      </c>
      <c r="R53" s="7">
        <f t="shared" si="11"/>
        <v>6512.64</v>
      </c>
    </row>
    <row r="54" spans="1:18" ht="11.25">
      <c r="A54" s="4" t="s">
        <v>49</v>
      </c>
      <c r="B54" s="5">
        <v>420</v>
      </c>
      <c r="C54" s="5">
        <v>420</v>
      </c>
      <c r="D54" s="5">
        <v>420</v>
      </c>
      <c r="E54" s="5">
        <v>420</v>
      </c>
      <c r="F54" s="5">
        <v>420</v>
      </c>
      <c r="G54" s="5">
        <v>420</v>
      </c>
      <c r="H54" s="5">
        <v>420</v>
      </c>
      <c r="I54" s="5">
        <v>420</v>
      </c>
      <c r="J54" s="5">
        <v>420</v>
      </c>
      <c r="K54" s="5">
        <v>420</v>
      </c>
      <c r="L54" s="5">
        <v>420</v>
      </c>
      <c r="M54" s="5">
        <v>420</v>
      </c>
      <c r="N54" s="5">
        <v>420</v>
      </c>
      <c r="O54" s="5">
        <v>420</v>
      </c>
      <c r="P54" s="5">
        <v>420</v>
      </c>
      <c r="Q54" s="5">
        <v>420</v>
      </c>
      <c r="R54" s="7">
        <f t="shared" si="11"/>
        <v>6720</v>
      </c>
    </row>
    <row r="55" spans="1:18" ht="11.25">
      <c r="A55" s="4" t="s">
        <v>35</v>
      </c>
      <c r="B55" s="5">
        <v>75</v>
      </c>
      <c r="C55" s="5">
        <v>75</v>
      </c>
      <c r="D55" s="5">
        <v>75</v>
      </c>
      <c r="E55" s="5">
        <v>75</v>
      </c>
      <c r="F55" s="5">
        <v>75</v>
      </c>
      <c r="G55" s="5">
        <v>75</v>
      </c>
      <c r="H55" s="5">
        <v>75</v>
      </c>
      <c r="I55" s="5">
        <v>75</v>
      </c>
      <c r="J55" s="5">
        <v>75</v>
      </c>
      <c r="K55" s="5">
        <v>75</v>
      </c>
      <c r="L55" s="5">
        <v>75</v>
      </c>
      <c r="M55" s="5">
        <v>75</v>
      </c>
      <c r="N55" s="5">
        <v>75</v>
      </c>
      <c r="O55" s="5">
        <v>75</v>
      </c>
      <c r="P55" s="5">
        <v>75</v>
      </c>
      <c r="Q55" s="5">
        <v>75</v>
      </c>
      <c r="R55" s="7">
        <f t="shared" si="11"/>
        <v>1200</v>
      </c>
    </row>
    <row r="56" spans="1:18" ht="11.25">
      <c r="A56" s="4" t="s">
        <v>62</v>
      </c>
      <c r="B56" s="5">
        <v>124.36</v>
      </c>
      <c r="C56" s="5">
        <v>124.36</v>
      </c>
      <c r="D56" s="5">
        <v>124.36</v>
      </c>
      <c r="E56" s="5">
        <v>124.36</v>
      </c>
      <c r="F56" s="5">
        <v>124.36</v>
      </c>
      <c r="G56" s="5">
        <v>124.36</v>
      </c>
      <c r="H56" s="5">
        <v>124.36</v>
      </c>
      <c r="I56" s="5">
        <v>124.36</v>
      </c>
      <c r="J56" s="5">
        <v>124.36</v>
      </c>
      <c r="K56" s="5">
        <v>124.36</v>
      </c>
      <c r="L56" s="5">
        <v>124.36</v>
      </c>
      <c r="M56" s="5">
        <v>124.36</v>
      </c>
      <c r="N56" s="5">
        <v>58.7</v>
      </c>
      <c r="O56" s="5">
        <v>58.7</v>
      </c>
      <c r="P56" s="5">
        <v>58.7</v>
      </c>
      <c r="Q56" s="5">
        <v>58.7</v>
      </c>
      <c r="R56" s="7">
        <f t="shared" si="11"/>
        <v>1727.12</v>
      </c>
    </row>
    <row r="57" spans="1:18" ht="11.25">
      <c r="A57" s="4" t="s">
        <v>64</v>
      </c>
      <c r="B57" s="5">
        <v>406.06</v>
      </c>
      <c r="C57" s="5">
        <v>61.27</v>
      </c>
      <c r="D57" s="5">
        <v>112.11</v>
      </c>
      <c r="E57" s="5">
        <v>154.87</v>
      </c>
      <c r="F57" s="5">
        <v>93.93</v>
      </c>
      <c r="G57" s="5">
        <v>161.41</v>
      </c>
      <c r="H57" s="5">
        <v>131.59</v>
      </c>
      <c r="I57" s="5">
        <v>127.88</v>
      </c>
      <c r="J57" s="5">
        <v>122.55</v>
      </c>
      <c r="K57" s="5">
        <v>138.89</v>
      </c>
      <c r="L57" s="5">
        <v>153.93</v>
      </c>
      <c r="M57" s="5">
        <v>93.43</v>
      </c>
      <c r="N57" s="5">
        <v>133.1</v>
      </c>
      <c r="O57" s="5">
        <v>0</v>
      </c>
      <c r="P57" s="5">
        <v>0</v>
      </c>
      <c r="Q57" s="5">
        <v>0</v>
      </c>
      <c r="R57" s="7">
        <f t="shared" si="11"/>
        <v>1891.02</v>
      </c>
    </row>
    <row r="58" spans="1:18" ht="11.25">
      <c r="A58" s="4" t="s">
        <v>67</v>
      </c>
      <c r="B58" s="5">
        <v>125</v>
      </c>
      <c r="C58" s="5">
        <v>125</v>
      </c>
      <c r="D58" s="5">
        <v>125</v>
      </c>
      <c r="E58" s="5">
        <v>125</v>
      </c>
      <c r="F58" s="5">
        <v>125</v>
      </c>
      <c r="G58" s="5">
        <v>125</v>
      </c>
      <c r="H58" s="5">
        <v>125</v>
      </c>
      <c r="I58" s="5">
        <v>125</v>
      </c>
      <c r="J58" s="5">
        <v>125</v>
      </c>
      <c r="K58" s="5">
        <v>125</v>
      </c>
      <c r="L58" s="5">
        <v>125</v>
      </c>
      <c r="M58" s="5">
        <v>125</v>
      </c>
      <c r="N58" s="5">
        <v>125</v>
      </c>
      <c r="O58" s="5">
        <v>125</v>
      </c>
      <c r="P58" s="5">
        <v>125</v>
      </c>
      <c r="Q58" s="5">
        <v>125</v>
      </c>
      <c r="R58" s="7">
        <f t="shared" si="11"/>
        <v>2000</v>
      </c>
    </row>
    <row r="59" spans="1:18" ht="11.25">
      <c r="A59" s="4" t="s">
        <v>51</v>
      </c>
      <c r="B59" s="5">
        <v>85</v>
      </c>
      <c r="C59" s="5">
        <v>85</v>
      </c>
      <c r="D59" s="5">
        <v>85</v>
      </c>
      <c r="E59" s="5">
        <v>85</v>
      </c>
      <c r="F59" s="5">
        <v>85</v>
      </c>
      <c r="G59" s="5">
        <v>85</v>
      </c>
      <c r="H59" s="5">
        <v>85</v>
      </c>
      <c r="I59" s="5">
        <v>85</v>
      </c>
      <c r="J59" s="5">
        <v>85</v>
      </c>
      <c r="K59" s="5">
        <v>85</v>
      </c>
      <c r="L59" s="5">
        <v>85</v>
      </c>
      <c r="M59" s="5">
        <v>85</v>
      </c>
      <c r="N59" s="5">
        <v>85</v>
      </c>
      <c r="O59" s="5">
        <v>85</v>
      </c>
      <c r="P59" s="5">
        <v>85</v>
      </c>
      <c r="Q59" s="5">
        <v>85</v>
      </c>
      <c r="R59" s="7">
        <f t="shared" si="11"/>
        <v>1360</v>
      </c>
    </row>
    <row r="60" spans="1:18" ht="11.25">
      <c r="A60" s="4" t="s">
        <v>52</v>
      </c>
      <c r="B60" s="5">
        <v>350</v>
      </c>
      <c r="C60" s="5">
        <v>350</v>
      </c>
      <c r="D60" s="5">
        <v>350</v>
      </c>
      <c r="E60" s="5">
        <v>350</v>
      </c>
      <c r="F60" s="5">
        <v>350</v>
      </c>
      <c r="G60" s="5">
        <v>350</v>
      </c>
      <c r="H60" s="5">
        <v>350</v>
      </c>
      <c r="I60" s="5">
        <v>350</v>
      </c>
      <c r="J60" s="5">
        <v>350</v>
      </c>
      <c r="K60" s="5">
        <v>350</v>
      </c>
      <c r="L60" s="5">
        <v>350</v>
      </c>
      <c r="M60" s="5">
        <v>350</v>
      </c>
      <c r="N60" s="5">
        <v>350</v>
      </c>
      <c r="O60" s="5">
        <v>350</v>
      </c>
      <c r="P60" s="5">
        <v>350</v>
      </c>
      <c r="Q60" s="5">
        <v>350</v>
      </c>
      <c r="R60" s="7">
        <f t="shared" si="11"/>
        <v>5600</v>
      </c>
    </row>
    <row r="61" spans="1:18" ht="11.25">
      <c r="A61" s="4" t="s">
        <v>14</v>
      </c>
      <c r="B61" s="5">
        <v>411.36</v>
      </c>
      <c r="C61" s="5">
        <v>756.15</v>
      </c>
      <c r="D61" s="5">
        <v>705.31</v>
      </c>
      <c r="E61" s="5">
        <v>662.55</v>
      </c>
      <c r="F61" s="5">
        <v>723.49</v>
      </c>
      <c r="G61" s="5">
        <v>656.01</v>
      </c>
      <c r="H61" s="5">
        <v>685.83</v>
      </c>
      <c r="I61" s="5">
        <v>689.54</v>
      </c>
      <c r="J61" s="5">
        <v>694.87</v>
      </c>
      <c r="K61" s="5">
        <v>678.53</v>
      </c>
      <c r="L61" s="5">
        <v>663.49</v>
      </c>
      <c r="M61" s="5">
        <v>723.99</v>
      </c>
      <c r="N61" s="5">
        <v>749.98</v>
      </c>
      <c r="O61" s="5">
        <v>883.08</v>
      </c>
      <c r="P61" s="5">
        <v>883.08</v>
      </c>
      <c r="Q61" s="5">
        <v>883.08</v>
      </c>
      <c r="R61" s="7">
        <f t="shared" si="11"/>
        <v>11450.339999999998</v>
      </c>
    </row>
    <row r="62" spans="1:18" ht="11.25">
      <c r="A62" s="4" t="s">
        <v>70</v>
      </c>
      <c r="B62" s="5">
        <v>150</v>
      </c>
      <c r="C62" s="5">
        <v>150</v>
      </c>
      <c r="D62" s="5">
        <v>150</v>
      </c>
      <c r="E62" s="5">
        <v>150</v>
      </c>
      <c r="F62" s="5">
        <v>150</v>
      </c>
      <c r="G62" s="5">
        <v>150</v>
      </c>
      <c r="H62" s="5">
        <v>150</v>
      </c>
      <c r="I62" s="5">
        <v>150</v>
      </c>
      <c r="J62" s="5">
        <v>150</v>
      </c>
      <c r="K62" s="5">
        <v>150</v>
      </c>
      <c r="L62" s="5">
        <v>150</v>
      </c>
      <c r="M62" s="5">
        <v>150</v>
      </c>
      <c r="N62" s="5">
        <v>150</v>
      </c>
      <c r="O62" s="5">
        <v>150</v>
      </c>
      <c r="P62" s="5">
        <v>150</v>
      </c>
      <c r="Q62" s="5">
        <v>150</v>
      </c>
      <c r="R62" s="7">
        <f t="shared" si="11"/>
        <v>2400</v>
      </c>
    </row>
    <row r="63" spans="1:18" ht="11.25">
      <c r="A63" s="4" t="s">
        <v>65</v>
      </c>
      <c r="B63" s="5">
        <v>150</v>
      </c>
      <c r="C63" s="5">
        <v>150</v>
      </c>
      <c r="D63" s="5">
        <v>150</v>
      </c>
      <c r="E63" s="5">
        <v>150</v>
      </c>
      <c r="F63" s="5">
        <v>150</v>
      </c>
      <c r="G63" s="5">
        <v>150</v>
      </c>
      <c r="H63" s="5">
        <v>150</v>
      </c>
      <c r="I63" s="5">
        <v>150</v>
      </c>
      <c r="J63" s="5">
        <v>150</v>
      </c>
      <c r="K63" s="5">
        <v>150</v>
      </c>
      <c r="L63" s="5">
        <v>150</v>
      </c>
      <c r="M63" s="5">
        <v>150</v>
      </c>
      <c r="N63" s="5">
        <v>150</v>
      </c>
      <c r="O63" s="5">
        <v>150</v>
      </c>
      <c r="P63" s="5">
        <v>150</v>
      </c>
      <c r="Q63" s="5">
        <v>150</v>
      </c>
      <c r="R63" s="7">
        <f t="shared" si="11"/>
        <v>2400</v>
      </c>
    </row>
    <row r="64" spans="1:18" ht="11.25">
      <c r="A64" s="4" t="s">
        <v>66</v>
      </c>
      <c r="B64" s="5">
        <f aca="true" t="shared" si="16" ref="B64:Q64">250/2</f>
        <v>125</v>
      </c>
      <c r="C64" s="5">
        <f t="shared" si="16"/>
        <v>125</v>
      </c>
      <c r="D64" s="5">
        <f t="shared" si="16"/>
        <v>125</v>
      </c>
      <c r="E64" s="5">
        <f t="shared" si="16"/>
        <v>125</v>
      </c>
      <c r="F64" s="5">
        <f t="shared" si="16"/>
        <v>125</v>
      </c>
      <c r="G64" s="5">
        <f t="shared" si="16"/>
        <v>125</v>
      </c>
      <c r="H64" s="5">
        <f t="shared" si="16"/>
        <v>125</v>
      </c>
      <c r="I64" s="5">
        <f t="shared" si="16"/>
        <v>125</v>
      </c>
      <c r="J64" s="5">
        <f t="shared" si="16"/>
        <v>125</v>
      </c>
      <c r="K64" s="5">
        <f t="shared" si="16"/>
        <v>125</v>
      </c>
      <c r="L64" s="5">
        <f t="shared" si="16"/>
        <v>125</v>
      </c>
      <c r="M64" s="5">
        <f t="shared" si="16"/>
        <v>125</v>
      </c>
      <c r="N64" s="5">
        <f t="shared" si="16"/>
        <v>125</v>
      </c>
      <c r="O64" s="5">
        <f t="shared" si="16"/>
        <v>125</v>
      </c>
      <c r="P64" s="5">
        <f t="shared" si="16"/>
        <v>125</v>
      </c>
      <c r="Q64" s="5">
        <f t="shared" si="16"/>
        <v>125</v>
      </c>
      <c r="R64" s="7">
        <f t="shared" si="11"/>
        <v>2000</v>
      </c>
    </row>
    <row r="65" spans="1:18" ht="11.25">
      <c r="A65" s="4" t="s">
        <v>53</v>
      </c>
      <c r="B65" s="5">
        <v>1635.47</v>
      </c>
      <c r="C65" s="5">
        <v>1635.47</v>
      </c>
      <c r="D65" s="5">
        <v>1635.47</v>
      </c>
      <c r="E65" s="5">
        <v>1635.47</v>
      </c>
      <c r="F65" s="5">
        <v>1635.47</v>
      </c>
      <c r="G65" s="5">
        <v>1635.47</v>
      </c>
      <c r="H65" s="5">
        <v>1635.47</v>
      </c>
      <c r="I65" s="5">
        <v>1635.47</v>
      </c>
      <c r="J65" s="5">
        <v>1635.47</v>
      </c>
      <c r="K65" s="5">
        <v>1635.47</v>
      </c>
      <c r="L65" s="5">
        <v>1635.47</v>
      </c>
      <c r="M65" s="5">
        <v>1635.47</v>
      </c>
      <c r="N65" s="5">
        <v>1635.47</v>
      </c>
      <c r="O65" s="5">
        <v>1635.47</v>
      </c>
      <c r="P65" s="5">
        <v>1635.47</v>
      </c>
      <c r="Q65" s="5">
        <v>1635.47</v>
      </c>
      <c r="R65" s="7">
        <f t="shared" si="11"/>
        <v>26167.520000000004</v>
      </c>
    </row>
    <row r="66" spans="1:18" ht="11.25">
      <c r="A66" s="4" t="s">
        <v>36</v>
      </c>
      <c r="B66" s="5">
        <v>268.71</v>
      </c>
      <c r="C66" s="5">
        <v>268.71</v>
      </c>
      <c r="D66" s="5">
        <v>268.71</v>
      </c>
      <c r="E66" s="5">
        <v>268.71</v>
      </c>
      <c r="F66" s="5">
        <v>268.71</v>
      </c>
      <c r="G66" s="5">
        <v>268.71</v>
      </c>
      <c r="H66" s="5">
        <v>268.71</v>
      </c>
      <c r="I66" s="5">
        <v>268.71</v>
      </c>
      <c r="J66" s="5">
        <v>268.71</v>
      </c>
      <c r="K66" s="5">
        <v>268.71</v>
      </c>
      <c r="L66" s="5">
        <v>268.71</v>
      </c>
      <c r="M66" s="5">
        <v>268.71</v>
      </c>
      <c r="N66" s="5">
        <v>268.71</v>
      </c>
      <c r="O66" s="5">
        <v>268.71</v>
      </c>
      <c r="P66" s="5">
        <v>268.71</v>
      </c>
      <c r="Q66" s="5">
        <v>268.71</v>
      </c>
      <c r="R66" s="7">
        <f t="shared" si="11"/>
        <v>4299.36</v>
      </c>
    </row>
    <row r="67" spans="1:18" ht="11.25">
      <c r="A67" s="3" t="s">
        <v>15</v>
      </c>
      <c r="B67" s="7">
        <f>B4+B11+B18+B27+B32+B36+B42+B46+B52</f>
        <v>30592.3394196</v>
      </c>
      <c r="C67" s="7">
        <f aca="true" t="shared" si="17" ref="C67:Q67">C4+C11+C18+C27+C32+C36+C42+C46+C52</f>
        <v>30117.5</v>
      </c>
      <c r="D67" s="7">
        <f t="shared" si="17"/>
        <v>31197.29</v>
      </c>
      <c r="E67" s="7">
        <f t="shared" si="17"/>
        <v>34385.09</v>
      </c>
      <c r="F67" s="7">
        <f t="shared" si="17"/>
        <v>45317.13</v>
      </c>
      <c r="G67" s="7">
        <f t="shared" si="17"/>
        <v>53759.759999999995</v>
      </c>
      <c r="H67" s="7">
        <f t="shared" si="17"/>
        <v>33763.15</v>
      </c>
      <c r="I67" s="7">
        <f t="shared" si="17"/>
        <v>32266.870000000003</v>
      </c>
      <c r="J67" s="7">
        <f t="shared" si="17"/>
        <v>33687.05</v>
      </c>
      <c r="K67" s="7">
        <f t="shared" si="17"/>
        <v>32975.035</v>
      </c>
      <c r="L67" s="7">
        <f t="shared" si="17"/>
        <v>29326.54</v>
      </c>
      <c r="M67" s="7">
        <f t="shared" si="17"/>
        <v>29142.75</v>
      </c>
      <c r="N67" s="7">
        <f t="shared" si="17"/>
        <v>30310.97</v>
      </c>
      <c r="O67" s="7">
        <f t="shared" si="17"/>
        <v>28785.575</v>
      </c>
      <c r="P67" s="7">
        <f t="shared" si="17"/>
        <v>33457.38</v>
      </c>
      <c r="Q67" s="7">
        <f t="shared" si="17"/>
        <v>38736.72</v>
      </c>
      <c r="R67" s="7">
        <f>R4+R11+R18+R27+R32+R36+R42+R46+R52</f>
        <v>547821.1494195999</v>
      </c>
    </row>
    <row r="69" spans="1:18" ht="11.25">
      <c r="A69" s="4" t="s">
        <v>82</v>
      </c>
      <c r="B69" s="5">
        <v>34156.58</v>
      </c>
      <c r="C69" s="5">
        <v>30434.33</v>
      </c>
      <c r="D69" s="5">
        <v>32956.58</v>
      </c>
      <c r="E69" s="5">
        <v>34759.58</v>
      </c>
      <c r="F69" s="5">
        <v>33888.23</v>
      </c>
      <c r="G69" s="5">
        <v>30777.89</v>
      </c>
      <c r="H69" s="5">
        <v>34265.83</v>
      </c>
      <c r="I69" s="5">
        <v>32606.26</v>
      </c>
      <c r="J69" s="5">
        <v>35039.89</v>
      </c>
      <c r="K69" s="5">
        <v>36204.55</v>
      </c>
      <c r="L69" s="5">
        <v>31942.04</v>
      </c>
      <c r="M69" s="5">
        <v>32204.33</v>
      </c>
      <c r="N69" s="5">
        <v>32204.33</v>
      </c>
      <c r="O69" s="5">
        <v>31942.04</v>
      </c>
      <c r="P69" s="5">
        <v>35602.73</v>
      </c>
      <c r="Q69" s="14">
        <v>31276.33</v>
      </c>
      <c r="R69" s="5">
        <f>SUM(B69:Q69)</f>
        <v>530261.52</v>
      </c>
    </row>
    <row r="70" spans="1:18" ht="11.25">
      <c r="A70" s="4" t="s">
        <v>83</v>
      </c>
      <c r="B70" s="5">
        <v>0</v>
      </c>
      <c r="C70" s="5">
        <v>17163</v>
      </c>
      <c r="D70" s="5">
        <v>29945</v>
      </c>
      <c r="E70" s="5">
        <v>31988</v>
      </c>
      <c r="F70" s="5">
        <v>21733</v>
      </c>
      <c r="G70" s="5">
        <v>29942</v>
      </c>
      <c r="H70" s="5">
        <v>32937</v>
      </c>
      <c r="I70" s="5">
        <v>28602</v>
      </c>
      <c r="J70" s="5">
        <v>24391</v>
      </c>
      <c r="K70" s="5">
        <v>25711</v>
      </c>
      <c r="L70" s="5">
        <v>34406</v>
      </c>
      <c r="M70" s="5">
        <v>22198</v>
      </c>
      <c r="N70" s="5">
        <v>31460</v>
      </c>
      <c r="O70" s="5">
        <v>35955</v>
      </c>
      <c r="P70" s="5">
        <v>18223</v>
      </c>
      <c r="Q70" s="14">
        <v>30625</v>
      </c>
      <c r="R70" s="5">
        <f>SUM(B70:Q70)</f>
        <v>415279</v>
      </c>
    </row>
    <row r="71" spans="1:18" ht="11.25">
      <c r="A71" s="4" t="s">
        <v>84</v>
      </c>
      <c r="B71" s="4">
        <v>50.25</v>
      </c>
      <c r="C71" s="4">
        <v>72.93</v>
      </c>
      <c r="D71" s="4">
        <v>81.08</v>
      </c>
      <c r="E71" s="4">
        <v>76.21</v>
      </c>
      <c r="F71" s="4">
        <v>78.69</v>
      </c>
      <c r="G71" s="4">
        <v>83.11</v>
      </c>
      <c r="H71" s="4">
        <v>83.17</v>
      </c>
      <c r="I71" s="4">
        <v>82.13</v>
      </c>
      <c r="J71" s="4">
        <v>81.11</v>
      </c>
      <c r="K71" s="4">
        <v>82.61</v>
      </c>
      <c r="L71" s="4">
        <v>81.47</v>
      </c>
      <c r="M71" s="4">
        <v>82.78</v>
      </c>
      <c r="N71" s="4">
        <v>84.93</v>
      </c>
      <c r="O71" s="4">
        <v>83.01</v>
      </c>
      <c r="P71" s="4">
        <v>83.22</v>
      </c>
      <c r="Q71" s="13">
        <v>83.04</v>
      </c>
      <c r="R71" s="5"/>
    </row>
    <row r="72" spans="1:18" ht="11.25">
      <c r="A72" s="8" t="s">
        <v>85</v>
      </c>
      <c r="B72" s="5">
        <f>B67</f>
        <v>30592.3394196</v>
      </c>
      <c r="C72" s="5">
        <f aca="true" t="shared" si="18" ref="C72:Q72">C67</f>
        <v>30117.5</v>
      </c>
      <c r="D72" s="5">
        <f t="shared" si="18"/>
        <v>31197.29</v>
      </c>
      <c r="E72" s="5">
        <f t="shared" si="18"/>
        <v>34385.09</v>
      </c>
      <c r="F72" s="5">
        <f t="shared" si="18"/>
        <v>45317.13</v>
      </c>
      <c r="G72" s="5">
        <f t="shared" si="18"/>
        <v>53759.759999999995</v>
      </c>
      <c r="H72" s="5">
        <f t="shared" si="18"/>
        <v>33763.15</v>
      </c>
      <c r="I72" s="5">
        <f t="shared" si="18"/>
        <v>32266.870000000003</v>
      </c>
      <c r="J72" s="5">
        <f t="shared" si="18"/>
        <v>33687.05</v>
      </c>
      <c r="K72" s="5">
        <f t="shared" si="18"/>
        <v>32975.035</v>
      </c>
      <c r="L72" s="5">
        <f t="shared" si="18"/>
        <v>29326.54</v>
      </c>
      <c r="M72" s="5">
        <f t="shared" si="18"/>
        <v>29142.75</v>
      </c>
      <c r="N72" s="5">
        <f t="shared" si="18"/>
        <v>30310.97</v>
      </c>
      <c r="O72" s="5">
        <f t="shared" si="18"/>
        <v>28785.575</v>
      </c>
      <c r="P72" s="5">
        <f t="shared" si="18"/>
        <v>33457.38</v>
      </c>
      <c r="Q72" s="14">
        <f t="shared" si="18"/>
        <v>38736.72</v>
      </c>
      <c r="R72" s="5">
        <f>SUM(B72:Q72)</f>
        <v>547821.1494196</v>
      </c>
    </row>
    <row r="73" spans="1:18" ht="11.25">
      <c r="A73" s="13" t="s">
        <v>135</v>
      </c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22"/>
      <c r="R73" s="5">
        <f>R70-R72</f>
        <v>-132542.14941960003</v>
      </c>
    </row>
    <row r="76" spans="2:17" ht="11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ht="11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ht="11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pane ySplit="2" topLeftCell="BM3" activePane="bottomLeft" state="frozen"/>
      <selection pane="topLeft" activeCell="A1" sqref="A1"/>
      <selection pane="bottomLeft" activeCell="P16" sqref="P16"/>
    </sheetView>
  </sheetViews>
  <sheetFormatPr defaultColWidth="9.00390625" defaultRowHeight="12.75"/>
  <cols>
    <col min="1" max="1" width="31.25390625" style="2" customWidth="1"/>
    <col min="2" max="7" width="8.875" style="2" customWidth="1"/>
    <col min="8" max="8" width="9.75390625" style="2" customWidth="1"/>
    <col min="9" max="16384" width="9.125" style="2" customWidth="1"/>
  </cols>
  <sheetData>
    <row r="1" spans="1:8" ht="11.25">
      <c r="A1" s="1" t="s">
        <v>97</v>
      </c>
      <c r="B1" s="1" t="s">
        <v>76</v>
      </c>
      <c r="C1" s="1"/>
      <c r="D1" s="1"/>
      <c r="E1" s="1"/>
      <c r="F1" s="1"/>
      <c r="G1" s="1"/>
      <c r="H1" s="1"/>
    </row>
    <row r="2" spans="1:8" ht="11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16</v>
      </c>
    </row>
    <row r="3" spans="1:8" ht="11.25">
      <c r="A3" s="3" t="s">
        <v>34</v>
      </c>
      <c r="B3" s="5"/>
      <c r="C3" s="5"/>
      <c r="D3" s="5"/>
      <c r="E3" s="5"/>
      <c r="F3" s="5"/>
      <c r="G3" s="5"/>
      <c r="H3" s="7"/>
    </row>
    <row r="4" spans="1:8" ht="11.25">
      <c r="A4" s="3" t="s">
        <v>26</v>
      </c>
      <c r="B4" s="7">
        <f aca="true" t="shared" si="0" ref="B4:H4">SUM(B5:B10)</f>
        <v>1835</v>
      </c>
      <c r="C4" s="7">
        <f t="shared" si="0"/>
        <v>1835</v>
      </c>
      <c r="D4" s="7">
        <f t="shared" si="0"/>
        <v>1835</v>
      </c>
      <c r="E4" s="7">
        <f t="shared" si="0"/>
        <v>12355</v>
      </c>
      <c r="F4" s="7">
        <f t="shared" si="0"/>
        <v>1835</v>
      </c>
      <c r="G4" s="7">
        <f t="shared" si="0"/>
        <v>1835</v>
      </c>
      <c r="H4" s="7">
        <f t="shared" si="0"/>
        <v>21530</v>
      </c>
    </row>
    <row r="5" spans="1:8" ht="11.25">
      <c r="A5" s="4" t="s">
        <v>27</v>
      </c>
      <c r="B5" s="5">
        <v>850</v>
      </c>
      <c r="C5" s="5">
        <v>850</v>
      </c>
      <c r="D5" s="5">
        <v>850</v>
      </c>
      <c r="E5" s="5">
        <v>850</v>
      </c>
      <c r="F5" s="5">
        <v>850</v>
      </c>
      <c r="G5" s="5">
        <v>850</v>
      </c>
      <c r="H5" s="7">
        <f aca="true" t="shared" si="1" ref="H5:H10">SUM(B5:G5)</f>
        <v>5100</v>
      </c>
    </row>
    <row r="6" spans="1:8" ht="11.25">
      <c r="A6" s="4" t="s">
        <v>30</v>
      </c>
      <c r="B6" s="5">
        <v>750</v>
      </c>
      <c r="C6" s="5">
        <v>750</v>
      </c>
      <c r="D6" s="5">
        <v>750</v>
      </c>
      <c r="E6" s="5">
        <v>750</v>
      </c>
      <c r="F6" s="5">
        <v>750</v>
      </c>
      <c r="G6" s="5">
        <v>750</v>
      </c>
      <c r="H6" s="7">
        <f t="shared" si="1"/>
        <v>4500</v>
      </c>
    </row>
    <row r="7" spans="1:8" ht="11.25">
      <c r="A7" s="4" t="s">
        <v>31</v>
      </c>
      <c r="B7" s="5">
        <v>150</v>
      </c>
      <c r="C7" s="5">
        <v>150</v>
      </c>
      <c r="D7" s="5">
        <v>150</v>
      </c>
      <c r="E7" s="5">
        <v>150</v>
      </c>
      <c r="F7" s="5">
        <v>150</v>
      </c>
      <c r="G7" s="5">
        <v>150</v>
      </c>
      <c r="H7" s="7">
        <f t="shared" si="1"/>
        <v>900</v>
      </c>
    </row>
    <row r="8" spans="1:8" ht="11.25">
      <c r="A8" s="4" t="s">
        <v>54</v>
      </c>
      <c r="B8" s="5">
        <v>85</v>
      </c>
      <c r="C8" s="5">
        <v>85</v>
      </c>
      <c r="D8" s="5">
        <v>85</v>
      </c>
      <c r="E8" s="5">
        <v>85</v>
      </c>
      <c r="F8" s="5">
        <v>85</v>
      </c>
      <c r="G8" s="5">
        <v>85</v>
      </c>
      <c r="H8" s="7">
        <f t="shared" si="1"/>
        <v>510</v>
      </c>
    </row>
    <row r="9" spans="1:8" ht="11.25">
      <c r="A9" s="4" t="s">
        <v>10</v>
      </c>
      <c r="B9" s="5">
        <v>0</v>
      </c>
      <c r="C9" s="5">
        <v>0</v>
      </c>
      <c r="D9" s="5">
        <v>0</v>
      </c>
      <c r="E9" s="5">
        <v>7520</v>
      </c>
      <c r="F9" s="5">
        <v>0</v>
      </c>
      <c r="G9" s="5">
        <v>0</v>
      </c>
      <c r="H9" s="7">
        <f t="shared" si="1"/>
        <v>7520</v>
      </c>
    </row>
    <row r="10" spans="1:8" ht="11.25">
      <c r="A10" s="4" t="s">
        <v>11</v>
      </c>
      <c r="B10" s="5">
        <v>0</v>
      </c>
      <c r="C10" s="5">
        <v>0</v>
      </c>
      <c r="D10" s="5">
        <v>0</v>
      </c>
      <c r="E10" s="5">
        <v>3000</v>
      </c>
      <c r="F10" s="5">
        <v>0</v>
      </c>
      <c r="G10" s="5">
        <v>0</v>
      </c>
      <c r="H10" s="7">
        <f t="shared" si="1"/>
        <v>3000</v>
      </c>
    </row>
    <row r="11" spans="1:8" ht="11.25">
      <c r="A11" s="3" t="s">
        <v>28</v>
      </c>
      <c r="B11" s="7">
        <f aca="true" t="shared" si="2" ref="B11:H11">SUM(B12:B17)</f>
        <v>1740</v>
      </c>
      <c r="C11" s="7">
        <f t="shared" si="2"/>
        <v>1390</v>
      </c>
      <c r="D11" s="7">
        <f t="shared" si="2"/>
        <v>1390</v>
      </c>
      <c r="E11" s="7">
        <f t="shared" si="2"/>
        <v>1870</v>
      </c>
      <c r="F11" s="7">
        <f t="shared" si="2"/>
        <v>1390</v>
      </c>
      <c r="G11" s="7">
        <f t="shared" si="2"/>
        <v>1390</v>
      </c>
      <c r="H11" s="7">
        <f t="shared" si="2"/>
        <v>9170</v>
      </c>
    </row>
    <row r="12" spans="1:8" ht="11.25">
      <c r="A12" s="4" t="s">
        <v>29</v>
      </c>
      <c r="B12" s="5">
        <v>850</v>
      </c>
      <c r="C12" s="5">
        <v>850</v>
      </c>
      <c r="D12" s="5">
        <v>850</v>
      </c>
      <c r="E12" s="5">
        <v>850</v>
      </c>
      <c r="F12" s="5">
        <v>850</v>
      </c>
      <c r="G12" s="5">
        <v>850</v>
      </c>
      <c r="H12" s="7">
        <f aca="true" t="shared" si="3" ref="H12:H17">SUM(B12:G12)</f>
        <v>5100</v>
      </c>
    </row>
    <row r="13" spans="1:8" ht="11.25">
      <c r="A13" s="4" t="s">
        <v>30</v>
      </c>
      <c r="B13" s="5">
        <v>500</v>
      </c>
      <c r="C13" s="5">
        <v>500</v>
      </c>
      <c r="D13" s="5">
        <v>500</v>
      </c>
      <c r="E13" s="5">
        <v>500</v>
      </c>
      <c r="F13" s="5">
        <v>500</v>
      </c>
      <c r="G13" s="5">
        <v>500</v>
      </c>
      <c r="H13" s="7">
        <f t="shared" si="3"/>
        <v>3000</v>
      </c>
    </row>
    <row r="14" spans="1: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7">
        <f t="shared" si="3"/>
        <v>0</v>
      </c>
    </row>
    <row r="15" spans="1:8" ht="11.25">
      <c r="A15" s="4" t="s">
        <v>54</v>
      </c>
      <c r="B15" s="5">
        <v>40</v>
      </c>
      <c r="C15" s="5">
        <v>40</v>
      </c>
      <c r="D15" s="5">
        <v>40</v>
      </c>
      <c r="E15" s="5">
        <v>40</v>
      </c>
      <c r="F15" s="5">
        <v>40</v>
      </c>
      <c r="G15" s="5">
        <v>40</v>
      </c>
      <c r="H15" s="7">
        <f t="shared" si="3"/>
        <v>240</v>
      </c>
    </row>
    <row r="16" spans="1:8" ht="11.25">
      <c r="A16" s="4" t="s">
        <v>12</v>
      </c>
      <c r="B16" s="5">
        <v>350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7">
        <f t="shared" si="3"/>
        <v>350</v>
      </c>
    </row>
    <row r="17" spans="1:8" ht="11.25">
      <c r="A17" s="4" t="s">
        <v>13</v>
      </c>
      <c r="B17" s="5">
        <v>0</v>
      </c>
      <c r="C17" s="5">
        <v>0</v>
      </c>
      <c r="D17" s="5">
        <v>0</v>
      </c>
      <c r="E17" s="5">
        <v>480</v>
      </c>
      <c r="F17" s="5">
        <v>0</v>
      </c>
      <c r="G17" s="5">
        <v>0</v>
      </c>
      <c r="H17" s="7">
        <f t="shared" si="3"/>
        <v>480</v>
      </c>
    </row>
    <row r="18" spans="1:8" ht="11.25">
      <c r="A18" s="3" t="s">
        <v>40</v>
      </c>
      <c r="B18" s="7">
        <f aca="true" t="shared" si="4" ref="B18:H18">SUM(B19:B22)</f>
        <v>0</v>
      </c>
      <c r="C18" s="7">
        <f t="shared" si="4"/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 t="shared" si="4"/>
        <v>0</v>
      </c>
    </row>
    <row r="19" spans="1:8" ht="11.25">
      <c r="A19" s="4" t="s">
        <v>98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7">
        <f>SUM(B19:G19)</f>
        <v>0</v>
      </c>
    </row>
    <row r="20" spans="1:8" ht="11.25">
      <c r="A20" s="4" t="s">
        <v>99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7">
        <f>SUM(B20:G20)</f>
        <v>0</v>
      </c>
    </row>
    <row r="21" spans="1:8" ht="11.25">
      <c r="A21" s="4" t="s">
        <v>61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7">
        <f>SUM(B21:G21)</f>
        <v>0</v>
      </c>
    </row>
    <row r="22" spans="1:8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7">
        <f>SUM(B22:G22)</f>
        <v>0</v>
      </c>
    </row>
    <row r="23" spans="1:8" ht="11.25">
      <c r="A23" s="3" t="s">
        <v>23</v>
      </c>
      <c r="B23" s="7">
        <f aca="true" t="shared" si="5" ref="B23:H23">SUM(B24:B27)</f>
        <v>1750</v>
      </c>
      <c r="C23" s="7">
        <f t="shared" si="5"/>
        <v>1990</v>
      </c>
      <c r="D23" s="7">
        <f t="shared" si="5"/>
        <v>1750</v>
      </c>
      <c r="E23" s="7">
        <f t="shared" si="5"/>
        <v>1750</v>
      </c>
      <c r="F23" s="7">
        <f t="shared" si="5"/>
        <v>2020</v>
      </c>
      <c r="G23" s="7">
        <f t="shared" si="5"/>
        <v>1750</v>
      </c>
      <c r="H23" s="7">
        <f t="shared" si="5"/>
        <v>11010</v>
      </c>
    </row>
    <row r="24" spans="1:8" ht="11.25">
      <c r="A24" s="4" t="s">
        <v>24</v>
      </c>
      <c r="B24" s="5">
        <v>875</v>
      </c>
      <c r="C24" s="5">
        <v>875</v>
      </c>
      <c r="D24" s="5">
        <v>875</v>
      </c>
      <c r="E24" s="5">
        <v>875</v>
      </c>
      <c r="F24" s="5">
        <v>875</v>
      </c>
      <c r="G24" s="5">
        <v>875</v>
      </c>
      <c r="H24" s="7">
        <f>SUM(B24:G24)</f>
        <v>5250</v>
      </c>
    </row>
    <row r="25" spans="1:8" ht="11.25">
      <c r="A25" s="4" t="s">
        <v>7</v>
      </c>
      <c r="B25" s="5">
        <v>0</v>
      </c>
      <c r="C25" s="5">
        <v>120</v>
      </c>
      <c r="D25" s="5">
        <v>0</v>
      </c>
      <c r="E25" s="5">
        <v>0</v>
      </c>
      <c r="F25" s="5">
        <v>135</v>
      </c>
      <c r="G25" s="5">
        <v>0</v>
      </c>
      <c r="H25" s="7">
        <f>SUM(B25:G25)</f>
        <v>255</v>
      </c>
    </row>
    <row r="26" spans="1:8" ht="11.25">
      <c r="A26" s="4" t="s">
        <v>25</v>
      </c>
      <c r="B26" s="5">
        <v>875</v>
      </c>
      <c r="C26" s="5">
        <v>875</v>
      </c>
      <c r="D26" s="5">
        <v>875</v>
      </c>
      <c r="E26" s="5">
        <v>875</v>
      </c>
      <c r="F26" s="5">
        <v>875</v>
      </c>
      <c r="G26" s="5">
        <v>875</v>
      </c>
      <c r="H26" s="7">
        <f>SUM(B26:G26)</f>
        <v>5250</v>
      </c>
    </row>
    <row r="27" spans="1:8" ht="11.25">
      <c r="A27" s="4" t="s">
        <v>8</v>
      </c>
      <c r="B27" s="5">
        <v>0</v>
      </c>
      <c r="C27" s="5">
        <v>120</v>
      </c>
      <c r="D27" s="5">
        <v>0</v>
      </c>
      <c r="E27" s="5">
        <v>0</v>
      </c>
      <c r="F27" s="5">
        <v>135</v>
      </c>
      <c r="G27" s="5">
        <v>0</v>
      </c>
      <c r="H27" s="7">
        <f>SUM(B27:G27)</f>
        <v>255</v>
      </c>
    </row>
    <row r="28" spans="1:8" ht="11.25">
      <c r="A28" s="3" t="s">
        <v>32</v>
      </c>
      <c r="B28" s="7">
        <f aca="true" t="shared" si="6" ref="B28:H28">SUM(B29:B31)</f>
        <v>2514.6837066000003</v>
      </c>
      <c r="C28" s="7">
        <f t="shared" si="6"/>
        <v>2514.6837066000003</v>
      </c>
      <c r="D28" s="7">
        <f t="shared" si="6"/>
        <v>2514.6837066000003</v>
      </c>
      <c r="E28" s="7">
        <f t="shared" si="6"/>
        <v>2514.6837066000003</v>
      </c>
      <c r="F28" s="7">
        <f t="shared" si="6"/>
        <v>2514.6837066000003</v>
      </c>
      <c r="G28" s="7">
        <f t="shared" si="6"/>
        <v>2514.6837066000003</v>
      </c>
      <c r="H28" s="7">
        <f t="shared" si="6"/>
        <v>15088.102239599999</v>
      </c>
    </row>
    <row r="29" spans="1:8" ht="11.25">
      <c r="A29" s="4" t="s">
        <v>41</v>
      </c>
      <c r="B29" s="5">
        <f aca="true" t="shared" si="7" ref="B29:G29">(0.75*15*412.62)/2</f>
        <v>2320.9875</v>
      </c>
      <c r="C29" s="5">
        <f t="shared" si="7"/>
        <v>2320.9875</v>
      </c>
      <c r="D29" s="5">
        <f t="shared" si="7"/>
        <v>2320.9875</v>
      </c>
      <c r="E29" s="5">
        <f t="shared" si="7"/>
        <v>2320.9875</v>
      </c>
      <c r="F29" s="5">
        <f t="shared" si="7"/>
        <v>2320.9875</v>
      </c>
      <c r="G29" s="5">
        <f t="shared" si="7"/>
        <v>2320.9875</v>
      </c>
      <c r="H29" s="7">
        <f>SUM(B29:G29)</f>
        <v>13925.925</v>
      </c>
    </row>
    <row r="30" spans="1:8" ht="11.25">
      <c r="A30" s="4" t="s">
        <v>18</v>
      </c>
      <c r="B30" s="5">
        <f aca="true" t="shared" si="8" ref="B30:G30">361.1*0.0013*412.62</f>
        <v>193.6962066</v>
      </c>
      <c r="C30" s="5">
        <f t="shared" si="8"/>
        <v>193.6962066</v>
      </c>
      <c r="D30" s="5">
        <f t="shared" si="8"/>
        <v>193.6962066</v>
      </c>
      <c r="E30" s="5">
        <f t="shared" si="8"/>
        <v>193.6962066</v>
      </c>
      <c r="F30" s="5">
        <f t="shared" si="8"/>
        <v>193.6962066</v>
      </c>
      <c r="G30" s="5">
        <f t="shared" si="8"/>
        <v>193.6962066</v>
      </c>
      <c r="H30" s="7">
        <f>SUM(B30:G30)</f>
        <v>1162.1772396000001</v>
      </c>
    </row>
    <row r="31" spans="1:8" ht="11.25">
      <c r="A31" s="4" t="s">
        <v>58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7">
        <f>SUM(B31:G31)</f>
        <v>0</v>
      </c>
    </row>
    <row r="32" spans="1:8" ht="11.25">
      <c r="A32" s="3" t="s">
        <v>22</v>
      </c>
      <c r="B32" s="7">
        <f aca="true" t="shared" si="9" ref="B32:H32">SUM(B33:B36)</f>
        <v>0</v>
      </c>
      <c r="C32" s="7">
        <f t="shared" si="9"/>
        <v>0</v>
      </c>
      <c r="D32" s="7">
        <f t="shared" si="9"/>
        <v>625</v>
      </c>
      <c r="E32" s="7">
        <f t="shared" si="9"/>
        <v>500</v>
      </c>
      <c r="F32" s="7">
        <f t="shared" si="9"/>
        <v>0</v>
      </c>
      <c r="G32" s="7">
        <f t="shared" si="9"/>
        <v>0</v>
      </c>
      <c r="H32" s="7">
        <f t="shared" si="9"/>
        <v>1125</v>
      </c>
    </row>
    <row r="33" spans="1:8" ht="11.25">
      <c r="A33" s="4" t="s">
        <v>9</v>
      </c>
      <c r="B33" s="5">
        <v>0</v>
      </c>
      <c r="C33" s="5">
        <v>0</v>
      </c>
      <c r="D33" s="5">
        <f>1250/2</f>
        <v>625</v>
      </c>
      <c r="E33" s="5">
        <v>0</v>
      </c>
      <c r="F33" s="5">
        <v>0</v>
      </c>
      <c r="G33" s="5">
        <v>0</v>
      </c>
      <c r="H33" s="7">
        <f>SUM(B33:G33)</f>
        <v>625</v>
      </c>
    </row>
    <row r="34" spans="1:8" ht="11.25">
      <c r="A34" s="4" t="s">
        <v>21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7">
        <f>SUM(B34:G34)</f>
        <v>0</v>
      </c>
    </row>
    <row r="35" spans="1:8" ht="11.25">
      <c r="A35" s="4" t="s">
        <v>94</v>
      </c>
      <c r="B35" s="5">
        <v>0</v>
      </c>
      <c r="C35" s="5">
        <v>0</v>
      </c>
      <c r="D35" s="5">
        <v>0</v>
      </c>
      <c r="E35" s="5">
        <v>500</v>
      </c>
      <c r="F35" s="5">
        <v>0</v>
      </c>
      <c r="G35" s="5">
        <v>0</v>
      </c>
      <c r="H35" s="7">
        <f>SUM(B35:G35)</f>
        <v>500</v>
      </c>
    </row>
    <row r="36" spans="1:8" ht="11.25">
      <c r="A36" s="4" t="s">
        <v>100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7">
        <f>SUM(B36:G36)</f>
        <v>0</v>
      </c>
    </row>
    <row r="37" spans="1:8" ht="11.25">
      <c r="A37" s="3" t="s">
        <v>33</v>
      </c>
      <c r="B37" s="7">
        <f aca="true" t="shared" si="10" ref="B37:H37">SUM(B38:B39)</f>
        <v>0</v>
      </c>
      <c r="C37" s="7">
        <f t="shared" si="10"/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  <c r="H37" s="7">
        <f t="shared" si="10"/>
        <v>0</v>
      </c>
    </row>
    <row r="38" spans="1:8" ht="11.25">
      <c r="A38" s="4" t="s">
        <v>101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7">
        <f>SUM(B38:G38)</f>
        <v>0</v>
      </c>
    </row>
    <row r="39" spans="1:8" ht="11.25">
      <c r="A39" s="4" t="s">
        <v>19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7">
        <f>SUM(B39:G39)</f>
        <v>0</v>
      </c>
    </row>
    <row r="40" spans="1:8" ht="11.25">
      <c r="A40" s="3" t="s">
        <v>47</v>
      </c>
      <c r="B40" s="7">
        <f aca="true" t="shared" si="11" ref="B40:H40">B41</f>
        <v>0</v>
      </c>
      <c r="C40" s="7">
        <f t="shared" si="11"/>
        <v>0</v>
      </c>
      <c r="D40" s="7">
        <f t="shared" si="11"/>
        <v>0</v>
      </c>
      <c r="E40" s="7">
        <f t="shared" si="11"/>
        <v>0</v>
      </c>
      <c r="F40" s="7">
        <f t="shared" si="11"/>
        <v>0</v>
      </c>
      <c r="G40" s="7">
        <f t="shared" si="11"/>
        <v>0</v>
      </c>
      <c r="H40" s="7">
        <f t="shared" si="11"/>
        <v>0</v>
      </c>
    </row>
    <row r="41" spans="1:8" ht="11.25">
      <c r="A41" s="4" t="s">
        <v>17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7">
        <f>SUM(B41:G41)</f>
        <v>0</v>
      </c>
    </row>
    <row r="42" spans="1:8" ht="11.25">
      <c r="A42" s="3" t="s">
        <v>42</v>
      </c>
      <c r="B42" s="7">
        <f aca="true" t="shared" si="12" ref="B42:H42">SUM(B43:B46)</f>
        <v>4324.8375</v>
      </c>
      <c r="C42" s="7">
        <f t="shared" si="12"/>
        <v>3722.935</v>
      </c>
      <c r="D42" s="7">
        <f t="shared" si="12"/>
        <v>3737.3566666666666</v>
      </c>
      <c r="E42" s="7">
        <f t="shared" si="12"/>
        <v>4431.425</v>
      </c>
      <c r="F42" s="7">
        <f t="shared" si="12"/>
        <v>4217.67</v>
      </c>
      <c r="G42" s="7">
        <f t="shared" si="12"/>
        <v>3765.93</v>
      </c>
      <c r="H42" s="7">
        <f t="shared" si="12"/>
        <v>24200.154166666667</v>
      </c>
    </row>
    <row r="43" spans="1:8" ht="11.25">
      <c r="A43" s="4" t="s">
        <v>20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7">
        <f>SUM(B43:G43)</f>
        <v>0</v>
      </c>
    </row>
    <row r="44" spans="1:8" ht="11.25">
      <c r="A44" s="4" t="s">
        <v>43</v>
      </c>
      <c r="B44" s="5">
        <v>75.15</v>
      </c>
      <c r="C44" s="5">
        <v>72.69</v>
      </c>
      <c r="D44" s="5">
        <v>83.96</v>
      </c>
      <c r="E44" s="5">
        <v>117.85</v>
      </c>
      <c r="F44" s="5">
        <v>131.65</v>
      </c>
      <c r="G44" s="5">
        <v>133.47</v>
      </c>
      <c r="H44" s="7">
        <f>SUM(B44:G44)</f>
        <v>614.77</v>
      </c>
    </row>
    <row r="45" spans="1:8" ht="11.25">
      <c r="A45" s="4" t="s">
        <v>44</v>
      </c>
      <c r="B45" s="12">
        <f>198.75/4</f>
        <v>49.6875</v>
      </c>
      <c r="C45" s="12">
        <f>200.98/4</f>
        <v>50.245</v>
      </c>
      <c r="D45" s="12">
        <f>320.38/6</f>
        <v>53.39666666666667</v>
      </c>
      <c r="E45" s="12">
        <f>201.45/6</f>
        <v>33.574999999999996</v>
      </c>
      <c r="F45" s="12">
        <f>180.1/5</f>
        <v>36.019999999999996</v>
      </c>
      <c r="G45" s="12">
        <v>32.46</v>
      </c>
      <c r="H45" s="7">
        <f>SUM(B45:G45)</f>
        <v>255.3841666666667</v>
      </c>
    </row>
    <row r="46" spans="1:8" ht="11.25">
      <c r="A46" s="4" t="s">
        <v>102</v>
      </c>
      <c r="B46" s="5">
        <v>4200</v>
      </c>
      <c r="C46" s="5">
        <v>3600</v>
      </c>
      <c r="D46" s="5">
        <v>3600</v>
      </c>
      <c r="E46" s="5">
        <v>4280</v>
      </c>
      <c r="F46" s="5">
        <v>4050</v>
      </c>
      <c r="G46" s="5">
        <v>3600</v>
      </c>
      <c r="H46" s="7">
        <f>SUM(B46:G46)</f>
        <v>23330</v>
      </c>
    </row>
    <row r="47" spans="1:8" ht="11.25">
      <c r="A47" s="3" t="s">
        <v>75</v>
      </c>
      <c r="B47" s="7">
        <f aca="true" t="shared" si="13" ref="B47:G47">361.1*5</f>
        <v>1805.5</v>
      </c>
      <c r="C47" s="7">
        <f t="shared" si="13"/>
        <v>1805.5</v>
      </c>
      <c r="D47" s="7">
        <f t="shared" si="13"/>
        <v>1805.5</v>
      </c>
      <c r="E47" s="7">
        <f t="shared" si="13"/>
        <v>1805.5</v>
      </c>
      <c r="F47" s="7">
        <f t="shared" si="13"/>
        <v>1805.5</v>
      </c>
      <c r="G47" s="7">
        <f t="shared" si="13"/>
        <v>1805.5</v>
      </c>
      <c r="H47" s="7">
        <f>SUM(B47:G47)</f>
        <v>10833</v>
      </c>
    </row>
    <row r="48" spans="1:8" ht="11.25">
      <c r="A48" s="3" t="s">
        <v>96</v>
      </c>
      <c r="B48" s="7">
        <f aca="true" t="shared" si="14" ref="B48:H48">SUM(B49:B61)</f>
        <v>1805.4999999999998</v>
      </c>
      <c r="C48" s="7">
        <f t="shared" si="14"/>
        <v>1805.4999999999998</v>
      </c>
      <c r="D48" s="7">
        <f t="shared" si="14"/>
        <v>1805.4999999999998</v>
      </c>
      <c r="E48" s="7">
        <f t="shared" si="14"/>
        <v>1805.4999999999998</v>
      </c>
      <c r="F48" s="7">
        <f t="shared" si="14"/>
        <v>1805.4999999999998</v>
      </c>
      <c r="G48" s="7">
        <f t="shared" si="14"/>
        <v>1805.4999999999998</v>
      </c>
      <c r="H48" s="7">
        <f t="shared" si="14"/>
        <v>10833</v>
      </c>
    </row>
    <row r="49" spans="1:8" ht="11.25">
      <c r="A49" s="4" t="s">
        <v>50</v>
      </c>
      <c r="B49" s="5">
        <v>155.27</v>
      </c>
      <c r="C49" s="5">
        <v>155.27</v>
      </c>
      <c r="D49" s="5">
        <v>155.27</v>
      </c>
      <c r="E49" s="5">
        <v>155.27</v>
      </c>
      <c r="F49" s="5">
        <v>155.27</v>
      </c>
      <c r="G49" s="5">
        <v>155.27</v>
      </c>
      <c r="H49" s="7">
        <f aca="true" t="shared" si="15" ref="H49:H61">SUM(B49:G49)</f>
        <v>931.62</v>
      </c>
    </row>
    <row r="50" spans="1:8" ht="11.25">
      <c r="A50" s="4" t="s">
        <v>49</v>
      </c>
      <c r="B50" s="5">
        <v>140</v>
      </c>
      <c r="C50" s="5">
        <v>140</v>
      </c>
      <c r="D50" s="5">
        <v>140</v>
      </c>
      <c r="E50" s="5">
        <v>140</v>
      </c>
      <c r="F50" s="5">
        <v>140</v>
      </c>
      <c r="G50" s="5">
        <v>140</v>
      </c>
      <c r="H50" s="7">
        <f t="shared" si="15"/>
        <v>840</v>
      </c>
    </row>
    <row r="51" spans="1:8" ht="11.25">
      <c r="A51" s="4" t="s">
        <v>35</v>
      </c>
      <c r="B51" s="5">
        <v>75</v>
      </c>
      <c r="C51" s="5">
        <v>75</v>
      </c>
      <c r="D51" s="5">
        <v>75</v>
      </c>
      <c r="E51" s="5">
        <v>75</v>
      </c>
      <c r="F51" s="5">
        <v>75</v>
      </c>
      <c r="G51" s="5">
        <v>75</v>
      </c>
      <c r="H51" s="7">
        <f t="shared" si="15"/>
        <v>450</v>
      </c>
    </row>
    <row r="52" spans="1:8" ht="11.25">
      <c r="A52" s="4" t="s">
        <v>62</v>
      </c>
      <c r="B52" s="5">
        <v>22.39</v>
      </c>
      <c r="C52" s="5">
        <v>22.39</v>
      </c>
      <c r="D52" s="5">
        <v>22.39</v>
      </c>
      <c r="E52" s="5">
        <v>22.39</v>
      </c>
      <c r="F52" s="5">
        <v>22.39</v>
      </c>
      <c r="G52" s="5">
        <v>22.39</v>
      </c>
      <c r="H52" s="7">
        <f t="shared" si="15"/>
        <v>134.34</v>
      </c>
    </row>
    <row r="53" spans="1:8" ht="11.25">
      <c r="A53" s="4" t="s">
        <v>64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7">
        <f t="shared" si="15"/>
        <v>0</v>
      </c>
    </row>
    <row r="54" spans="1:8" ht="11.25">
      <c r="A54" s="4" t="s">
        <v>51</v>
      </c>
      <c r="B54" s="5">
        <v>30</v>
      </c>
      <c r="C54" s="5">
        <v>30</v>
      </c>
      <c r="D54" s="5">
        <v>30</v>
      </c>
      <c r="E54" s="5">
        <v>30</v>
      </c>
      <c r="F54" s="5">
        <v>30</v>
      </c>
      <c r="G54" s="5">
        <v>30</v>
      </c>
      <c r="H54" s="7">
        <f t="shared" si="15"/>
        <v>180</v>
      </c>
    </row>
    <row r="55" spans="1:8" ht="11.25">
      <c r="A55" s="4" t="s">
        <v>52</v>
      </c>
      <c r="B55" s="5">
        <v>150</v>
      </c>
      <c r="C55" s="5">
        <v>150</v>
      </c>
      <c r="D55" s="5">
        <v>150</v>
      </c>
      <c r="E55" s="5">
        <v>150</v>
      </c>
      <c r="F55" s="5">
        <v>150</v>
      </c>
      <c r="G55" s="5">
        <v>150</v>
      </c>
      <c r="H55" s="7">
        <f t="shared" si="15"/>
        <v>900</v>
      </c>
    </row>
    <row r="56" spans="1:8" ht="11.25">
      <c r="A56" s="4" t="s">
        <v>14</v>
      </c>
      <c r="B56" s="5">
        <v>146.45</v>
      </c>
      <c r="C56" s="5">
        <v>146.45</v>
      </c>
      <c r="D56" s="5">
        <v>146.45</v>
      </c>
      <c r="E56" s="5">
        <v>146.45</v>
      </c>
      <c r="F56" s="5">
        <v>146.45</v>
      </c>
      <c r="G56" s="5">
        <v>146.45</v>
      </c>
      <c r="H56" s="7">
        <f t="shared" si="15"/>
        <v>878.7</v>
      </c>
    </row>
    <row r="57" spans="1:8" ht="11.25">
      <c r="A57" s="4" t="s">
        <v>70</v>
      </c>
      <c r="B57" s="5">
        <v>85</v>
      </c>
      <c r="C57" s="5">
        <v>85</v>
      </c>
      <c r="D57" s="5">
        <v>85</v>
      </c>
      <c r="E57" s="5">
        <v>85</v>
      </c>
      <c r="F57" s="5">
        <v>85</v>
      </c>
      <c r="G57" s="5">
        <v>85</v>
      </c>
      <c r="H57" s="7">
        <f t="shared" si="15"/>
        <v>510</v>
      </c>
    </row>
    <row r="58" spans="1:8" ht="11.25">
      <c r="A58" s="4" t="s">
        <v>65</v>
      </c>
      <c r="B58" s="5">
        <v>150</v>
      </c>
      <c r="C58" s="5">
        <v>150</v>
      </c>
      <c r="D58" s="5">
        <v>150</v>
      </c>
      <c r="E58" s="5">
        <v>150</v>
      </c>
      <c r="F58" s="5">
        <v>150</v>
      </c>
      <c r="G58" s="5">
        <v>150</v>
      </c>
      <c r="H58" s="7">
        <f t="shared" si="15"/>
        <v>900</v>
      </c>
    </row>
    <row r="59" spans="1:8" ht="11.25">
      <c r="A59" s="4" t="s">
        <v>66</v>
      </c>
      <c r="B59" s="5">
        <v>125</v>
      </c>
      <c r="C59" s="5">
        <v>125</v>
      </c>
      <c r="D59" s="5">
        <v>125</v>
      </c>
      <c r="E59" s="5">
        <v>125</v>
      </c>
      <c r="F59" s="5">
        <v>125</v>
      </c>
      <c r="G59" s="5">
        <v>125</v>
      </c>
      <c r="H59" s="7">
        <f t="shared" si="15"/>
        <v>750</v>
      </c>
    </row>
    <row r="60" spans="1:8" ht="11.25">
      <c r="A60" s="4" t="s">
        <v>53</v>
      </c>
      <c r="B60" s="5">
        <v>623.88</v>
      </c>
      <c r="C60" s="5">
        <v>623.88</v>
      </c>
      <c r="D60" s="5">
        <v>623.88</v>
      </c>
      <c r="E60" s="5">
        <v>623.88</v>
      </c>
      <c r="F60" s="5">
        <v>623.88</v>
      </c>
      <c r="G60" s="5">
        <v>623.88</v>
      </c>
      <c r="H60" s="7">
        <f t="shared" si="15"/>
        <v>3743.28</v>
      </c>
    </row>
    <row r="61" spans="1:8" ht="11.25">
      <c r="A61" s="4" t="s">
        <v>36</v>
      </c>
      <c r="B61" s="5">
        <v>102.51</v>
      </c>
      <c r="C61" s="5">
        <v>102.51</v>
      </c>
      <c r="D61" s="5">
        <v>102.51</v>
      </c>
      <c r="E61" s="5">
        <v>102.51</v>
      </c>
      <c r="F61" s="5">
        <v>102.51</v>
      </c>
      <c r="G61" s="5">
        <v>102.51</v>
      </c>
      <c r="H61" s="7">
        <f t="shared" si="15"/>
        <v>615.0600000000001</v>
      </c>
    </row>
    <row r="62" spans="1:8" ht="11.25">
      <c r="A62" s="3" t="s">
        <v>15</v>
      </c>
      <c r="B62" s="7">
        <f aca="true" t="shared" si="16" ref="B62:H62">B4+B11+B18+B23+B28+B32+B37+B40+B42+B48</f>
        <v>13970.0212066</v>
      </c>
      <c r="C62" s="7">
        <f t="shared" si="16"/>
        <v>13258.1187066</v>
      </c>
      <c r="D62" s="7">
        <f t="shared" si="16"/>
        <v>13657.540373266667</v>
      </c>
      <c r="E62" s="7">
        <f t="shared" si="16"/>
        <v>25226.6087066</v>
      </c>
      <c r="F62" s="7">
        <f t="shared" si="16"/>
        <v>13782.8537066</v>
      </c>
      <c r="G62" s="7">
        <f t="shared" si="16"/>
        <v>13061.113706600001</v>
      </c>
      <c r="H62" s="7">
        <f t="shared" si="16"/>
        <v>92956.25640626666</v>
      </c>
    </row>
    <row r="64" spans="1:8" ht="11.25">
      <c r="A64" s="4" t="s">
        <v>82</v>
      </c>
      <c r="B64" s="5">
        <v>11222.27</v>
      </c>
      <c r="C64" s="5">
        <v>10622.27</v>
      </c>
      <c r="D64" s="5">
        <v>11780.89</v>
      </c>
      <c r="E64" s="5">
        <v>13319.36</v>
      </c>
      <c r="F64" s="5">
        <v>13089.36</v>
      </c>
      <c r="G64" s="5">
        <v>12342.36</v>
      </c>
      <c r="H64" s="5">
        <f>SUM(B64:G64)</f>
        <v>72376.51000000001</v>
      </c>
    </row>
    <row r="65" spans="1:8" ht="11.25">
      <c r="A65" s="4" t="s">
        <v>83</v>
      </c>
      <c r="B65" s="5">
        <v>7525</v>
      </c>
      <c r="C65" s="5">
        <v>5208</v>
      </c>
      <c r="D65" s="5">
        <v>4680</v>
      </c>
      <c r="E65" s="5">
        <v>4777</v>
      </c>
      <c r="F65" s="5">
        <v>7277</v>
      </c>
      <c r="G65" s="5">
        <v>5287</v>
      </c>
      <c r="H65" s="5">
        <f>SUM(B65:G65)</f>
        <v>34754</v>
      </c>
    </row>
    <row r="66" spans="1:8" ht="11.25">
      <c r="A66" s="4" t="s">
        <v>84</v>
      </c>
      <c r="B66" s="5">
        <v>92.49</v>
      </c>
      <c r="C66" s="5">
        <v>89.64</v>
      </c>
      <c r="D66" s="5">
        <v>86.63</v>
      </c>
      <c r="E66" s="5">
        <v>84.56</v>
      </c>
      <c r="F66" s="5">
        <v>81.91</v>
      </c>
      <c r="G66" s="5">
        <v>77.54</v>
      </c>
      <c r="H66" s="4"/>
    </row>
    <row r="67" spans="1:8" ht="11.25">
      <c r="A67" s="8" t="s">
        <v>85</v>
      </c>
      <c r="B67" s="5">
        <f aca="true" t="shared" si="17" ref="B67:G67">B62</f>
        <v>13970.0212066</v>
      </c>
      <c r="C67" s="5">
        <f t="shared" si="17"/>
        <v>13258.1187066</v>
      </c>
      <c r="D67" s="5">
        <f t="shared" si="17"/>
        <v>13657.540373266667</v>
      </c>
      <c r="E67" s="5">
        <f t="shared" si="17"/>
        <v>25226.6087066</v>
      </c>
      <c r="F67" s="5">
        <f t="shared" si="17"/>
        <v>13782.8537066</v>
      </c>
      <c r="G67" s="5">
        <f t="shared" si="17"/>
        <v>13061.113706600001</v>
      </c>
      <c r="H67" s="5">
        <f>SUM(B67:G67)</f>
        <v>92956.25640626668</v>
      </c>
    </row>
    <row r="68" spans="1:8" ht="11.25">
      <c r="A68" s="4" t="s">
        <v>86</v>
      </c>
      <c r="B68" s="14"/>
      <c r="C68" s="15"/>
      <c r="D68" s="15"/>
      <c r="E68" s="15"/>
      <c r="F68" s="15"/>
      <c r="G68" s="15"/>
      <c r="H68" s="5">
        <v>-112970.57</v>
      </c>
    </row>
    <row r="69" spans="1:8" ht="11.25">
      <c r="A69" s="4" t="s">
        <v>87</v>
      </c>
      <c r="B69" s="14"/>
      <c r="C69" s="15"/>
      <c r="D69" s="15"/>
      <c r="E69" s="15"/>
      <c r="F69" s="15"/>
      <c r="G69" s="15"/>
      <c r="H69" s="5">
        <f>H65-H67</f>
        <v>-58202.25640626668</v>
      </c>
    </row>
    <row r="70" spans="1:8" ht="11.25">
      <c r="A70" s="4" t="s">
        <v>88</v>
      </c>
      <c r="B70" s="14"/>
      <c r="C70" s="15"/>
      <c r="D70" s="15"/>
      <c r="E70" s="15"/>
      <c r="F70" s="15"/>
      <c r="G70" s="15"/>
      <c r="H70" s="5">
        <f>H68+H69</f>
        <v>-171172.8264062667</v>
      </c>
    </row>
  </sheetData>
  <printOptions/>
  <pageMargins left="0.75" right="0.17" top="0.36" bottom="0.59" header="0.2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pane ySplit="2" topLeftCell="BM3" activePane="bottomLeft" state="frozen"/>
      <selection pane="topLeft" activeCell="A1" sqref="A1"/>
      <selection pane="bottomLeft" activeCell="U9" sqref="U9"/>
    </sheetView>
  </sheetViews>
  <sheetFormatPr defaultColWidth="9.00390625" defaultRowHeight="12.75"/>
  <cols>
    <col min="1" max="1" width="31.25390625" style="2" customWidth="1"/>
    <col min="2" max="17" width="8.875" style="2" customWidth="1"/>
    <col min="18" max="18" width="9.75390625" style="2" customWidth="1"/>
    <col min="19" max="16384" width="9.125" style="2" customWidth="1"/>
  </cols>
  <sheetData>
    <row r="1" spans="1:18" ht="11.25">
      <c r="A1" s="1" t="s">
        <v>97</v>
      </c>
      <c r="B1" s="1"/>
      <c r="C1" s="1"/>
      <c r="D1" s="1"/>
      <c r="E1" s="1"/>
      <c r="F1" s="1" t="s">
        <v>147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>
      <c r="A2" s="3"/>
      <c r="B2" s="3" t="s">
        <v>148</v>
      </c>
      <c r="C2" s="3" t="s">
        <v>149</v>
      </c>
      <c r="D2" s="3" t="s">
        <v>123</v>
      </c>
      <c r="E2" s="3" t="s">
        <v>124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150</v>
      </c>
      <c r="M2" s="3" t="s">
        <v>151</v>
      </c>
      <c r="N2" s="3" t="s">
        <v>148</v>
      </c>
      <c r="O2" s="3" t="s">
        <v>149</v>
      </c>
      <c r="P2" s="3" t="s">
        <v>123</v>
      </c>
      <c r="Q2" s="3" t="s">
        <v>124</v>
      </c>
      <c r="R2" s="3" t="s">
        <v>16</v>
      </c>
    </row>
    <row r="3" spans="1:18" ht="11.25">
      <c r="A3" s="3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18" ht="11.25">
      <c r="A4" s="3" t="s">
        <v>26</v>
      </c>
      <c r="B4" s="7">
        <f>SUM(B5:B10)</f>
        <v>1845</v>
      </c>
      <c r="C4" s="7">
        <f aca="true" t="shared" si="0" ref="C4:R4">SUM(C5:C10)</f>
        <v>3545</v>
      </c>
      <c r="D4" s="7">
        <f t="shared" si="0"/>
        <v>1845</v>
      </c>
      <c r="E4" s="7">
        <f t="shared" si="0"/>
        <v>1845</v>
      </c>
      <c r="F4" s="7">
        <f t="shared" si="0"/>
        <v>1845</v>
      </c>
      <c r="G4" s="7">
        <f t="shared" si="0"/>
        <v>1845</v>
      </c>
      <c r="H4" s="7">
        <f t="shared" si="0"/>
        <v>1845</v>
      </c>
      <c r="I4" s="7">
        <f t="shared" si="0"/>
        <v>1845</v>
      </c>
      <c r="J4" s="7">
        <f t="shared" si="0"/>
        <v>1845</v>
      </c>
      <c r="K4" s="7">
        <f t="shared" si="0"/>
        <v>1845</v>
      </c>
      <c r="L4" s="7">
        <f t="shared" si="0"/>
        <v>1845</v>
      </c>
      <c r="M4" s="7">
        <f t="shared" si="0"/>
        <v>1845</v>
      </c>
      <c r="N4" s="7">
        <f t="shared" si="0"/>
        <v>1835</v>
      </c>
      <c r="O4" s="7">
        <f t="shared" si="0"/>
        <v>1835</v>
      </c>
      <c r="P4" s="7">
        <f t="shared" si="0"/>
        <v>1835</v>
      </c>
      <c r="Q4" s="7">
        <f t="shared" si="0"/>
        <v>1835</v>
      </c>
      <c r="R4" s="7">
        <f t="shared" si="0"/>
        <v>31180</v>
      </c>
    </row>
    <row r="5" spans="1:18" ht="11.25">
      <c r="A5" s="4" t="s">
        <v>27</v>
      </c>
      <c r="B5" s="5">
        <v>850</v>
      </c>
      <c r="C5" s="5">
        <v>850</v>
      </c>
      <c r="D5" s="5">
        <v>850</v>
      </c>
      <c r="E5" s="5">
        <v>850</v>
      </c>
      <c r="F5" s="5">
        <v>850</v>
      </c>
      <c r="G5" s="5">
        <v>850</v>
      </c>
      <c r="H5" s="5">
        <v>850</v>
      </c>
      <c r="I5" s="5">
        <v>850</v>
      </c>
      <c r="J5" s="5">
        <v>850</v>
      </c>
      <c r="K5" s="5">
        <v>850</v>
      </c>
      <c r="L5" s="5">
        <v>850</v>
      </c>
      <c r="M5" s="5">
        <v>850</v>
      </c>
      <c r="N5" s="5">
        <v>850</v>
      </c>
      <c r="O5" s="5">
        <v>850</v>
      </c>
      <c r="P5" s="5">
        <v>850</v>
      </c>
      <c r="Q5" s="5">
        <v>850</v>
      </c>
      <c r="R5" s="7">
        <f aca="true" t="shared" si="1" ref="R5:R10">SUM(B5:Q5)</f>
        <v>13600</v>
      </c>
    </row>
    <row r="6" spans="1:18" ht="11.25">
      <c r="A6" s="4" t="s">
        <v>30</v>
      </c>
      <c r="B6" s="5">
        <v>750</v>
      </c>
      <c r="C6" s="5">
        <v>750</v>
      </c>
      <c r="D6" s="5">
        <v>750</v>
      </c>
      <c r="E6" s="5">
        <v>750</v>
      </c>
      <c r="F6" s="5">
        <v>750</v>
      </c>
      <c r="G6" s="5">
        <v>750</v>
      </c>
      <c r="H6" s="5">
        <v>750</v>
      </c>
      <c r="I6" s="5">
        <v>750</v>
      </c>
      <c r="J6" s="5">
        <v>750</v>
      </c>
      <c r="K6" s="5">
        <v>750</v>
      </c>
      <c r="L6" s="5">
        <v>750</v>
      </c>
      <c r="M6" s="5">
        <v>750</v>
      </c>
      <c r="N6" s="5">
        <v>750</v>
      </c>
      <c r="O6" s="5">
        <v>750</v>
      </c>
      <c r="P6" s="5">
        <v>750</v>
      </c>
      <c r="Q6" s="5">
        <v>750</v>
      </c>
      <c r="R6" s="7">
        <f t="shared" si="1"/>
        <v>12000</v>
      </c>
    </row>
    <row r="7" spans="1:18" ht="11.25">
      <c r="A7" s="4" t="s">
        <v>31</v>
      </c>
      <c r="B7" s="5">
        <v>150</v>
      </c>
      <c r="C7" s="5">
        <v>150</v>
      </c>
      <c r="D7" s="5">
        <v>150</v>
      </c>
      <c r="E7" s="5">
        <v>150</v>
      </c>
      <c r="F7" s="5">
        <v>150</v>
      </c>
      <c r="G7" s="5">
        <v>150</v>
      </c>
      <c r="H7" s="5">
        <v>150</v>
      </c>
      <c r="I7" s="5">
        <v>150</v>
      </c>
      <c r="J7" s="5">
        <v>150</v>
      </c>
      <c r="K7" s="5">
        <v>150</v>
      </c>
      <c r="L7" s="5">
        <v>150</v>
      </c>
      <c r="M7" s="5">
        <v>150</v>
      </c>
      <c r="N7" s="5">
        <v>150</v>
      </c>
      <c r="O7" s="5">
        <v>150</v>
      </c>
      <c r="P7" s="5">
        <v>150</v>
      </c>
      <c r="Q7" s="5">
        <v>150</v>
      </c>
      <c r="R7" s="7">
        <f t="shared" si="1"/>
        <v>2400</v>
      </c>
    </row>
    <row r="8" spans="1:18" ht="11.25">
      <c r="A8" s="4" t="s">
        <v>54</v>
      </c>
      <c r="B8" s="5">
        <v>95</v>
      </c>
      <c r="C8" s="5">
        <v>95</v>
      </c>
      <c r="D8" s="5">
        <v>95</v>
      </c>
      <c r="E8" s="5">
        <v>95</v>
      </c>
      <c r="F8" s="5">
        <v>95</v>
      </c>
      <c r="G8" s="5">
        <v>95</v>
      </c>
      <c r="H8" s="5">
        <v>95</v>
      </c>
      <c r="I8" s="5">
        <v>95</v>
      </c>
      <c r="J8" s="5">
        <v>95</v>
      </c>
      <c r="K8" s="5">
        <v>95</v>
      </c>
      <c r="L8" s="5">
        <v>95</v>
      </c>
      <c r="M8" s="5">
        <v>95</v>
      </c>
      <c r="N8" s="5">
        <v>85</v>
      </c>
      <c r="O8" s="5">
        <v>85</v>
      </c>
      <c r="P8" s="5">
        <v>85</v>
      </c>
      <c r="Q8" s="5">
        <v>85</v>
      </c>
      <c r="R8" s="7">
        <f t="shared" si="1"/>
        <v>1480</v>
      </c>
    </row>
    <row r="9" spans="1:18" ht="11.25">
      <c r="A9" s="4" t="s">
        <v>10</v>
      </c>
      <c r="B9" s="5">
        <v>0</v>
      </c>
      <c r="C9" s="5">
        <v>1700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7">
        <f t="shared" si="1"/>
        <v>1700</v>
      </c>
    </row>
    <row r="10" spans="1:18" ht="11.25">
      <c r="A10" s="4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7">
        <f t="shared" si="1"/>
        <v>0</v>
      </c>
    </row>
    <row r="11" spans="1:18" ht="11.25">
      <c r="A11" s="3" t="s">
        <v>28</v>
      </c>
      <c r="B11" s="7">
        <f>SUM(B12:B17)</f>
        <v>1415</v>
      </c>
      <c r="C11" s="7">
        <f aca="true" t="shared" si="2" ref="C11:R11">SUM(C12:C17)</f>
        <v>1415</v>
      </c>
      <c r="D11" s="7">
        <f t="shared" si="2"/>
        <v>1665</v>
      </c>
      <c r="E11" s="7">
        <f t="shared" si="2"/>
        <v>1415</v>
      </c>
      <c r="F11" s="7">
        <f t="shared" si="2"/>
        <v>1435</v>
      </c>
      <c r="G11" s="7">
        <f t="shared" si="2"/>
        <v>1415</v>
      </c>
      <c r="H11" s="7">
        <f t="shared" si="2"/>
        <v>1635</v>
      </c>
      <c r="I11" s="7">
        <f t="shared" si="2"/>
        <v>1415</v>
      </c>
      <c r="J11" s="7">
        <f t="shared" si="2"/>
        <v>1595</v>
      </c>
      <c r="K11" s="7">
        <f t="shared" si="2"/>
        <v>1415</v>
      </c>
      <c r="L11" s="7">
        <f t="shared" si="2"/>
        <v>1865</v>
      </c>
      <c r="M11" s="7">
        <f t="shared" si="2"/>
        <v>1415</v>
      </c>
      <c r="N11" s="7">
        <f t="shared" si="2"/>
        <v>1390</v>
      </c>
      <c r="O11" s="7">
        <f t="shared" si="2"/>
        <v>1810</v>
      </c>
      <c r="P11" s="7">
        <f t="shared" si="2"/>
        <v>1390</v>
      </c>
      <c r="Q11" s="7">
        <f t="shared" si="2"/>
        <v>1390</v>
      </c>
      <c r="R11" s="7">
        <f t="shared" si="2"/>
        <v>24080</v>
      </c>
    </row>
    <row r="12" spans="1:18" ht="11.25">
      <c r="A12" s="4" t="s">
        <v>29</v>
      </c>
      <c r="B12" s="5">
        <v>850</v>
      </c>
      <c r="C12" s="5">
        <v>850</v>
      </c>
      <c r="D12" s="5">
        <v>850</v>
      </c>
      <c r="E12" s="5">
        <v>850</v>
      </c>
      <c r="F12" s="5">
        <v>850</v>
      </c>
      <c r="G12" s="5">
        <v>850</v>
      </c>
      <c r="H12" s="5">
        <v>850</v>
      </c>
      <c r="I12" s="5">
        <v>850</v>
      </c>
      <c r="J12" s="5">
        <v>850</v>
      </c>
      <c r="K12" s="5">
        <v>850</v>
      </c>
      <c r="L12" s="5">
        <v>850</v>
      </c>
      <c r="M12" s="5">
        <v>850</v>
      </c>
      <c r="N12" s="5">
        <v>850</v>
      </c>
      <c r="O12" s="5">
        <v>850</v>
      </c>
      <c r="P12" s="5">
        <v>850</v>
      </c>
      <c r="Q12" s="5">
        <v>850</v>
      </c>
      <c r="R12" s="7">
        <f aca="true" t="shared" si="3" ref="R12:R17">SUM(B12:Q12)</f>
        <v>13600</v>
      </c>
    </row>
    <row r="13" spans="1:18" ht="11.25">
      <c r="A13" s="4" t="s">
        <v>30</v>
      </c>
      <c r="B13" s="5">
        <v>500</v>
      </c>
      <c r="C13" s="5">
        <v>500</v>
      </c>
      <c r="D13" s="5">
        <v>500</v>
      </c>
      <c r="E13" s="5">
        <v>500</v>
      </c>
      <c r="F13" s="5">
        <v>500</v>
      </c>
      <c r="G13" s="5">
        <v>500</v>
      </c>
      <c r="H13" s="5">
        <v>500</v>
      </c>
      <c r="I13" s="5">
        <v>500</v>
      </c>
      <c r="J13" s="5">
        <v>500</v>
      </c>
      <c r="K13" s="5">
        <v>500</v>
      </c>
      <c r="L13" s="5">
        <v>500</v>
      </c>
      <c r="M13" s="5">
        <v>500</v>
      </c>
      <c r="N13" s="5">
        <v>500</v>
      </c>
      <c r="O13" s="5">
        <v>500</v>
      </c>
      <c r="P13" s="5">
        <v>500</v>
      </c>
      <c r="Q13" s="5">
        <v>500</v>
      </c>
      <c r="R13" s="7">
        <f t="shared" si="3"/>
        <v>8000</v>
      </c>
    </row>
    <row r="14" spans="1:1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7">
        <f t="shared" si="3"/>
        <v>0</v>
      </c>
    </row>
    <row r="15" spans="1:18" ht="11.25">
      <c r="A15" s="4" t="s">
        <v>54</v>
      </c>
      <c r="B15" s="5">
        <v>65</v>
      </c>
      <c r="C15" s="5">
        <v>65</v>
      </c>
      <c r="D15" s="5">
        <v>65</v>
      </c>
      <c r="E15" s="5">
        <v>65</v>
      </c>
      <c r="F15" s="5">
        <v>65</v>
      </c>
      <c r="G15" s="5">
        <v>65</v>
      </c>
      <c r="H15" s="5">
        <v>65</v>
      </c>
      <c r="I15" s="5">
        <v>65</v>
      </c>
      <c r="J15" s="5">
        <v>65</v>
      </c>
      <c r="K15" s="5">
        <v>65</v>
      </c>
      <c r="L15" s="5">
        <v>65</v>
      </c>
      <c r="M15" s="5">
        <v>65</v>
      </c>
      <c r="N15" s="5">
        <v>40</v>
      </c>
      <c r="O15" s="5">
        <v>40</v>
      </c>
      <c r="P15" s="5">
        <v>40</v>
      </c>
      <c r="Q15" s="5">
        <v>40</v>
      </c>
      <c r="R15" s="7">
        <f t="shared" si="3"/>
        <v>940</v>
      </c>
    </row>
    <row r="16" spans="1:18" ht="11.25">
      <c r="A16" s="4" t="s">
        <v>12</v>
      </c>
      <c r="B16" s="5">
        <v>0</v>
      </c>
      <c r="C16" s="5">
        <v>0</v>
      </c>
      <c r="D16" s="5">
        <v>250</v>
      </c>
      <c r="E16" s="5">
        <v>0</v>
      </c>
      <c r="F16" s="5">
        <v>20</v>
      </c>
      <c r="G16" s="5">
        <v>0</v>
      </c>
      <c r="H16" s="5">
        <v>220</v>
      </c>
      <c r="I16" s="5">
        <v>0</v>
      </c>
      <c r="J16" s="5">
        <v>180</v>
      </c>
      <c r="K16" s="5">
        <v>0</v>
      </c>
      <c r="L16" s="5">
        <v>450</v>
      </c>
      <c r="M16" s="5">
        <v>0</v>
      </c>
      <c r="N16" s="5">
        <v>0</v>
      </c>
      <c r="O16" s="5">
        <v>420</v>
      </c>
      <c r="P16" s="5">
        <v>0</v>
      </c>
      <c r="Q16" s="5">
        <v>0</v>
      </c>
      <c r="R16" s="7">
        <f t="shared" si="3"/>
        <v>1540</v>
      </c>
    </row>
    <row r="17" spans="1:18" ht="11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7">
        <f t="shared" si="3"/>
        <v>0</v>
      </c>
    </row>
    <row r="18" spans="1:18" ht="11.25">
      <c r="A18" s="3" t="s">
        <v>40</v>
      </c>
      <c r="B18" s="7">
        <f>SUM(B19:B22)</f>
        <v>18000</v>
      </c>
      <c r="C18" s="7">
        <f aca="true" t="shared" si="4" ref="C18:R18">SUM(C19:C22)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13488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0</v>
      </c>
      <c r="N18" s="7">
        <f t="shared" si="4"/>
        <v>0</v>
      </c>
      <c r="O18" s="7">
        <f t="shared" si="4"/>
        <v>0</v>
      </c>
      <c r="P18" s="7">
        <f t="shared" si="4"/>
        <v>0</v>
      </c>
      <c r="Q18" s="7">
        <f t="shared" si="4"/>
        <v>0</v>
      </c>
      <c r="R18" s="7">
        <f t="shared" si="4"/>
        <v>31488</v>
      </c>
    </row>
    <row r="19" spans="1:18" ht="11.25">
      <c r="A19" s="4" t="s">
        <v>98</v>
      </c>
      <c r="B19" s="5">
        <v>18000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7">
        <f>SUM(B19:Q19)</f>
        <v>18000</v>
      </c>
    </row>
    <row r="20" spans="1:18" ht="11.25">
      <c r="A20" s="4" t="s">
        <v>99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f>11000+2488</f>
        <v>13488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7">
        <f>SUM(B20:Q20)</f>
        <v>13488</v>
      </c>
    </row>
    <row r="21" spans="1:18" ht="11.25">
      <c r="A21" s="4" t="s">
        <v>61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7">
        <f>SUM(B21:Q21)</f>
        <v>0</v>
      </c>
    </row>
    <row r="22" spans="1:18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7">
        <f>SUM(B22:Q22)</f>
        <v>0</v>
      </c>
    </row>
    <row r="23" spans="1:18" ht="11.25">
      <c r="A23" s="3" t="s">
        <v>23</v>
      </c>
      <c r="B23" s="7">
        <f>SUM(B24:B27)</f>
        <v>1750</v>
      </c>
      <c r="C23" s="7">
        <f aca="true" t="shared" si="5" ref="C23:R23">SUM(C24:C27)</f>
        <v>3435</v>
      </c>
      <c r="D23" s="7">
        <f t="shared" si="5"/>
        <v>1750</v>
      </c>
      <c r="E23" s="7">
        <f t="shared" si="5"/>
        <v>2080</v>
      </c>
      <c r="F23" s="7">
        <f t="shared" si="5"/>
        <v>2000</v>
      </c>
      <c r="G23" s="7">
        <f t="shared" si="5"/>
        <v>1750</v>
      </c>
      <c r="H23" s="7">
        <f t="shared" si="5"/>
        <v>1990</v>
      </c>
      <c r="I23" s="7">
        <f t="shared" si="5"/>
        <v>1750</v>
      </c>
      <c r="J23" s="7">
        <f t="shared" si="5"/>
        <v>2510</v>
      </c>
      <c r="K23" s="7">
        <f t="shared" si="5"/>
        <v>1750</v>
      </c>
      <c r="L23" s="7">
        <f t="shared" si="5"/>
        <v>2000</v>
      </c>
      <c r="M23" s="7">
        <f t="shared" si="5"/>
        <v>1750</v>
      </c>
      <c r="N23" s="7">
        <f t="shared" si="5"/>
        <v>1990</v>
      </c>
      <c r="O23" s="7">
        <f t="shared" si="5"/>
        <v>1750</v>
      </c>
      <c r="P23" s="7">
        <f t="shared" si="5"/>
        <v>2000</v>
      </c>
      <c r="Q23" s="7">
        <f t="shared" si="5"/>
        <v>1750</v>
      </c>
      <c r="R23" s="7">
        <f t="shared" si="5"/>
        <v>32005</v>
      </c>
    </row>
    <row r="24" spans="1:18" ht="11.25">
      <c r="A24" s="4" t="s">
        <v>24</v>
      </c>
      <c r="B24" s="5">
        <v>875</v>
      </c>
      <c r="C24" s="5">
        <v>875</v>
      </c>
      <c r="D24" s="5">
        <v>875</v>
      </c>
      <c r="E24" s="5">
        <v>875</v>
      </c>
      <c r="F24" s="5">
        <v>1000</v>
      </c>
      <c r="G24" s="5">
        <v>875</v>
      </c>
      <c r="H24" s="5">
        <v>875</v>
      </c>
      <c r="I24" s="5">
        <v>875</v>
      </c>
      <c r="J24" s="5">
        <v>875</v>
      </c>
      <c r="K24" s="5">
        <v>875</v>
      </c>
      <c r="L24" s="5">
        <v>875</v>
      </c>
      <c r="M24" s="5">
        <v>875</v>
      </c>
      <c r="N24" s="5">
        <v>875</v>
      </c>
      <c r="O24" s="5">
        <v>875</v>
      </c>
      <c r="P24" s="5">
        <v>875</v>
      </c>
      <c r="Q24" s="5">
        <v>875</v>
      </c>
      <c r="R24" s="7">
        <f>SUM(B24:Q24)</f>
        <v>14125</v>
      </c>
    </row>
    <row r="25" spans="1:18" ht="11.25">
      <c r="A25" s="4" t="s">
        <v>7</v>
      </c>
      <c r="B25" s="5">
        <v>0</v>
      </c>
      <c r="C25" s="5">
        <f>1685/2</f>
        <v>842.5</v>
      </c>
      <c r="D25" s="5">
        <v>0</v>
      </c>
      <c r="E25" s="5">
        <f>330/2</f>
        <v>165</v>
      </c>
      <c r="F25" s="5">
        <v>0</v>
      </c>
      <c r="G25" s="5">
        <v>0</v>
      </c>
      <c r="H25" s="5">
        <v>120</v>
      </c>
      <c r="I25" s="5">
        <v>0</v>
      </c>
      <c r="J25" s="5">
        <v>380</v>
      </c>
      <c r="K25" s="5">
        <v>0</v>
      </c>
      <c r="L25" s="5">
        <v>125</v>
      </c>
      <c r="M25" s="5">
        <v>0</v>
      </c>
      <c r="N25" s="5">
        <v>120</v>
      </c>
      <c r="O25" s="5">
        <v>0</v>
      </c>
      <c r="P25" s="5">
        <v>125</v>
      </c>
      <c r="Q25" s="5">
        <v>0</v>
      </c>
      <c r="R25" s="7">
        <f>SUM(B25:Q25)</f>
        <v>1877.5</v>
      </c>
    </row>
    <row r="26" spans="1:18" ht="11.25">
      <c r="A26" s="4" t="s">
        <v>25</v>
      </c>
      <c r="B26" s="5">
        <v>875</v>
      </c>
      <c r="C26" s="5">
        <v>875</v>
      </c>
      <c r="D26" s="5">
        <v>875</v>
      </c>
      <c r="E26" s="5">
        <v>875</v>
      </c>
      <c r="F26" s="5">
        <v>1000</v>
      </c>
      <c r="G26" s="5">
        <v>875</v>
      </c>
      <c r="H26" s="5">
        <v>875</v>
      </c>
      <c r="I26" s="5">
        <v>875</v>
      </c>
      <c r="J26" s="5">
        <v>875</v>
      </c>
      <c r="K26" s="5">
        <v>875</v>
      </c>
      <c r="L26" s="5">
        <v>875</v>
      </c>
      <c r="M26" s="5">
        <v>875</v>
      </c>
      <c r="N26" s="5">
        <v>875</v>
      </c>
      <c r="O26" s="5">
        <v>875</v>
      </c>
      <c r="P26" s="5">
        <v>875</v>
      </c>
      <c r="Q26" s="5">
        <v>875</v>
      </c>
      <c r="R26" s="7">
        <f>SUM(B26:Q26)</f>
        <v>14125</v>
      </c>
    </row>
    <row r="27" spans="1:18" ht="11.25">
      <c r="A27" s="4" t="s">
        <v>8</v>
      </c>
      <c r="B27" s="5">
        <v>0</v>
      </c>
      <c r="C27" s="5">
        <v>842.5</v>
      </c>
      <c r="D27" s="5">
        <v>0</v>
      </c>
      <c r="E27" s="5">
        <v>165</v>
      </c>
      <c r="F27" s="5">
        <v>0</v>
      </c>
      <c r="G27" s="5">
        <v>0</v>
      </c>
      <c r="H27" s="5">
        <v>120</v>
      </c>
      <c r="I27" s="5">
        <v>0</v>
      </c>
      <c r="J27" s="5">
        <v>380</v>
      </c>
      <c r="K27" s="5">
        <v>0</v>
      </c>
      <c r="L27" s="5">
        <v>125</v>
      </c>
      <c r="M27" s="5">
        <v>0</v>
      </c>
      <c r="N27" s="5">
        <v>120</v>
      </c>
      <c r="O27" s="5">
        <v>0</v>
      </c>
      <c r="P27" s="5">
        <v>125</v>
      </c>
      <c r="Q27" s="5">
        <v>0</v>
      </c>
      <c r="R27" s="7">
        <f>SUM(B27:Q27)</f>
        <v>1877.5</v>
      </c>
    </row>
    <row r="28" spans="1:18" ht="11.25">
      <c r="A28" s="3" t="s">
        <v>32</v>
      </c>
      <c r="B28" s="7">
        <f>SUM(B29:B31)</f>
        <v>2514.6837066000003</v>
      </c>
      <c r="C28" s="7">
        <f aca="true" t="shared" si="6" ref="C28:R28">SUM(C29:C31)</f>
        <v>2514.6837066000003</v>
      </c>
      <c r="D28" s="7">
        <f t="shared" si="6"/>
        <v>2514.6837066000003</v>
      </c>
      <c r="E28" s="7">
        <f t="shared" si="6"/>
        <v>2514.6837066000003</v>
      </c>
      <c r="F28" s="7">
        <f t="shared" si="6"/>
        <v>2514.6837066000003</v>
      </c>
      <c r="G28" s="7">
        <f t="shared" si="6"/>
        <v>2514.6837066000003</v>
      </c>
      <c r="H28" s="7">
        <f t="shared" si="6"/>
        <v>2514.6837066000003</v>
      </c>
      <c r="I28" s="7">
        <f t="shared" si="6"/>
        <v>2514.6837066000003</v>
      </c>
      <c r="J28" s="7">
        <f t="shared" si="6"/>
        <v>2514.6837066000003</v>
      </c>
      <c r="K28" s="7">
        <f t="shared" si="6"/>
        <v>2514.6837066000003</v>
      </c>
      <c r="L28" s="7">
        <f t="shared" si="6"/>
        <v>2514.6837066000003</v>
      </c>
      <c r="M28" s="7">
        <f t="shared" si="6"/>
        <v>2514.6837066000003</v>
      </c>
      <c r="N28" s="7">
        <f t="shared" si="6"/>
        <v>2514.6837066000003</v>
      </c>
      <c r="O28" s="7">
        <f t="shared" si="6"/>
        <v>2514.6837066000003</v>
      </c>
      <c r="P28" s="7">
        <f t="shared" si="6"/>
        <v>2514.6837066000003</v>
      </c>
      <c r="Q28" s="7">
        <f t="shared" si="6"/>
        <v>2514.6837066000003</v>
      </c>
      <c r="R28" s="7">
        <f t="shared" si="6"/>
        <v>40234.9393056</v>
      </c>
    </row>
    <row r="29" spans="1:18" ht="11.25">
      <c r="A29" s="4" t="s">
        <v>41</v>
      </c>
      <c r="B29" s="5">
        <f>(0.75*15*412.62)/2</f>
        <v>2320.9875</v>
      </c>
      <c r="C29" s="5">
        <f aca="true" t="shared" si="7" ref="C29:Q29">(0.75*15*412.62)/2</f>
        <v>2320.9875</v>
      </c>
      <c r="D29" s="5">
        <f t="shared" si="7"/>
        <v>2320.9875</v>
      </c>
      <c r="E29" s="5">
        <f t="shared" si="7"/>
        <v>2320.9875</v>
      </c>
      <c r="F29" s="5">
        <f t="shared" si="7"/>
        <v>2320.9875</v>
      </c>
      <c r="G29" s="5">
        <f t="shared" si="7"/>
        <v>2320.9875</v>
      </c>
      <c r="H29" s="5">
        <f t="shared" si="7"/>
        <v>2320.9875</v>
      </c>
      <c r="I29" s="5">
        <f t="shared" si="7"/>
        <v>2320.9875</v>
      </c>
      <c r="J29" s="5">
        <f t="shared" si="7"/>
        <v>2320.9875</v>
      </c>
      <c r="K29" s="5">
        <f t="shared" si="7"/>
        <v>2320.9875</v>
      </c>
      <c r="L29" s="5">
        <f t="shared" si="7"/>
        <v>2320.9875</v>
      </c>
      <c r="M29" s="5">
        <f t="shared" si="7"/>
        <v>2320.9875</v>
      </c>
      <c r="N29" s="5">
        <f t="shared" si="7"/>
        <v>2320.9875</v>
      </c>
      <c r="O29" s="5">
        <f t="shared" si="7"/>
        <v>2320.9875</v>
      </c>
      <c r="P29" s="5">
        <f t="shared" si="7"/>
        <v>2320.9875</v>
      </c>
      <c r="Q29" s="5">
        <f t="shared" si="7"/>
        <v>2320.9875</v>
      </c>
      <c r="R29" s="7">
        <f>SUM(B29:Q29)</f>
        <v>37135.799999999996</v>
      </c>
    </row>
    <row r="30" spans="1:18" ht="11.25">
      <c r="A30" s="4" t="s">
        <v>18</v>
      </c>
      <c r="B30" s="5">
        <f>361.1*0.0013*412.62</f>
        <v>193.6962066</v>
      </c>
      <c r="C30" s="5">
        <f aca="true" t="shared" si="8" ref="C30:Q30">361.1*0.0013*412.62</f>
        <v>193.6962066</v>
      </c>
      <c r="D30" s="5">
        <f t="shared" si="8"/>
        <v>193.6962066</v>
      </c>
      <c r="E30" s="5">
        <f t="shared" si="8"/>
        <v>193.6962066</v>
      </c>
      <c r="F30" s="5">
        <f t="shared" si="8"/>
        <v>193.6962066</v>
      </c>
      <c r="G30" s="5">
        <f t="shared" si="8"/>
        <v>193.6962066</v>
      </c>
      <c r="H30" s="5">
        <f t="shared" si="8"/>
        <v>193.6962066</v>
      </c>
      <c r="I30" s="5">
        <f t="shared" si="8"/>
        <v>193.6962066</v>
      </c>
      <c r="J30" s="5">
        <f t="shared" si="8"/>
        <v>193.6962066</v>
      </c>
      <c r="K30" s="5">
        <f t="shared" si="8"/>
        <v>193.6962066</v>
      </c>
      <c r="L30" s="5">
        <f t="shared" si="8"/>
        <v>193.6962066</v>
      </c>
      <c r="M30" s="5">
        <f t="shared" si="8"/>
        <v>193.6962066</v>
      </c>
      <c r="N30" s="5">
        <f t="shared" si="8"/>
        <v>193.6962066</v>
      </c>
      <c r="O30" s="5">
        <f t="shared" si="8"/>
        <v>193.6962066</v>
      </c>
      <c r="P30" s="5">
        <f t="shared" si="8"/>
        <v>193.6962066</v>
      </c>
      <c r="Q30" s="5">
        <f t="shared" si="8"/>
        <v>193.6962066</v>
      </c>
      <c r="R30" s="7">
        <f>SUM(B30:Q30)</f>
        <v>3099.139305600001</v>
      </c>
    </row>
    <row r="31" spans="1:18" ht="11.25">
      <c r="A31" s="4" t="s">
        <v>58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7">
        <f>SUM(B31:Q31)</f>
        <v>0</v>
      </c>
    </row>
    <row r="32" spans="1:18" ht="11.25">
      <c r="A32" s="3" t="s">
        <v>22</v>
      </c>
      <c r="B32" s="7">
        <f aca="true" t="shared" si="9" ref="B32:R32">SUM(B33:B36)</f>
        <v>0</v>
      </c>
      <c r="C32" s="7">
        <f t="shared" si="9"/>
        <v>0</v>
      </c>
      <c r="D32" s="7">
        <f t="shared" si="9"/>
        <v>0</v>
      </c>
      <c r="E32" s="7">
        <f t="shared" si="9"/>
        <v>1000</v>
      </c>
      <c r="F32" s="7">
        <f t="shared" si="9"/>
        <v>1300</v>
      </c>
      <c r="G32" s="7">
        <f t="shared" si="9"/>
        <v>2000</v>
      </c>
      <c r="H32" s="7">
        <f t="shared" si="9"/>
        <v>12875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400</v>
      </c>
      <c r="Q32" s="7">
        <f t="shared" si="9"/>
        <v>0</v>
      </c>
      <c r="R32" s="7">
        <f t="shared" si="9"/>
        <v>17575</v>
      </c>
    </row>
    <row r="33" spans="1:18" ht="11.25">
      <c r="A33" s="4" t="s">
        <v>9</v>
      </c>
      <c r="B33" s="5">
        <v>0</v>
      </c>
      <c r="C33" s="5">
        <v>0</v>
      </c>
      <c r="D33" s="5">
        <v>0</v>
      </c>
      <c r="E33" s="5">
        <v>1000</v>
      </c>
      <c r="F33" s="5">
        <v>1000</v>
      </c>
      <c r="G33" s="5">
        <v>1000</v>
      </c>
      <c r="H33" s="5">
        <f>1250+1250/2</f>
        <v>1875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7">
        <f>SUM(B33:Q33)</f>
        <v>4875</v>
      </c>
    </row>
    <row r="34" spans="1:18" ht="11.25">
      <c r="A34" s="4" t="s">
        <v>21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1000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7">
        <f>SUM(B34:Q34)</f>
        <v>1000</v>
      </c>
    </row>
    <row r="35" spans="1:18" ht="11.25">
      <c r="A35" s="4" t="s">
        <v>94</v>
      </c>
      <c r="B35" s="5">
        <v>0</v>
      </c>
      <c r="C35" s="5">
        <v>0</v>
      </c>
      <c r="D35" s="5">
        <v>0</v>
      </c>
      <c r="E35" s="5">
        <v>0</v>
      </c>
      <c r="F35" s="5">
        <v>300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>2*200</f>
        <v>400</v>
      </c>
      <c r="Q35" s="5">
        <v>0</v>
      </c>
      <c r="R35" s="7">
        <f>SUM(B35:Q35)</f>
        <v>700</v>
      </c>
    </row>
    <row r="36" spans="1:18" ht="11.25">
      <c r="A36" s="4" t="s">
        <v>100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1000</v>
      </c>
      <c r="H36" s="5">
        <v>10000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7">
        <f>SUM(B36:Q36)</f>
        <v>11000</v>
      </c>
    </row>
    <row r="37" spans="1:18" ht="11.25">
      <c r="A37" s="3" t="s">
        <v>33</v>
      </c>
      <c r="B37" s="7">
        <f>SUM(B38:B39)</f>
        <v>2100</v>
      </c>
      <c r="C37" s="7">
        <f aca="true" t="shared" si="10" ref="C37:R37">SUM(C38:C39)</f>
        <v>0</v>
      </c>
      <c r="D37" s="7">
        <f t="shared" si="10"/>
        <v>2249</v>
      </c>
      <c r="E37" s="7">
        <f t="shared" si="10"/>
        <v>0</v>
      </c>
      <c r="F37" s="7">
        <f t="shared" si="10"/>
        <v>0</v>
      </c>
      <c r="G37" s="7">
        <f t="shared" si="10"/>
        <v>0</v>
      </c>
      <c r="H37" s="7">
        <f t="shared" si="10"/>
        <v>0</v>
      </c>
      <c r="I37" s="7">
        <f t="shared" si="10"/>
        <v>0</v>
      </c>
      <c r="J37" s="7">
        <f t="shared" si="10"/>
        <v>0</v>
      </c>
      <c r="K37" s="7">
        <f t="shared" si="10"/>
        <v>0</v>
      </c>
      <c r="L37" s="7">
        <f t="shared" si="10"/>
        <v>0</v>
      </c>
      <c r="M37" s="7">
        <f t="shared" si="10"/>
        <v>0</v>
      </c>
      <c r="N37" s="7">
        <f t="shared" si="10"/>
        <v>0</v>
      </c>
      <c r="O37" s="7">
        <f t="shared" si="10"/>
        <v>0</v>
      </c>
      <c r="P37" s="7">
        <f t="shared" si="10"/>
        <v>0</v>
      </c>
      <c r="Q37" s="7">
        <f t="shared" si="10"/>
        <v>0</v>
      </c>
      <c r="R37" s="7">
        <f t="shared" si="10"/>
        <v>4349</v>
      </c>
    </row>
    <row r="38" spans="1:18" ht="11.25">
      <c r="A38" s="4" t="s">
        <v>101</v>
      </c>
      <c r="B38" s="5">
        <v>0</v>
      </c>
      <c r="C38" s="5">
        <v>0</v>
      </c>
      <c r="D38" s="5">
        <v>2249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7">
        <f>SUM(B38:Q38)</f>
        <v>2249</v>
      </c>
    </row>
    <row r="39" spans="1:18" ht="11.25">
      <c r="A39" s="4" t="s">
        <v>19</v>
      </c>
      <c r="B39" s="5">
        <v>2100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7">
        <f>SUM(B39:Q39)</f>
        <v>2100</v>
      </c>
    </row>
    <row r="40" spans="1:18" ht="11.25">
      <c r="A40" s="3" t="s">
        <v>47</v>
      </c>
      <c r="B40" s="7">
        <f>B41</f>
        <v>0</v>
      </c>
      <c r="C40" s="7">
        <f aca="true" t="shared" si="11" ref="C40:R40">C41</f>
        <v>0</v>
      </c>
      <c r="D40" s="7">
        <f t="shared" si="11"/>
        <v>0</v>
      </c>
      <c r="E40" s="7">
        <f t="shared" si="11"/>
        <v>0</v>
      </c>
      <c r="F40" s="7">
        <f t="shared" si="11"/>
        <v>0</v>
      </c>
      <c r="G40" s="7">
        <f t="shared" si="11"/>
        <v>0</v>
      </c>
      <c r="H40" s="7">
        <f t="shared" si="11"/>
        <v>0</v>
      </c>
      <c r="I40" s="7">
        <f t="shared" si="11"/>
        <v>0</v>
      </c>
      <c r="J40" s="7">
        <f t="shared" si="11"/>
        <v>0</v>
      </c>
      <c r="K40" s="7">
        <f t="shared" si="11"/>
        <v>0</v>
      </c>
      <c r="L40" s="7">
        <f t="shared" si="11"/>
        <v>5000</v>
      </c>
      <c r="M40" s="7">
        <f t="shared" si="11"/>
        <v>0</v>
      </c>
      <c r="N40" s="7">
        <f t="shared" si="11"/>
        <v>0</v>
      </c>
      <c r="O40" s="7">
        <f t="shared" si="11"/>
        <v>0</v>
      </c>
      <c r="P40" s="7">
        <f t="shared" si="11"/>
        <v>0</v>
      </c>
      <c r="Q40" s="7">
        <f t="shared" si="11"/>
        <v>0</v>
      </c>
      <c r="R40" s="7">
        <f t="shared" si="11"/>
        <v>5000</v>
      </c>
    </row>
    <row r="41" spans="1:18" ht="11.25">
      <c r="A41" s="4" t="s">
        <v>17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5000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7">
        <f>SUM(B41:Q41)</f>
        <v>5000</v>
      </c>
    </row>
    <row r="42" spans="1:18" ht="11.25">
      <c r="A42" s="3" t="s">
        <v>42</v>
      </c>
      <c r="B42" s="7">
        <f>SUM(B43:B46)</f>
        <v>2343.21</v>
      </c>
      <c r="C42" s="7">
        <f aca="true" t="shared" si="12" ref="C42:R42">SUM(C43:C46)</f>
        <v>1374.96</v>
      </c>
      <c r="D42" s="7">
        <f t="shared" si="12"/>
        <v>2609.15</v>
      </c>
      <c r="E42" s="7">
        <f t="shared" si="12"/>
        <v>2364.56</v>
      </c>
      <c r="F42" s="7">
        <f t="shared" si="12"/>
        <v>2513.94</v>
      </c>
      <c r="G42" s="7">
        <f t="shared" si="12"/>
        <v>2485.87</v>
      </c>
      <c r="H42" s="7">
        <f t="shared" si="12"/>
        <v>2674.34</v>
      </c>
      <c r="I42" s="7">
        <f t="shared" si="12"/>
        <v>2899.9</v>
      </c>
      <c r="J42" s="7">
        <f t="shared" si="12"/>
        <v>2703.7200000000003</v>
      </c>
      <c r="K42" s="7">
        <f t="shared" si="12"/>
        <v>1789.645</v>
      </c>
      <c r="L42" s="7">
        <f t="shared" si="12"/>
        <v>1309.44</v>
      </c>
      <c r="M42" s="7">
        <f t="shared" si="12"/>
        <v>3954.47</v>
      </c>
      <c r="N42" s="7">
        <f t="shared" si="12"/>
        <v>3492.46</v>
      </c>
      <c r="O42" s="7">
        <f t="shared" si="12"/>
        <v>3134.775</v>
      </c>
      <c r="P42" s="7">
        <f t="shared" si="12"/>
        <v>2536.15</v>
      </c>
      <c r="Q42" s="7">
        <f t="shared" si="12"/>
        <v>4337.86</v>
      </c>
      <c r="R42" s="7">
        <f t="shared" si="12"/>
        <v>42524.45</v>
      </c>
    </row>
    <row r="43" spans="1:18" ht="11.25">
      <c r="A43" s="4" t="s">
        <v>20</v>
      </c>
      <c r="B43" s="5">
        <v>405.96</v>
      </c>
      <c r="C43" s="5">
        <v>402.96</v>
      </c>
      <c r="D43" s="5">
        <v>409.4</v>
      </c>
      <c r="E43" s="5">
        <v>467.81</v>
      </c>
      <c r="F43" s="5">
        <v>495.84</v>
      </c>
      <c r="G43" s="5">
        <v>357.43</v>
      </c>
      <c r="H43" s="5">
        <v>283.84</v>
      </c>
      <c r="I43" s="5">
        <v>349.83</v>
      </c>
      <c r="J43" s="5">
        <v>337.28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7">
        <f>SUM(B43:Q43)</f>
        <v>3510.3499999999995</v>
      </c>
    </row>
    <row r="44" spans="1:18" ht="11.25">
      <c r="A44" s="4" t="s">
        <v>43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81.76</v>
      </c>
      <c r="L44" s="5">
        <v>98.48</v>
      </c>
      <c r="M44" s="5">
        <v>106.31</v>
      </c>
      <c r="N44" s="5">
        <v>149.01</v>
      </c>
      <c r="O44" s="5">
        <v>83.96</v>
      </c>
      <c r="P44" s="5">
        <v>82.87</v>
      </c>
      <c r="Q44" s="5">
        <v>77.6</v>
      </c>
      <c r="R44" s="7">
        <f>SUM(B44:Q44)</f>
        <v>679.99</v>
      </c>
    </row>
    <row r="45" spans="1:18" ht="11.25">
      <c r="A45" s="4" t="s">
        <v>44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4">
        <f>40.77/2</f>
        <v>20.385</v>
      </c>
      <c r="L45" s="4">
        <v>10.96</v>
      </c>
      <c r="M45" s="4">
        <f>102.58/2</f>
        <v>51.29</v>
      </c>
      <c r="N45" s="4">
        <v>43.45</v>
      </c>
      <c r="O45" s="4">
        <f>101.63/2</f>
        <v>50.815</v>
      </c>
      <c r="P45" s="4">
        <f>106.56/2</f>
        <v>53.28</v>
      </c>
      <c r="Q45" s="4">
        <f>180.78/3</f>
        <v>60.26</v>
      </c>
      <c r="R45" s="7">
        <f>SUM(B45:Q45)</f>
        <v>290.44</v>
      </c>
    </row>
    <row r="46" spans="1:18" ht="11.25">
      <c r="A46" s="4" t="s">
        <v>102</v>
      </c>
      <c r="B46" s="5">
        <v>1937.25</v>
      </c>
      <c r="C46" s="5">
        <v>972</v>
      </c>
      <c r="D46" s="5">
        <v>2199.75</v>
      </c>
      <c r="E46" s="5">
        <v>1896.75</v>
      </c>
      <c r="F46" s="5">
        <v>2018.1</v>
      </c>
      <c r="G46" s="5">
        <v>2128.44</v>
      </c>
      <c r="H46" s="5">
        <v>2390.5</v>
      </c>
      <c r="I46" s="5">
        <v>2550.07</v>
      </c>
      <c r="J46" s="5">
        <v>2366.44</v>
      </c>
      <c r="K46" s="5">
        <v>1687.5</v>
      </c>
      <c r="L46" s="5">
        <v>1200</v>
      </c>
      <c r="M46" s="5">
        <v>3796.87</v>
      </c>
      <c r="N46" s="5">
        <v>3300</v>
      </c>
      <c r="O46" s="5">
        <v>3000</v>
      </c>
      <c r="P46" s="5">
        <v>2400</v>
      </c>
      <c r="Q46" s="5">
        <v>4200</v>
      </c>
      <c r="R46" s="7">
        <f>SUM(B46:Q46)</f>
        <v>38043.67</v>
      </c>
    </row>
    <row r="47" spans="1:18" ht="11.25">
      <c r="A47" s="3" t="s">
        <v>75</v>
      </c>
      <c r="B47" s="7">
        <f>361.1*5</f>
        <v>1805.5</v>
      </c>
      <c r="C47" s="7">
        <f aca="true" t="shared" si="13" ref="C47:Q47">361.1*5</f>
        <v>1805.5</v>
      </c>
      <c r="D47" s="7">
        <f t="shared" si="13"/>
        <v>1805.5</v>
      </c>
      <c r="E47" s="7">
        <f t="shared" si="13"/>
        <v>1805.5</v>
      </c>
      <c r="F47" s="7">
        <f t="shared" si="13"/>
        <v>1805.5</v>
      </c>
      <c r="G47" s="7">
        <f t="shared" si="13"/>
        <v>1805.5</v>
      </c>
      <c r="H47" s="7">
        <f t="shared" si="13"/>
        <v>1805.5</v>
      </c>
      <c r="I47" s="7">
        <f t="shared" si="13"/>
        <v>1805.5</v>
      </c>
      <c r="J47" s="7">
        <f t="shared" si="13"/>
        <v>1805.5</v>
      </c>
      <c r="K47" s="7">
        <f t="shared" si="13"/>
        <v>1805.5</v>
      </c>
      <c r="L47" s="7">
        <f t="shared" si="13"/>
        <v>1805.5</v>
      </c>
      <c r="M47" s="7">
        <f t="shared" si="13"/>
        <v>1805.5</v>
      </c>
      <c r="N47" s="7">
        <f t="shared" si="13"/>
        <v>1805.5</v>
      </c>
      <c r="O47" s="7">
        <f t="shared" si="13"/>
        <v>1805.5</v>
      </c>
      <c r="P47" s="7">
        <f t="shared" si="13"/>
        <v>1805.5</v>
      </c>
      <c r="Q47" s="7">
        <f t="shared" si="13"/>
        <v>1805.5</v>
      </c>
      <c r="R47" s="7">
        <f>SUM(B47:Q47)</f>
        <v>28888</v>
      </c>
    </row>
    <row r="48" spans="1:18" ht="11.25">
      <c r="A48" s="3" t="s">
        <v>96</v>
      </c>
      <c r="B48" s="7">
        <f>SUM(B49:B61)</f>
        <v>1805.5000000000002</v>
      </c>
      <c r="C48" s="7">
        <f aca="true" t="shared" si="14" ref="C48:R48">SUM(C49:C61)</f>
        <v>1805.4999999999998</v>
      </c>
      <c r="D48" s="7">
        <f t="shared" si="14"/>
        <v>1805.5000000000002</v>
      </c>
      <c r="E48" s="7">
        <f t="shared" si="14"/>
        <v>1805.5000000000002</v>
      </c>
      <c r="F48" s="7">
        <f t="shared" si="14"/>
        <v>1805.4999999999998</v>
      </c>
      <c r="G48" s="7">
        <f t="shared" si="14"/>
        <v>1805.5000000000002</v>
      </c>
      <c r="H48" s="7">
        <f t="shared" si="14"/>
        <v>1805.5000000000002</v>
      </c>
      <c r="I48" s="7">
        <f t="shared" si="14"/>
        <v>1805.5000000000002</v>
      </c>
      <c r="J48" s="7">
        <f t="shared" si="14"/>
        <v>1805.5000000000002</v>
      </c>
      <c r="K48" s="7">
        <f t="shared" si="14"/>
        <v>1805.5000000000002</v>
      </c>
      <c r="L48" s="7">
        <f t="shared" si="14"/>
        <v>1805.4999999999998</v>
      </c>
      <c r="M48" s="7">
        <f t="shared" si="14"/>
        <v>1805.4999999999998</v>
      </c>
      <c r="N48" s="7">
        <f t="shared" si="14"/>
        <v>1805.4999999999998</v>
      </c>
      <c r="O48" s="7">
        <f t="shared" si="14"/>
        <v>1805.4999999999998</v>
      </c>
      <c r="P48" s="7">
        <f t="shared" si="14"/>
        <v>1805.4999999999998</v>
      </c>
      <c r="Q48" s="7">
        <f t="shared" si="14"/>
        <v>1805.4999999999998</v>
      </c>
      <c r="R48" s="7">
        <f t="shared" si="14"/>
        <v>28888</v>
      </c>
    </row>
    <row r="49" spans="1:18" ht="11.25">
      <c r="A49" s="4" t="s">
        <v>50</v>
      </c>
      <c r="B49" s="5">
        <v>155.27</v>
      </c>
      <c r="C49" s="5">
        <v>155.27</v>
      </c>
      <c r="D49" s="5">
        <v>155.27</v>
      </c>
      <c r="E49" s="5">
        <v>155.27</v>
      </c>
      <c r="F49" s="5">
        <v>155.27</v>
      </c>
      <c r="G49" s="5">
        <v>155.27</v>
      </c>
      <c r="H49" s="5">
        <v>155.27</v>
      </c>
      <c r="I49" s="5">
        <v>155.27</v>
      </c>
      <c r="J49" s="5">
        <v>155.27</v>
      </c>
      <c r="K49" s="5">
        <v>155.27</v>
      </c>
      <c r="L49" s="5">
        <v>155.27</v>
      </c>
      <c r="M49" s="5">
        <v>155.27</v>
      </c>
      <c r="N49" s="5">
        <v>155.27</v>
      </c>
      <c r="O49" s="5">
        <v>155.27</v>
      </c>
      <c r="P49" s="5">
        <v>155.27</v>
      </c>
      <c r="Q49" s="5">
        <v>155.27</v>
      </c>
      <c r="R49" s="7">
        <f aca="true" t="shared" si="15" ref="R49:R61">SUM(B49:Q49)</f>
        <v>2484.32</v>
      </c>
    </row>
    <row r="50" spans="1:18" ht="11.25">
      <c r="A50" s="4" t="s">
        <v>49</v>
      </c>
      <c r="B50" s="5">
        <v>140</v>
      </c>
      <c r="C50" s="5">
        <v>140</v>
      </c>
      <c r="D50" s="5">
        <v>140</v>
      </c>
      <c r="E50" s="5">
        <v>140</v>
      </c>
      <c r="F50" s="5">
        <v>140</v>
      </c>
      <c r="G50" s="5">
        <v>140</v>
      </c>
      <c r="H50" s="5">
        <v>140</v>
      </c>
      <c r="I50" s="5">
        <v>140</v>
      </c>
      <c r="J50" s="5">
        <v>140</v>
      </c>
      <c r="K50" s="5">
        <v>140</v>
      </c>
      <c r="L50" s="5">
        <v>140</v>
      </c>
      <c r="M50" s="5">
        <v>140</v>
      </c>
      <c r="N50" s="5">
        <v>140</v>
      </c>
      <c r="O50" s="5">
        <v>140</v>
      </c>
      <c r="P50" s="5">
        <v>140</v>
      </c>
      <c r="Q50" s="5">
        <v>140</v>
      </c>
      <c r="R50" s="7">
        <f t="shared" si="15"/>
        <v>2240</v>
      </c>
    </row>
    <row r="51" spans="1:18" ht="11.25">
      <c r="A51" s="4" t="s">
        <v>35</v>
      </c>
      <c r="B51" s="5">
        <v>75</v>
      </c>
      <c r="C51" s="5">
        <v>75</v>
      </c>
      <c r="D51" s="5">
        <v>75</v>
      </c>
      <c r="E51" s="5">
        <v>75</v>
      </c>
      <c r="F51" s="5">
        <v>75</v>
      </c>
      <c r="G51" s="5">
        <v>75</v>
      </c>
      <c r="H51" s="5">
        <v>75</v>
      </c>
      <c r="I51" s="5">
        <v>75</v>
      </c>
      <c r="J51" s="5">
        <v>75</v>
      </c>
      <c r="K51" s="5">
        <v>75</v>
      </c>
      <c r="L51" s="5">
        <v>75</v>
      </c>
      <c r="M51" s="5">
        <v>75</v>
      </c>
      <c r="N51" s="5">
        <v>75</v>
      </c>
      <c r="O51" s="5">
        <v>75</v>
      </c>
      <c r="P51" s="5">
        <v>75</v>
      </c>
      <c r="Q51" s="5">
        <v>75</v>
      </c>
      <c r="R51" s="7">
        <f t="shared" si="15"/>
        <v>1200</v>
      </c>
    </row>
    <row r="52" spans="1:18" ht="11.25">
      <c r="A52" s="4" t="s">
        <v>62</v>
      </c>
      <c r="B52" s="5">
        <v>47.44</v>
      </c>
      <c r="C52" s="5">
        <v>47.44</v>
      </c>
      <c r="D52" s="5">
        <v>47.44</v>
      </c>
      <c r="E52" s="5">
        <v>47.44</v>
      </c>
      <c r="F52" s="5">
        <v>47.44</v>
      </c>
      <c r="G52" s="5">
        <v>47.44</v>
      </c>
      <c r="H52" s="5">
        <v>47.44</v>
      </c>
      <c r="I52" s="5">
        <v>47.44</v>
      </c>
      <c r="J52" s="5">
        <v>47.44</v>
      </c>
      <c r="K52" s="5">
        <v>47.44</v>
      </c>
      <c r="L52" s="5">
        <v>47.44</v>
      </c>
      <c r="M52" s="5">
        <v>47.44</v>
      </c>
      <c r="N52" s="5">
        <v>22.39</v>
      </c>
      <c r="O52" s="5">
        <v>22.39</v>
      </c>
      <c r="P52" s="5">
        <v>22.39</v>
      </c>
      <c r="Q52" s="5">
        <v>22.39</v>
      </c>
      <c r="R52" s="7">
        <f t="shared" si="15"/>
        <v>658.8399999999999</v>
      </c>
    </row>
    <row r="53" spans="1:18" ht="11.25">
      <c r="A53" s="4" t="s">
        <v>64</v>
      </c>
      <c r="B53" s="5">
        <v>17.57</v>
      </c>
      <c r="C53" s="5">
        <v>23.37</v>
      </c>
      <c r="D53" s="5">
        <v>42.76</v>
      </c>
      <c r="E53" s="5">
        <v>59.07</v>
      </c>
      <c r="F53" s="5">
        <v>35.83</v>
      </c>
      <c r="G53" s="5">
        <v>61.57</v>
      </c>
      <c r="H53" s="5">
        <v>50.2</v>
      </c>
      <c r="I53" s="5">
        <v>48.78</v>
      </c>
      <c r="J53" s="5">
        <v>46.75</v>
      </c>
      <c r="K53" s="5">
        <v>52.98</v>
      </c>
      <c r="L53" s="5">
        <v>58.72</v>
      </c>
      <c r="M53" s="5">
        <v>35.64</v>
      </c>
      <c r="N53" s="5">
        <v>50.77</v>
      </c>
      <c r="O53" s="5">
        <v>0</v>
      </c>
      <c r="P53" s="5">
        <v>0</v>
      </c>
      <c r="Q53" s="5">
        <v>0</v>
      </c>
      <c r="R53" s="7">
        <f t="shared" si="15"/>
        <v>584.01</v>
      </c>
    </row>
    <row r="54" spans="1:18" ht="11.25">
      <c r="A54" s="4" t="s">
        <v>51</v>
      </c>
      <c r="B54" s="5">
        <v>30</v>
      </c>
      <c r="C54" s="5">
        <v>30</v>
      </c>
      <c r="D54" s="5">
        <v>30</v>
      </c>
      <c r="E54" s="5">
        <v>30</v>
      </c>
      <c r="F54" s="5">
        <v>30</v>
      </c>
      <c r="G54" s="5">
        <v>30</v>
      </c>
      <c r="H54" s="5">
        <v>30</v>
      </c>
      <c r="I54" s="5">
        <v>30</v>
      </c>
      <c r="J54" s="5">
        <v>30</v>
      </c>
      <c r="K54" s="5">
        <v>30</v>
      </c>
      <c r="L54" s="5">
        <v>30</v>
      </c>
      <c r="M54" s="5">
        <v>30</v>
      </c>
      <c r="N54" s="5">
        <v>30</v>
      </c>
      <c r="O54" s="5">
        <v>30</v>
      </c>
      <c r="P54" s="5">
        <v>30</v>
      </c>
      <c r="Q54" s="5">
        <v>30</v>
      </c>
      <c r="R54" s="7">
        <f t="shared" si="15"/>
        <v>480</v>
      </c>
    </row>
    <row r="55" spans="1:18" ht="11.25">
      <c r="A55" s="4" t="s">
        <v>52</v>
      </c>
      <c r="B55" s="5">
        <v>150</v>
      </c>
      <c r="C55" s="5">
        <v>150</v>
      </c>
      <c r="D55" s="5">
        <v>150</v>
      </c>
      <c r="E55" s="5">
        <v>150</v>
      </c>
      <c r="F55" s="5">
        <v>150</v>
      </c>
      <c r="G55" s="5">
        <v>150</v>
      </c>
      <c r="H55" s="5">
        <v>150</v>
      </c>
      <c r="I55" s="5">
        <v>150</v>
      </c>
      <c r="J55" s="5">
        <v>150</v>
      </c>
      <c r="K55" s="5">
        <v>150</v>
      </c>
      <c r="L55" s="5">
        <v>150</v>
      </c>
      <c r="M55" s="5">
        <v>150</v>
      </c>
      <c r="N55" s="5">
        <v>150</v>
      </c>
      <c r="O55" s="5">
        <v>150</v>
      </c>
      <c r="P55" s="5">
        <v>150</v>
      </c>
      <c r="Q55" s="5">
        <v>150</v>
      </c>
      <c r="R55" s="7">
        <f t="shared" si="15"/>
        <v>2400</v>
      </c>
    </row>
    <row r="56" spans="1:18" ht="11.25">
      <c r="A56" s="4" t="s">
        <v>14</v>
      </c>
      <c r="B56" s="5">
        <v>103.83</v>
      </c>
      <c r="C56" s="5">
        <v>98.03</v>
      </c>
      <c r="D56" s="5">
        <v>78.64</v>
      </c>
      <c r="E56" s="5">
        <v>62.33</v>
      </c>
      <c r="F56" s="5">
        <v>85.57</v>
      </c>
      <c r="G56" s="5">
        <v>59.83</v>
      </c>
      <c r="H56" s="5">
        <v>71.2</v>
      </c>
      <c r="I56" s="5">
        <v>72.62</v>
      </c>
      <c r="J56" s="5">
        <v>74.65</v>
      </c>
      <c r="K56" s="5">
        <v>68.42</v>
      </c>
      <c r="L56" s="5">
        <v>62.68</v>
      </c>
      <c r="M56" s="5">
        <v>85.76</v>
      </c>
      <c r="N56" s="5">
        <v>95.68</v>
      </c>
      <c r="O56" s="5">
        <v>146.45</v>
      </c>
      <c r="P56" s="5">
        <v>146.45</v>
      </c>
      <c r="Q56" s="5">
        <v>146.45</v>
      </c>
      <c r="R56" s="7">
        <f t="shared" si="15"/>
        <v>1458.59</v>
      </c>
    </row>
    <row r="57" spans="1:18" ht="11.25">
      <c r="A57" s="4" t="s">
        <v>70</v>
      </c>
      <c r="B57" s="5">
        <v>85</v>
      </c>
      <c r="C57" s="5">
        <v>85</v>
      </c>
      <c r="D57" s="5">
        <v>85</v>
      </c>
      <c r="E57" s="5">
        <v>85</v>
      </c>
      <c r="F57" s="5">
        <v>85</v>
      </c>
      <c r="G57" s="5">
        <v>85</v>
      </c>
      <c r="H57" s="5">
        <v>85</v>
      </c>
      <c r="I57" s="5">
        <v>85</v>
      </c>
      <c r="J57" s="5">
        <v>85</v>
      </c>
      <c r="K57" s="5">
        <v>85</v>
      </c>
      <c r="L57" s="5">
        <v>85</v>
      </c>
      <c r="M57" s="5">
        <v>85</v>
      </c>
      <c r="N57" s="5">
        <v>85</v>
      </c>
      <c r="O57" s="5">
        <v>85</v>
      </c>
      <c r="P57" s="5">
        <v>85</v>
      </c>
      <c r="Q57" s="5">
        <v>85</v>
      </c>
      <c r="R57" s="7">
        <f t="shared" si="15"/>
        <v>1360</v>
      </c>
    </row>
    <row r="58" spans="1:18" ht="11.25">
      <c r="A58" s="4" t="s">
        <v>65</v>
      </c>
      <c r="B58" s="5">
        <v>150</v>
      </c>
      <c r="C58" s="5">
        <v>150</v>
      </c>
      <c r="D58" s="5">
        <v>150</v>
      </c>
      <c r="E58" s="5">
        <v>150</v>
      </c>
      <c r="F58" s="5">
        <v>150</v>
      </c>
      <c r="G58" s="5">
        <v>150</v>
      </c>
      <c r="H58" s="5">
        <v>150</v>
      </c>
      <c r="I58" s="5">
        <v>150</v>
      </c>
      <c r="J58" s="5">
        <v>150</v>
      </c>
      <c r="K58" s="5">
        <v>150</v>
      </c>
      <c r="L58" s="5">
        <v>150</v>
      </c>
      <c r="M58" s="5">
        <v>150</v>
      </c>
      <c r="N58" s="5">
        <v>150</v>
      </c>
      <c r="O58" s="5">
        <v>150</v>
      </c>
      <c r="P58" s="5">
        <v>150</v>
      </c>
      <c r="Q58" s="5">
        <v>150</v>
      </c>
      <c r="R58" s="7">
        <f t="shared" si="15"/>
        <v>2400</v>
      </c>
    </row>
    <row r="59" spans="1:18" ht="11.25">
      <c r="A59" s="4" t="s">
        <v>66</v>
      </c>
      <c r="B59" s="5">
        <v>125</v>
      </c>
      <c r="C59" s="5">
        <v>125</v>
      </c>
      <c r="D59" s="5">
        <v>125</v>
      </c>
      <c r="E59" s="5">
        <v>125</v>
      </c>
      <c r="F59" s="5">
        <v>125</v>
      </c>
      <c r="G59" s="5">
        <v>125</v>
      </c>
      <c r="H59" s="5">
        <v>125</v>
      </c>
      <c r="I59" s="5">
        <v>125</v>
      </c>
      <c r="J59" s="5">
        <v>125</v>
      </c>
      <c r="K59" s="5">
        <v>125</v>
      </c>
      <c r="L59" s="5">
        <v>125</v>
      </c>
      <c r="M59" s="5">
        <v>125</v>
      </c>
      <c r="N59" s="5">
        <v>125</v>
      </c>
      <c r="O59" s="5">
        <v>125</v>
      </c>
      <c r="P59" s="5">
        <v>125</v>
      </c>
      <c r="Q59" s="5">
        <v>125</v>
      </c>
      <c r="R59" s="7">
        <f t="shared" si="15"/>
        <v>2000</v>
      </c>
    </row>
    <row r="60" spans="1:18" ht="11.25">
      <c r="A60" s="4" t="s">
        <v>53</v>
      </c>
      <c r="B60" s="5">
        <v>623.88</v>
      </c>
      <c r="C60" s="5">
        <v>623.88</v>
      </c>
      <c r="D60" s="5">
        <v>623.88</v>
      </c>
      <c r="E60" s="5">
        <v>623.88</v>
      </c>
      <c r="F60" s="5">
        <v>623.88</v>
      </c>
      <c r="G60" s="5">
        <v>623.88</v>
      </c>
      <c r="H60" s="5">
        <v>623.88</v>
      </c>
      <c r="I60" s="5">
        <v>623.88</v>
      </c>
      <c r="J60" s="5">
        <v>623.88</v>
      </c>
      <c r="K60" s="5">
        <v>623.88</v>
      </c>
      <c r="L60" s="5">
        <v>623.88</v>
      </c>
      <c r="M60" s="5">
        <v>623.88</v>
      </c>
      <c r="N60" s="5">
        <v>623.88</v>
      </c>
      <c r="O60" s="5">
        <v>623.88</v>
      </c>
      <c r="P60" s="5">
        <v>623.88</v>
      </c>
      <c r="Q60" s="5">
        <v>623.88</v>
      </c>
      <c r="R60" s="7">
        <f t="shared" si="15"/>
        <v>9982.079999999998</v>
      </c>
    </row>
    <row r="61" spans="1:18" ht="11.25">
      <c r="A61" s="4" t="s">
        <v>36</v>
      </c>
      <c r="B61" s="5">
        <v>102.51</v>
      </c>
      <c r="C61" s="5">
        <v>102.51</v>
      </c>
      <c r="D61" s="5">
        <v>102.51</v>
      </c>
      <c r="E61" s="5">
        <v>102.51</v>
      </c>
      <c r="F61" s="5">
        <v>102.51</v>
      </c>
      <c r="G61" s="5">
        <v>102.51</v>
      </c>
      <c r="H61" s="5">
        <v>102.51</v>
      </c>
      <c r="I61" s="5">
        <v>102.51</v>
      </c>
      <c r="J61" s="5">
        <v>102.51</v>
      </c>
      <c r="K61" s="5">
        <v>102.51</v>
      </c>
      <c r="L61" s="5">
        <v>102.51</v>
      </c>
      <c r="M61" s="5">
        <v>102.51</v>
      </c>
      <c r="N61" s="5">
        <v>102.51</v>
      </c>
      <c r="O61" s="5">
        <v>102.51</v>
      </c>
      <c r="P61" s="5">
        <v>102.51</v>
      </c>
      <c r="Q61" s="5">
        <v>102.51</v>
      </c>
      <c r="R61" s="7">
        <f t="shared" si="15"/>
        <v>1640.16</v>
      </c>
    </row>
    <row r="62" spans="1:18" ht="11.25">
      <c r="A62" s="3" t="s">
        <v>15</v>
      </c>
      <c r="B62" s="7">
        <f>B4+B11+B18+B23+B28+B32+B37+B40+B42+B48</f>
        <v>31773.3937066</v>
      </c>
      <c r="C62" s="7">
        <f aca="true" t="shared" si="16" ref="C62:R62">C4+C11+C18+C23+C28+C32+C37+C40+C42+C48</f>
        <v>14090.1437066</v>
      </c>
      <c r="D62" s="7">
        <f t="shared" si="16"/>
        <v>14438.3337066</v>
      </c>
      <c r="E62" s="7">
        <f t="shared" si="16"/>
        <v>13024.7437066</v>
      </c>
      <c r="F62" s="7">
        <f t="shared" si="16"/>
        <v>13414.123706600001</v>
      </c>
      <c r="G62" s="7">
        <f t="shared" si="16"/>
        <v>27304.0537066</v>
      </c>
      <c r="H62" s="7">
        <f t="shared" si="16"/>
        <v>25339.5237066</v>
      </c>
      <c r="I62" s="7">
        <f t="shared" si="16"/>
        <v>12230.0837066</v>
      </c>
      <c r="J62" s="7">
        <f t="shared" si="16"/>
        <v>12973.903706600002</v>
      </c>
      <c r="K62" s="7">
        <f t="shared" si="16"/>
        <v>11119.828706600001</v>
      </c>
      <c r="L62" s="7">
        <f t="shared" si="16"/>
        <v>16339.623706600001</v>
      </c>
      <c r="M62" s="7">
        <f t="shared" si="16"/>
        <v>13284.6537066</v>
      </c>
      <c r="N62" s="7">
        <f t="shared" si="16"/>
        <v>13027.6437066</v>
      </c>
      <c r="O62" s="7">
        <f t="shared" si="16"/>
        <v>12849.9587066</v>
      </c>
      <c r="P62" s="7">
        <f t="shared" si="16"/>
        <v>12481.3337066</v>
      </c>
      <c r="Q62" s="7">
        <f t="shared" si="16"/>
        <v>13633.043706600001</v>
      </c>
      <c r="R62" s="7">
        <f t="shared" si="16"/>
        <v>257324.38930560002</v>
      </c>
    </row>
    <row r="64" spans="1:18" ht="11.25">
      <c r="A64" s="4" t="s">
        <v>82</v>
      </c>
      <c r="B64" s="5">
        <v>11015.68</v>
      </c>
      <c r="C64" s="5">
        <v>10050.43</v>
      </c>
      <c r="D64" s="5">
        <v>11278.18</v>
      </c>
      <c r="E64" s="5">
        <v>10975.18</v>
      </c>
      <c r="F64" s="5">
        <v>9040.37</v>
      </c>
      <c r="G64" s="5">
        <v>9150.71</v>
      </c>
      <c r="H64" s="5">
        <v>9412.77</v>
      </c>
      <c r="I64" s="5">
        <v>9572.34</v>
      </c>
      <c r="J64" s="5">
        <v>9388.71</v>
      </c>
      <c r="K64" s="5">
        <v>8709.77</v>
      </c>
      <c r="L64" s="5">
        <v>8222.27</v>
      </c>
      <c r="M64" s="5">
        <v>10819.14</v>
      </c>
      <c r="N64" s="5">
        <v>10322.27</v>
      </c>
      <c r="O64" s="5">
        <v>10022.27</v>
      </c>
      <c r="P64" s="5">
        <v>9422.27</v>
      </c>
      <c r="Q64" s="5">
        <v>11222.27</v>
      </c>
      <c r="R64" s="5">
        <f>SUM(B64:Q64)</f>
        <v>158624.62999999998</v>
      </c>
    </row>
    <row r="65" spans="1:18" ht="11.25">
      <c r="A65" s="4" t="s">
        <v>83</v>
      </c>
      <c r="B65" s="23">
        <v>0</v>
      </c>
      <c r="C65" s="23">
        <v>10235</v>
      </c>
      <c r="D65" s="23">
        <v>7179</v>
      </c>
      <c r="E65" s="23">
        <v>12316</v>
      </c>
      <c r="F65" s="23">
        <v>10480</v>
      </c>
      <c r="G65" s="23">
        <v>7038</v>
      </c>
      <c r="H65" s="23">
        <v>15061</v>
      </c>
      <c r="I65" s="23">
        <v>9712</v>
      </c>
      <c r="J65" s="23">
        <v>9972</v>
      </c>
      <c r="K65" s="23">
        <v>8039</v>
      </c>
      <c r="L65" s="23">
        <v>14352.63</v>
      </c>
      <c r="M65" s="23">
        <v>4605</v>
      </c>
      <c r="N65" s="23">
        <v>3626</v>
      </c>
      <c r="O65" s="23">
        <v>15250</v>
      </c>
      <c r="P65" s="23">
        <v>1983</v>
      </c>
      <c r="Q65" s="23">
        <v>14505.19</v>
      </c>
      <c r="R65" s="5">
        <f>SUM(B65:Q65)</f>
        <v>144353.82</v>
      </c>
    </row>
    <row r="66" spans="1:18" ht="11.25">
      <c r="A66" s="4" t="s">
        <v>84</v>
      </c>
      <c r="B66" s="5">
        <v>92.91</v>
      </c>
      <c r="C66" s="5">
        <v>82.66</v>
      </c>
      <c r="D66" s="5">
        <v>91.92</v>
      </c>
      <c r="E66" s="5">
        <v>92.82</v>
      </c>
      <c r="F66" s="5">
        <v>90.24</v>
      </c>
      <c r="G66" s="5">
        <v>101.3</v>
      </c>
      <c r="H66" s="5">
        <v>101.55</v>
      </c>
      <c r="I66" s="5">
        <v>101.86</v>
      </c>
      <c r="J66" s="5">
        <v>100.16</v>
      </c>
      <c r="K66" s="5">
        <v>105.87</v>
      </c>
      <c r="L66" s="5">
        <v>102.03</v>
      </c>
      <c r="M66" s="5">
        <v>95.73</v>
      </c>
      <c r="N66" s="5">
        <v>99.93</v>
      </c>
      <c r="O66" s="5">
        <v>94.11</v>
      </c>
      <c r="P66" s="5">
        <v>97.93</v>
      </c>
      <c r="Q66" s="5">
        <v>95.75</v>
      </c>
      <c r="R66" s="4"/>
    </row>
    <row r="67" spans="1:18" ht="11.25">
      <c r="A67" s="8" t="s">
        <v>85</v>
      </c>
      <c r="B67" s="23">
        <f>B62</f>
        <v>31773.3937066</v>
      </c>
      <c r="C67" s="23">
        <f aca="true" t="shared" si="17" ref="C67:Q67">C62</f>
        <v>14090.1437066</v>
      </c>
      <c r="D67" s="23">
        <f t="shared" si="17"/>
        <v>14438.3337066</v>
      </c>
      <c r="E67" s="23">
        <f t="shared" si="17"/>
        <v>13024.7437066</v>
      </c>
      <c r="F67" s="23">
        <f t="shared" si="17"/>
        <v>13414.123706600001</v>
      </c>
      <c r="G67" s="23">
        <f t="shared" si="17"/>
        <v>27304.0537066</v>
      </c>
      <c r="H67" s="23">
        <f t="shared" si="17"/>
        <v>25339.5237066</v>
      </c>
      <c r="I67" s="23">
        <f t="shared" si="17"/>
        <v>12230.0837066</v>
      </c>
      <c r="J67" s="23">
        <f t="shared" si="17"/>
        <v>12973.903706600002</v>
      </c>
      <c r="K67" s="23">
        <f t="shared" si="17"/>
        <v>11119.828706600001</v>
      </c>
      <c r="L67" s="23">
        <f t="shared" si="17"/>
        <v>16339.623706600001</v>
      </c>
      <c r="M67" s="23">
        <f t="shared" si="17"/>
        <v>13284.6537066</v>
      </c>
      <c r="N67" s="23">
        <f t="shared" si="17"/>
        <v>13027.6437066</v>
      </c>
      <c r="O67" s="23">
        <f t="shared" si="17"/>
        <v>12849.9587066</v>
      </c>
      <c r="P67" s="23">
        <f t="shared" si="17"/>
        <v>12481.3337066</v>
      </c>
      <c r="Q67" s="23">
        <f t="shared" si="17"/>
        <v>13633.043706600001</v>
      </c>
      <c r="R67" s="6">
        <f>SUM(B67:Q67)</f>
        <v>257324.38930560002</v>
      </c>
    </row>
    <row r="68" spans="1:18" ht="11.25">
      <c r="A68" s="4" t="s">
        <v>153</v>
      </c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4"/>
      <c r="R68" s="5">
        <f>R65-R67</f>
        <v>-112970.56930560002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pane ySplit="2" topLeftCell="BM3" activePane="bottomLeft" state="frozen"/>
      <selection pane="topLeft" activeCell="A1" sqref="A1"/>
      <selection pane="bottomLeft" activeCell="F55" sqref="F55"/>
    </sheetView>
  </sheetViews>
  <sheetFormatPr defaultColWidth="9.00390625" defaultRowHeight="12.75"/>
  <cols>
    <col min="1" max="1" width="34.625" style="2" customWidth="1"/>
    <col min="2" max="7" width="8.875" style="2" customWidth="1"/>
    <col min="8" max="8" width="9.75390625" style="2" customWidth="1"/>
    <col min="9" max="16384" width="9.125" style="2" customWidth="1"/>
  </cols>
  <sheetData>
    <row r="1" spans="1:8" ht="11.25">
      <c r="A1" s="1" t="s">
        <v>103</v>
      </c>
      <c r="B1" s="1" t="s">
        <v>76</v>
      </c>
      <c r="C1" s="1"/>
      <c r="D1" s="1"/>
      <c r="E1" s="1"/>
      <c r="F1" s="1"/>
      <c r="G1" s="1"/>
      <c r="H1" s="1"/>
    </row>
    <row r="2" spans="1:8" ht="11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16</v>
      </c>
    </row>
    <row r="3" spans="1:8" ht="11.25">
      <c r="A3" s="3" t="s">
        <v>34</v>
      </c>
      <c r="B3" s="5"/>
      <c r="C3" s="5"/>
      <c r="D3" s="5"/>
      <c r="E3" s="5"/>
      <c r="F3" s="5"/>
      <c r="G3" s="5"/>
      <c r="H3" s="7"/>
    </row>
    <row r="4" spans="1:8" ht="11.25">
      <c r="A4" s="3" t="s">
        <v>26</v>
      </c>
      <c r="B4" s="7">
        <f aca="true" t="shared" si="0" ref="B4:H4">SUM(B5:B10)</f>
        <v>11255</v>
      </c>
      <c r="C4" s="7">
        <f t="shared" si="0"/>
        <v>11505</v>
      </c>
      <c r="D4" s="7">
        <f t="shared" si="0"/>
        <v>11135</v>
      </c>
      <c r="E4" s="7">
        <f t="shared" si="0"/>
        <v>11135</v>
      </c>
      <c r="F4" s="7">
        <f t="shared" si="0"/>
        <v>11485</v>
      </c>
      <c r="G4" s="7">
        <f t="shared" si="0"/>
        <v>21511</v>
      </c>
      <c r="H4" s="7">
        <f t="shared" si="0"/>
        <v>78026</v>
      </c>
    </row>
    <row r="5" spans="1:8" ht="11.25">
      <c r="A5" s="4" t="s">
        <v>27</v>
      </c>
      <c r="B5" s="5">
        <v>8500</v>
      </c>
      <c r="C5" s="5">
        <v>8500</v>
      </c>
      <c r="D5" s="5">
        <v>8500</v>
      </c>
      <c r="E5" s="5">
        <v>8500</v>
      </c>
      <c r="F5" s="5">
        <v>8500</v>
      </c>
      <c r="G5" s="5">
        <v>8500</v>
      </c>
      <c r="H5" s="5">
        <f aca="true" t="shared" si="1" ref="H5:H10">SUM(B5:G5)</f>
        <v>51000</v>
      </c>
    </row>
    <row r="6" spans="1:8" ht="11.25">
      <c r="A6" s="4" t="s">
        <v>30</v>
      </c>
      <c r="B6" s="5">
        <v>2000</v>
      </c>
      <c r="C6" s="5">
        <v>2000</v>
      </c>
      <c r="D6" s="5">
        <v>2000</v>
      </c>
      <c r="E6" s="5">
        <v>2000</v>
      </c>
      <c r="F6" s="5">
        <v>2000</v>
      </c>
      <c r="G6" s="5">
        <v>2000</v>
      </c>
      <c r="H6" s="5">
        <f t="shared" si="1"/>
        <v>12000</v>
      </c>
    </row>
    <row r="7" spans="1:8" ht="11.25">
      <c r="A7" s="4" t="s">
        <v>31</v>
      </c>
      <c r="B7" s="5">
        <v>315</v>
      </c>
      <c r="C7" s="5">
        <v>315</v>
      </c>
      <c r="D7" s="5">
        <v>315</v>
      </c>
      <c r="E7" s="5">
        <v>315</v>
      </c>
      <c r="F7" s="5">
        <v>315</v>
      </c>
      <c r="G7" s="5">
        <v>315</v>
      </c>
      <c r="H7" s="5">
        <f t="shared" si="1"/>
        <v>1890</v>
      </c>
    </row>
    <row r="8" spans="1:8" ht="11.25">
      <c r="A8" s="4" t="s">
        <v>54</v>
      </c>
      <c r="B8" s="5">
        <v>320</v>
      </c>
      <c r="C8" s="5">
        <v>320</v>
      </c>
      <c r="D8" s="5">
        <v>320</v>
      </c>
      <c r="E8" s="5">
        <v>320</v>
      </c>
      <c r="F8" s="5">
        <v>320</v>
      </c>
      <c r="G8" s="5">
        <v>320</v>
      </c>
      <c r="H8" s="5">
        <f t="shared" si="1"/>
        <v>1920</v>
      </c>
    </row>
    <row r="9" spans="1:8" ht="11.25">
      <c r="A9" s="4" t="s">
        <v>10</v>
      </c>
      <c r="B9" s="5">
        <v>120</v>
      </c>
      <c r="C9" s="5">
        <f>120+250</f>
        <v>370</v>
      </c>
      <c r="D9" s="5">
        <v>0</v>
      </c>
      <c r="E9" s="5">
        <v>0</v>
      </c>
      <c r="F9" s="5">
        <v>350</v>
      </c>
      <c r="G9" s="5">
        <v>10376</v>
      </c>
      <c r="H9" s="5">
        <f t="shared" si="1"/>
        <v>11216</v>
      </c>
    </row>
    <row r="10" spans="1:8" ht="11.25">
      <c r="A10" s="4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</row>
    <row r="11" spans="1:8" ht="11.25">
      <c r="A11" s="3" t="s">
        <v>28</v>
      </c>
      <c r="B11" s="7">
        <f aca="true" t="shared" si="2" ref="B11:H11">SUM(B12:B17)</f>
        <v>8950</v>
      </c>
      <c r="C11" s="7">
        <f t="shared" si="2"/>
        <v>10380</v>
      </c>
      <c r="D11" s="7">
        <f t="shared" si="2"/>
        <v>9800</v>
      </c>
      <c r="E11" s="7">
        <f t="shared" si="2"/>
        <v>8700</v>
      </c>
      <c r="F11" s="7">
        <f t="shared" si="2"/>
        <v>9510</v>
      </c>
      <c r="G11" s="7">
        <f t="shared" si="2"/>
        <v>11711.79</v>
      </c>
      <c r="H11" s="7">
        <f t="shared" si="2"/>
        <v>59051.79</v>
      </c>
    </row>
    <row r="12" spans="1:8" ht="11.25">
      <c r="A12" s="4" t="s">
        <v>29</v>
      </c>
      <c r="B12" s="5">
        <v>7500</v>
      </c>
      <c r="C12" s="5">
        <v>7500</v>
      </c>
      <c r="D12" s="5">
        <v>7500</v>
      </c>
      <c r="E12" s="5">
        <v>7500</v>
      </c>
      <c r="F12" s="5">
        <v>7500</v>
      </c>
      <c r="G12" s="5">
        <v>7500</v>
      </c>
      <c r="H12" s="5">
        <f aca="true" t="shared" si="3" ref="H12:H17">SUM(B12:G12)</f>
        <v>45000</v>
      </c>
    </row>
    <row r="13" spans="1:8" ht="11.25">
      <c r="A13" s="4" t="s">
        <v>30</v>
      </c>
      <c r="B13" s="5">
        <v>1200</v>
      </c>
      <c r="C13" s="5">
        <v>1200</v>
      </c>
      <c r="D13" s="5">
        <v>1200</v>
      </c>
      <c r="E13" s="5">
        <v>1200</v>
      </c>
      <c r="F13" s="5">
        <v>1200</v>
      </c>
      <c r="G13" s="5">
        <v>1200</v>
      </c>
      <c r="H13" s="5">
        <f t="shared" si="3"/>
        <v>7200</v>
      </c>
    </row>
    <row r="14" spans="1:8" ht="11.25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3"/>
        <v>0</v>
      </c>
    </row>
    <row r="15" spans="1:8" ht="11.25">
      <c r="A15" s="4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3"/>
        <v>0</v>
      </c>
    </row>
    <row r="16" spans="1:8" ht="11.25">
      <c r="A16" s="4" t="s">
        <v>12</v>
      </c>
      <c r="B16" s="5">
        <f>30+220</f>
        <v>250</v>
      </c>
      <c r="C16" s="5">
        <f>170*3+30*3+320*2+170+60+180+30</f>
        <v>1680</v>
      </c>
      <c r="D16" s="5">
        <f>950+150</f>
        <v>1100</v>
      </c>
      <c r="E16" s="5">
        <v>0</v>
      </c>
      <c r="F16" s="5">
        <f>250+260+300</f>
        <v>810</v>
      </c>
      <c r="G16" s="5">
        <f>250+1950+811.79</f>
        <v>3011.79</v>
      </c>
      <c r="H16" s="5">
        <f t="shared" si="3"/>
        <v>6851.79</v>
      </c>
    </row>
    <row r="17" spans="1:8" ht="11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3"/>
        <v>0</v>
      </c>
    </row>
    <row r="18" spans="1:8" ht="11.25">
      <c r="A18" s="3" t="s">
        <v>40</v>
      </c>
      <c r="B18" s="7">
        <f aca="true" t="shared" si="4" ref="B18:H18">SUM(B19:B29)</f>
        <v>0</v>
      </c>
      <c r="C18" s="7">
        <f t="shared" si="4"/>
        <v>29923</v>
      </c>
      <c r="D18" s="7">
        <f t="shared" si="4"/>
        <v>15000</v>
      </c>
      <c r="E18" s="7">
        <f t="shared" si="4"/>
        <v>51000</v>
      </c>
      <c r="F18" s="7">
        <f t="shared" si="4"/>
        <v>30210</v>
      </c>
      <c r="G18" s="7">
        <f t="shared" si="4"/>
        <v>6750</v>
      </c>
      <c r="H18" s="7">
        <f t="shared" si="4"/>
        <v>132883</v>
      </c>
    </row>
    <row r="19" spans="1:8" ht="11.25">
      <c r="A19" s="4" t="s">
        <v>104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f>2250+1500+2000</f>
        <v>5750</v>
      </c>
      <c r="H19" s="5">
        <f aca="true" t="shared" si="5" ref="H19:H29">SUM(B19:G19)</f>
        <v>5750</v>
      </c>
    </row>
    <row r="20" spans="1:8" ht="11.25">
      <c r="A20" s="4" t="s">
        <v>105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5"/>
        <v>0</v>
      </c>
    </row>
    <row r="21" spans="1:8" ht="11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5"/>
        <v>0</v>
      </c>
    </row>
    <row r="22" spans="1:8" ht="11.25">
      <c r="A22" s="4" t="s">
        <v>106</v>
      </c>
      <c r="B22" s="5">
        <v>0</v>
      </c>
      <c r="C22" s="5">
        <v>21500</v>
      </c>
      <c r="D22" s="5">
        <v>0</v>
      </c>
      <c r="E22" s="5">
        <v>1000</v>
      </c>
      <c r="F22" s="5">
        <v>0</v>
      </c>
      <c r="G22" s="5">
        <v>0</v>
      </c>
      <c r="H22" s="5">
        <f t="shared" si="5"/>
        <v>22500</v>
      </c>
    </row>
    <row r="23" spans="1:8" ht="11.25">
      <c r="A23" s="4" t="s">
        <v>107</v>
      </c>
      <c r="B23" s="5">
        <v>0</v>
      </c>
      <c r="C23" s="5">
        <v>8423</v>
      </c>
      <c r="D23" s="5">
        <v>0</v>
      </c>
      <c r="E23" s="5">
        <v>0</v>
      </c>
      <c r="F23" s="5">
        <v>0</v>
      </c>
      <c r="G23" s="5">
        <v>0</v>
      </c>
      <c r="H23" s="5">
        <f t="shared" si="5"/>
        <v>8423</v>
      </c>
    </row>
    <row r="24" spans="1:8" ht="11.25">
      <c r="A24" s="4" t="s">
        <v>108</v>
      </c>
      <c r="B24" s="5">
        <v>0</v>
      </c>
      <c r="C24" s="5">
        <v>0</v>
      </c>
      <c r="D24" s="5">
        <v>15000</v>
      </c>
      <c r="E24" s="5">
        <v>20000</v>
      </c>
      <c r="F24" s="5">
        <v>0</v>
      </c>
      <c r="G24" s="5">
        <v>1000</v>
      </c>
      <c r="H24" s="5">
        <f t="shared" si="5"/>
        <v>36000</v>
      </c>
    </row>
    <row r="25" spans="1:8" ht="11.25">
      <c r="A25" s="4" t="s">
        <v>109</v>
      </c>
      <c r="B25" s="5">
        <v>0</v>
      </c>
      <c r="C25" s="5">
        <v>0</v>
      </c>
      <c r="D25" s="5">
        <v>0</v>
      </c>
      <c r="E25" s="5">
        <v>30000</v>
      </c>
      <c r="F25" s="5">
        <v>29410</v>
      </c>
      <c r="G25" s="5">
        <v>0</v>
      </c>
      <c r="H25" s="5">
        <f t="shared" si="5"/>
        <v>59410</v>
      </c>
    </row>
    <row r="26" spans="1:8" ht="11.25">
      <c r="A26" s="4" t="s">
        <v>91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 t="shared" si="5"/>
        <v>0</v>
      </c>
    </row>
    <row r="27" spans="1:8" ht="11.25">
      <c r="A27" s="4" t="s">
        <v>110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5"/>
        <v>0</v>
      </c>
    </row>
    <row r="28" spans="1:8" ht="11.25">
      <c r="A28" s="4" t="s">
        <v>61</v>
      </c>
      <c r="B28" s="5">
        <v>0</v>
      </c>
      <c r="C28" s="5">
        <v>0</v>
      </c>
      <c r="D28" s="5">
        <v>0</v>
      </c>
      <c r="E28" s="5">
        <v>0</v>
      </c>
      <c r="F28" s="5">
        <f>300+500</f>
        <v>800</v>
      </c>
      <c r="G28" s="5">
        <v>0</v>
      </c>
      <c r="H28" s="5">
        <f t="shared" si="5"/>
        <v>800</v>
      </c>
    </row>
    <row r="29" spans="1:8" ht="11.25">
      <c r="A29" s="4" t="s">
        <v>45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 t="shared" si="5"/>
        <v>0</v>
      </c>
    </row>
    <row r="30" spans="1:8" ht="11.25">
      <c r="A30" s="3" t="s">
        <v>23</v>
      </c>
      <c r="B30" s="7">
        <f>SUM(B31:B34)</f>
        <v>27000</v>
      </c>
      <c r="C30" s="7">
        <f aca="true" t="shared" si="6" ref="C30:H30">SUM(C31:C34)</f>
        <v>29700</v>
      </c>
      <c r="D30" s="7">
        <f t="shared" si="6"/>
        <v>27000</v>
      </c>
      <c r="E30" s="7">
        <f t="shared" si="6"/>
        <v>27553.48</v>
      </c>
      <c r="F30" s="7">
        <f t="shared" si="6"/>
        <v>27310</v>
      </c>
      <c r="G30" s="7">
        <f t="shared" si="6"/>
        <v>27000</v>
      </c>
      <c r="H30" s="7">
        <f t="shared" si="6"/>
        <v>165563.47999999998</v>
      </c>
    </row>
    <row r="31" spans="1:8" ht="11.25">
      <c r="A31" s="4" t="s">
        <v>24</v>
      </c>
      <c r="B31" s="5">
        <v>12000</v>
      </c>
      <c r="C31" s="5">
        <v>12000</v>
      </c>
      <c r="D31" s="5">
        <v>12000</v>
      </c>
      <c r="E31" s="5">
        <v>12000</v>
      </c>
      <c r="F31" s="5">
        <v>12000</v>
      </c>
      <c r="G31" s="5">
        <v>12000</v>
      </c>
      <c r="H31" s="5">
        <f>SUM(B31:G31)</f>
        <v>72000</v>
      </c>
    </row>
    <row r="32" spans="1:8" ht="11.25">
      <c r="A32" s="4" t="s">
        <v>7</v>
      </c>
      <c r="B32" s="5">
        <v>0</v>
      </c>
      <c r="C32" s="5">
        <v>0</v>
      </c>
      <c r="D32" s="5">
        <v>0</v>
      </c>
      <c r="E32" s="5">
        <f>349.49+139.99+64</f>
        <v>553.48</v>
      </c>
      <c r="F32" s="5">
        <v>0</v>
      </c>
      <c r="G32" s="5">
        <v>0</v>
      </c>
      <c r="H32" s="5">
        <f>SUM(B32:G32)</f>
        <v>553.48</v>
      </c>
    </row>
    <row r="33" spans="1:8" ht="11.25">
      <c r="A33" s="4" t="s">
        <v>25</v>
      </c>
      <c r="B33" s="5">
        <v>15000</v>
      </c>
      <c r="C33" s="5">
        <v>15000</v>
      </c>
      <c r="D33" s="5">
        <v>15000</v>
      </c>
      <c r="E33" s="5">
        <v>15000</v>
      </c>
      <c r="F33" s="5">
        <v>15000</v>
      </c>
      <c r="G33" s="5">
        <v>15000</v>
      </c>
      <c r="H33" s="5">
        <f>SUM(B33:G33)</f>
        <v>90000</v>
      </c>
    </row>
    <row r="34" spans="1:8" ht="11.25">
      <c r="A34" s="4" t="s">
        <v>8</v>
      </c>
      <c r="B34" s="5">
        <v>0</v>
      </c>
      <c r="C34" s="5">
        <f>1700+1000</f>
        <v>2700</v>
      </c>
      <c r="D34" s="5">
        <v>0</v>
      </c>
      <c r="E34" s="5">
        <v>0</v>
      </c>
      <c r="F34" s="5">
        <v>310</v>
      </c>
      <c r="G34" s="5">
        <v>0</v>
      </c>
      <c r="H34" s="5">
        <f>SUM(B34:G34)</f>
        <v>3010</v>
      </c>
    </row>
    <row r="35" spans="1:8" ht="11.25">
      <c r="A35" s="3" t="s">
        <v>32</v>
      </c>
      <c r="B35" s="7">
        <f>SUM(B36:B38)</f>
        <v>22334.050000000003</v>
      </c>
      <c r="C35" s="7">
        <f aca="true" t="shared" si="7" ref="C35:H35">SUM(C36:C38)</f>
        <v>22334.050000000003</v>
      </c>
      <c r="D35" s="7">
        <f t="shared" si="7"/>
        <v>22334.050000000003</v>
      </c>
      <c r="E35" s="7">
        <f t="shared" si="7"/>
        <v>22334.050000000003</v>
      </c>
      <c r="F35" s="7">
        <f t="shared" si="7"/>
        <v>22334.050000000003</v>
      </c>
      <c r="G35" s="7">
        <f t="shared" si="7"/>
        <v>22334.050000000003</v>
      </c>
      <c r="H35" s="7">
        <f t="shared" si="7"/>
        <v>134004.30000000002</v>
      </c>
    </row>
    <row r="36" spans="1:8" ht="11.25">
      <c r="A36" s="4" t="s">
        <v>41</v>
      </c>
      <c r="B36" s="5">
        <v>18825.79</v>
      </c>
      <c r="C36" s="5">
        <v>18825.79</v>
      </c>
      <c r="D36" s="5">
        <v>18825.79</v>
      </c>
      <c r="E36" s="5">
        <v>18825.79</v>
      </c>
      <c r="F36" s="5">
        <v>18825.79</v>
      </c>
      <c r="G36" s="5">
        <v>18825.79</v>
      </c>
      <c r="H36" s="5">
        <f>SUM(B36:G36)</f>
        <v>112954.74000000002</v>
      </c>
    </row>
    <row r="37" spans="1:8" ht="11.25">
      <c r="A37" s="4" t="s">
        <v>18</v>
      </c>
      <c r="B37" s="5">
        <v>3508.26</v>
      </c>
      <c r="C37" s="5">
        <v>3508.26</v>
      </c>
      <c r="D37" s="5">
        <v>3508.26</v>
      </c>
      <c r="E37" s="5">
        <v>3508.26</v>
      </c>
      <c r="F37" s="5">
        <v>3508.26</v>
      </c>
      <c r="G37" s="5">
        <v>3508.26</v>
      </c>
      <c r="H37" s="5">
        <f>SUM(B37:G37)</f>
        <v>21049.560000000005</v>
      </c>
    </row>
    <row r="38" spans="1:8" ht="11.25">
      <c r="A38" s="4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f>SUM(B38:G38)</f>
        <v>0</v>
      </c>
    </row>
    <row r="39" spans="1:8" ht="11.25">
      <c r="A39" s="3" t="s">
        <v>22</v>
      </c>
      <c r="B39" s="7">
        <f>SUM(B40:B57)</f>
        <v>3620.833333333333</v>
      </c>
      <c r="C39" s="7">
        <f aca="true" t="shared" si="8" ref="C39:H39">SUM(C40:C57)</f>
        <v>1562.5</v>
      </c>
      <c r="D39" s="7">
        <f t="shared" si="8"/>
        <v>4328.34</v>
      </c>
      <c r="E39" s="7">
        <f t="shared" si="8"/>
        <v>2666</v>
      </c>
      <c r="F39" s="7">
        <f t="shared" si="8"/>
        <v>1812.24</v>
      </c>
      <c r="G39" s="7">
        <f t="shared" si="8"/>
        <v>39000</v>
      </c>
      <c r="H39" s="7">
        <f t="shared" si="8"/>
        <v>52989.91333333333</v>
      </c>
    </row>
    <row r="40" spans="1:8" ht="11.25">
      <c r="A40" s="4" t="s">
        <v>9</v>
      </c>
      <c r="B40" s="5">
        <v>1250</v>
      </c>
      <c r="C40" s="5">
        <v>1562.5</v>
      </c>
      <c r="D40" s="5">
        <v>1562.5</v>
      </c>
      <c r="E40" s="5">
        <v>0</v>
      </c>
      <c r="F40" s="5">
        <v>0</v>
      </c>
      <c r="G40" s="5">
        <v>0</v>
      </c>
      <c r="H40" s="5">
        <f aca="true" t="shared" si="9" ref="H40:H57">SUM(B40:G40)</f>
        <v>4375</v>
      </c>
    </row>
    <row r="41" spans="1:8" ht="11.25">
      <c r="A41" s="4" t="s">
        <v>21</v>
      </c>
      <c r="B41" s="5">
        <v>0</v>
      </c>
      <c r="C41" s="5">
        <v>0</v>
      </c>
      <c r="D41" s="5">
        <v>1500</v>
      </c>
      <c r="E41" s="5">
        <v>0</v>
      </c>
      <c r="F41" s="5">
        <v>0</v>
      </c>
      <c r="G41" s="5">
        <v>0</v>
      </c>
      <c r="H41" s="5">
        <f t="shared" si="9"/>
        <v>1500</v>
      </c>
    </row>
    <row r="42" spans="1:8" ht="11.25">
      <c r="A42" s="4" t="s">
        <v>73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f t="shared" si="9"/>
        <v>0</v>
      </c>
    </row>
    <row r="43" spans="1:8" ht="11.25">
      <c r="A43" s="4" t="s">
        <v>74</v>
      </c>
      <c r="B43" s="5">
        <f>3797.5/3+3315/3</f>
        <v>2370.833333333333</v>
      </c>
      <c r="C43" s="5">
        <v>0</v>
      </c>
      <c r="D43" s="5">
        <v>1265.84</v>
      </c>
      <c r="E43" s="5">
        <v>0</v>
      </c>
      <c r="F43" s="5">
        <v>0</v>
      </c>
      <c r="G43" s="5">
        <v>0</v>
      </c>
      <c r="H43" s="5">
        <f t="shared" si="9"/>
        <v>3636.673333333333</v>
      </c>
    </row>
    <row r="44" spans="1:8" ht="11.25">
      <c r="A44" s="4" t="s">
        <v>111</v>
      </c>
      <c r="B44" s="5">
        <v>0</v>
      </c>
      <c r="C44" s="5">
        <v>0</v>
      </c>
      <c r="D44" s="5">
        <v>0</v>
      </c>
      <c r="E44" s="5">
        <v>1716</v>
      </c>
      <c r="F44" s="5">
        <v>1812.24</v>
      </c>
      <c r="G44" s="5">
        <v>0</v>
      </c>
      <c r="H44" s="5">
        <f t="shared" si="9"/>
        <v>3528.24</v>
      </c>
    </row>
    <row r="45" spans="1:8" ht="11.25">
      <c r="A45" s="4" t="s">
        <v>112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f t="shared" si="9"/>
        <v>0</v>
      </c>
    </row>
    <row r="46" spans="1:8" ht="11.25">
      <c r="A46" s="4" t="s">
        <v>113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f t="shared" si="9"/>
        <v>0</v>
      </c>
    </row>
    <row r="47" spans="1:8" ht="11.25">
      <c r="A47" s="4" t="s">
        <v>114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f t="shared" si="9"/>
        <v>0</v>
      </c>
    </row>
    <row r="48" spans="1:8" ht="11.25">
      <c r="A48" s="4" t="s">
        <v>115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f t="shared" si="9"/>
        <v>0</v>
      </c>
    </row>
    <row r="49" spans="1:8" ht="11.25">
      <c r="A49" s="4" t="s">
        <v>57</v>
      </c>
      <c r="B49" s="5">
        <v>0</v>
      </c>
      <c r="C49" s="5">
        <v>0</v>
      </c>
      <c r="D49" s="5">
        <v>0</v>
      </c>
      <c r="E49" s="5">
        <f>200+350+150+250</f>
        <v>950</v>
      </c>
      <c r="F49" s="5">
        <v>0</v>
      </c>
      <c r="G49" s="5">
        <v>0</v>
      </c>
      <c r="H49" s="5">
        <f t="shared" si="9"/>
        <v>950</v>
      </c>
    </row>
    <row r="50" spans="1:8" ht="11.25">
      <c r="A50" s="4" t="s">
        <v>56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36000</v>
      </c>
      <c r="H50" s="5">
        <f t="shared" si="9"/>
        <v>36000</v>
      </c>
    </row>
    <row r="51" spans="1:8" ht="11.25">
      <c r="A51" s="4" t="s">
        <v>116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f t="shared" si="9"/>
        <v>0</v>
      </c>
    </row>
    <row r="52" spans="1:8" ht="11.25">
      <c r="A52" s="4" t="s">
        <v>71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3000</v>
      </c>
      <c r="H52" s="5">
        <f t="shared" si="9"/>
        <v>3000</v>
      </c>
    </row>
    <row r="53" spans="1:8" ht="11.25">
      <c r="A53" s="4" t="s">
        <v>117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f t="shared" si="9"/>
        <v>0</v>
      </c>
    </row>
    <row r="54" spans="1:8" ht="11.25">
      <c r="A54" s="4" t="s">
        <v>118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f t="shared" si="9"/>
        <v>0</v>
      </c>
    </row>
    <row r="55" spans="1:8" ht="11.25">
      <c r="A55" s="4" t="s">
        <v>119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f t="shared" si="9"/>
        <v>0</v>
      </c>
    </row>
    <row r="56" spans="1:8" ht="11.25">
      <c r="A56" s="4" t="s">
        <v>120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f t="shared" si="9"/>
        <v>0</v>
      </c>
    </row>
    <row r="57" spans="1:8" ht="11.25">
      <c r="A57" s="4" t="s">
        <v>121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f t="shared" si="9"/>
        <v>0</v>
      </c>
    </row>
    <row r="58" spans="1:8" ht="11.25">
      <c r="A58" s="3" t="s">
        <v>33</v>
      </c>
      <c r="B58" s="7">
        <f>B59</f>
        <v>0</v>
      </c>
      <c r="C58" s="7">
        <f aca="true" t="shared" si="10" ref="C58:H58">C59</f>
        <v>0</v>
      </c>
      <c r="D58" s="7">
        <f t="shared" si="10"/>
        <v>0</v>
      </c>
      <c r="E58" s="7">
        <f t="shared" si="10"/>
        <v>0</v>
      </c>
      <c r="F58" s="7">
        <f t="shared" si="10"/>
        <v>0</v>
      </c>
      <c r="G58" s="7">
        <f t="shared" si="10"/>
        <v>0</v>
      </c>
      <c r="H58" s="7">
        <f t="shared" si="10"/>
        <v>0</v>
      </c>
    </row>
    <row r="59" spans="1:8" ht="11.25">
      <c r="A59" s="4" t="s">
        <v>19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f>SUM(B59:G59)</f>
        <v>0</v>
      </c>
    </row>
    <row r="60" spans="1:8" ht="11.25">
      <c r="A60" s="3" t="s">
        <v>47</v>
      </c>
      <c r="B60" s="7">
        <f>B61</f>
        <v>0</v>
      </c>
      <c r="C60" s="7">
        <f aca="true" t="shared" si="11" ref="C60:H60">C61</f>
        <v>0</v>
      </c>
      <c r="D60" s="7">
        <f t="shared" si="11"/>
        <v>0</v>
      </c>
      <c r="E60" s="7">
        <f t="shared" si="11"/>
        <v>0</v>
      </c>
      <c r="F60" s="7">
        <f t="shared" si="11"/>
        <v>0</v>
      </c>
      <c r="G60" s="7">
        <f t="shared" si="11"/>
        <v>0</v>
      </c>
      <c r="H60" s="7">
        <f t="shared" si="11"/>
        <v>0</v>
      </c>
    </row>
    <row r="61" spans="1:8" ht="11.25">
      <c r="A61" s="4" t="s">
        <v>17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f>SUM(B61:G61)</f>
        <v>0</v>
      </c>
    </row>
    <row r="62" spans="1:8" ht="11.25">
      <c r="A62" s="3" t="s">
        <v>42</v>
      </c>
      <c r="B62" s="7">
        <f>SUM(B63:B69)</f>
        <v>77912.8114</v>
      </c>
      <c r="C62" s="7">
        <f aca="true" t="shared" si="12" ref="C62:H62">SUM(C63:C69)</f>
        <v>77766.75140000001</v>
      </c>
      <c r="D62" s="7">
        <f t="shared" si="12"/>
        <v>76353.8014</v>
      </c>
      <c r="E62" s="7">
        <f t="shared" si="12"/>
        <v>76443.5914</v>
      </c>
      <c r="F62" s="7">
        <f t="shared" si="12"/>
        <v>74195.6614</v>
      </c>
      <c r="G62" s="7">
        <f t="shared" si="12"/>
        <v>34265.33</v>
      </c>
      <c r="H62" s="7">
        <f t="shared" si="12"/>
        <v>416937.94700000004</v>
      </c>
    </row>
    <row r="63" spans="1:8" ht="11.25">
      <c r="A63" s="4" t="s">
        <v>20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f aca="true" t="shared" si="13" ref="H63:H69">SUM(B63:G63)</f>
        <v>0</v>
      </c>
    </row>
    <row r="64" spans="1:8" ht="11.25">
      <c r="A64" s="4" t="s">
        <v>43</v>
      </c>
      <c r="B64" s="5">
        <v>4220</v>
      </c>
      <c r="C64" s="5">
        <v>4430.79</v>
      </c>
      <c r="D64" s="5">
        <v>3542.18</v>
      </c>
      <c r="E64" s="5">
        <v>3685.74</v>
      </c>
      <c r="F64" s="5">
        <v>3754.78</v>
      </c>
      <c r="G64" s="5">
        <v>3789.32</v>
      </c>
      <c r="H64" s="5">
        <f t="shared" si="13"/>
        <v>23422.81</v>
      </c>
    </row>
    <row r="65" spans="1:8" ht="11.25">
      <c r="A65" s="4" t="s">
        <v>68</v>
      </c>
      <c r="B65" s="5">
        <v>500</v>
      </c>
      <c r="C65" s="5">
        <v>500</v>
      </c>
      <c r="D65" s="5">
        <v>500</v>
      </c>
      <c r="E65" s="5">
        <v>500</v>
      </c>
      <c r="F65" s="5">
        <v>500</v>
      </c>
      <c r="G65" s="5">
        <v>500</v>
      </c>
      <c r="H65" s="5">
        <f t="shared" si="13"/>
        <v>3000</v>
      </c>
    </row>
    <row r="66" spans="1:8" ht="11.25">
      <c r="A66" s="4" t="s">
        <v>69</v>
      </c>
      <c r="B66" s="5">
        <v>3000</v>
      </c>
      <c r="C66" s="5">
        <v>3000</v>
      </c>
      <c r="D66" s="5">
        <v>3000</v>
      </c>
      <c r="E66" s="5">
        <v>3000</v>
      </c>
      <c r="F66" s="5">
        <v>3000</v>
      </c>
      <c r="G66" s="5">
        <v>3800</v>
      </c>
      <c r="H66" s="5">
        <f t="shared" si="13"/>
        <v>18800</v>
      </c>
    </row>
    <row r="67" spans="1:8" ht="11.25">
      <c r="A67" s="4" t="s">
        <v>44</v>
      </c>
      <c r="B67" s="4">
        <v>99.38</v>
      </c>
      <c r="C67" s="4">
        <v>100.49</v>
      </c>
      <c r="D67" s="4">
        <v>160.19</v>
      </c>
      <c r="E67" s="5">
        <v>134.68</v>
      </c>
      <c r="F67" s="5">
        <v>182.13</v>
      </c>
      <c r="G67" s="5">
        <v>154.28</v>
      </c>
      <c r="H67" s="5">
        <f t="shared" si="13"/>
        <v>831.15</v>
      </c>
    </row>
    <row r="68" spans="1:8" ht="11.25">
      <c r="A68" s="4" t="s">
        <v>80</v>
      </c>
      <c r="B68" s="5">
        <f>913*9.42</f>
        <v>8600.46</v>
      </c>
      <c r="C68" s="5">
        <f>875*9.42</f>
        <v>8242.5</v>
      </c>
      <c r="D68" s="5">
        <f>813*9.42</f>
        <v>7658.46</v>
      </c>
      <c r="E68" s="5">
        <f>810*9.42</f>
        <v>7630.2</v>
      </c>
      <c r="F68" s="5">
        <f>559*9.42</f>
        <v>5265.78</v>
      </c>
      <c r="G68" s="5">
        <f>591*9.42</f>
        <v>5567.22</v>
      </c>
      <c r="H68" s="5">
        <f t="shared" si="13"/>
        <v>42964.62</v>
      </c>
    </row>
    <row r="69" spans="1:8" ht="11.25">
      <c r="A69" s="4" t="s">
        <v>81</v>
      </c>
      <c r="B69" s="5">
        <f>1776.74*34.61</f>
        <v>61492.9714</v>
      </c>
      <c r="C69" s="5">
        <f>1776.74*34.61</f>
        <v>61492.9714</v>
      </c>
      <c r="D69" s="5">
        <f>1776.74*34.61</f>
        <v>61492.9714</v>
      </c>
      <c r="E69" s="5">
        <f>1776.74*34.61</f>
        <v>61492.9714</v>
      </c>
      <c r="F69" s="5">
        <f>1776.74*34.61</f>
        <v>61492.9714</v>
      </c>
      <c r="G69" s="5">
        <f>591*34.61</f>
        <v>20454.51</v>
      </c>
      <c r="H69" s="5">
        <f t="shared" si="13"/>
        <v>327919.367</v>
      </c>
    </row>
    <row r="70" spans="1:8" ht="11.25">
      <c r="A70" s="4" t="s">
        <v>75</v>
      </c>
      <c r="B70" s="7">
        <f aca="true" t="shared" si="14" ref="B70:G70">6540.3*5</f>
        <v>32701.5</v>
      </c>
      <c r="C70" s="7">
        <f t="shared" si="14"/>
        <v>32701.5</v>
      </c>
      <c r="D70" s="7">
        <f t="shared" si="14"/>
        <v>32701.5</v>
      </c>
      <c r="E70" s="7">
        <f t="shared" si="14"/>
        <v>32701.5</v>
      </c>
      <c r="F70" s="7">
        <f t="shared" si="14"/>
        <v>32701.5</v>
      </c>
      <c r="G70" s="7">
        <f t="shared" si="14"/>
        <v>32701.5</v>
      </c>
      <c r="H70" s="7"/>
    </row>
    <row r="71" spans="1:8" ht="11.25">
      <c r="A71" s="3" t="s">
        <v>48</v>
      </c>
      <c r="B71" s="7">
        <f aca="true" t="shared" si="15" ref="B71:H71">SUM(B72:B85)</f>
        <v>32701.499999999996</v>
      </c>
      <c r="C71" s="7">
        <f t="shared" si="15"/>
        <v>32701.499999999996</v>
      </c>
      <c r="D71" s="7">
        <f t="shared" si="15"/>
        <v>32701.499999999996</v>
      </c>
      <c r="E71" s="7">
        <f t="shared" si="15"/>
        <v>32701.499999999996</v>
      </c>
      <c r="F71" s="7">
        <f t="shared" si="15"/>
        <v>32701.5</v>
      </c>
      <c r="G71" s="7">
        <f t="shared" si="15"/>
        <v>32701.499999999996</v>
      </c>
      <c r="H71" s="7">
        <f t="shared" si="15"/>
        <v>196209</v>
      </c>
    </row>
    <row r="72" spans="1:8" ht="11.25">
      <c r="A72" s="4" t="s">
        <v>50</v>
      </c>
      <c r="B72" s="5">
        <v>2812.33</v>
      </c>
      <c r="C72" s="5">
        <v>2812.33</v>
      </c>
      <c r="D72" s="5">
        <v>2812.33</v>
      </c>
      <c r="E72" s="5">
        <v>2812.33</v>
      </c>
      <c r="F72" s="5">
        <v>2812.33</v>
      </c>
      <c r="G72" s="5">
        <v>2812.33</v>
      </c>
      <c r="H72" s="5">
        <f aca="true" t="shared" si="16" ref="H72:H85">SUM(B72:G72)</f>
        <v>16873.98</v>
      </c>
    </row>
    <row r="73" spans="1:8" ht="11.25">
      <c r="A73" s="4" t="s">
        <v>49</v>
      </c>
      <c r="B73" s="5">
        <v>2310</v>
      </c>
      <c r="C73" s="5">
        <v>2310</v>
      </c>
      <c r="D73" s="5">
        <v>2310</v>
      </c>
      <c r="E73" s="5">
        <v>2310</v>
      </c>
      <c r="F73" s="5">
        <v>2310</v>
      </c>
      <c r="G73" s="5">
        <v>2310</v>
      </c>
      <c r="H73" s="5">
        <f t="shared" si="16"/>
        <v>13860</v>
      </c>
    </row>
    <row r="74" spans="1:8" ht="11.25">
      <c r="A74" s="4" t="s">
        <v>35</v>
      </c>
      <c r="B74" s="5">
        <v>300</v>
      </c>
      <c r="C74" s="5">
        <v>300</v>
      </c>
      <c r="D74" s="5">
        <v>300</v>
      </c>
      <c r="E74" s="5">
        <v>300</v>
      </c>
      <c r="F74" s="5">
        <v>300</v>
      </c>
      <c r="G74" s="5">
        <v>300</v>
      </c>
      <c r="H74" s="5">
        <f t="shared" si="16"/>
        <v>1800</v>
      </c>
    </row>
    <row r="75" spans="1:8" ht="11.25">
      <c r="A75" s="4" t="s">
        <v>62</v>
      </c>
      <c r="B75" s="5">
        <v>800</v>
      </c>
      <c r="C75" s="5">
        <v>800</v>
      </c>
      <c r="D75" s="5">
        <v>800</v>
      </c>
      <c r="E75" s="5">
        <v>800</v>
      </c>
      <c r="F75" s="5">
        <v>800</v>
      </c>
      <c r="G75" s="5">
        <v>800</v>
      </c>
      <c r="H75" s="5">
        <f t="shared" si="16"/>
        <v>4800</v>
      </c>
    </row>
    <row r="76" spans="1:8" ht="11.25">
      <c r="A76" s="4" t="s">
        <v>64</v>
      </c>
      <c r="B76" s="5">
        <v>821.72</v>
      </c>
      <c r="C76" s="5">
        <v>937.96</v>
      </c>
      <c r="D76" s="5">
        <v>375.18</v>
      </c>
      <c r="E76" s="5">
        <v>316.42</v>
      </c>
      <c r="F76" s="5">
        <v>298.88</v>
      </c>
      <c r="G76" s="5">
        <v>232.82</v>
      </c>
      <c r="H76" s="5">
        <f t="shared" si="16"/>
        <v>2982.9800000000005</v>
      </c>
    </row>
    <row r="77" spans="1:8" ht="11.25">
      <c r="A77" s="4" t="s">
        <v>67</v>
      </c>
      <c r="B77" s="5">
        <v>180</v>
      </c>
      <c r="C77" s="5">
        <v>180</v>
      </c>
      <c r="D77" s="5">
        <v>180</v>
      </c>
      <c r="E77" s="5">
        <v>180</v>
      </c>
      <c r="F77" s="5">
        <v>180</v>
      </c>
      <c r="G77" s="5">
        <v>180</v>
      </c>
      <c r="H77" s="5">
        <f t="shared" si="16"/>
        <v>1080</v>
      </c>
    </row>
    <row r="78" spans="1:8" ht="11.25">
      <c r="A78" s="4" t="s">
        <v>51</v>
      </c>
      <c r="B78" s="5">
        <f aca="true" t="shared" si="17" ref="B78:G78">165/6*10</f>
        <v>275</v>
      </c>
      <c r="C78" s="5">
        <f t="shared" si="17"/>
        <v>275</v>
      </c>
      <c r="D78" s="5">
        <f t="shared" si="17"/>
        <v>275</v>
      </c>
      <c r="E78" s="5">
        <f t="shared" si="17"/>
        <v>275</v>
      </c>
      <c r="F78" s="5">
        <f t="shared" si="17"/>
        <v>275</v>
      </c>
      <c r="G78" s="5">
        <f t="shared" si="17"/>
        <v>275</v>
      </c>
      <c r="H78" s="5">
        <f t="shared" si="16"/>
        <v>1650</v>
      </c>
    </row>
    <row r="79" spans="1:8" ht="11.25">
      <c r="A79" s="4" t="s">
        <v>52</v>
      </c>
      <c r="B79" s="5">
        <v>1954.85</v>
      </c>
      <c r="C79" s="5">
        <v>1929.63</v>
      </c>
      <c r="D79" s="5">
        <v>1921.66</v>
      </c>
      <c r="E79" s="5">
        <v>1906.16</v>
      </c>
      <c r="F79" s="5">
        <v>1925.42</v>
      </c>
      <c r="G79" s="5">
        <v>1930.93</v>
      </c>
      <c r="H79" s="5">
        <f t="shared" si="16"/>
        <v>11568.650000000001</v>
      </c>
    </row>
    <row r="80" spans="1:8" ht="11.25">
      <c r="A80" s="4" t="s">
        <v>14</v>
      </c>
      <c r="B80" s="5">
        <v>11760.16</v>
      </c>
      <c r="C80" s="5">
        <v>11669.14</v>
      </c>
      <c r="D80" s="5">
        <v>12239.89</v>
      </c>
      <c r="E80" s="5">
        <v>12314.15</v>
      </c>
      <c r="F80" s="5">
        <v>12312.43</v>
      </c>
      <c r="G80" s="5">
        <v>12372.98</v>
      </c>
      <c r="H80" s="5">
        <f t="shared" si="16"/>
        <v>72668.75</v>
      </c>
    </row>
    <row r="81" spans="1:8" ht="11.25">
      <c r="A81" s="4" t="s">
        <v>70</v>
      </c>
      <c r="B81" s="5">
        <v>950</v>
      </c>
      <c r="C81" s="5">
        <v>950</v>
      </c>
      <c r="D81" s="5">
        <v>950</v>
      </c>
      <c r="E81" s="5">
        <v>950</v>
      </c>
      <c r="F81" s="5">
        <v>950</v>
      </c>
      <c r="G81" s="5">
        <v>950</v>
      </c>
      <c r="H81" s="5">
        <f t="shared" si="16"/>
        <v>5700</v>
      </c>
    </row>
    <row r="82" spans="1:8" ht="11.25">
      <c r="A82" s="4" t="s">
        <v>65</v>
      </c>
      <c r="B82" s="5">
        <v>700</v>
      </c>
      <c r="C82" s="5">
        <v>700</v>
      </c>
      <c r="D82" s="5">
        <v>700</v>
      </c>
      <c r="E82" s="5">
        <v>700</v>
      </c>
      <c r="F82" s="5">
        <v>700</v>
      </c>
      <c r="G82" s="5">
        <v>700</v>
      </c>
      <c r="H82" s="5">
        <f t="shared" si="16"/>
        <v>4200</v>
      </c>
    </row>
    <row r="83" spans="1:8" ht="11.25">
      <c r="A83" s="4" t="s">
        <v>66</v>
      </c>
      <c r="B83" s="5">
        <v>400</v>
      </c>
      <c r="C83" s="5">
        <v>400</v>
      </c>
      <c r="D83" s="5">
        <v>400</v>
      </c>
      <c r="E83" s="5">
        <v>400</v>
      </c>
      <c r="F83" s="5">
        <v>400</v>
      </c>
      <c r="G83" s="5">
        <v>400</v>
      </c>
      <c r="H83" s="5">
        <f t="shared" si="16"/>
        <v>2400</v>
      </c>
    </row>
    <row r="84" spans="1:8" ht="11.25">
      <c r="A84" s="4" t="s">
        <v>53</v>
      </c>
      <c r="B84" s="5">
        <v>8000</v>
      </c>
      <c r="C84" s="5">
        <v>8000</v>
      </c>
      <c r="D84" s="5">
        <v>8000</v>
      </c>
      <c r="E84" s="5">
        <v>8000</v>
      </c>
      <c r="F84" s="5">
        <v>8000</v>
      </c>
      <c r="G84" s="5">
        <v>8000</v>
      </c>
      <c r="H84" s="5">
        <f t="shared" si="16"/>
        <v>48000</v>
      </c>
    </row>
    <row r="85" spans="1:8" ht="11.25">
      <c r="A85" s="4" t="s">
        <v>36</v>
      </c>
      <c r="B85" s="5">
        <v>1437.44</v>
      </c>
      <c r="C85" s="5">
        <v>1437.44</v>
      </c>
      <c r="D85" s="5">
        <v>1437.44</v>
      </c>
      <c r="E85" s="5">
        <v>1437.44</v>
      </c>
      <c r="F85" s="5">
        <v>1437.44</v>
      </c>
      <c r="G85" s="5">
        <v>1437.44</v>
      </c>
      <c r="H85" s="5">
        <f t="shared" si="16"/>
        <v>8624.640000000001</v>
      </c>
    </row>
    <row r="86" spans="1:8" ht="11.25">
      <c r="A86" s="3" t="s">
        <v>15</v>
      </c>
      <c r="B86" s="7">
        <f aca="true" t="shared" si="18" ref="B86:H86">B4+B11+B18+B30+B35+B39+B58+B60+B62+B71</f>
        <v>183774.19473333334</v>
      </c>
      <c r="C86" s="7">
        <f t="shared" si="18"/>
        <v>215872.8014</v>
      </c>
      <c r="D86" s="7">
        <f t="shared" si="18"/>
        <v>198652.6914</v>
      </c>
      <c r="E86" s="7">
        <f t="shared" si="18"/>
        <v>232533.6214</v>
      </c>
      <c r="F86" s="7">
        <f t="shared" si="18"/>
        <v>209558.45140000002</v>
      </c>
      <c r="G86" s="7">
        <f t="shared" si="18"/>
        <v>195273.67</v>
      </c>
      <c r="H86" s="7">
        <f t="shared" si="18"/>
        <v>1235665.4303333336</v>
      </c>
    </row>
    <row r="88" spans="1:8" ht="11.25">
      <c r="A88" s="4" t="s">
        <v>82</v>
      </c>
      <c r="B88" s="5">
        <v>260017.84</v>
      </c>
      <c r="C88" s="5">
        <v>265397.17</v>
      </c>
      <c r="D88" s="5">
        <v>262234.72</v>
      </c>
      <c r="E88" s="5">
        <v>261661.59</v>
      </c>
      <c r="F88" s="5">
        <v>264305.98</v>
      </c>
      <c r="G88" s="5">
        <v>222006.46</v>
      </c>
      <c r="H88" s="5">
        <f>SUM(B88:G88)</f>
        <v>1535623.76</v>
      </c>
    </row>
    <row r="89" spans="1:8" ht="11.25">
      <c r="A89" s="4" t="s">
        <v>83</v>
      </c>
      <c r="B89" s="5">
        <v>223415.75</v>
      </c>
      <c r="C89" s="5">
        <v>283564.21</v>
      </c>
      <c r="D89" s="5">
        <v>240589.39</v>
      </c>
      <c r="E89" s="5">
        <v>193448.35</v>
      </c>
      <c r="F89" s="5">
        <v>218644.85</v>
      </c>
      <c r="G89" s="5">
        <v>209076.5</v>
      </c>
      <c r="H89" s="5">
        <f>SUM(B89:G89)</f>
        <v>1368739.05</v>
      </c>
    </row>
    <row r="90" spans="1:8" ht="11.25">
      <c r="A90" s="4" t="s">
        <v>84</v>
      </c>
      <c r="B90" s="5">
        <v>89.14</v>
      </c>
      <c r="C90" s="5">
        <v>89.23</v>
      </c>
      <c r="D90" s="5">
        <v>88.37</v>
      </c>
      <c r="E90" s="5">
        <v>88.11</v>
      </c>
      <c r="F90" s="5">
        <v>87.65</v>
      </c>
      <c r="G90" s="4">
        <v>84.06</v>
      </c>
      <c r="H90" s="4"/>
    </row>
    <row r="91" spans="1:8" ht="11.25">
      <c r="A91" s="8" t="s">
        <v>85</v>
      </c>
      <c r="B91" s="9">
        <f aca="true" t="shared" si="19" ref="B91:G91">B86</f>
        <v>183774.19473333334</v>
      </c>
      <c r="C91" s="9">
        <f t="shared" si="19"/>
        <v>215872.8014</v>
      </c>
      <c r="D91" s="9">
        <f t="shared" si="19"/>
        <v>198652.6914</v>
      </c>
      <c r="E91" s="9">
        <f t="shared" si="19"/>
        <v>232533.6214</v>
      </c>
      <c r="F91" s="9">
        <f t="shared" si="19"/>
        <v>209558.45140000002</v>
      </c>
      <c r="G91" s="9">
        <f t="shared" si="19"/>
        <v>195273.67</v>
      </c>
      <c r="H91" s="5">
        <f>SUM(B91:G91)</f>
        <v>1235665.4303333333</v>
      </c>
    </row>
    <row r="92" spans="1:8" ht="11.25">
      <c r="A92" s="4" t="s">
        <v>86</v>
      </c>
      <c r="B92" s="10"/>
      <c r="C92" s="10"/>
      <c r="D92" s="10"/>
      <c r="E92" s="10"/>
      <c r="F92" s="10"/>
      <c r="G92" s="10"/>
      <c r="H92" s="5">
        <v>41626.15</v>
      </c>
    </row>
    <row r="93" spans="1:8" ht="11.25">
      <c r="A93" s="4" t="s">
        <v>87</v>
      </c>
      <c r="B93" s="10"/>
      <c r="C93" s="10"/>
      <c r="D93" s="10"/>
      <c r="E93" s="10"/>
      <c r="F93" s="10"/>
      <c r="G93" s="10"/>
      <c r="H93" s="5">
        <f>H89-H91</f>
        <v>133073.61966666672</v>
      </c>
    </row>
    <row r="94" spans="1:8" ht="11.25">
      <c r="A94" s="4" t="s">
        <v>88</v>
      </c>
      <c r="B94" s="11"/>
      <c r="C94" s="11"/>
      <c r="D94" s="11"/>
      <c r="E94" s="11"/>
      <c r="F94" s="11"/>
      <c r="G94" s="11"/>
      <c r="H94" s="5">
        <f>H92+H93</f>
        <v>174699.76966666672</v>
      </c>
    </row>
    <row r="96" ht="11.25">
      <c r="H96" s="6"/>
    </row>
    <row r="97" ht="11.25">
      <c r="H97" s="6"/>
    </row>
  </sheetData>
  <printOptions/>
  <pageMargins left="0.56" right="0.1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R87"/>
  <sheetViews>
    <sheetView workbookViewId="0" topLeftCell="A1">
      <pane ySplit="2" topLeftCell="BM3" activePane="bottomLeft" state="frozen"/>
      <selection pane="topLeft" activeCell="A1" sqref="A1"/>
      <selection pane="bottomLeft" activeCell="Y28" sqref="Y27:Y28"/>
    </sheetView>
  </sheetViews>
  <sheetFormatPr defaultColWidth="9.00390625" defaultRowHeight="12.75"/>
  <cols>
    <col min="1" max="1" width="31.25390625" style="2" customWidth="1"/>
    <col min="2" max="17" width="8.875" style="2" customWidth="1"/>
    <col min="18" max="18" width="9.75390625" style="2" customWidth="1"/>
    <col min="19" max="16384" width="9.125" style="2" customWidth="1"/>
  </cols>
  <sheetData>
    <row r="1" spans="1:18" ht="12">
      <c r="A1" s="1" t="s">
        <v>103</v>
      </c>
      <c r="B1" s="1" t="s">
        <v>146</v>
      </c>
      <c r="C1" s="1"/>
      <c r="D1" s="1"/>
      <c r="E1" s="1"/>
      <c r="F1" s="1" t="s">
        <v>147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3"/>
      <c r="B2" s="3" t="s">
        <v>148</v>
      </c>
      <c r="C2" s="3" t="s">
        <v>149</v>
      </c>
      <c r="D2" s="3" t="s">
        <v>123</v>
      </c>
      <c r="E2" s="3" t="s">
        <v>124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150</v>
      </c>
      <c r="M2" s="3" t="s">
        <v>151</v>
      </c>
      <c r="N2" s="3" t="s">
        <v>148</v>
      </c>
      <c r="O2" s="3" t="s">
        <v>149</v>
      </c>
      <c r="P2" s="3" t="s">
        <v>123</v>
      </c>
      <c r="Q2" s="3" t="s">
        <v>124</v>
      </c>
      <c r="R2" s="3" t="s">
        <v>16</v>
      </c>
    </row>
    <row r="3" spans="1:18" ht="12">
      <c r="A3" s="3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18" ht="12">
      <c r="A4" s="3" t="s">
        <v>26</v>
      </c>
      <c r="B4" s="7">
        <f>SUM(B5:B10)</f>
        <v>16071</v>
      </c>
      <c r="C4" s="7">
        <f aca="true" t="shared" si="0" ref="C4:Q4">SUM(C5:C10)</f>
        <v>20090</v>
      </c>
      <c r="D4" s="7">
        <f t="shared" si="0"/>
        <v>35432</v>
      </c>
      <c r="E4" s="7">
        <f t="shared" si="0"/>
        <v>26349</v>
      </c>
      <c r="F4" s="7">
        <f t="shared" si="0"/>
        <v>12815</v>
      </c>
      <c r="G4" s="7">
        <f t="shared" si="0"/>
        <v>12832.6</v>
      </c>
      <c r="H4" s="7">
        <f t="shared" si="0"/>
        <v>15815</v>
      </c>
      <c r="I4" s="7">
        <f t="shared" si="0"/>
        <v>10815</v>
      </c>
      <c r="J4" s="7">
        <f t="shared" si="0"/>
        <v>10815</v>
      </c>
      <c r="K4" s="7">
        <f t="shared" si="0"/>
        <v>20310</v>
      </c>
      <c r="L4" s="7">
        <f t="shared" si="0"/>
        <v>10815</v>
      </c>
      <c r="M4" s="7">
        <f t="shared" si="0"/>
        <v>14445</v>
      </c>
      <c r="N4" s="7">
        <f t="shared" si="0"/>
        <v>10815</v>
      </c>
      <c r="O4" s="7">
        <f t="shared" si="0"/>
        <v>15330</v>
      </c>
      <c r="P4" s="7">
        <f t="shared" si="0"/>
        <v>10815</v>
      </c>
      <c r="Q4" s="7">
        <f t="shared" si="0"/>
        <v>11705</v>
      </c>
      <c r="R4" s="7">
        <f>SUM(R5:R10)</f>
        <v>255269.6</v>
      </c>
    </row>
    <row r="5" spans="1:18" ht="12">
      <c r="A5" s="4" t="s">
        <v>27</v>
      </c>
      <c r="B5" s="5">
        <v>8500</v>
      </c>
      <c r="C5" s="5">
        <v>8500</v>
      </c>
      <c r="D5" s="5">
        <v>8500</v>
      </c>
      <c r="E5" s="5">
        <v>8500</v>
      </c>
      <c r="F5" s="5">
        <v>8500</v>
      </c>
      <c r="G5" s="5">
        <v>8500</v>
      </c>
      <c r="H5" s="5">
        <v>8500</v>
      </c>
      <c r="I5" s="5">
        <v>8500</v>
      </c>
      <c r="J5" s="5">
        <v>8500</v>
      </c>
      <c r="K5" s="5">
        <v>8500</v>
      </c>
      <c r="L5" s="5">
        <v>8500</v>
      </c>
      <c r="M5" s="5">
        <v>8500</v>
      </c>
      <c r="N5" s="5">
        <v>8500</v>
      </c>
      <c r="O5" s="5">
        <v>8500</v>
      </c>
      <c r="P5" s="5">
        <v>8500</v>
      </c>
      <c r="Q5" s="5">
        <v>8500</v>
      </c>
      <c r="R5" s="5">
        <f aca="true" t="shared" si="1" ref="R5:R10">SUM(B5:Q5)</f>
        <v>136000</v>
      </c>
    </row>
    <row r="6" spans="1:18" ht="12">
      <c r="A6" s="4" t="s">
        <v>30</v>
      </c>
      <c r="B6" s="5">
        <v>2000</v>
      </c>
      <c r="C6" s="5">
        <v>2000</v>
      </c>
      <c r="D6" s="5">
        <v>2000</v>
      </c>
      <c r="E6" s="5">
        <v>2000</v>
      </c>
      <c r="F6" s="5">
        <v>2000</v>
      </c>
      <c r="G6" s="5">
        <v>2000</v>
      </c>
      <c r="H6" s="5">
        <v>2000</v>
      </c>
      <c r="I6" s="5">
        <v>2000</v>
      </c>
      <c r="J6" s="5">
        <v>2000</v>
      </c>
      <c r="K6" s="5">
        <v>2000</v>
      </c>
      <c r="L6" s="5">
        <v>2000</v>
      </c>
      <c r="M6" s="5">
        <v>2000</v>
      </c>
      <c r="N6" s="5">
        <v>2000</v>
      </c>
      <c r="O6" s="5">
        <v>2000</v>
      </c>
      <c r="P6" s="5">
        <v>2000</v>
      </c>
      <c r="Q6" s="5">
        <v>2000</v>
      </c>
      <c r="R6" s="5">
        <f t="shared" si="1"/>
        <v>32000</v>
      </c>
    </row>
    <row r="7" spans="1:18" ht="12">
      <c r="A7" s="4" t="s">
        <v>31</v>
      </c>
      <c r="B7" s="5">
        <v>315</v>
      </c>
      <c r="C7" s="5">
        <v>315</v>
      </c>
      <c r="D7" s="5">
        <v>315</v>
      </c>
      <c r="E7" s="5">
        <v>315</v>
      </c>
      <c r="F7" s="5">
        <v>315</v>
      </c>
      <c r="G7" s="5">
        <v>315</v>
      </c>
      <c r="H7" s="5">
        <v>315</v>
      </c>
      <c r="I7" s="5">
        <v>315</v>
      </c>
      <c r="J7" s="5">
        <v>315</v>
      </c>
      <c r="K7" s="5">
        <v>315</v>
      </c>
      <c r="L7" s="5">
        <v>315</v>
      </c>
      <c r="M7" s="5">
        <v>315</v>
      </c>
      <c r="N7" s="5">
        <v>315</v>
      </c>
      <c r="O7" s="5">
        <v>315</v>
      </c>
      <c r="P7" s="5">
        <v>315</v>
      </c>
      <c r="Q7" s="5">
        <v>315</v>
      </c>
      <c r="R7" s="5">
        <f t="shared" si="1"/>
        <v>5040</v>
      </c>
    </row>
    <row r="8" spans="1:18" ht="12">
      <c r="A8" s="4" t="s">
        <v>54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1"/>
        <v>0</v>
      </c>
    </row>
    <row r="9" spans="1:18" ht="12">
      <c r="A9" s="4" t="s">
        <v>10</v>
      </c>
      <c r="B9" s="5">
        <v>5256</v>
      </c>
      <c r="C9" s="5">
        <v>6875</v>
      </c>
      <c r="D9" s="5">
        <v>15617</v>
      </c>
      <c r="E9" s="5">
        <v>11034</v>
      </c>
      <c r="F9" s="5">
        <v>1000</v>
      </c>
      <c r="G9" s="5">
        <v>1517.6</v>
      </c>
      <c r="H9" s="5">
        <v>0</v>
      </c>
      <c r="I9" s="5">
        <v>0</v>
      </c>
      <c r="J9" s="5">
        <v>0</v>
      </c>
      <c r="K9" s="5">
        <f>5405+1090</f>
        <v>6495</v>
      </c>
      <c r="L9" s="5">
        <v>0</v>
      </c>
      <c r="M9" s="5">
        <v>3630</v>
      </c>
      <c r="N9" s="5">
        <v>0</v>
      </c>
      <c r="O9" s="5">
        <v>4515</v>
      </c>
      <c r="P9" s="5">
        <v>0</v>
      </c>
      <c r="Q9" s="5">
        <v>890</v>
      </c>
      <c r="R9" s="5">
        <f t="shared" si="1"/>
        <v>56829.6</v>
      </c>
    </row>
    <row r="10" spans="1:18" ht="12">
      <c r="A10" s="4" t="s">
        <v>11</v>
      </c>
      <c r="B10" s="5">
        <v>0</v>
      </c>
      <c r="C10" s="5">
        <v>2400</v>
      </c>
      <c r="D10" s="5">
        <v>9000</v>
      </c>
      <c r="E10" s="5">
        <v>4500</v>
      </c>
      <c r="F10" s="5">
        <v>1000</v>
      </c>
      <c r="G10" s="5">
        <v>500</v>
      </c>
      <c r="H10" s="5">
        <v>5000</v>
      </c>
      <c r="I10" s="5">
        <v>0</v>
      </c>
      <c r="J10" s="5">
        <v>0</v>
      </c>
      <c r="K10" s="5">
        <v>3000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1"/>
        <v>25400</v>
      </c>
    </row>
    <row r="11" spans="1:18" ht="12">
      <c r="A11" s="3" t="s">
        <v>28</v>
      </c>
      <c r="B11" s="7">
        <f>SUM(B12:B17)</f>
        <v>9798</v>
      </c>
      <c r="C11" s="7">
        <f aca="true" t="shared" si="2" ref="C11:Q11">SUM(C12:C17)</f>
        <v>28130</v>
      </c>
      <c r="D11" s="7">
        <f t="shared" si="2"/>
        <v>24536</v>
      </c>
      <c r="E11" s="7">
        <f t="shared" si="2"/>
        <v>25101</v>
      </c>
      <c r="F11" s="7">
        <f t="shared" si="2"/>
        <v>32468</v>
      </c>
      <c r="G11" s="7">
        <f t="shared" si="2"/>
        <v>9300</v>
      </c>
      <c r="H11" s="7">
        <f t="shared" si="2"/>
        <v>8700</v>
      </c>
      <c r="I11" s="7">
        <f t="shared" si="2"/>
        <v>9800</v>
      </c>
      <c r="J11" s="7">
        <f t="shared" si="2"/>
        <v>9150</v>
      </c>
      <c r="K11" s="7">
        <f t="shared" si="2"/>
        <v>10360</v>
      </c>
      <c r="L11" s="7">
        <f t="shared" si="2"/>
        <v>9550</v>
      </c>
      <c r="M11" s="7">
        <f t="shared" si="2"/>
        <v>9240</v>
      </c>
      <c r="N11" s="7">
        <f t="shared" si="2"/>
        <v>8700</v>
      </c>
      <c r="O11" s="7">
        <f t="shared" si="2"/>
        <v>9075</v>
      </c>
      <c r="P11" s="7">
        <f t="shared" si="2"/>
        <v>9800</v>
      </c>
      <c r="Q11" s="7">
        <f t="shared" si="2"/>
        <v>10131</v>
      </c>
      <c r="R11" s="7">
        <f>SUM(R12:R17)</f>
        <v>223839</v>
      </c>
    </row>
    <row r="12" spans="1:18" ht="12">
      <c r="A12" s="4" t="s">
        <v>29</v>
      </c>
      <c r="B12" s="5">
        <v>7500</v>
      </c>
      <c r="C12" s="5">
        <v>7500</v>
      </c>
      <c r="D12" s="5">
        <v>7500</v>
      </c>
      <c r="E12" s="5">
        <v>7500</v>
      </c>
      <c r="F12" s="5">
        <v>7500</v>
      </c>
      <c r="G12" s="5">
        <v>7500</v>
      </c>
      <c r="H12" s="5">
        <v>7500</v>
      </c>
      <c r="I12" s="5">
        <v>7500</v>
      </c>
      <c r="J12" s="5">
        <v>7500</v>
      </c>
      <c r="K12" s="5">
        <v>7500</v>
      </c>
      <c r="L12" s="5">
        <v>7500</v>
      </c>
      <c r="M12" s="5">
        <v>7500</v>
      </c>
      <c r="N12" s="5">
        <v>7500</v>
      </c>
      <c r="O12" s="5">
        <v>7500</v>
      </c>
      <c r="P12" s="5">
        <v>7500</v>
      </c>
      <c r="Q12" s="5">
        <v>7500</v>
      </c>
      <c r="R12" s="5">
        <f aca="true" t="shared" si="3" ref="R12:R17">SUM(B12:Q12)</f>
        <v>120000</v>
      </c>
    </row>
    <row r="13" spans="1:18" ht="12">
      <c r="A13" s="4" t="s">
        <v>30</v>
      </c>
      <c r="B13" s="5">
        <v>1200</v>
      </c>
      <c r="C13" s="5">
        <v>1200</v>
      </c>
      <c r="D13" s="5">
        <v>1200</v>
      </c>
      <c r="E13" s="5">
        <v>1200</v>
      </c>
      <c r="F13" s="5">
        <v>1200</v>
      </c>
      <c r="G13" s="5">
        <v>1200</v>
      </c>
      <c r="H13" s="5">
        <v>1200</v>
      </c>
      <c r="I13" s="5">
        <v>1200</v>
      </c>
      <c r="J13" s="5">
        <v>1200</v>
      </c>
      <c r="K13" s="5">
        <v>1200</v>
      </c>
      <c r="L13" s="5">
        <v>1200</v>
      </c>
      <c r="M13" s="5">
        <v>1200</v>
      </c>
      <c r="N13" s="5">
        <v>1200</v>
      </c>
      <c r="O13" s="5">
        <v>1200</v>
      </c>
      <c r="P13" s="5">
        <v>1200</v>
      </c>
      <c r="Q13" s="5">
        <v>1200</v>
      </c>
      <c r="R13" s="5">
        <f t="shared" si="3"/>
        <v>19200</v>
      </c>
    </row>
    <row r="14" spans="1:18" ht="12">
      <c r="A14" s="4" t="s">
        <v>31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3"/>
        <v>0</v>
      </c>
    </row>
    <row r="15" spans="1:18" ht="12">
      <c r="A15" s="4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si="3"/>
        <v>0</v>
      </c>
    </row>
    <row r="16" spans="1:18" ht="12">
      <c r="A16" s="4" t="s">
        <v>12</v>
      </c>
      <c r="B16" s="5">
        <f>90+1008</f>
        <v>1098</v>
      </c>
      <c r="C16" s="5">
        <f>540+5890</f>
        <v>6430</v>
      </c>
      <c r="D16" s="5">
        <v>5836</v>
      </c>
      <c r="E16" s="5">
        <v>6401</v>
      </c>
      <c r="F16" s="5">
        <v>13768</v>
      </c>
      <c r="G16" s="5">
        <f>600</f>
        <v>600</v>
      </c>
      <c r="H16" s="5">
        <v>0</v>
      </c>
      <c r="I16" s="5">
        <v>1100</v>
      </c>
      <c r="J16" s="5">
        <v>450</v>
      </c>
      <c r="K16" s="5">
        <v>1660</v>
      </c>
      <c r="L16" s="5">
        <v>850</v>
      </c>
      <c r="M16" s="5">
        <f>300+240</f>
        <v>540</v>
      </c>
      <c r="N16" s="5">
        <v>0</v>
      </c>
      <c r="O16" s="5">
        <f>55+20</f>
        <v>75</v>
      </c>
      <c r="P16" s="5">
        <v>1100</v>
      </c>
      <c r="Q16" s="5">
        <f>171+320+850+30*3</f>
        <v>1431</v>
      </c>
      <c r="R16" s="5">
        <f t="shared" si="3"/>
        <v>41339</v>
      </c>
    </row>
    <row r="17" spans="1:18" ht="12">
      <c r="A17" s="4" t="s">
        <v>13</v>
      </c>
      <c r="B17" s="5">
        <v>0</v>
      </c>
      <c r="C17" s="5">
        <v>13000</v>
      </c>
      <c r="D17" s="5">
        <v>10000</v>
      </c>
      <c r="E17" s="5">
        <v>10000</v>
      </c>
      <c r="F17" s="5">
        <v>10000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300</v>
      </c>
      <c r="P17" s="5">
        <v>0</v>
      </c>
      <c r="Q17" s="5">
        <v>0</v>
      </c>
      <c r="R17" s="5">
        <f t="shared" si="3"/>
        <v>43300</v>
      </c>
    </row>
    <row r="18" spans="1:18" ht="12">
      <c r="A18" s="3" t="s">
        <v>40</v>
      </c>
      <c r="B18" s="7">
        <f>SUM(B19:B27)</f>
        <v>4500</v>
      </c>
      <c r="C18" s="7">
        <f aca="true" t="shared" si="4" ref="C18:Q18">SUM(C19:C27)</f>
        <v>0</v>
      </c>
      <c r="D18" s="7">
        <f t="shared" si="4"/>
        <v>0</v>
      </c>
      <c r="E18" s="7">
        <f t="shared" si="4"/>
        <v>0</v>
      </c>
      <c r="F18" s="7">
        <f t="shared" si="4"/>
        <v>5205</v>
      </c>
      <c r="G18" s="7">
        <f t="shared" si="4"/>
        <v>0</v>
      </c>
      <c r="H18" s="7">
        <f t="shared" si="4"/>
        <v>4000</v>
      </c>
      <c r="I18" s="7">
        <f t="shared" si="4"/>
        <v>600</v>
      </c>
      <c r="J18" s="7">
        <f t="shared" si="4"/>
        <v>0</v>
      </c>
      <c r="K18" s="7">
        <f t="shared" si="4"/>
        <v>2996</v>
      </c>
      <c r="L18" s="7">
        <f t="shared" si="4"/>
        <v>22220.489999999998</v>
      </c>
      <c r="M18" s="7">
        <f t="shared" si="4"/>
        <v>1680</v>
      </c>
      <c r="N18" s="7">
        <f t="shared" si="4"/>
        <v>1100</v>
      </c>
      <c r="O18" s="7">
        <f t="shared" si="4"/>
        <v>1600</v>
      </c>
      <c r="P18" s="7">
        <f t="shared" si="4"/>
        <v>0</v>
      </c>
      <c r="Q18" s="7">
        <f t="shared" si="4"/>
        <v>11700</v>
      </c>
      <c r="R18" s="7">
        <f>SUM(R19:R27)</f>
        <v>55601.49</v>
      </c>
    </row>
    <row r="19" spans="1:18" ht="12">
      <c r="A19" s="4" t="s">
        <v>154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4000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>SUM(B19:Q19)</f>
        <v>4000</v>
      </c>
    </row>
    <row r="20" spans="1:18" ht="12">
      <c r="A20" s="4" t="s">
        <v>105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10000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aca="true" t="shared" si="5" ref="R20:R27">SUM(B20:Q20)</f>
        <v>10000</v>
      </c>
    </row>
    <row r="21" spans="1:18" ht="12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5"/>
        <v>0</v>
      </c>
    </row>
    <row r="22" spans="1:18" ht="12">
      <c r="A22" s="4" t="s">
        <v>59</v>
      </c>
      <c r="B22" s="5">
        <v>2500</v>
      </c>
      <c r="C22" s="5">
        <v>0</v>
      </c>
      <c r="D22" s="5">
        <v>0</v>
      </c>
      <c r="E22" s="5">
        <v>0</v>
      </c>
      <c r="F22" s="5">
        <v>3000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1500</v>
      </c>
      <c r="P22" s="5">
        <v>0</v>
      </c>
      <c r="Q22" s="5">
        <v>3500</v>
      </c>
      <c r="R22" s="5">
        <f t="shared" si="5"/>
        <v>10500</v>
      </c>
    </row>
    <row r="23" spans="1:18" ht="12">
      <c r="A23" s="4" t="s">
        <v>109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8200</v>
      </c>
      <c r="R23" s="5">
        <f t="shared" si="5"/>
        <v>8200</v>
      </c>
    </row>
    <row r="24" spans="1:18" ht="12">
      <c r="A24" s="4" t="s">
        <v>91</v>
      </c>
      <c r="B24" s="5">
        <v>2000</v>
      </c>
      <c r="C24" s="5">
        <v>0</v>
      </c>
      <c r="D24" s="5">
        <v>0</v>
      </c>
      <c r="E24" s="5">
        <v>0</v>
      </c>
      <c r="F24" s="5">
        <v>2205</v>
      </c>
      <c r="G24" s="5">
        <v>0</v>
      </c>
      <c r="H24" s="5">
        <v>0</v>
      </c>
      <c r="I24" s="5">
        <v>0</v>
      </c>
      <c r="J24" s="5">
        <v>0</v>
      </c>
      <c r="K24" s="5">
        <f>650+500+650+836+200+160</f>
        <v>2996</v>
      </c>
      <c r="L24" s="5">
        <f>500+800+2000+6740.49</f>
        <v>10040.49</v>
      </c>
      <c r="M24" s="5">
        <v>1680</v>
      </c>
      <c r="N24" s="5">
        <v>1100</v>
      </c>
      <c r="O24" s="5">
        <v>0</v>
      </c>
      <c r="P24" s="5">
        <v>0</v>
      </c>
      <c r="Q24" s="5">
        <v>0</v>
      </c>
      <c r="R24" s="5">
        <f t="shared" si="5"/>
        <v>20021.489999999998</v>
      </c>
    </row>
    <row r="25" spans="1:18" ht="12">
      <c r="A25" s="4" t="s">
        <v>110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1400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5"/>
        <v>1400</v>
      </c>
    </row>
    <row r="26" spans="1:18" ht="12">
      <c r="A26" s="4" t="s">
        <v>61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600</v>
      </c>
      <c r="J26" s="5">
        <v>0</v>
      </c>
      <c r="K26" s="5">
        <v>0</v>
      </c>
      <c r="L26" s="5">
        <f>530+250</f>
        <v>780</v>
      </c>
      <c r="M26" s="5">
        <v>0</v>
      </c>
      <c r="N26" s="5">
        <v>0</v>
      </c>
      <c r="O26" s="5">
        <v>100</v>
      </c>
      <c r="P26" s="5">
        <v>0</v>
      </c>
      <c r="Q26" s="5">
        <v>0</v>
      </c>
      <c r="R26" s="5">
        <f t="shared" si="5"/>
        <v>1480</v>
      </c>
    </row>
    <row r="27" spans="1:18" ht="12">
      <c r="A27" s="4" t="s">
        <v>45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5"/>
        <v>0</v>
      </c>
    </row>
    <row r="28" spans="1:18" ht="12">
      <c r="A28" s="3" t="s">
        <v>23</v>
      </c>
      <c r="B28" s="7">
        <f>SUM(B29:B32)</f>
        <v>28218</v>
      </c>
      <c r="C28" s="7">
        <f aca="true" t="shared" si="6" ref="C28:Q28">SUM(C29:C32)</f>
        <v>28000</v>
      </c>
      <c r="D28" s="7">
        <f t="shared" si="6"/>
        <v>28881</v>
      </c>
      <c r="E28" s="7">
        <f t="shared" si="6"/>
        <v>27220</v>
      </c>
      <c r="F28" s="7">
        <f t="shared" si="6"/>
        <v>27000</v>
      </c>
      <c r="G28" s="7">
        <f t="shared" si="6"/>
        <v>27000</v>
      </c>
      <c r="H28" s="7">
        <f t="shared" si="6"/>
        <v>27000</v>
      </c>
      <c r="I28" s="7">
        <f t="shared" si="6"/>
        <v>27120</v>
      </c>
      <c r="J28" s="7">
        <f t="shared" si="6"/>
        <v>27750</v>
      </c>
      <c r="K28" s="7">
        <f t="shared" si="6"/>
        <v>27000</v>
      </c>
      <c r="L28" s="7">
        <f t="shared" si="6"/>
        <v>28549</v>
      </c>
      <c r="M28" s="7">
        <f t="shared" si="6"/>
        <v>27000</v>
      </c>
      <c r="N28" s="7">
        <f t="shared" si="6"/>
        <v>27000</v>
      </c>
      <c r="O28" s="7">
        <f t="shared" si="6"/>
        <v>27350</v>
      </c>
      <c r="P28" s="7">
        <f t="shared" si="6"/>
        <v>27980</v>
      </c>
      <c r="Q28" s="7">
        <f t="shared" si="6"/>
        <v>27000</v>
      </c>
      <c r="R28" s="7">
        <f>SUM(R29:R32)</f>
        <v>440068</v>
      </c>
    </row>
    <row r="29" spans="1:18" ht="11.25">
      <c r="A29" s="4" t="s">
        <v>24</v>
      </c>
      <c r="B29" s="5">
        <v>12000</v>
      </c>
      <c r="C29" s="5">
        <v>12000</v>
      </c>
      <c r="D29" s="5">
        <v>12000</v>
      </c>
      <c r="E29" s="5">
        <v>12000</v>
      </c>
      <c r="F29" s="5">
        <v>12000</v>
      </c>
      <c r="G29" s="5">
        <v>12000</v>
      </c>
      <c r="H29" s="5">
        <v>12000</v>
      </c>
      <c r="I29" s="5">
        <v>12000</v>
      </c>
      <c r="J29" s="5">
        <v>12000</v>
      </c>
      <c r="K29" s="5">
        <v>12000</v>
      </c>
      <c r="L29" s="5">
        <v>12000</v>
      </c>
      <c r="M29" s="5">
        <v>12000</v>
      </c>
      <c r="N29" s="5">
        <v>12000</v>
      </c>
      <c r="O29" s="5">
        <v>12000</v>
      </c>
      <c r="P29" s="5">
        <v>12000</v>
      </c>
      <c r="Q29" s="5">
        <v>12000</v>
      </c>
      <c r="R29" s="5">
        <f>SUM(B29:Q29)</f>
        <v>192000</v>
      </c>
    </row>
    <row r="30" spans="1:18" ht="11.25">
      <c r="A30" s="4" t="s">
        <v>7</v>
      </c>
      <c r="B30" s="5">
        <v>680</v>
      </c>
      <c r="C30" s="5">
        <v>0</v>
      </c>
      <c r="D30" s="5">
        <v>1881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750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980</v>
      </c>
      <c r="Q30" s="5">
        <v>0</v>
      </c>
      <c r="R30" s="5">
        <f>SUM(B30:Q30)</f>
        <v>4291</v>
      </c>
    </row>
    <row r="31" spans="1:18" ht="11.25">
      <c r="A31" s="4" t="s">
        <v>25</v>
      </c>
      <c r="B31" s="5">
        <v>15000</v>
      </c>
      <c r="C31" s="5">
        <v>15000</v>
      </c>
      <c r="D31" s="5">
        <v>15000</v>
      </c>
      <c r="E31" s="5">
        <v>15000</v>
      </c>
      <c r="F31" s="5">
        <v>15000</v>
      </c>
      <c r="G31" s="5">
        <v>15000</v>
      </c>
      <c r="H31" s="5">
        <v>15000</v>
      </c>
      <c r="I31" s="5">
        <v>15000</v>
      </c>
      <c r="J31" s="5">
        <v>15000</v>
      </c>
      <c r="K31" s="5">
        <v>15000</v>
      </c>
      <c r="L31" s="5">
        <v>15000</v>
      </c>
      <c r="M31" s="5">
        <v>15000</v>
      </c>
      <c r="N31" s="5">
        <v>15000</v>
      </c>
      <c r="O31" s="5">
        <v>15000</v>
      </c>
      <c r="P31" s="5">
        <v>15000</v>
      </c>
      <c r="Q31" s="5">
        <v>15000</v>
      </c>
      <c r="R31" s="5">
        <f>SUM(B31:Q31)</f>
        <v>240000</v>
      </c>
    </row>
    <row r="32" spans="1:18" ht="11.25">
      <c r="A32" s="4" t="s">
        <v>8</v>
      </c>
      <c r="B32" s="5">
        <v>538</v>
      </c>
      <c r="C32" s="5">
        <v>1000</v>
      </c>
      <c r="D32" s="5">
        <v>0</v>
      </c>
      <c r="E32" s="5">
        <v>220</v>
      </c>
      <c r="F32" s="5">
        <v>0</v>
      </c>
      <c r="G32" s="5">
        <v>0</v>
      </c>
      <c r="H32" s="5">
        <v>0</v>
      </c>
      <c r="I32" s="5">
        <v>120</v>
      </c>
      <c r="J32" s="5">
        <v>0</v>
      </c>
      <c r="K32" s="5">
        <v>0</v>
      </c>
      <c r="L32" s="5">
        <v>1549</v>
      </c>
      <c r="M32" s="5">
        <v>0</v>
      </c>
      <c r="N32" s="5">
        <v>0</v>
      </c>
      <c r="O32" s="5">
        <f>320+30</f>
        <v>350</v>
      </c>
      <c r="P32" s="5">
        <v>0</v>
      </c>
      <c r="Q32" s="5">
        <v>0</v>
      </c>
      <c r="R32" s="5">
        <f>SUM(B32:Q32)</f>
        <v>3777</v>
      </c>
    </row>
    <row r="33" spans="1:18" ht="11.25">
      <c r="A33" s="3" t="s">
        <v>32</v>
      </c>
      <c r="B33" s="7">
        <f>SUM(B34:B36)</f>
        <v>22334.050000000003</v>
      </c>
      <c r="C33" s="7">
        <f aca="true" t="shared" si="7" ref="C33:Q33">SUM(C34:C36)</f>
        <v>22334.050000000003</v>
      </c>
      <c r="D33" s="7">
        <f t="shared" si="7"/>
        <v>22334.050000000003</v>
      </c>
      <c r="E33" s="7">
        <f t="shared" si="7"/>
        <v>22334.050000000003</v>
      </c>
      <c r="F33" s="7">
        <f t="shared" si="7"/>
        <v>22334.050000000003</v>
      </c>
      <c r="G33" s="7">
        <f t="shared" si="7"/>
        <v>22334.050000000003</v>
      </c>
      <c r="H33" s="7">
        <f t="shared" si="7"/>
        <v>22334.050000000003</v>
      </c>
      <c r="I33" s="7">
        <f t="shared" si="7"/>
        <v>22334.050000000003</v>
      </c>
      <c r="J33" s="7">
        <f t="shared" si="7"/>
        <v>34834.05</v>
      </c>
      <c r="K33" s="7">
        <f t="shared" si="7"/>
        <v>42334.05</v>
      </c>
      <c r="L33" s="7">
        <f t="shared" si="7"/>
        <v>22334.050000000003</v>
      </c>
      <c r="M33" s="7">
        <f t="shared" si="7"/>
        <v>22334.050000000003</v>
      </c>
      <c r="N33" s="7">
        <f t="shared" si="7"/>
        <v>22334.050000000003</v>
      </c>
      <c r="O33" s="7">
        <f t="shared" si="7"/>
        <v>23334.050000000003</v>
      </c>
      <c r="P33" s="7">
        <f t="shared" si="7"/>
        <v>22334.050000000003</v>
      </c>
      <c r="Q33" s="7">
        <f t="shared" si="7"/>
        <v>22334.050000000003</v>
      </c>
      <c r="R33" s="7">
        <f>SUM(R34:R36)</f>
        <v>390844.80000000005</v>
      </c>
    </row>
    <row r="34" spans="1:18" ht="11.25">
      <c r="A34" s="4" t="s">
        <v>41</v>
      </c>
      <c r="B34" s="5">
        <v>18825.79</v>
      </c>
      <c r="C34" s="5">
        <v>18825.79</v>
      </c>
      <c r="D34" s="5">
        <v>18825.79</v>
      </c>
      <c r="E34" s="5">
        <v>18825.79</v>
      </c>
      <c r="F34" s="5">
        <v>18825.79</v>
      </c>
      <c r="G34" s="5">
        <v>18825.79</v>
      </c>
      <c r="H34" s="5">
        <v>18825.79</v>
      </c>
      <c r="I34" s="5">
        <v>18825.79</v>
      </c>
      <c r="J34" s="5">
        <v>18825.79</v>
      </c>
      <c r="K34" s="5">
        <v>18825.79</v>
      </c>
      <c r="L34" s="5">
        <v>18825.79</v>
      </c>
      <c r="M34" s="5">
        <v>18825.79</v>
      </c>
      <c r="N34" s="5">
        <v>18825.79</v>
      </c>
      <c r="O34" s="5">
        <v>18825.79</v>
      </c>
      <c r="P34" s="5">
        <v>18825.79</v>
      </c>
      <c r="Q34" s="5">
        <v>18825.79</v>
      </c>
      <c r="R34" s="5">
        <f>SUM(B34:Q34)</f>
        <v>301212.64</v>
      </c>
    </row>
    <row r="35" spans="1:18" ht="11.25">
      <c r="A35" s="4" t="s">
        <v>18</v>
      </c>
      <c r="B35" s="5">
        <v>3508.26</v>
      </c>
      <c r="C35" s="5">
        <v>3508.26</v>
      </c>
      <c r="D35" s="5">
        <v>3508.26</v>
      </c>
      <c r="E35" s="5">
        <v>3508.26</v>
      </c>
      <c r="F35" s="5">
        <v>3508.26</v>
      </c>
      <c r="G35" s="5">
        <v>3508.26</v>
      </c>
      <c r="H35" s="5">
        <v>3508.26</v>
      </c>
      <c r="I35" s="5">
        <v>3508.26</v>
      </c>
      <c r="J35" s="5">
        <v>3508.26</v>
      </c>
      <c r="K35" s="5">
        <v>3508.26</v>
      </c>
      <c r="L35" s="5">
        <v>3508.26</v>
      </c>
      <c r="M35" s="5">
        <v>3508.26</v>
      </c>
      <c r="N35" s="5">
        <v>3508.26</v>
      </c>
      <c r="O35" s="5">
        <v>3508.26</v>
      </c>
      <c r="P35" s="5">
        <v>3508.26</v>
      </c>
      <c r="Q35" s="5">
        <v>3508.26</v>
      </c>
      <c r="R35" s="5">
        <f>SUM(B35:Q35)</f>
        <v>56132.160000000025</v>
      </c>
    </row>
    <row r="36" spans="1:18" ht="11.25">
      <c r="A36" s="4" t="s">
        <v>58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>5000+2500+5000</f>
        <v>12500</v>
      </c>
      <c r="K36" s="5">
        <f>20000</f>
        <v>20000</v>
      </c>
      <c r="L36" s="5">
        <v>0</v>
      </c>
      <c r="M36" s="5">
        <v>0</v>
      </c>
      <c r="N36" s="5">
        <v>0</v>
      </c>
      <c r="O36" s="5">
        <v>1000</v>
      </c>
      <c r="P36" s="5">
        <v>0</v>
      </c>
      <c r="Q36" s="5">
        <v>0</v>
      </c>
      <c r="R36" s="5">
        <f>SUM(B36:Q36)</f>
        <v>33500</v>
      </c>
    </row>
    <row r="37" spans="1:18" ht="11.25">
      <c r="A37" s="3" t="s">
        <v>22</v>
      </c>
      <c r="B37" s="7">
        <f>SUM(B38:B51)</f>
        <v>0</v>
      </c>
      <c r="C37" s="7">
        <f aca="true" t="shared" si="8" ref="C37:Q37">SUM(C38:C51)</f>
        <v>0</v>
      </c>
      <c r="D37" s="7">
        <f t="shared" si="8"/>
        <v>0</v>
      </c>
      <c r="E37" s="7">
        <f t="shared" si="8"/>
        <v>7500</v>
      </c>
      <c r="F37" s="7">
        <f t="shared" si="8"/>
        <v>5300</v>
      </c>
      <c r="G37" s="7">
        <f t="shared" si="8"/>
        <v>2500</v>
      </c>
      <c r="H37" s="7">
        <f t="shared" si="8"/>
        <v>9000</v>
      </c>
      <c r="I37" s="7">
        <f t="shared" si="8"/>
        <v>5000</v>
      </c>
      <c r="J37" s="7">
        <f t="shared" si="8"/>
        <v>14070</v>
      </c>
      <c r="K37" s="7">
        <f t="shared" si="8"/>
        <v>11964.01</v>
      </c>
      <c r="L37" s="7">
        <f t="shared" si="8"/>
        <v>0</v>
      </c>
      <c r="M37" s="7">
        <f t="shared" si="8"/>
        <v>11000</v>
      </c>
      <c r="N37" s="7">
        <f t="shared" si="8"/>
        <v>25000</v>
      </c>
      <c r="O37" s="7">
        <f t="shared" si="8"/>
        <v>30400</v>
      </c>
      <c r="P37" s="7">
        <f t="shared" si="8"/>
        <v>3300</v>
      </c>
      <c r="Q37" s="7">
        <f t="shared" si="8"/>
        <v>1511</v>
      </c>
      <c r="R37" s="7">
        <f>SUM(R38:R51)</f>
        <v>126545.01000000001</v>
      </c>
    </row>
    <row r="38" spans="1:18" ht="11.25">
      <c r="A38" s="4" t="s">
        <v>9</v>
      </c>
      <c r="B38" s="5">
        <v>0</v>
      </c>
      <c r="C38" s="5">
        <v>0</v>
      </c>
      <c r="D38" s="5">
        <v>0</v>
      </c>
      <c r="E38" s="5">
        <v>2500</v>
      </c>
      <c r="F38" s="5">
        <f>2000+2500</f>
        <v>4500</v>
      </c>
      <c r="G38" s="5">
        <v>2500</v>
      </c>
      <c r="H38" s="5">
        <f>6250+1250</f>
        <v>7500</v>
      </c>
      <c r="I38" s="5">
        <v>5000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f>SUM(B38:Q38)</f>
        <v>22000</v>
      </c>
    </row>
    <row r="39" spans="1:18" ht="11.25">
      <c r="A39" s="4" t="s">
        <v>21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1500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aca="true" t="shared" si="9" ref="R39:R51">SUM(B39:Q39)</f>
        <v>1500</v>
      </c>
    </row>
    <row r="40" spans="1:18" ht="11.25">
      <c r="A40" s="4" t="s">
        <v>73</v>
      </c>
      <c r="B40" s="5">
        <v>0</v>
      </c>
      <c r="C40" s="5">
        <v>0</v>
      </c>
      <c r="D40" s="5">
        <v>0</v>
      </c>
      <c r="E40" s="5">
        <v>0</v>
      </c>
      <c r="F40" s="5">
        <v>800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>15*200</f>
        <v>3000</v>
      </c>
      <c r="Q40" s="5">
        <v>0</v>
      </c>
      <c r="R40" s="5">
        <f t="shared" si="9"/>
        <v>3800</v>
      </c>
    </row>
    <row r="41" spans="1:18" ht="11.25">
      <c r="A41" s="4" t="s">
        <v>74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f>3022/2</f>
        <v>1511</v>
      </c>
      <c r="R41" s="5">
        <f t="shared" si="9"/>
        <v>1511</v>
      </c>
    </row>
    <row r="42" spans="1:18" ht="11.25">
      <c r="A42" s="4" t="s">
        <v>112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5500+1000</f>
        <v>6500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9"/>
        <v>6500</v>
      </c>
    </row>
    <row r="43" spans="1:18" ht="11.25">
      <c r="A43" s="4" t="s">
        <v>114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5000</v>
      </c>
      <c r="K43" s="5">
        <v>5000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9"/>
        <v>10000</v>
      </c>
    </row>
    <row r="44" spans="1:18" ht="11.25">
      <c r="A44" s="4" t="s">
        <v>115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2570</f>
        <v>2570</v>
      </c>
      <c r="K44" s="5">
        <v>2007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9"/>
        <v>4577</v>
      </c>
    </row>
    <row r="45" spans="1:18" ht="11.25">
      <c r="A45" s="4" t="s">
        <v>57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9"/>
        <v>0</v>
      </c>
    </row>
    <row r="46" spans="1:18" ht="11.25">
      <c r="A46" s="4" t="s">
        <v>116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2957.01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 t="shared" si="9"/>
        <v>2957.01</v>
      </c>
    </row>
    <row r="47" spans="1:18" ht="11.25">
      <c r="A47" s="4" t="s">
        <v>71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2000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9"/>
        <v>2000</v>
      </c>
    </row>
    <row r="48" spans="1:18" ht="11.25">
      <c r="A48" s="4" t="s">
        <v>118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11000</v>
      </c>
      <c r="N48" s="5">
        <v>0</v>
      </c>
      <c r="O48" s="5">
        <v>0</v>
      </c>
      <c r="P48" s="5">
        <v>0</v>
      </c>
      <c r="Q48" s="5">
        <v>0</v>
      </c>
      <c r="R48" s="5">
        <f t="shared" si="9"/>
        <v>11000</v>
      </c>
    </row>
    <row r="49" spans="1:18" ht="11.25">
      <c r="A49" s="4" t="s">
        <v>119</v>
      </c>
      <c r="B49" s="5">
        <v>0</v>
      </c>
      <c r="C49" s="5">
        <v>0</v>
      </c>
      <c r="D49" s="5">
        <v>0</v>
      </c>
      <c r="E49" s="5">
        <v>5000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9"/>
        <v>5000</v>
      </c>
    </row>
    <row r="50" spans="1:18" ht="11.25">
      <c r="A50" s="4" t="s">
        <v>120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25000</v>
      </c>
      <c r="O50" s="5">
        <v>30000</v>
      </c>
      <c r="P50" s="5">
        <v>0</v>
      </c>
      <c r="Q50" s="5">
        <v>0</v>
      </c>
      <c r="R50" s="5">
        <f t="shared" si="9"/>
        <v>55000</v>
      </c>
    </row>
    <row r="51" spans="1:18" ht="11.25">
      <c r="A51" s="4" t="s">
        <v>121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400</v>
      </c>
      <c r="P51" s="5">
        <v>300</v>
      </c>
      <c r="Q51" s="5">
        <v>0</v>
      </c>
      <c r="R51" s="5">
        <f t="shared" si="9"/>
        <v>700</v>
      </c>
    </row>
    <row r="52" spans="1:18" ht="11.25">
      <c r="A52" s="3" t="s">
        <v>33</v>
      </c>
      <c r="B52" s="7">
        <f>SUM(B53:B54)</f>
        <v>0</v>
      </c>
      <c r="C52" s="7">
        <f aca="true" t="shared" si="10" ref="C52:R52">SUM(C53:C54)</f>
        <v>0</v>
      </c>
      <c r="D52" s="7">
        <f t="shared" si="10"/>
        <v>0</v>
      </c>
      <c r="E52" s="7">
        <f t="shared" si="10"/>
        <v>50000</v>
      </c>
      <c r="F52" s="7">
        <f t="shared" si="10"/>
        <v>0</v>
      </c>
      <c r="G52" s="7">
        <f t="shared" si="10"/>
        <v>0</v>
      </c>
      <c r="H52" s="7">
        <f t="shared" si="10"/>
        <v>0</v>
      </c>
      <c r="I52" s="7">
        <f t="shared" si="10"/>
        <v>0</v>
      </c>
      <c r="J52" s="7">
        <f t="shared" si="10"/>
        <v>0</v>
      </c>
      <c r="K52" s="7">
        <f t="shared" si="10"/>
        <v>0</v>
      </c>
      <c r="L52" s="7">
        <f t="shared" si="10"/>
        <v>0</v>
      </c>
      <c r="M52" s="7">
        <f t="shared" si="10"/>
        <v>0</v>
      </c>
      <c r="N52" s="7">
        <f t="shared" si="10"/>
        <v>50000</v>
      </c>
      <c r="O52" s="7">
        <f t="shared" si="10"/>
        <v>0</v>
      </c>
      <c r="P52" s="7">
        <f t="shared" si="10"/>
        <v>140875</v>
      </c>
      <c r="Q52" s="7">
        <f t="shared" si="10"/>
        <v>0</v>
      </c>
      <c r="R52" s="7">
        <f t="shared" si="10"/>
        <v>240875</v>
      </c>
    </row>
    <row r="53" spans="1:18" ht="11.25">
      <c r="A53" s="4" t="s">
        <v>19</v>
      </c>
      <c r="B53" s="5">
        <v>0</v>
      </c>
      <c r="C53" s="5">
        <v>0</v>
      </c>
      <c r="D53" s="5">
        <v>0</v>
      </c>
      <c r="E53" s="5">
        <v>50000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>SUM(B53:Q53)</f>
        <v>50000</v>
      </c>
    </row>
    <row r="54" spans="1:18" ht="11.25">
      <c r="A54" s="4" t="s">
        <v>155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50000</v>
      </c>
      <c r="O54" s="5">
        <v>0</v>
      </c>
      <c r="P54" s="5">
        <v>140875</v>
      </c>
      <c r="Q54" s="5">
        <v>0</v>
      </c>
      <c r="R54" s="5">
        <f>SUM(B54:Q54)</f>
        <v>190875</v>
      </c>
    </row>
    <row r="55" spans="1:18" ht="11.25">
      <c r="A55" s="3" t="s">
        <v>47</v>
      </c>
      <c r="B55" s="7">
        <f>B56</f>
        <v>5000</v>
      </c>
      <c r="C55" s="7">
        <f aca="true" t="shared" si="11" ref="C55:Q55">C56</f>
        <v>0</v>
      </c>
      <c r="D55" s="7">
        <f t="shared" si="11"/>
        <v>0</v>
      </c>
      <c r="E55" s="7">
        <f t="shared" si="11"/>
        <v>0</v>
      </c>
      <c r="F55" s="7">
        <f t="shared" si="11"/>
        <v>0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</v>
      </c>
      <c r="K55" s="7">
        <f t="shared" si="11"/>
        <v>5000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>R56</f>
        <v>10000</v>
      </c>
    </row>
    <row r="56" spans="1:18" ht="11.25">
      <c r="A56" s="4" t="s">
        <v>17</v>
      </c>
      <c r="B56" s="5">
        <v>5000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5000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aca="true" t="shared" si="12" ref="R56:R64">SUM(B56:Q56)</f>
        <v>10000</v>
      </c>
    </row>
    <row r="57" spans="1:18" ht="11.25">
      <c r="A57" s="3" t="s">
        <v>42</v>
      </c>
      <c r="B57" s="7">
        <f>SUM(B58:B64)</f>
        <v>41529.192</v>
      </c>
      <c r="C57" s="7">
        <f aca="true" t="shared" si="13" ref="C57:Q57">SUM(C58:C64)</f>
        <v>55533.270000000004</v>
      </c>
      <c r="D57" s="7">
        <f t="shared" si="13"/>
        <v>53124.79</v>
      </c>
      <c r="E57" s="7">
        <f t="shared" si="13"/>
        <v>32194.090000000004</v>
      </c>
      <c r="F57" s="7">
        <f t="shared" si="13"/>
        <v>18471.3541</v>
      </c>
      <c r="G57" s="7">
        <f t="shared" si="13"/>
        <v>18167.4</v>
      </c>
      <c r="H57" s="7">
        <f t="shared" si="13"/>
        <v>16906.010000000002</v>
      </c>
      <c r="I57" s="7">
        <f t="shared" si="13"/>
        <v>124674.76000000001</v>
      </c>
      <c r="J57" s="7">
        <f t="shared" si="13"/>
        <v>38035.97</v>
      </c>
      <c r="K57" s="7">
        <f t="shared" si="13"/>
        <v>36757.32</v>
      </c>
      <c r="L57" s="7">
        <f t="shared" si="13"/>
        <v>69835.9</v>
      </c>
      <c r="M57" s="7">
        <f t="shared" si="13"/>
        <v>64900.1</v>
      </c>
      <c r="N57" s="7">
        <f t="shared" si="13"/>
        <v>73317.25540000001</v>
      </c>
      <c r="O57" s="7">
        <f t="shared" si="13"/>
        <v>74370.2806</v>
      </c>
      <c r="P57" s="7">
        <f t="shared" si="13"/>
        <v>79215.41339999999</v>
      </c>
      <c r="Q57" s="7">
        <f t="shared" si="13"/>
        <v>81717.1114</v>
      </c>
      <c r="R57" s="7">
        <f>SUM(R58:R64)</f>
        <v>878750.2168999999</v>
      </c>
    </row>
    <row r="58" spans="1:18" ht="11.25">
      <c r="A58" s="4" t="s">
        <v>20</v>
      </c>
      <c r="B58" s="5">
        <v>12725.4</v>
      </c>
      <c r="C58" s="5">
        <v>14730.67</v>
      </c>
      <c r="D58" s="5">
        <v>12622.33</v>
      </c>
      <c r="E58" s="5">
        <v>12213.51</v>
      </c>
      <c r="F58" s="5">
        <v>12055.82</v>
      </c>
      <c r="G58" s="5">
        <v>11664.52</v>
      </c>
      <c r="H58" s="5">
        <v>11109.69</v>
      </c>
      <c r="I58" s="5">
        <v>11746.28</v>
      </c>
      <c r="J58" s="5">
        <v>11903.97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f t="shared" si="12"/>
        <v>110772.19</v>
      </c>
    </row>
    <row r="59" spans="1:18" ht="11.25">
      <c r="A59" s="4" t="s">
        <v>43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3160.55</v>
      </c>
      <c r="L59" s="5">
        <v>4456.76</v>
      </c>
      <c r="M59" s="5">
        <v>4481.66</v>
      </c>
      <c r="N59" s="5">
        <v>5152.21</v>
      </c>
      <c r="O59" s="5">
        <v>4499.84</v>
      </c>
      <c r="P59" s="5">
        <v>4799.68</v>
      </c>
      <c r="Q59" s="5">
        <v>4216.36</v>
      </c>
      <c r="R59" s="5">
        <f t="shared" si="12"/>
        <v>30767.06</v>
      </c>
    </row>
    <row r="60" spans="1:18" ht="11.25">
      <c r="A60" s="4" t="s">
        <v>68</v>
      </c>
      <c r="B60" s="5">
        <v>0</v>
      </c>
      <c r="C60" s="5">
        <v>0</v>
      </c>
      <c r="D60" s="5">
        <v>0</v>
      </c>
      <c r="E60" s="5">
        <v>500</v>
      </c>
      <c r="F60" s="5">
        <v>500</v>
      </c>
      <c r="G60" s="5">
        <v>500</v>
      </c>
      <c r="H60" s="5">
        <v>500</v>
      </c>
      <c r="I60" s="5">
        <v>500</v>
      </c>
      <c r="J60" s="5">
        <v>500</v>
      </c>
      <c r="K60" s="5">
        <v>500</v>
      </c>
      <c r="L60" s="5">
        <v>500</v>
      </c>
      <c r="M60" s="5">
        <v>500</v>
      </c>
      <c r="N60" s="5">
        <v>500</v>
      </c>
      <c r="O60" s="5">
        <v>500</v>
      </c>
      <c r="P60" s="5">
        <v>500</v>
      </c>
      <c r="Q60" s="5">
        <v>500</v>
      </c>
      <c r="R60" s="5">
        <f t="shared" si="12"/>
        <v>6500</v>
      </c>
    </row>
    <row r="61" spans="1:18" ht="11.25">
      <c r="A61" s="4" t="s">
        <v>69</v>
      </c>
      <c r="B61" s="5">
        <v>3000</v>
      </c>
      <c r="C61" s="5">
        <v>3000</v>
      </c>
      <c r="D61" s="5">
        <v>3000</v>
      </c>
      <c r="E61" s="5">
        <v>3000</v>
      </c>
      <c r="F61" s="5">
        <v>3000</v>
      </c>
      <c r="G61" s="5">
        <v>3000</v>
      </c>
      <c r="H61" s="5">
        <v>3000</v>
      </c>
      <c r="I61" s="5">
        <v>3000</v>
      </c>
      <c r="J61" s="5">
        <v>3000</v>
      </c>
      <c r="K61" s="5">
        <v>3800</v>
      </c>
      <c r="L61" s="5">
        <v>0</v>
      </c>
      <c r="M61" s="5">
        <v>0</v>
      </c>
      <c r="N61" s="5">
        <v>0</v>
      </c>
      <c r="O61" s="5">
        <v>3000</v>
      </c>
      <c r="P61" s="5">
        <v>3000</v>
      </c>
      <c r="Q61" s="5">
        <v>3000</v>
      </c>
      <c r="R61" s="5">
        <f t="shared" si="12"/>
        <v>39800</v>
      </c>
    </row>
    <row r="62" spans="1:18" ht="11.25">
      <c r="A62" s="4" t="s">
        <v>44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40.77</v>
      </c>
      <c r="L62" s="5">
        <v>10.96</v>
      </c>
      <c r="M62" s="5">
        <v>102.58</v>
      </c>
      <c r="N62" s="5">
        <v>43.45</v>
      </c>
      <c r="O62" s="5">
        <v>101.63</v>
      </c>
      <c r="P62" s="5">
        <v>106.56</v>
      </c>
      <c r="Q62" s="5">
        <v>180.78</v>
      </c>
      <c r="R62" s="5">
        <f t="shared" si="12"/>
        <v>586.73</v>
      </c>
    </row>
    <row r="63" spans="1:18" ht="11.25">
      <c r="A63" s="4" t="s">
        <v>80</v>
      </c>
      <c r="B63" s="5">
        <f>1168.65*8.37</f>
        <v>9781.6005</v>
      </c>
      <c r="C63" s="5">
        <v>9450.65</v>
      </c>
      <c r="D63" s="5">
        <v>9375.62</v>
      </c>
      <c r="E63" s="5">
        <v>4120.15</v>
      </c>
      <c r="F63" s="5">
        <f>132.1*8.37</f>
        <v>1105.677</v>
      </c>
      <c r="G63" s="5">
        <f>136*8.37</f>
        <v>1138.32</v>
      </c>
      <c r="H63" s="5">
        <f>104*8.37</f>
        <v>870.4799999999999</v>
      </c>
      <c r="I63" s="5">
        <f>4956*8.37</f>
        <v>41481.719999999994</v>
      </c>
      <c r="J63" s="5">
        <f>1025*8.37</f>
        <v>8579.25</v>
      </c>
      <c r="K63" s="5">
        <f>1325*8.37</f>
        <v>11090.249999999998</v>
      </c>
      <c r="L63" s="5">
        <f>1438*10.5</f>
        <v>15099</v>
      </c>
      <c r="M63" s="5">
        <f>1326*10.5</f>
        <v>13923</v>
      </c>
      <c r="N63" s="5">
        <f>1413*10.5</f>
        <v>14836.5</v>
      </c>
      <c r="O63" s="5">
        <f>1204*10.5</f>
        <v>12642</v>
      </c>
      <c r="P63" s="5">
        <f>1058*10.5</f>
        <v>11109</v>
      </c>
      <c r="Q63" s="5">
        <f>1174*10.5</f>
        <v>12327</v>
      </c>
      <c r="R63" s="5">
        <f>SUM(B63:Q63)</f>
        <v>176930.2175</v>
      </c>
    </row>
    <row r="64" spans="1:18" ht="11.25">
      <c r="A64" s="4" t="s">
        <v>81</v>
      </c>
      <c r="B64" s="5">
        <f>1168.65*13.71</f>
        <v>16022.191500000003</v>
      </c>
      <c r="C64" s="5">
        <v>28351.95</v>
      </c>
      <c r="D64" s="5">
        <v>28126.84</v>
      </c>
      <c r="E64" s="5">
        <f>16480.58-E63</f>
        <v>12360.430000000002</v>
      </c>
      <c r="F64" s="5">
        <f>132.01*13.71</f>
        <v>1809.8571</v>
      </c>
      <c r="G64" s="5">
        <f>136*13.71</f>
        <v>1864.5600000000002</v>
      </c>
      <c r="H64" s="5">
        <f>104*13.71</f>
        <v>1425.8400000000001</v>
      </c>
      <c r="I64" s="5">
        <f>4956*13.71</f>
        <v>67946.76000000001</v>
      </c>
      <c r="J64" s="5">
        <f>1025*13.71</f>
        <v>14052.75</v>
      </c>
      <c r="K64" s="5">
        <f>1325*13.71</f>
        <v>18165.75</v>
      </c>
      <c r="L64" s="5">
        <f>1438*34.61</f>
        <v>49769.18</v>
      </c>
      <c r="M64" s="5">
        <f>1326*34.61</f>
        <v>45892.86</v>
      </c>
      <c r="N64" s="5">
        <f>(1413+112.14)*34.61</f>
        <v>52785.095400000006</v>
      </c>
      <c r="O64" s="5">
        <f>(1204+345.46)*34.61</f>
        <v>53626.8106</v>
      </c>
      <c r="P64" s="5">
        <f>1724.94*34.61</f>
        <v>59700.1734</v>
      </c>
      <c r="Q64" s="5">
        <f>1776.74*34.61</f>
        <v>61492.9714</v>
      </c>
      <c r="R64" s="5">
        <f t="shared" si="12"/>
        <v>513394.01939999993</v>
      </c>
    </row>
    <row r="65" spans="1:18" ht="11.25">
      <c r="A65" s="4" t="s">
        <v>75</v>
      </c>
      <c r="B65" s="7">
        <f>6540.3*5</f>
        <v>32701.5</v>
      </c>
      <c r="C65" s="7">
        <f aca="true" t="shared" si="14" ref="C65:Q65">6540.3*5</f>
        <v>32701.5</v>
      </c>
      <c r="D65" s="7">
        <f t="shared" si="14"/>
        <v>32701.5</v>
      </c>
      <c r="E65" s="7">
        <f t="shared" si="14"/>
        <v>32701.5</v>
      </c>
      <c r="F65" s="7">
        <f t="shared" si="14"/>
        <v>32701.5</v>
      </c>
      <c r="G65" s="7">
        <f t="shared" si="14"/>
        <v>32701.5</v>
      </c>
      <c r="H65" s="7">
        <f t="shared" si="14"/>
        <v>32701.5</v>
      </c>
      <c r="I65" s="7">
        <f t="shared" si="14"/>
        <v>32701.5</v>
      </c>
      <c r="J65" s="7">
        <f t="shared" si="14"/>
        <v>32701.5</v>
      </c>
      <c r="K65" s="7">
        <f t="shared" si="14"/>
        <v>32701.5</v>
      </c>
      <c r="L65" s="7">
        <f t="shared" si="14"/>
        <v>32701.5</v>
      </c>
      <c r="M65" s="7">
        <f t="shared" si="14"/>
        <v>32701.5</v>
      </c>
      <c r="N65" s="7">
        <f t="shared" si="14"/>
        <v>32701.5</v>
      </c>
      <c r="O65" s="7">
        <f t="shared" si="14"/>
        <v>32701.5</v>
      </c>
      <c r="P65" s="7">
        <f t="shared" si="14"/>
        <v>32701.5</v>
      </c>
      <c r="Q65" s="7">
        <f t="shared" si="14"/>
        <v>32701.5</v>
      </c>
      <c r="R65" s="7"/>
    </row>
    <row r="66" spans="1:18" ht="11.25">
      <c r="A66" s="3" t="s">
        <v>48</v>
      </c>
      <c r="B66" s="7">
        <f>SUM(B67:B80)</f>
        <v>32701.5</v>
      </c>
      <c r="C66" s="7">
        <f aca="true" t="shared" si="15" ref="C66:Q66">SUM(C67:C80)</f>
        <v>32701.5</v>
      </c>
      <c r="D66" s="7">
        <f t="shared" si="15"/>
        <v>32701.5</v>
      </c>
      <c r="E66" s="7">
        <f t="shared" si="15"/>
        <v>32701.5</v>
      </c>
      <c r="F66" s="7">
        <f t="shared" si="15"/>
        <v>32701.499999999996</v>
      </c>
      <c r="G66" s="7">
        <f t="shared" si="15"/>
        <v>32701.5</v>
      </c>
      <c r="H66" s="7">
        <f t="shared" si="15"/>
        <v>32701.5</v>
      </c>
      <c r="I66" s="7">
        <f t="shared" si="15"/>
        <v>32701.5</v>
      </c>
      <c r="J66" s="7">
        <f t="shared" si="15"/>
        <v>32701.5</v>
      </c>
      <c r="K66" s="7">
        <f t="shared" si="15"/>
        <v>32701.499999999996</v>
      </c>
      <c r="L66" s="7">
        <f t="shared" si="15"/>
        <v>32701.499999999996</v>
      </c>
      <c r="M66" s="7">
        <f t="shared" si="15"/>
        <v>32701.499999999996</v>
      </c>
      <c r="N66" s="7">
        <f t="shared" si="15"/>
        <v>32701.499999999996</v>
      </c>
      <c r="O66" s="7">
        <f t="shared" si="15"/>
        <v>32701.499999999996</v>
      </c>
      <c r="P66" s="7">
        <f t="shared" si="15"/>
        <v>32701.5</v>
      </c>
      <c r="Q66" s="7">
        <f t="shared" si="15"/>
        <v>32701.5</v>
      </c>
      <c r="R66" s="7">
        <f>SUM(R67:R80)</f>
        <v>523224</v>
      </c>
    </row>
    <row r="67" spans="1:18" ht="11.25">
      <c r="A67" s="4" t="s">
        <v>50</v>
      </c>
      <c r="B67" s="5">
        <v>2812.33</v>
      </c>
      <c r="C67" s="5">
        <v>2812.33</v>
      </c>
      <c r="D67" s="5">
        <v>2812.33</v>
      </c>
      <c r="E67" s="5">
        <v>2812.33</v>
      </c>
      <c r="F67" s="5">
        <v>2812.33</v>
      </c>
      <c r="G67" s="5">
        <v>2812.33</v>
      </c>
      <c r="H67" s="5">
        <v>2812.33</v>
      </c>
      <c r="I67" s="5">
        <v>2812.33</v>
      </c>
      <c r="J67" s="5">
        <v>2812.33</v>
      </c>
      <c r="K67" s="5">
        <v>2812.33</v>
      </c>
      <c r="L67" s="5">
        <v>2812.33</v>
      </c>
      <c r="M67" s="5">
        <v>2812.33</v>
      </c>
      <c r="N67" s="5">
        <v>2812.33</v>
      </c>
      <c r="O67" s="5">
        <v>2812.33</v>
      </c>
      <c r="P67" s="5">
        <v>2812.33</v>
      </c>
      <c r="Q67" s="5">
        <v>2812.33</v>
      </c>
      <c r="R67" s="5">
        <f>SUM(B67:Q67)</f>
        <v>44997.28000000001</v>
      </c>
    </row>
    <row r="68" spans="1:18" ht="11.25">
      <c r="A68" s="4" t="s">
        <v>49</v>
      </c>
      <c r="B68" s="5">
        <v>2310</v>
      </c>
      <c r="C68" s="5">
        <v>2310</v>
      </c>
      <c r="D68" s="5">
        <v>2310</v>
      </c>
      <c r="E68" s="5">
        <v>2310</v>
      </c>
      <c r="F68" s="5">
        <v>2310</v>
      </c>
      <c r="G68" s="5">
        <v>2310</v>
      </c>
      <c r="H68" s="5">
        <v>2310</v>
      </c>
      <c r="I68" s="5">
        <v>2310</v>
      </c>
      <c r="J68" s="5">
        <v>2310</v>
      </c>
      <c r="K68" s="5">
        <v>2310</v>
      </c>
      <c r="L68" s="5">
        <v>2310</v>
      </c>
      <c r="M68" s="5">
        <v>2310</v>
      </c>
      <c r="N68" s="5">
        <v>2310</v>
      </c>
      <c r="O68" s="5">
        <v>2310</v>
      </c>
      <c r="P68" s="5">
        <v>2310</v>
      </c>
      <c r="Q68" s="5">
        <v>2310</v>
      </c>
      <c r="R68" s="5">
        <f aca="true" t="shared" si="16" ref="R68:R80">SUM(B68:Q68)</f>
        <v>36960</v>
      </c>
    </row>
    <row r="69" spans="1:18" ht="11.25">
      <c r="A69" s="4" t="s">
        <v>35</v>
      </c>
      <c r="B69" s="5">
        <v>300</v>
      </c>
      <c r="C69" s="5">
        <v>300</v>
      </c>
      <c r="D69" s="5">
        <v>300</v>
      </c>
      <c r="E69" s="5">
        <v>300</v>
      </c>
      <c r="F69" s="5">
        <v>300</v>
      </c>
      <c r="G69" s="5">
        <v>300</v>
      </c>
      <c r="H69" s="5">
        <v>300</v>
      </c>
      <c r="I69" s="5">
        <v>300</v>
      </c>
      <c r="J69" s="5">
        <v>300</v>
      </c>
      <c r="K69" s="5">
        <v>300</v>
      </c>
      <c r="L69" s="5">
        <v>300</v>
      </c>
      <c r="M69" s="5">
        <v>300</v>
      </c>
      <c r="N69" s="5">
        <v>300</v>
      </c>
      <c r="O69" s="5">
        <v>300</v>
      </c>
      <c r="P69" s="5">
        <v>300</v>
      </c>
      <c r="Q69" s="5">
        <v>300</v>
      </c>
      <c r="R69" s="5">
        <f t="shared" si="16"/>
        <v>4800</v>
      </c>
    </row>
    <row r="70" spans="1:18" ht="11.25">
      <c r="A70" s="4" t="s">
        <v>62</v>
      </c>
      <c r="B70" s="5">
        <v>800</v>
      </c>
      <c r="C70" s="5">
        <v>800</v>
      </c>
      <c r="D70" s="5">
        <v>800</v>
      </c>
      <c r="E70" s="5">
        <v>800</v>
      </c>
      <c r="F70" s="5">
        <v>800</v>
      </c>
      <c r="G70" s="5">
        <v>800</v>
      </c>
      <c r="H70" s="5">
        <v>800</v>
      </c>
      <c r="I70" s="5">
        <v>800</v>
      </c>
      <c r="J70" s="5">
        <v>800</v>
      </c>
      <c r="K70" s="5">
        <v>800</v>
      </c>
      <c r="L70" s="5">
        <v>800</v>
      </c>
      <c r="M70" s="5">
        <v>800</v>
      </c>
      <c r="N70" s="5">
        <v>800</v>
      </c>
      <c r="O70" s="5">
        <v>800</v>
      </c>
      <c r="P70" s="5">
        <v>800</v>
      </c>
      <c r="Q70" s="5">
        <v>800</v>
      </c>
      <c r="R70" s="5">
        <f t="shared" si="16"/>
        <v>12800</v>
      </c>
    </row>
    <row r="71" spans="1:18" ht="11.25">
      <c r="A71" s="4" t="s">
        <v>64</v>
      </c>
      <c r="B71" s="5">
        <v>629.41</v>
      </c>
      <c r="C71" s="5">
        <v>469.41</v>
      </c>
      <c r="D71" s="5">
        <v>859.12</v>
      </c>
      <c r="E71" s="5">
        <v>909.76</v>
      </c>
      <c r="F71" s="5">
        <v>2778.49</v>
      </c>
      <c r="G71" s="5">
        <v>1236.66</v>
      </c>
      <c r="H71" s="5">
        <v>955.27</v>
      </c>
      <c r="I71" s="5">
        <v>979.79</v>
      </c>
      <c r="J71" s="5">
        <v>938.96</v>
      </c>
      <c r="K71" s="5">
        <v>976.77</v>
      </c>
      <c r="L71" s="5">
        <v>1125.91</v>
      </c>
      <c r="M71" s="5">
        <v>683.38</v>
      </c>
      <c r="N71" s="5">
        <v>973.55</v>
      </c>
      <c r="O71" s="5">
        <v>801.17</v>
      </c>
      <c r="P71" s="5">
        <v>572.76</v>
      </c>
      <c r="Q71" s="5">
        <v>761.97</v>
      </c>
      <c r="R71" s="5">
        <f t="shared" si="16"/>
        <v>15652.379999999997</v>
      </c>
    </row>
    <row r="72" spans="1:18" ht="11.25">
      <c r="A72" s="4" t="s">
        <v>67</v>
      </c>
      <c r="B72" s="5">
        <v>180</v>
      </c>
      <c r="C72" s="5">
        <v>180</v>
      </c>
      <c r="D72" s="5">
        <v>180</v>
      </c>
      <c r="E72" s="5">
        <v>180</v>
      </c>
      <c r="F72" s="5">
        <v>180</v>
      </c>
      <c r="G72" s="5">
        <v>180</v>
      </c>
      <c r="H72" s="5">
        <v>180</v>
      </c>
      <c r="I72" s="5">
        <v>180</v>
      </c>
      <c r="J72" s="5">
        <v>180</v>
      </c>
      <c r="K72" s="5">
        <v>180</v>
      </c>
      <c r="L72" s="5">
        <v>180</v>
      </c>
      <c r="M72" s="5">
        <v>180</v>
      </c>
      <c r="N72" s="5">
        <v>180</v>
      </c>
      <c r="O72" s="5">
        <v>180</v>
      </c>
      <c r="P72" s="5">
        <v>180</v>
      </c>
      <c r="Q72" s="5">
        <v>180</v>
      </c>
      <c r="R72" s="5">
        <f t="shared" si="16"/>
        <v>2880</v>
      </c>
    </row>
    <row r="73" spans="1:18" ht="11.25">
      <c r="A73" s="4" t="s">
        <v>51</v>
      </c>
      <c r="B73" s="5">
        <v>275</v>
      </c>
      <c r="C73" s="5">
        <v>275</v>
      </c>
      <c r="D73" s="5">
        <v>275</v>
      </c>
      <c r="E73" s="5">
        <v>275</v>
      </c>
      <c r="F73" s="5">
        <v>275</v>
      </c>
      <c r="G73" s="5">
        <v>275</v>
      </c>
      <c r="H73" s="5">
        <v>275</v>
      </c>
      <c r="I73" s="5">
        <v>275</v>
      </c>
      <c r="J73" s="5">
        <v>275</v>
      </c>
      <c r="K73" s="5">
        <v>275</v>
      </c>
      <c r="L73" s="5">
        <v>275</v>
      </c>
      <c r="M73" s="5">
        <v>275</v>
      </c>
      <c r="N73" s="5">
        <v>275</v>
      </c>
      <c r="O73" s="5">
        <v>275</v>
      </c>
      <c r="P73" s="5">
        <v>275</v>
      </c>
      <c r="Q73" s="5">
        <v>275</v>
      </c>
      <c r="R73" s="5">
        <f t="shared" si="16"/>
        <v>4400</v>
      </c>
    </row>
    <row r="74" spans="1:18" ht="11.25">
      <c r="A74" s="4" t="s">
        <v>52</v>
      </c>
      <c r="B74" s="5">
        <v>1861.88</v>
      </c>
      <c r="C74" s="5">
        <v>1884.74</v>
      </c>
      <c r="D74" s="5">
        <v>1829.07</v>
      </c>
      <c r="E74" s="5">
        <v>1821.83</v>
      </c>
      <c r="F74" s="5">
        <v>1554.87</v>
      </c>
      <c r="G74" s="5">
        <v>1775.13</v>
      </c>
      <c r="H74" s="5">
        <v>1815.33</v>
      </c>
      <c r="I74" s="5">
        <v>1811.82</v>
      </c>
      <c r="J74" s="5">
        <v>1817.66</v>
      </c>
      <c r="K74" s="5">
        <v>1872.14</v>
      </c>
      <c r="L74" s="5">
        <v>1850.83</v>
      </c>
      <c r="M74" s="5">
        <v>1914.05</v>
      </c>
      <c r="N74" s="5">
        <v>1872.6</v>
      </c>
      <c r="O74" s="5">
        <v>1897.22</v>
      </c>
      <c r="P74" s="5">
        <v>1929.85</v>
      </c>
      <c r="Q74" s="5">
        <v>1902.82</v>
      </c>
      <c r="R74" s="5">
        <f t="shared" si="16"/>
        <v>29411.84</v>
      </c>
    </row>
    <row r="75" spans="1:18" ht="11.25">
      <c r="A75" s="4" t="s">
        <v>14</v>
      </c>
      <c r="B75" s="5">
        <v>11626.29</v>
      </c>
      <c r="C75" s="5">
        <v>11763.43</v>
      </c>
      <c r="D75" s="5">
        <v>11429.39</v>
      </c>
      <c r="E75" s="5">
        <v>11385.99</v>
      </c>
      <c r="F75" s="5">
        <v>9784.22</v>
      </c>
      <c r="G75" s="5">
        <v>11105.79</v>
      </c>
      <c r="H75" s="5">
        <v>11346.98</v>
      </c>
      <c r="I75" s="5">
        <v>11325.97</v>
      </c>
      <c r="J75" s="5">
        <v>11360.96</v>
      </c>
      <c r="K75" s="5">
        <v>11687.82</v>
      </c>
      <c r="L75" s="5">
        <v>11559.99</v>
      </c>
      <c r="M75" s="5">
        <v>11939.3</v>
      </c>
      <c r="N75" s="5">
        <v>11690.58</v>
      </c>
      <c r="O75" s="5">
        <v>11838.34</v>
      </c>
      <c r="P75" s="5">
        <v>12034.12</v>
      </c>
      <c r="Q75" s="5">
        <v>11871.94</v>
      </c>
      <c r="R75" s="5">
        <f t="shared" si="16"/>
        <v>183751.11</v>
      </c>
    </row>
    <row r="76" spans="1:18" ht="11.25">
      <c r="A76" s="4" t="s">
        <v>70</v>
      </c>
      <c r="B76" s="5">
        <v>950</v>
      </c>
      <c r="C76" s="5">
        <v>950</v>
      </c>
      <c r="D76" s="5">
        <v>950</v>
      </c>
      <c r="E76" s="5">
        <v>950</v>
      </c>
      <c r="F76" s="5">
        <v>950</v>
      </c>
      <c r="G76" s="5">
        <v>950</v>
      </c>
      <c r="H76" s="5">
        <v>950</v>
      </c>
      <c r="I76" s="5">
        <v>950</v>
      </c>
      <c r="J76" s="5">
        <v>950</v>
      </c>
      <c r="K76" s="5">
        <v>950</v>
      </c>
      <c r="L76" s="5">
        <v>950</v>
      </c>
      <c r="M76" s="5">
        <v>950</v>
      </c>
      <c r="N76" s="5">
        <v>950</v>
      </c>
      <c r="O76" s="5">
        <v>950</v>
      </c>
      <c r="P76" s="5">
        <v>950</v>
      </c>
      <c r="Q76" s="5">
        <v>950</v>
      </c>
      <c r="R76" s="5">
        <f t="shared" si="16"/>
        <v>15200</v>
      </c>
    </row>
    <row r="77" spans="1:18" ht="11.25">
      <c r="A77" s="4" t="s">
        <v>65</v>
      </c>
      <c r="B77" s="5">
        <v>700</v>
      </c>
      <c r="C77" s="5">
        <v>700</v>
      </c>
      <c r="D77" s="5">
        <v>700</v>
      </c>
      <c r="E77" s="5">
        <v>700</v>
      </c>
      <c r="F77" s="5">
        <v>700</v>
      </c>
      <c r="G77" s="5">
        <v>700</v>
      </c>
      <c r="H77" s="5">
        <v>700</v>
      </c>
      <c r="I77" s="5">
        <v>700</v>
      </c>
      <c r="J77" s="5">
        <v>700</v>
      </c>
      <c r="K77" s="5">
        <v>700</v>
      </c>
      <c r="L77" s="5">
        <v>700</v>
      </c>
      <c r="M77" s="5">
        <v>700</v>
      </c>
      <c r="N77" s="5">
        <v>700</v>
      </c>
      <c r="O77" s="5">
        <v>700</v>
      </c>
      <c r="P77" s="5">
        <v>700</v>
      </c>
      <c r="Q77" s="5">
        <v>700</v>
      </c>
      <c r="R77" s="5">
        <f t="shared" si="16"/>
        <v>11200</v>
      </c>
    </row>
    <row r="78" spans="1:18" ht="11.25">
      <c r="A78" s="4" t="s">
        <v>66</v>
      </c>
      <c r="B78" s="5">
        <v>400</v>
      </c>
      <c r="C78" s="5">
        <v>400</v>
      </c>
      <c r="D78" s="5">
        <v>400</v>
      </c>
      <c r="E78" s="5">
        <v>400</v>
      </c>
      <c r="F78" s="5">
        <v>400</v>
      </c>
      <c r="G78" s="5">
        <v>400</v>
      </c>
      <c r="H78" s="5">
        <v>400</v>
      </c>
      <c r="I78" s="5">
        <v>400</v>
      </c>
      <c r="J78" s="5">
        <v>400</v>
      </c>
      <c r="K78" s="5">
        <v>400</v>
      </c>
      <c r="L78" s="5">
        <v>400</v>
      </c>
      <c r="M78" s="5">
        <v>400</v>
      </c>
      <c r="N78" s="5">
        <v>400</v>
      </c>
      <c r="O78" s="5">
        <v>400</v>
      </c>
      <c r="P78" s="5">
        <v>400</v>
      </c>
      <c r="Q78" s="5">
        <v>400</v>
      </c>
      <c r="R78" s="5">
        <f t="shared" si="16"/>
        <v>6400</v>
      </c>
    </row>
    <row r="79" spans="1:18" ht="11.25">
      <c r="A79" s="4" t="s">
        <v>53</v>
      </c>
      <c r="B79" s="5">
        <v>8000</v>
      </c>
      <c r="C79" s="5">
        <v>8000</v>
      </c>
      <c r="D79" s="5">
        <v>8000</v>
      </c>
      <c r="E79" s="5">
        <v>8000</v>
      </c>
      <c r="F79" s="5">
        <v>8000</v>
      </c>
      <c r="G79" s="5">
        <v>8000</v>
      </c>
      <c r="H79" s="5">
        <v>8000</v>
      </c>
      <c r="I79" s="5">
        <v>8000</v>
      </c>
      <c r="J79" s="5">
        <v>8000</v>
      </c>
      <c r="K79" s="5">
        <v>8000</v>
      </c>
      <c r="L79" s="5">
        <v>8000</v>
      </c>
      <c r="M79" s="5">
        <v>8000</v>
      </c>
      <c r="N79" s="5">
        <v>8000</v>
      </c>
      <c r="O79" s="5">
        <v>8000</v>
      </c>
      <c r="P79" s="5">
        <v>8000</v>
      </c>
      <c r="Q79" s="5">
        <v>8000</v>
      </c>
      <c r="R79" s="5">
        <f t="shared" si="16"/>
        <v>128000</v>
      </c>
    </row>
    <row r="80" spans="1:18" ht="11.25">
      <c r="A80" s="4" t="s">
        <v>36</v>
      </c>
      <c r="B80" s="5">
        <v>1856.59</v>
      </c>
      <c r="C80" s="5">
        <v>1856.59</v>
      </c>
      <c r="D80" s="5">
        <v>1856.59</v>
      </c>
      <c r="E80" s="5">
        <v>1856.59</v>
      </c>
      <c r="F80" s="5">
        <v>1856.59</v>
      </c>
      <c r="G80" s="5">
        <v>1856.59</v>
      </c>
      <c r="H80" s="5">
        <v>1856.59</v>
      </c>
      <c r="I80" s="5">
        <v>1856.59</v>
      </c>
      <c r="J80" s="5">
        <v>1856.59</v>
      </c>
      <c r="K80" s="5">
        <v>1437.44</v>
      </c>
      <c r="L80" s="5">
        <v>1437.44</v>
      </c>
      <c r="M80" s="5">
        <v>1437.44</v>
      </c>
      <c r="N80" s="5">
        <v>1437.44</v>
      </c>
      <c r="O80" s="5">
        <v>1437.44</v>
      </c>
      <c r="P80" s="5">
        <v>1437.44</v>
      </c>
      <c r="Q80" s="5">
        <v>1437.44</v>
      </c>
      <c r="R80" s="5">
        <f t="shared" si="16"/>
        <v>26771.38999999999</v>
      </c>
    </row>
    <row r="81" spans="1:18" ht="11.25">
      <c r="A81" s="3" t="s">
        <v>15</v>
      </c>
      <c r="B81" s="7">
        <f>B4+B11+B18+B28+B33+B37+B52+B55+B57+B66</f>
        <v>160151.742</v>
      </c>
      <c r="C81" s="7">
        <f aca="true" t="shared" si="17" ref="C81:Q81">C4+C11+C18+C28+C33+C37+C52+C55+C57+C66</f>
        <v>186788.82</v>
      </c>
      <c r="D81" s="7">
        <f t="shared" si="17"/>
        <v>197009.34</v>
      </c>
      <c r="E81" s="7">
        <f t="shared" si="17"/>
        <v>223399.63999999998</v>
      </c>
      <c r="F81" s="7">
        <f t="shared" si="17"/>
        <v>156294.90409999999</v>
      </c>
      <c r="G81" s="7">
        <f t="shared" si="17"/>
        <v>124835.54999999999</v>
      </c>
      <c r="H81" s="7">
        <f t="shared" si="17"/>
        <v>136456.56</v>
      </c>
      <c r="I81" s="7">
        <f t="shared" si="17"/>
        <v>233045.31</v>
      </c>
      <c r="J81" s="7">
        <f t="shared" si="17"/>
        <v>167356.52000000002</v>
      </c>
      <c r="K81" s="7">
        <f t="shared" si="17"/>
        <v>189422.88</v>
      </c>
      <c r="L81" s="7">
        <f t="shared" si="17"/>
        <v>196005.94</v>
      </c>
      <c r="M81" s="7">
        <f t="shared" si="17"/>
        <v>183300.65</v>
      </c>
      <c r="N81" s="7">
        <f t="shared" si="17"/>
        <v>250967.8054</v>
      </c>
      <c r="O81" s="7">
        <f t="shared" si="17"/>
        <v>214160.8306</v>
      </c>
      <c r="P81" s="7">
        <f t="shared" si="17"/>
        <v>327020.9634</v>
      </c>
      <c r="Q81" s="7">
        <f t="shared" si="17"/>
        <v>198799.66139999998</v>
      </c>
      <c r="R81" s="7">
        <f>R4+R11+R18+R28+R33+R37+R52+R55+R57+R66</f>
        <v>3145017.1169</v>
      </c>
    </row>
    <row r="83" spans="1:18" ht="11.25">
      <c r="A83" s="4" t="s">
        <v>82</v>
      </c>
      <c r="B83" s="5">
        <v>228852.21</v>
      </c>
      <c r="C83" s="5">
        <v>238120.56</v>
      </c>
      <c r="D83" s="5">
        <v>234762.99</v>
      </c>
      <c r="E83" s="5">
        <v>207055.06</v>
      </c>
      <c r="F83" s="5">
        <v>236111.98</v>
      </c>
      <c r="G83" s="5">
        <v>240034.76</v>
      </c>
      <c r="H83" s="5">
        <v>233003.5</v>
      </c>
      <c r="I83" s="5">
        <v>235997.29</v>
      </c>
      <c r="J83" s="5">
        <v>232358.43</v>
      </c>
      <c r="K83" s="5">
        <v>234502.18</v>
      </c>
      <c r="L83" s="5">
        <v>257524.23</v>
      </c>
      <c r="M83" s="5">
        <v>257518.53</v>
      </c>
      <c r="N83" s="5">
        <v>261270.97</v>
      </c>
      <c r="O83" s="5">
        <v>264924.54</v>
      </c>
      <c r="P83" s="5">
        <v>261377.23</v>
      </c>
      <c r="Q83" s="14">
        <v>260017.84</v>
      </c>
      <c r="R83" s="5">
        <f>SUM(B83:Q83)</f>
        <v>3883432.3</v>
      </c>
    </row>
    <row r="84" spans="1:18" ht="11.25">
      <c r="A84" s="4" t="s">
        <v>83</v>
      </c>
      <c r="B84" s="5">
        <v>0</v>
      </c>
      <c r="C84" s="5">
        <v>142662.2</v>
      </c>
      <c r="D84" s="5">
        <v>186565.84</v>
      </c>
      <c r="E84" s="5">
        <v>236908.04</v>
      </c>
      <c r="F84" s="5">
        <v>218592.98</v>
      </c>
      <c r="G84" s="5">
        <v>195575.03</v>
      </c>
      <c r="H84" s="5">
        <v>179696.84</v>
      </c>
      <c r="I84" s="5">
        <v>238196.08</v>
      </c>
      <c r="J84" s="5">
        <v>213660.38</v>
      </c>
      <c r="K84" s="5">
        <v>223651</v>
      </c>
      <c r="L84" s="5">
        <v>179219.1</v>
      </c>
      <c r="M84" s="5">
        <v>246446.5</v>
      </c>
      <c r="N84" s="5">
        <v>208671.28</v>
      </c>
      <c r="O84" s="5">
        <v>216306</v>
      </c>
      <c r="P84" s="5">
        <v>196033</v>
      </c>
      <c r="Q84" s="14">
        <v>304459</v>
      </c>
      <c r="R84" s="5">
        <f>SUM(B84:Q84)</f>
        <v>3186643.27</v>
      </c>
    </row>
    <row r="85" spans="1:18" ht="11.25">
      <c r="A85" s="4" t="s">
        <v>84</v>
      </c>
      <c r="B85" s="5">
        <v>62.34</v>
      </c>
      <c r="C85" s="5">
        <v>70.5</v>
      </c>
      <c r="D85" s="5">
        <v>80.68</v>
      </c>
      <c r="E85" s="5">
        <v>86.35</v>
      </c>
      <c r="F85" s="5">
        <v>85.62</v>
      </c>
      <c r="G85" s="4">
        <v>83.76</v>
      </c>
      <c r="H85" s="4">
        <v>86.42</v>
      </c>
      <c r="I85" s="4">
        <v>86.94</v>
      </c>
      <c r="J85" s="4">
        <v>87.98</v>
      </c>
      <c r="K85" s="4">
        <v>86.81</v>
      </c>
      <c r="L85" s="4">
        <v>87.7</v>
      </c>
      <c r="M85" s="4">
        <v>87.09</v>
      </c>
      <c r="N85" s="4">
        <v>86.73</v>
      </c>
      <c r="O85" s="4">
        <v>85.73</v>
      </c>
      <c r="P85" s="4">
        <v>87.95</v>
      </c>
      <c r="Q85" s="13">
        <v>87.71</v>
      </c>
      <c r="R85" s="4"/>
    </row>
    <row r="86" spans="1:18" ht="11.25">
      <c r="A86" s="8" t="s">
        <v>85</v>
      </c>
      <c r="B86" s="9">
        <f>B81</f>
        <v>160151.742</v>
      </c>
      <c r="C86" s="9">
        <f aca="true" t="shared" si="18" ref="C86:Q86">C81</f>
        <v>186788.82</v>
      </c>
      <c r="D86" s="9">
        <f t="shared" si="18"/>
        <v>197009.34</v>
      </c>
      <c r="E86" s="9">
        <f t="shared" si="18"/>
        <v>223399.63999999998</v>
      </c>
      <c r="F86" s="9">
        <f t="shared" si="18"/>
        <v>156294.90409999999</v>
      </c>
      <c r="G86" s="9">
        <f t="shared" si="18"/>
        <v>124835.54999999999</v>
      </c>
      <c r="H86" s="9">
        <f t="shared" si="18"/>
        <v>136456.56</v>
      </c>
      <c r="I86" s="9">
        <f t="shared" si="18"/>
        <v>233045.31</v>
      </c>
      <c r="J86" s="9">
        <f t="shared" si="18"/>
        <v>167356.52000000002</v>
      </c>
      <c r="K86" s="9">
        <f t="shared" si="18"/>
        <v>189422.88</v>
      </c>
      <c r="L86" s="9">
        <f t="shared" si="18"/>
        <v>196005.94</v>
      </c>
      <c r="M86" s="9">
        <f t="shared" si="18"/>
        <v>183300.65</v>
      </c>
      <c r="N86" s="9">
        <f t="shared" si="18"/>
        <v>250967.8054</v>
      </c>
      <c r="O86" s="9">
        <f t="shared" si="18"/>
        <v>214160.8306</v>
      </c>
      <c r="P86" s="9">
        <f t="shared" si="18"/>
        <v>327020.9634</v>
      </c>
      <c r="Q86" s="9">
        <f t="shared" si="18"/>
        <v>198799.66139999998</v>
      </c>
      <c r="R86" s="5">
        <f>SUM(B86:Q86)</f>
        <v>3145017.1169000003</v>
      </c>
    </row>
    <row r="87" spans="1:18" ht="11.25">
      <c r="A87" s="4" t="s">
        <v>135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5">
        <f>R84-R86</f>
        <v>41626.15309999976</v>
      </c>
    </row>
  </sheetData>
  <printOptions/>
  <pageMargins left="0.75" right="0.3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pane ySplit="8" topLeftCell="BM24" activePane="bottomLeft" state="frozen"/>
      <selection pane="topLeft" activeCell="A1" sqref="A1"/>
      <selection pane="bottomLeft" activeCell="F57" sqref="F57"/>
    </sheetView>
  </sheetViews>
  <sheetFormatPr defaultColWidth="9.00390625" defaultRowHeight="12.75"/>
  <cols>
    <col min="1" max="1" width="39.25390625" style="2" customWidth="1"/>
    <col min="2" max="14" width="8.875" style="2" customWidth="1"/>
    <col min="15" max="15" width="9.75390625" style="2" customWidth="1"/>
    <col min="16" max="16384" width="9.125" style="2" customWidth="1"/>
  </cols>
  <sheetData>
    <row r="1" spans="1:18" ht="11.25">
      <c r="A1" s="25" t="s">
        <v>156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7"/>
      <c r="R1" s="27"/>
    </row>
    <row r="2" spans="1:18" ht="11.25">
      <c r="A2" s="25" t="s">
        <v>157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27"/>
      <c r="R2" s="27"/>
    </row>
    <row r="3" spans="1:18" ht="11.25">
      <c r="A3" s="25" t="s">
        <v>158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Q3" s="27"/>
      <c r="R3" s="27"/>
    </row>
    <row r="4" spans="1:18" ht="11.25">
      <c r="A4" s="25" t="s">
        <v>159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Q4" s="27"/>
      <c r="R4" s="27"/>
    </row>
    <row r="5" spans="1:18" ht="11.25">
      <c r="A5" s="25" t="s">
        <v>160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Q5" s="27"/>
      <c r="R5" s="27"/>
    </row>
    <row r="6" spans="1:15" ht="11.25">
      <c r="A6" s="28" t="s">
        <v>161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1.25">
      <c r="A7" s="29"/>
      <c r="B7" s="29" t="s">
        <v>147</v>
      </c>
      <c r="C7" s="29"/>
      <c r="D7" s="29"/>
      <c r="E7" s="29"/>
      <c r="F7" s="29"/>
      <c r="G7" s="29"/>
      <c r="H7" s="29"/>
      <c r="I7" s="29" t="s">
        <v>76</v>
      </c>
      <c r="J7" s="29"/>
      <c r="K7" s="29"/>
      <c r="L7" s="29"/>
      <c r="M7" s="29"/>
      <c r="N7" s="29"/>
      <c r="O7" s="29"/>
    </row>
    <row r="8" spans="1:15" ht="11.25">
      <c r="A8" s="3"/>
      <c r="B8" s="3" t="s">
        <v>6</v>
      </c>
      <c r="C8" s="3" t="s">
        <v>150</v>
      </c>
      <c r="D8" s="3" t="s">
        <v>151</v>
      </c>
      <c r="E8" s="3" t="s">
        <v>148</v>
      </c>
      <c r="F8" s="3" t="s">
        <v>149</v>
      </c>
      <c r="G8" s="3" t="s">
        <v>123</v>
      </c>
      <c r="H8" s="3" t="s">
        <v>124</v>
      </c>
      <c r="I8" s="3" t="s">
        <v>1</v>
      </c>
      <c r="J8" s="3" t="s">
        <v>2</v>
      </c>
      <c r="K8" s="3" t="s">
        <v>3</v>
      </c>
      <c r="L8" s="3" t="s">
        <v>4</v>
      </c>
      <c r="M8" s="3" t="s">
        <v>5</v>
      </c>
      <c r="N8" s="3" t="s">
        <v>6</v>
      </c>
      <c r="O8" s="3" t="s">
        <v>16</v>
      </c>
    </row>
    <row r="9" spans="1:15" ht="11.25">
      <c r="A9" s="3" t="s">
        <v>26</v>
      </c>
      <c r="B9" s="7">
        <f aca="true" t="shared" si="0" ref="B9:I9">SUM(B10:B15)</f>
        <v>6700</v>
      </c>
      <c r="C9" s="7">
        <f t="shared" si="0"/>
        <v>7124.5</v>
      </c>
      <c r="D9" s="7">
        <f t="shared" si="0"/>
        <v>7742</v>
      </c>
      <c r="E9" s="7">
        <f t="shared" si="0"/>
        <v>19536</v>
      </c>
      <c r="F9" s="7">
        <f t="shared" si="0"/>
        <v>14200</v>
      </c>
      <c r="G9" s="7">
        <f t="shared" si="0"/>
        <v>11840</v>
      </c>
      <c r="H9" s="7">
        <f t="shared" si="0"/>
        <v>16242</v>
      </c>
      <c r="I9" s="7">
        <f t="shared" si="0"/>
        <v>7309</v>
      </c>
      <c r="J9" s="7">
        <f aca="true" t="shared" si="1" ref="J9:O9">SUM(J10:J15)</f>
        <v>5253.464285714286</v>
      </c>
      <c r="K9" s="7">
        <f t="shared" si="1"/>
        <v>0</v>
      </c>
      <c r="L9" s="7">
        <f t="shared" si="1"/>
        <v>0</v>
      </c>
      <c r="M9" s="7">
        <f t="shared" si="1"/>
        <v>7309</v>
      </c>
      <c r="N9" s="7">
        <f t="shared" si="1"/>
        <v>7309</v>
      </c>
      <c r="O9" s="7">
        <f t="shared" si="1"/>
        <v>110564.96428571429</v>
      </c>
    </row>
    <row r="10" spans="1:15" ht="11.25">
      <c r="A10" s="4" t="s">
        <v>162</v>
      </c>
      <c r="B10" s="5">
        <v>5000</v>
      </c>
      <c r="C10" s="5">
        <v>5000</v>
      </c>
      <c r="D10" s="5">
        <v>5000</v>
      </c>
      <c r="E10" s="5">
        <v>5000</v>
      </c>
      <c r="F10" s="5">
        <v>5000</v>
      </c>
      <c r="G10" s="5">
        <v>5000</v>
      </c>
      <c r="H10" s="5">
        <v>5000</v>
      </c>
      <c r="I10" s="5">
        <v>5000</v>
      </c>
      <c r="J10" s="5">
        <f>5000/28*13</f>
        <v>2321.4285714285716</v>
      </c>
      <c r="K10" s="5">
        <v>0</v>
      </c>
      <c r="L10" s="5">
        <v>0</v>
      </c>
      <c r="M10" s="5">
        <v>5000</v>
      </c>
      <c r="N10" s="5">
        <v>5000</v>
      </c>
      <c r="O10" s="5">
        <f aca="true" t="shared" si="2" ref="O10:O15">SUM(B10:N10)</f>
        <v>52321.42857142857</v>
      </c>
    </row>
    <row r="11" spans="1:15" ht="11.25">
      <c r="A11" s="4" t="s">
        <v>77</v>
      </c>
      <c r="B11" s="5">
        <v>1700</v>
      </c>
      <c r="C11" s="5">
        <v>1700</v>
      </c>
      <c r="D11" s="5">
        <v>1700</v>
      </c>
      <c r="E11" s="5">
        <v>1700</v>
      </c>
      <c r="F11" s="5">
        <v>1700</v>
      </c>
      <c r="G11" s="5">
        <v>1700</v>
      </c>
      <c r="H11" s="5">
        <v>1700</v>
      </c>
      <c r="I11" s="5">
        <v>1700</v>
      </c>
      <c r="J11" s="5">
        <f>1700/28*13</f>
        <v>789.2857142857143</v>
      </c>
      <c r="K11" s="5">
        <v>0</v>
      </c>
      <c r="L11" s="5">
        <v>0</v>
      </c>
      <c r="M11" s="5">
        <v>1700</v>
      </c>
      <c r="N11" s="5">
        <v>1700</v>
      </c>
      <c r="O11" s="5">
        <f t="shared" si="2"/>
        <v>17789.285714285714</v>
      </c>
    </row>
    <row r="12" spans="1:15" ht="11.25">
      <c r="A12" s="4" t="s">
        <v>31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230</v>
      </c>
      <c r="J12" s="5">
        <f>230/28*13</f>
        <v>106.78571428571428</v>
      </c>
      <c r="K12" s="5">
        <v>0</v>
      </c>
      <c r="L12" s="5">
        <v>0</v>
      </c>
      <c r="M12" s="5">
        <v>230</v>
      </c>
      <c r="N12" s="5">
        <v>230</v>
      </c>
      <c r="O12" s="5">
        <f t="shared" si="2"/>
        <v>796.7857142857142</v>
      </c>
    </row>
    <row r="13" spans="1:15" ht="11.25">
      <c r="A13" s="4" t="s">
        <v>54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379*12/12</f>
        <v>379</v>
      </c>
      <c r="J13" s="5">
        <f>379*12/12/28*13</f>
        <v>175.96428571428572</v>
      </c>
      <c r="K13" s="5">
        <v>0</v>
      </c>
      <c r="L13" s="5">
        <v>0</v>
      </c>
      <c r="M13" s="5">
        <f>379*12/12</f>
        <v>379</v>
      </c>
      <c r="N13" s="5">
        <f>379*12/12</f>
        <v>379</v>
      </c>
      <c r="O13" s="5">
        <f t="shared" si="2"/>
        <v>1312.9642857142858</v>
      </c>
    </row>
    <row r="14" spans="1:15" ht="11.25">
      <c r="A14" s="4" t="s">
        <v>10</v>
      </c>
      <c r="B14" s="5">
        <v>0</v>
      </c>
      <c r="C14" s="5">
        <f>368.5+56</f>
        <v>424.5</v>
      </c>
      <c r="D14" s="5">
        <v>1042</v>
      </c>
      <c r="E14" s="5">
        <f>796+140+3500</f>
        <v>4436</v>
      </c>
      <c r="F14" s="5">
        <v>0</v>
      </c>
      <c r="G14" s="5">
        <f>340+750+1050</f>
        <v>2140</v>
      </c>
      <c r="H14" s="5">
        <f>9542-H15</f>
        <v>3842</v>
      </c>
      <c r="I14" s="5">
        <v>0</v>
      </c>
      <c r="J14" s="5">
        <f>180*2</f>
        <v>360</v>
      </c>
      <c r="K14" s="5">
        <v>0</v>
      </c>
      <c r="L14" s="5">
        <v>0</v>
      </c>
      <c r="M14" s="5">
        <v>0</v>
      </c>
      <c r="N14" s="5">
        <v>0</v>
      </c>
      <c r="O14" s="5">
        <f t="shared" si="2"/>
        <v>12244.5</v>
      </c>
    </row>
    <row r="15" spans="1:15" ht="11.25">
      <c r="A15" s="4" t="s">
        <v>11</v>
      </c>
      <c r="B15" s="5">
        <v>0</v>
      </c>
      <c r="C15" s="5">
        <v>0</v>
      </c>
      <c r="D15" s="5">
        <v>0</v>
      </c>
      <c r="E15" s="5">
        <v>8400</v>
      </c>
      <c r="F15" s="5">
        <v>7500</v>
      </c>
      <c r="G15" s="5">
        <v>3000</v>
      </c>
      <c r="H15" s="5">
        <f>4200+1500</f>
        <v>5700</v>
      </c>
      <c r="I15" s="5">
        <v>0</v>
      </c>
      <c r="J15" s="5">
        <v>1500</v>
      </c>
      <c r="K15" s="5">
        <v>0</v>
      </c>
      <c r="L15" s="5">
        <v>0</v>
      </c>
      <c r="M15" s="5">
        <v>0</v>
      </c>
      <c r="N15" s="5">
        <v>0</v>
      </c>
      <c r="O15" s="5">
        <f t="shared" si="2"/>
        <v>26100</v>
      </c>
    </row>
    <row r="16" spans="1:15" ht="11.25">
      <c r="A16" s="3" t="s">
        <v>28</v>
      </c>
      <c r="B16" s="7">
        <f>SUM(B17:B22)</f>
        <v>6000</v>
      </c>
      <c r="C16" s="7">
        <f aca="true" t="shared" si="3" ref="C16:N16">SUM(C17:C22)</f>
        <v>6640</v>
      </c>
      <c r="D16" s="7">
        <f t="shared" si="3"/>
        <v>6660</v>
      </c>
      <c r="E16" s="7">
        <f t="shared" si="3"/>
        <v>6800</v>
      </c>
      <c r="F16" s="7">
        <f t="shared" si="3"/>
        <v>6300</v>
      </c>
      <c r="G16" s="7">
        <f t="shared" si="3"/>
        <v>6800</v>
      </c>
      <c r="H16" s="7">
        <f t="shared" si="3"/>
        <v>13521</v>
      </c>
      <c r="I16" s="7">
        <f t="shared" si="3"/>
        <v>6060</v>
      </c>
      <c r="J16" s="7">
        <f t="shared" si="3"/>
        <v>3110.72</v>
      </c>
      <c r="K16" s="7">
        <f t="shared" si="3"/>
        <v>0</v>
      </c>
      <c r="L16" s="7">
        <f t="shared" si="3"/>
        <v>0</v>
      </c>
      <c r="M16" s="7">
        <f t="shared" si="3"/>
        <v>6000</v>
      </c>
      <c r="N16" s="7">
        <f t="shared" si="3"/>
        <v>6385</v>
      </c>
      <c r="O16" s="7">
        <f>SUM(O17:O22)</f>
        <v>74276.72</v>
      </c>
    </row>
    <row r="17" spans="1:15" ht="11.25">
      <c r="A17" s="4" t="s">
        <v>163</v>
      </c>
      <c r="B17" s="5">
        <v>5000</v>
      </c>
      <c r="C17" s="5">
        <v>5000</v>
      </c>
      <c r="D17" s="5">
        <v>5000</v>
      </c>
      <c r="E17" s="5">
        <v>5000</v>
      </c>
      <c r="F17" s="5">
        <v>5000</v>
      </c>
      <c r="G17" s="5">
        <v>5000</v>
      </c>
      <c r="H17" s="5">
        <v>5000</v>
      </c>
      <c r="I17" s="5">
        <v>5000</v>
      </c>
      <c r="J17" s="5">
        <v>2321.43</v>
      </c>
      <c r="K17" s="5">
        <v>0</v>
      </c>
      <c r="L17" s="5">
        <v>0</v>
      </c>
      <c r="M17" s="5">
        <v>5000</v>
      </c>
      <c r="N17" s="5">
        <v>5000</v>
      </c>
      <c r="O17" s="5">
        <f aca="true" t="shared" si="4" ref="O17:O22">SUM(B17:N17)</f>
        <v>52321.43</v>
      </c>
    </row>
    <row r="18" spans="1:15" ht="11.25">
      <c r="A18" s="4" t="s">
        <v>77</v>
      </c>
      <c r="B18" s="5">
        <v>1000</v>
      </c>
      <c r="C18" s="5">
        <v>1000</v>
      </c>
      <c r="D18" s="5">
        <v>1000</v>
      </c>
      <c r="E18" s="5">
        <v>1000</v>
      </c>
      <c r="F18" s="5">
        <v>1000</v>
      </c>
      <c r="G18" s="5">
        <v>1000</v>
      </c>
      <c r="H18" s="5">
        <v>1000</v>
      </c>
      <c r="I18" s="5">
        <v>1000</v>
      </c>
      <c r="J18" s="5">
        <v>789.29</v>
      </c>
      <c r="K18" s="5">
        <v>0</v>
      </c>
      <c r="L18" s="5">
        <v>0</v>
      </c>
      <c r="M18" s="5">
        <v>1000</v>
      </c>
      <c r="N18" s="5">
        <v>1000</v>
      </c>
      <c r="O18" s="5">
        <f t="shared" si="4"/>
        <v>10789.29</v>
      </c>
    </row>
    <row r="19" spans="1:15" ht="11.25">
      <c r="A19" s="4" t="s">
        <v>31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4"/>
        <v>0</v>
      </c>
    </row>
    <row r="20" spans="1:15" ht="11.25">
      <c r="A20" s="4" t="s">
        <v>54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4"/>
        <v>0</v>
      </c>
    </row>
    <row r="21" spans="1:15" ht="11.25">
      <c r="A21" s="4" t="s">
        <v>12</v>
      </c>
      <c r="B21" s="5">
        <v>0</v>
      </c>
      <c r="C21" s="5">
        <v>640</v>
      </c>
      <c r="D21" s="5">
        <v>660</v>
      </c>
      <c r="E21" s="5">
        <v>800</v>
      </c>
      <c r="F21" s="5">
        <v>300</v>
      </c>
      <c r="G21" s="5">
        <f>200+600</f>
        <v>800</v>
      </c>
      <c r="H21" s="5">
        <f>3900+171+25+25</f>
        <v>4121</v>
      </c>
      <c r="I21" s="5">
        <f>30*2</f>
        <v>60</v>
      </c>
      <c r="J21" s="5">
        <v>0</v>
      </c>
      <c r="K21" s="5">
        <v>0</v>
      </c>
      <c r="L21" s="5">
        <v>0</v>
      </c>
      <c r="M21" s="5">
        <v>0</v>
      </c>
      <c r="N21" s="5">
        <f>20+250+115</f>
        <v>385</v>
      </c>
      <c r="O21" s="5">
        <f t="shared" si="4"/>
        <v>7766</v>
      </c>
    </row>
    <row r="22" spans="1:15" ht="11.25">
      <c r="A22" s="4" t="s">
        <v>13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1700*2</f>
        <v>3400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4"/>
        <v>3400</v>
      </c>
    </row>
    <row r="23" spans="1:15" ht="11.25">
      <c r="A23" s="3" t="s">
        <v>23</v>
      </c>
      <c r="B23" s="7">
        <f>SUM(B24:B27)</f>
        <v>22315</v>
      </c>
      <c r="C23" s="7">
        <f aca="true" t="shared" si="5" ref="C23:N23">SUM(C24:C27)</f>
        <v>21371</v>
      </c>
      <c r="D23" s="7">
        <f t="shared" si="5"/>
        <v>21000</v>
      </c>
      <c r="E23" s="7">
        <f t="shared" si="5"/>
        <v>21000</v>
      </c>
      <c r="F23" s="7">
        <f t="shared" si="5"/>
        <v>21979</v>
      </c>
      <c r="G23" s="7">
        <f t="shared" si="5"/>
        <v>22211</v>
      </c>
      <c r="H23" s="7">
        <f t="shared" si="5"/>
        <v>21000</v>
      </c>
      <c r="I23" s="7">
        <f t="shared" si="5"/>
        <v>22280</v>
      </c>
      <c r="J23" s="7">
        <f t="shared" si="5"/>
        <v>9750.142857142857</v>
      </c>
      <c r="K23" s="7">
        <f t="shared" si="5"/>
        <v>0</v>
      </c>
      <c r="L23" s="7">
        <f t="shared" si="5"/>
        <v>0</v>
      </c>
      <c r="M23" s="7">
        <f t="shared" si="5"/>
        <v>21795</v>
      </c>
      <c r="N23" s="7">
        <f t="shared" si="5"/>
        <v>21000</v>
      </c>
      <c r="O23" s="7">
        <f>SUM(O24:O27)</f>
        <v>225701.14285714284</v>
      </c>
    </row>
    <row r="24" spans="1:15" ht="11.25">
      <c r="A24" s="4" t="s">
        <v>24</v>
      </c>
      <c r="B24" s="5">
        <v>10000</v>
      </c>
      <c r="C24" s="5">
        <v>10000</v>
      </c>
      <c r="D24" s="5">
        <v>10000</v>
      </c>
      <c r="E24" s="5">
        <v>10000</v>
      </c>
      <c r="F24" s="5">
        <v>10000</v>
      </c>
      <c r="G24" s="5">
        <v>10000</v>
      </c>
      <c r="H24" s="5">
        <v>10000</v>
      </c>
      <c r="I24" s="5">
        <v>10000</v>
      </c>
      <c r="J24" s="5">
        <v>4643</v>
      </c>
      <c r="K24" s="5">
        <v>0</v>
      </c>
      <c r="L24" s="5">
        <v>0</v>
      </c>
      <c r="M24" s="5">
        <v>10000</v>
      </c>
      <c r="N24" s="5">
        <v>10000</v>
      </c>
      <c r="O24" s="5">
        <f>SUM(B24:N24)</f>
        <v>104643</v>
      </c>
    </row>
    <row r="25" spans="1:15" ht="11.25">
      <c r="A25" s="4" t="s">
        <v>7</v>
      </c>
      <c r="B25" s="5">
        <v>820</v>
      </c>
      <c r="C25" s="5">
        <v>0</v>
      </c>
      <c r="D25" s="5">
        <v>0</v>
      </c>
      <c r="E25" s="5">
        <v>0</v>
      </c>
      <c r="F25" s="5">
        <v>0</v>
      </c>
      <c r="G25" s="5">
        <v>560</v>
      </c>
      <c r="H25" s="5">
        <v>0</v>
      </c>
      <c r="I25" s="5">
        <v>780</v>
      </c>
      <c r="J25" s="5">
        <v>0</v>
      </c>
      <c r="K25" s="5">
        <v>0</v>
      </c>
      <c r="L25" s="5">
        <v>0</v>
      </c>
      <c r="M25" s="5">
        <f>155+250+240</f>
        <v>645</v>
      </c>
      <c r="N25" s="5">
        <v>0</v>
      </c>
      <c r="O25" s="5">
        <f>SUM(B25:N25)</f>
        <v>2805</v>
      </c>
    </row>
    <row r="26" spans="1:15" ht="11.25">
      <c r="A26" s="4" t="s">
        <v>25</v>
      </c>
      <c r="B26" s="5">
        <v>11000</v>
      </c>
      <c r="C26" s="5">
        <v>11000</v>
      </c>
      <c r="D26" s="5">
        <v>11000</v>
      </c>
      <c r="E26" s="5">
        <v>11000</v>
      </c>
      <c r="F26" s="5">
        <v>11000</v>
      </c>
      <c r="G26" s="5">
        <v>11000</v>
      </c>
      <c r="H26" s="5">
        <v>11000</v>
      </c>
      <c r="I26" s="5">
        <v>11000</v>
      </c>
      <c r="J26" s="5">
        <f>I26/28*13</f>
        <v>5107.142857142857</v>
      </c>
      <c r="K26" s="5">
        <v>0</v>
      </c>
      <c r="L26" s="5">
        <v>0</v>
      </c>
      <c r="M26" s="5">
        <v>11000</v>
      </c>
      <c r="N26" s="5">
        <v>11000</v>
      </c>
      <c r="O26" s="5">
        <f>SUM(B26:N26)</f>
        <v>115107.14285714286</v>
      </c>
    </row>
    <row r="27" spans="1:15" ht="11.25">
      <c r="A27" s="4" t="s">
        <v>8</v>
      </c>
      <c r="B27" s="5">
        <v>495</v>
      </c>
      <c r="C27" s="5">
        <v>371</v>
      </c>
      <c r="D27" s="5">
        <v>0</v>
      </c>
      <c r="E27" s="5">
        <v>0</v>
      </c>
      <c r="F27" s="5">
        <f>115*3+389+245</f>
        <v>979</v>
      </c>
      <c r="G27" s="5">
        <f>371+280</f>
        <v>651</v>
      </c>
      <c r="H27" s="5">
        <v>0</v>
      </c>
      <c r="I27" s="5">
        <v>500</v>
      </c>
      <c r="J27" s="5">
        <v>0</v>
      </c>
      <c r="K27" s="5">
        <v>0</v>
      </c>
      <c r="L27" s="5">
        <v>0</v>
      </c>
      <c r="M27" s="5">
        <f>150</f>
        <v>150</v>
      </c>
      <c r="N27" s="5">
        <v>0</v>
      </c>
      <c r="O27" s="5">
        <f>SUM(B27:N27)</f>
        <v>3146</v>
      </c>
    </row>
    <row r="28" spans="1:15" ht="11.25">
      <c r="A28" s="3" t="s">
        <v>32</v>
      </c>
      <c r="B28" s="7">
        <f aca="true" t="shared" si="6" ref="B28:J28">SUM(B29:B31)</f>
        <v>20849.68</v>
      </c>
      <c r="C28" s="7">
        <f t="shared" si="6"/>
        <v>25849.68</v>
      </c>
      <c r="D28" s="7">
        <f t="shared" si="6"/>
        <v>32849.68</v>
      </c>
      <c r="E28" s="7">
        <f t="shared" si="6"/>
        <v>20849.68</v>
      </c>
      <c r="F28" s="7">
        <f t="shared" si="6"/>
        <v>20849.68</v>
      </c>
      <c r="G28" s="7">
        <f t="shared" si="6"/>
        <v>20849.68</v>
      </c>
      <c r="H28" s="7">
        <f t="shared" si="6"/>
        <v>20849.68</v>
      </c>
      <c r="I28" s="7">
        <f t="shared" si="6"/>
        <v>20849.68</v>
      </c>
      <c r="J28" s="7">
        <f t="shared" si="6"/>
        <v>29803.44</v>
      </c>
      <c r="K28" s="7">
        <f>SUM(K29:K31)</f>
        <v>20874.59</v>
      </c>
      <c r="L28" s="7">
        <f>SUM(L29:L31)</f>
        <v>20868.77</v>
      </c>
      <c r="M28" s="7">
        <f>SUM(M29:M31)</f>
        <v>20849.68</v>
      </c>
      <c r="N28" s="7">
        <f>SUM(N29:N31)</f>
        <v>20849.68</v>
      </c>
      <c r="O28" s="7">
        <f>SUM(O29:O31)</f>
        <v>297043.6</v>
      </c>
    </row>
    <row r="29" spans="1:15" ht="11.25">
      <c r="A29" s="4" t="s">
        <v>41</v>
      </c>
      <c r="B29" s="5">
        <v>18922.75</v>
      </c>
      <c r="C29" s="5">
        <v>18922.75</v>
      </c>
      <c r="D29" s="5">
        <v>18922.75</v>
      </c>
      <c r="E29" s="5">
        <v>18922.75</v>
      </c>
      <c r="F29" s="5">
        <v>18922.75</v>
      </c>
      <c r="G29" s="5">
        <v>18922.75</v>
      </c>
      <c r="H29" s="5">
        <v>18922.75</v>
      </c>
      <c r="I29" s="5">
        <v>18922.75</v>
      </c>
      <c r="J29" s="5">
        <f>I29/2</f>
        <v>9461.375</v>
      </c>
      <c r="K29" s="5">
        <f>20874.59-K30</f>
        <v>18947.66</v>
      </c>
      <c r="L29" s="5">
        <f>20868.77-L30</f>
        <v>18941.84</v>
      </c>
      <c r="M29" s="5">
        <v>18922.75</v>
      </c>
      <c r="N29" s="5">
        <v>18922.75</v>
      </c>
      <c r="O29" s="5">
        <f>SUM(B29:N29)</f>
        <v>236578.375</v>
      </c>
    </row>
    <row r="30" spans="1:15" ht="11.25">
      <c r="A30" s="4" t="s">
        <v>18</v>
      </c>
      <c r="B30" s="5">
        <v>1926.93</v>
      </c>
      <c r="C30" s="5">
        <v>1926.93</v>
      </c>
      <c r="D30" s="5">
        <v>1926.93</v>
      </c>
      <c r="E30" s="5">
        <v>1926.93</v>
      </c>
      <c r="F30" s="5">
        <v>1926.93</v>
      </c>
      <c r="G30" s="5">
        <v>1926.93</v>
      </c>
      <c r="H30" s="5">
        <v>1926.93</v>
      </c>
      <c r="I30" s="5">
        <v>1926.93</v>
      </c>
      <c r="J30" s="5">
        <f>I30/2</f>
        <v>963.465</v>
      </c>
      <c r="K30" s="5">
        <v>1926.93</v>
      </c>
      <c r="L30" s="5">
        <v>1926.93</v>
      </c>
      <c r="M30" s="5">
        <v>1926.93</v>
      </c>
      <c r="N30" s="5">
        <v>1926.93</v>
      </c>
      <c r="O30" s="5">
        <f>SUM(B30:N30)</f>
        <v>24086.625</v>
      </c>
    </row>
    <row r="31" spans="1:15" ht="11.25">
      <c r="A31" s="4" t="s">
        <v>164</v>
      </c>
      <c r="B31" s="5">
        <v>0</v>
      </c>
      <c r="C31" s="5">
        <v>5000</v>
      </c>
      <c r="D31" s="5">
        <v>12000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>2000+17378.6</f>
        <v>19378.6</v>
      </c>
      <c r="K31" s="5">
        <v>0</v>
      </c>
      <c r="L31" s="5">
        <v>0</v>
      </c>
      <c r="M31" s="5">
        <v>0</v>
      </c>
      <c r="N31" s="5">
        <v>0</v>
      </c>
      <c r="O31" s="5">
        <f>SUM(B31:N31)</f>
        <v>36378.6</v>
      </c>
    </row>
    <row r="32" spans="1:15" ht="11.25">
      <c r="A32" s="3" t="s">
        <v>40</v>
      </c>
      <c r="B32" s="7">
        <f aca="true" t="shared" si="7" ref="B32:M32">SUM(B33:B40)</f>
        <v>0</v>
      </c>
      <c r="C32" s="7">
        <f t="shared" si="7"/>
        <v>1052.6666666666667</v>
      </c>
      <c r="D32" s="7">
        <f t="shared" si="7"/>
        <v>20000</v>
      </c>
      <c r="E32" s="7">
        <f t="shared" si="7"/>
        <v>3650</v>
      </c>
      <c r="F32" s="7">
        <f t="shared" si="7"/>
        <v>100</v>
      </c>
      <c r="G32" s="7">
        <f t="shared" si="7"/>
        <v>25246</v>
      </c>
      <c r="H32" s="7">
        <f t="shared" si="7"/>
        <v>0</v>
      </c>
      <c r="I32" s="7">
        <f t="shared" si="7"/>
        <v>0</v>
      </c>
      <c r="J32" s="7">
        <f t="shared" si="7"/>
        <v>0</v>
      </c>
      <c r="K32" s="7">
        <f t="shared" si="7"/>
        <v>825</v>
      </c>
      <c r="L32" s="7">
        <f t="shared" si="7"/>
        <v>0</v>
      </c>
      <c r="M32" s="7">
        <f t="shared" si="7"/>
        <v>0</v>
      </c>
      <c r="N32" s="7">
        <f>SUM(N33:N40)</f>
        <v>0</v>
      </c>
      <c r="O32" s="7">
        <f>SUM(O33:O40)</f>
        <v>50873.666666666664</v>
      </c>
    </row>
    <row r="33" spans="1:15" ht="11.25">
      <c r="A33" s="4" t="s">
        <v>165</v>
      </c>
      <c r="B33" s="5">
        <v>0</v>
      </c>
      <c r="C33" s="5">
        <v>0</v>
      </c>
      <c r="D33" s="5">
        <v>20000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aca="true" t="shared" si="8" ref="O33:O40">SUM(B33:N33)</f>
        <v>20000</v>
      </c>
    </row>
    <row r="34" spans="1:15" ht="11.25">
      <c r="A34" s="4" t="s">
        <v>166</v>
      </c>
      <c r="B34" s="5">
        <v>0</v>
      </c>
      <c r="C34" s="5">
        <v>0</v>
      </c>
      <c r="D34" s="5">
        <v>0</v>
      </c>
      <c r="E34" s="5">
        <v>750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8"/>
        <v>750</v>
      </c>
    </row>
    <row r="35" spans="1:15" ht="11.25">
      <c r="A35" s="4" t="s">
        <v>167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f>325+500</f>
        <v>825</v>
      </c>
      <c r="L35" s="5">
        <v>0</v>
      </c>
      <c r="M35" s="5">
        <v>0</v>
      </c>
      <c r="N35" s="5">
        <v>0</v>
      </c>
      <c r="O35" s="5">
        <f t="shared" si="8"/>
        <v>825</v>
      </c>
    </row>
    <row r="36" spans="1:15" ht="11.25">
      <c r="A36" s="4" t="s">
        <v>168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f>25000+246</f>
        <v>25246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f t="shared" si="8"/>
        <v>25246</v>
      </c>
    </row>
    <row r="37" spans="1:15" ht="11.25">
      <c r="A37" s="4" t="s">
        <v>59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f t="shared" si="8"/>
        <v>0</v>
      </c>
    </row>
    <row r="38" spans="1:15" ht="11.25">
      <c r="A38" s="4" t="s">
        <v>169</v>
      </c>
      <c r="B38" s="5">
        <v>0</v>
      </c>
      <c r="C38" s="5">
        <v>0</v>
      </c>
      <c r="D38" s="5">
        <v>0</v>
      </c>
      <c r="E38" s="5">
        <v>2500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f t="shared" si="8"/>
        <v>2500</v>
      </c>
    </row>
    <row r="39" spans="1:15" ht="11.25">
      <c r="A39" s="4" t="s">
        <v>110</v>
      </c>
      <c r="B39" s="5">
        <v>0</v>
      </c>
      <c r="C39" s="5">
        <f>1579/6*4</f>
        <v>1052.6666666666667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f t="shared" si="8"/>
        <v>1052.6666666666667</v>
      </c>
    </row>
    <row r="40" spans="1:15" ht="11.25">
      <c r="A40" s="4" t="s">
        <v>61</v>
      </c>
      <c r="B40" s="5">
        <v>0</v>
      </c>
      <c r="C40" s="5">
        <v>0</v>
      </c>
      <c r="D40" s="5">
        <v>0</v>
      </c>
      <c r="E40" s="5">
        <v>400</v>
      </c>
      <c r="F40" s="5">
        <v>100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f t="shared" si="8"/>
        <v>500</v>
      </c>
    </row>
    <row r="41" spans="1:15" ht="11.25">
      <c r="A41" s="3" t="s">
        <v>22</v>
      </c>
      <c r="B41" s="7">
        <f aca="true" t="shared" si="9" ref="B41:L41">SUM(B42:B48)</f>
        <v>3625.52</v>
      </c>
      <c r="C41" s="7">
        <f t="shared" si="9"/>
        <v>0</v>
      </c>
      <c r="D41" s="7">
        <f t="shared" si="9"/>
        <v>9000</v>
      </c>
      <c r="E41" s="7">
        <f t="shared" si="9"/>
        <v>0</v>
      </c>
      <c r="F41" s="7">
        <f t="shared" si="9"/>
        <v>0</v>
      </c>
      <c r="G41" s="7">
        <f t="shared" si="9"/>
        <v>2400</v>
      </c>
      <c r="H41" s="7">
        <f t="shared" si="9"/>
        <v>1511</v>
      </c>
      <c r="I41" s="7">
        <f t="shared" si="9"/>
        <v>6528.333333333333</v>
      </c>
      <c r="J41" s="7">
        <f t="shared" si="9"/>
        <v>7750</v>
      </c>
      <c r="K41" s="7">
        <f t="shared" si="9"/>
        <v>0</v>
      </c>
      <c r="L41" s="7">
        <f t="shared" si="9"/>
        <v>0</v>
      </c>
      <c r="M41" s="7">
        <f>SUM(M42:M48)</f>
        <v>0</v>
      </c>
      <c r="N41" s="7">
        <f>SUM(N42:N48)</f>
        <v>2000</v>
      </c>
      <c r="O41" s="7">
        <f>SUM(O42:O48)</f>
        <v>32814.85333333333</v>
      </c>
    </row>
    <row r="42" spans="1:15" ht="11.25">
      <c r="A42" s="4" t="s">
        <v>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2500</v>
      </c>
      <c r="J42" s="5">
        <f>2500+3750</f>
        <v>6250</v>
      </c>
      <c r="K42" s="5">
        <v>0</v>
      </c>
      <c r="L42" s="5">
        <v>0</v>
      </c>
      <c r="M42" s="5">
        <v>0</v>
      </c>
      <c r="N42" s="5">
        <v>0</v>
      </c>
      <c r="O42" s="5">
        <f aca="true" t="shared" si="10" ref="O42:O48">SUM(B42:N42)</f>
        <v>8750</v>
      </c>
    </row>
    <row r="43" spans="1:15" ht="11.25">
      <c r="A43" s="4" t="s">
        <v>130</v>
      </c>
      <c r="B43" s="5">
        <v>0</v>
      </c>
      <c r="C43" s="5">
        <v>0</v>
      </c>
      <c r="D43" s="5">
        <f>6*1500</f>
        <v>9000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f t="shared" si="10"/>
        <v>9000</v>
      </c>
    </row>
    <row r="44" spans="1:15" ht="11.25">
      <c r="A44" s="4" t="s">
        <v>21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1500</v>
      </c>
      <c r="K44" s="5">
        <v>0</v>
      </c>
      <c r="L44" s="5">
        <v>0</v>
      </c>
      <c r="M44" s="5">
        <v>0</v>
      </c>
      <c r="N44" s="5">
        <v>0</v>
      </c>
      <c r="O44" s="5">
        <f t="shared" si="10"/>
        <v>1500</v>
      </c>
    </row>
    <row r="45" spans="1:15" ht="11.25">
      <c r="A45" s="4" t="s">
        <v>73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>12*200</f>
        <v>2400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f t="shared" si="10"/>
        <v>2400</v>
      </c>
    </row>
    <row r="46" spans="1:15" ht="11.25">
      <c r="A46" s="4" t="s">
        <v>74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f>3022/2</f>
        <v>1511</v>
      </c>
      <c r="I46" s="5">
        <f>3797.5/3+3315/3+3315/2</f>
        <v>4028.333333333333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f t="shared" si="10"/>
        <v>5539.333333333333</v>
      </c>
    </row>
    <row r="47" spans="1:15" ht="11.25">
      <c r="A47" s="4" t="s">
        <v>116</v>
      </c>
      <c r="B47" s="5">
        <v>1625.52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f t="shared" si="10"/>
        <v>1625.52</v>
      </c>
    </row>
    <row r="48" spans="1:15" ht="11.25">
      <c r="A48" s="4" t="s">
        <v>71</v>
      </c>
      <c r="B48" s="5">
        <v>2000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2000</v>
      </c>
      <c r="O48" s="5">
        <f t="shared" si="10"/>
        <v>4000</v>
      </c>
    </row>
    <row r="49" spans="1:15" ht="11.25">
      <c r="A49" s="3" t="s">
        <v>33</v>
      </c>
      <c r="B49" s="7">
        <f aca="true" t="shared" si="11" ref="B49:N49">SUM(B50:B50)</f>
        <v>0</v>
      </c>
      <c r="C49" s="7">
        <f t="shared" si="11"/>
        <v>0</v>
      </c>
      <c r="D49" s="7">
        <f t="shared" si="11"/>
        <v>0</v>
      </c>
      <c r="E49" s="7">
        <f t="shared" si="11"/>
        <v>0</v>
      </c>
      <c r="F49" s="7">
        <f t="shared" si="11"/>
        <v>45528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7">
        <f>SUM(O50:O50)</f>
        <v>45528</v>
      </c>
    </row>
    <row r="50" spans="1:15" ht="11.25">
      <c r="A50" s="4" t="s">
        <v>170</v>
      </c>
      <c r="B50" s="5">
        <v>0</v>
      </c>
      <c r="C50" s="5">
        <v>0</v>
      </c>
      <c r="D50" s="5">
        <v>0</v>
      </c>
      <c r="E50" s="5">
        <v>0</v>
      </c>
      <c r="F50" s="5">
        <v>45528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f>SUM(B50:N50)</f>
        <v>45528</v>
      </c>
    </row>
    <row r="51" spans="1:15" ht="11.25">
      <c r="A51" s="3" t="s">
        <v>47</v>
      </c>
      <c r="B51" s="7">
        <f aca="true" t="shared" si="12" ref="B51:N51">B52</f>
        <v>5000</v>
      </c>
      <c r="C51" s="7">
        <f t="shared" si="12"/>
        <v>0</v>
      </c>
      <c r="D51" s="7">
        <f t="shared" si="12"/>
        <v>0</v>
      </c>
      <c r="E51" s="7">
        <f t="shared" si="12"/>
        <v>0</v>
      </c>
      <c r="F51" s="7">
        <f t="shared" si="12"/>
        <v>0</v>
      </c>
      <c r="G51" s="7">
        <f t="shared" si="12"/>
        <v>0</v>
      </c>
      <c r="H51" s="7">
        <f t="shared" si="12"/>
        <v>0</v>
      </c>
      <c r="I51" s="7">
        <f t="shared" si="12"/>
        <v>0</v>
      </c>
      <c r="J51" s="7">
        <f t="shared" si="12"/>
        <v>0</v>
      </c>
      <c r="K51" s="7">
        <f t="shared" si="12"/>
        <v>0</v>
      </c>
      <c r="L51" s="7">
        <f t="shared" si="12"/>
        <v>0</v>
      </c>
      <c r="M51" s="7">
        <f t="shared" si="12"/>
        <v>0</v>
      </c>
      <c r="N51" s="7">
        <f t="shared" si="12"/>
        <v>0</v>
      </c>
      <c r="O51" s="7">
        <f>O52</f>
        <v>5000</v>
      </c>
    </row>
    <row r="52" spans="1:15" ht="11.25">
      <c r="A52" s="4" t="s">
        <v>17</v>
      </c>
      <c r="B52" s="5">
        <v>5000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f>SUM(B52:M52)</f>
        <v>5000</v>
      </c>
    </row>
    <row r="53" spans="1:15" ht="11.25">
      <c r="A53" s="3" t="s">
        <v>42</v>
      </c>
      <c r="B53" s="7">
        <f aca="true" t="shared" si="13" ref="B53:O53">SUM(B54:B58)</f>
        <v>15023.11</v>
      </c>
      <c r="C53" s="7">
        <f t="shared" si="13"/>
        <v>20612.870000000003</v>
      </c>
      <c r="D53" s="7">
        <f t="shared" si="13"/>
        <v>32758.56</v>
      </c>
      <c r="E53" s="7">
        <f t="shared" si="13"/>
        <v>33644.085999999996</v>
      </c>
      <c r="F53" s="7">
        <f t="shared" si="13"/>
        <v>33964.586599999995</v>
      </c>
      <c r="G53" s="7">
        <f t="shared" si="13"/>
        <v>38196.4776</v>
      </c>
      <c r="H53" s="7">
        <f t="shared" si="13"/>
        <v>39172.0346</v>
      </c>
      <c r="I53" s="7">
        <f t="shared" si="13"/>
        <v>33077.6596</v>
      </c>
      <c r="J53" s="7">
        <f t="shared" si="13"/>
        <v>20450.4411</v>
      </c>
      <c r="K53" s="7">
        <f t="shared" si="13"/>
        <v>4627.469999999999</v>
      </c>
      <c r="L53" s="7">
        <f t="shared" si="13"/>
        <v>4691.46</v>
      </c>
      <c r="M53" s="7">
        <f t="shared" si="13"/>
        <v>36013.914600000004</v>
      </c>
      <c r="N53" s="7">
        <f t="shared" si="13"/>
        <v>28451.825</v>
      </c>
      <c r="O53" s="7">
        <f t="shared" si="13"/>
        <v>340684.49509999994</v>
      </c>
    </row>
    <row r="54" spans="1:15" ht="11.25">
      <c r="A54" s="4" t="s">
        <v>43</v>
      </c>
      <c r="B54" s="5">
        <v>1166.16</v>
      </c>
      <c r="C54" s="5">
        <v>1865.23</v>
      </c>
      <c r="D54" s="5">
        <v>2133.21</v>
      </c>
      <c r="E54" s="5">
        <v>1969.66</v>
      </c>
      <c r="F54" s="5">
        <v>1838.83</v>
      </c>
      <c r="G54" s="5">
        <v>1909.7</v>
      </c>
      <c r="H54" s="5">
        <v>1879.72</v>
      </c>
      <c r="I54" s="5">
        <v>1855.18</v>
      </c>
      <c r="J54" s="5">
        <v>1999.65</v>
      </c>
      <c r="K54" s="5">
        <v>1528.09</v>
      </c>
      <c r="L54" s="5">
        <v>1607.14</v>
      </c>
      <c r="M54" s="5">
        <v>1784.3</v>
      </c>
      <c r="N54" s="5">
        <v>1713.44</v>
      </c>
      <c r="O54" s="5">
        <f>SUM(B54:N54)</f>
        <v>23250.309999999998</v>
      </c>
    </row>
    <row r="55" spans="1:15" ht="11.25">
      <c r="A55" s="4" t="s">
        <v>44</v>
      </c>
      <c r="B55" s="5">
        <v>40.77</v>
      </c>
      <c r="C55" s="5">
        <v>40.77</v>
      </c>
      <c r="D55" s="5">
        <v>40.77</v>
      </c>
      <c r="E55" s="5">
        <v>38.57</v>
      </c>
      <c r="F55" s="5">
        <v>24.68</v>
      </c>
      <c r="G55" s="5">
        <v>43.45</v>
      </c>
      <c r="H55" s="5">
        <f>101.63/2</f>
        <v>50.815</v>
      </c>
      <c r="I55" s="5">
        <f>106.56/2</f>
        <v>53.28</v>
      </c>
      <c r="J55" s="5">
        <f>180.78/2</f>
        <v>90.39</v>
      </c>
      <c r="K55" s="5">
        <v>99.38</v>
      </c>
      <c r="L55" s="5">
        <v>84.32</v>
      </c>
      <c r="M55" s="5">
        <f>160.19/2</f>
        <v>80.095</v>
      </c>
      <c r="N55" s="5">
        <f>100.49/2</f>
        <v>50.245</v>
      </c>
      <c r="O55" s="5">
        <f>SUM(B55:N55)</f>
        <v>737.535</v>
      </c>
    </row>
    <row r="56" spans="1:15" ht="11.25">
      <c r="A56" s="4" t="s">
        <v>171</v>
      </c>
      <c r="B56" s="5">
        <v>0</v>
      </c>
      <c r="C56" s="5">
        <v>0</v>
      </c>
      <c r="D56" s="5">
        <v>0</v>
      </c>
      <c r="E56" s="5">
        <v>0</v>
      </c>
      <c r="F56" s="5">
        <v>3000</v>
      </c>
      <c r="G56" s="5">
        <v>3000</v>
      </c>
      <c r="H56" s="5">
        <v>3000</v>
      </c>
      <c r="I56" s="5">
        <v>3000</v>
      </c>
      <c r="J56" s="5">
        <v>3000</v>
      </c>
      <c r="K56" s="5">
        <v>3000</v>
      </c>
      <c r="L56" s="5">
        <v>3000</v>
      </c>
      <c r="M56" s="5">
        <v>3000</v>
      </c>
      <c r="N56" s="5">
        <v>3000</v>
      </c>
      <c r="O56" s="5">
        <f>SUM(B56:N56)</f>
        <v>27000</v>
      </c>
    </row>
    <row r="57" spans="1:15" ht="11.25">
      <c r="A57" s="4" t="s">
        <v>80</v>
      </c>
      <c r="B57" s="5">
        <v>4812.16</v>
      </c>
      <c r="C57" s="5">
        <v>4354.35</v>
      </c>
      <c r="D57" s="5">
        <v>7119</v>
      </c>
      <c r="E57" s="5">
        <v>6940.5</v>
      </c>
      <c r="F57" s="5">
        <f>464*10.5</f>
        <v>4872</v>
      </c>
      <c r="G57" s="5">
        <f>400*10.5</f>
        <v>4200</v>
      </c>
      <c r="H57" s="5">
        <f>412*10.5</f>
        <v>4326</v>
      </c>
      <c r="I57" s="5">
        <f>427*10.5</f>
        <v>4483.5</v>
      </c>
      <c r="J57" s="5">
        <f>273*9.42</f>
        <v>2571.66</v>
      </c>
      <c r="K57" s="5">
        <v>0</v>
      </c>
      <c r="L57" s="5">
        <v>0</v>
      </c>
      <c r="M57" s="5">
        <f>131*9.42</f>
        <v>1234.02</v>
      </c>
      <c r="N57" s="5">
        <f>538*9.42</f>
        <v>5067.96</v>
      </c>
      <c r="O57" s="5">
        <f>SUM(B57:N57)</f>
        <v>49981.149999999994</v>
      </c>
    </row>
    <row r="58" spans="1:15" ht="11.25">
      <c r="A58" s="4" t="s">
        <v>81</v>
      </c>
      <c r="B58" s="5">
        <f>13816.18-4812.16</f>
        <v>9004.02</v>
      </c>
      <c r="C58" s="5">
        <f>14352.52</f>
        <v>14352.52</v>
      </c>
      <c r="D58" s="5">
        <v>23465.58</v>
      </c>
      <c r="E58" s="5">
        <f>(661+54.6)*34.51</f>
        <v>24695.356</v>
      </c>
      <c r="F58" s="5">
        <f>(464+236.06)*34.61</f>
        <v>24229.076599999997</v>
      </c>
      <c r="G58" s="5">
        <f>839.16*34.61</f>
        <v>29043.327599999997</v>
      </c>
      <c r="H58" s="5">
        <f>864.36*34.61</f>
        <v>29915.4996</v>
      </c>
      <c r="I58" s="5">
        <f>684.36*34.61</f>
        <v>23685.6996</v>
      </c>
      <c r="J58" s="5">
        <f>369.51*34.61</f>
        <v>12788.7411</v>
      </c>
      <c r="K58" s="5">
        <v>0</v>
      </c>
      <c r="L58" s="5">
        <v>0</v>
      </c>
      <c r="M58" s="5">
        <f>864.36*34.61</f>
        <v>29915.4996</v>
      </c>
      <c r="N58" s="5">
        <f>538*34.61</f>
        <v>18620.18</v>
      </c>
      <c r="O58" s="5">
        <f>SUM(B58:N58)</f>
        <v>239715.50009999998</v>
      </c>
    </row>
    <row r="59" spans="1:15" ht="11.25">
      <c r="A59" s="4" t="s">
        <v>75</v>
      </c>
      <c r="B59" s="7">
        <f>3595.3*5</f>
        <v>17976.5</v>
      </c>
      <c r="C59" s="7">
        <f aca="true" t="shared" si="14" ref="C59:N59">3595.3*5</f>
        <v>17976.5</v>
      </c>
      <c r="D59" s="7">
        <f t="shared" si="14"/>
        <v>17976.5</v>
      </c>
      <c r="E59" s="7">
        <f t="shared" si="14"/>
        <v>17976.5</v>
      </c>
      <c r="F59" s="7">
        <f t="shared" si="14"/>
        <v>17976.5</v>
      </c>
      <c r="G59" s="7">
        <f t="shared" si="14"/>
        <v>17976.5</v>
      </c>
      <c r="H59" s="7">
        <f t="shared" si="14"/>
        <v>17976.5</v>
      </c>
      <c r="I59" s="7">
        <f t="shared" si="14"/>
        <v>17976.5</v>
      </c>
      <c r="J59" s="7">
        <f t="shared" si="14"/>
        <v>17976.5</v>
      </c>
      <c r="K59" s="7">
        <f t="shared" si="14"/>
        <v>17976.5</v>
      </c>
      <c r="L59" s="7">
        <f t="shared" si="14"/>
        <v>17976.5</v>
      </c>
      <c r="M59" s="7">
        <f t="shared" si="14"/>
        <v>17976.5</v>
      </c>
      <c r="N59" s="7">
        <f t="shared" si="14"/>
        <v>17976.5</v>
      </c>
      <c r="O59" s="5"/>
    </row>
    <row r="60" spans="1:15" ht="11.25">
      <c r="A60" s="3" t="s">
        <v>48</v>
      </c>
      <c r="B60" s="7">
        <f aca="true" t="shared" si="15" ref="B60:O60">SUM(B61:B73)</f>
        <v>17976.5</v>
      </c>
      <c r="C60" s="7">
        <f t="shared" si="15"/>
        <v>17976.5</v>
      </c>
      <c r="D60" s="7">
        <f t="shared" si="15"/>
        <v>17976.5</v>
      </c>
      <c r="E60" s="7">
        <f t="shared" si="15"/>
        <v>17976.5</v>
      </c>
      <c r="F60" s="7">
        <f t="shared" si="15"/>
        <v>17976.5</v>
      </c>
      <c r="G60" s="7">
        <f t="shared" si="15"/>
        <v>17976.5</v>
      </c>
      <c r="H60" s="7">
        <f t="shared" si="15"/>
        <v>17976.5</v>
      </c>
      <c r="I60" s="7">
        <f t="shared" si="15"/>
        <v>17976.5</v>
      </c>
      <c r="J60" s="7">
        <f t="shared" si="15"/>
        <v>17976.5</v>
      </c>
      <c r="K60" s="7">
        <f t="shared" si="15"/>
        <v>17976.5</v>
      </c>
      <c r="L60" s="7">
        <f t="shared" si="15"/>
        <v>17976.5</v>
      </c>
      <c r="M60" s="7">
        <f t="shared" si="15"/>
        <v>17976.5</v>
      </c>
      <c r="N60" s="7">
        <f t="shared" si="15"/>
        <v>17976.5</v>
      </c>
      <c r="O60" s="7">
        <f t="shared" si="15"/>
        <v>233694.5</v>
      </c>
    </row>
    <row r="61" spans="1:15" ht="11.25">
      <c r="A61" s="4" t="s">
        <v>50</v>
      </c>
      <c r="B61" s="5">
        <v>1545.98</v>
      </c>
      <c r="C61" s="5">
        <v>1545.98</v>
      </c>
      <c r="D61" s="5">
        <f>1545.98+270</f>
        <v>1815.98</v>
      </c>
      <c r="E61" s="5">
        <f>1545.98+1080</f>
        <v>2625.98</v>
      </c>
      <c r="F61" s="5">
        <v>1545.98</v>
      </c>
      <c r="G61" s="5">
        <v>1545.98</v>
      </c>
      <c r="H61" s="5">
        <v>1545.98</v>
      </c>
      <c r="I61" s="5">
        <v>1545.98</v>
      </c>
      <c r="J61" s="5">
        <v>1545.98</v>
      </c>
      <c r="K61" s="5">
        <v>1545.98</v>
      </c>
      <c r="L61" s="5">
        <v>1545.98</v>
      </c>
      <c r="M61" s="5">
        <v>1545.98</v>
      </c>
      <c r="N61" s="5">
        <v>1545.98</v>
      </c>
      <c r="O61" s="5">
        <f aca="true" t="shared" si="16" ref="O61:O73">SUM(B61:N61)</f>
        <v>21447.739999999998</v>
      </c>
    </row>
    <row r="62" spans="1:15" ht="11.25">
      <c r="A62" s="4" t="s">
        <v>134</v>
      </c>
      <c r="B62" s="5">
        <v>1120</v>
      </c>
      <c r="C62" s="5">
        <v>1120</v>
      </c>
      <c r="D62" s="5">
        <v>1120</v>
      </c>
      <c r="E62" s="5">
        <v>1120</v>
      </c>
      <c r="F62" s="5">
        <v>1120</v>
      </c>
      <c r="G62" s="5">
        <v>1120</v>
      </c>
      <c r="H62" s="5">
        <v>1120</v>
      </c>
      <c r="I62" s="5">
        <v>1120</v>
      </c>
      <c r="J62" s="5">
        <v>1120</v>
      </c>
      <c r="K62" s="5">
        <v>1120</v>
      </c>
      <c r="L62" s="5">
        <v>1120</v>
      </c>
      <c r="M62" s="5">
        <v>1120</v>
      </c>
      <c r="N62" s="5">
        <v>1120</v>
      </c>
      <c r="O62" s="5">
        <f t="shared" si="16"/>
        <v>14560</v>
      </c>
    </row>
    <row r="63" spans="1:15" ht="11.25">
      <c r="A63" s="4" t="s">
        <v>35</v>
      </c>
      <c r="B63" s="5">
        <v>150</v>
      </c>
      <c r="C63" s="5">
        <v>150</v>
      </c>
      <c r="D63" s="5">
        <v>150</v>
      </c>
      <c r="E63" s="5">
        <v>150</v>
      </c>
      <c r="F63" s="5">
        <v>150</v>
      </c>
      <c r="G63" s="5">
        <v>150</v>
      </c>
      <c r="H63" s="5">
        <v>150</v>
      </c>
      <c r="I63" s="5">
        <v>150</v>
      </c>
      <c r="J63" s="5">
        <v>150</v>
      </c>
      <c r="K63" s="5">
        <v>150</v>
      </c>
      <c r="L63" s="5">
        <v>150</v>
      </c>
      <c r="M63" s="5">
        <v>150</v>
      </c>
      <c r="N63" s="5">
        <v>150</v>
      </c>
      <c r="O63" s="5">
        <f t="shared" si="16"/>
        <v>1950</v>
      </c>
    </row>
    <row r="64" spans="1:15" ht="11.25">
      <c r="A64" s="4" t="s">
        <v>62</v>
      </c>
      <c r="B64" s="5">
        <f>119.98+387.57</f>
        <v>507.55</v>
      </c>
      <c r="C64" s="5">
        <f>119.98+387.57</f>
        <v>507.55</v>
      </c>
      <c r="D64" s="5">
        <f>119.98+387.57</f>
        <v>507.55</v>
      </c>
      <c r="E64" s="5">
        <f aca="true" t="shared" si="17" ref="E64:N64">119.98+387.57</f>
        <v>507.55</v>
      </c>
      <c r="F64" s="5">
        <f t="shared" si="17"/>
        <v>507.55</v>
      </c>
      <c r="G64" s="5">
        <f t="shared" si="17"/>
        <v>507.55</v>
      </c>
      <c r="H64" s="5">
        <f t="shared" si="17"/>
        <v>507.55</v>
      </c>
      <c r="I64" s="5">
        <f t="shared" si="17"/>
        <v>507.55</v>
      </c>
      <c r="J64" s="5">
        <f t="shared" si="17"/>
        <v>507.55</v>
      </c>
      <c r="K64" s="5">
        <f t="shared" si="17"/>
        <v>507.55</v>
      </c>
      <c r="L64" s="5">
        <f t="shared" si="17"/>
        <v>507.55</v>
      </c>
      <c r="M64" s="5">
        <f t="shared" si="17"/>
        <v>507.55</v>
      </c>
      <c r="N64" s="5">
        <f t="shared" si="17"/>
        <v>507.55</v>
      </c>
      <c r="O64" s="5">
        <f t="shared" si="16"/>
        <v>6598.1500000000015</v>
      </c>
    </row>
    <row r="65" spans="1:15" ht="11.25">
      <c r="A65" s="4" t="s">
        <v>64</v>
      </c>
      <c r="B65" s="5">
        <v>586.06</v>
      </c>
      <c r="C65" s="5">
        <v>674.55</v>
      </c>
      <c r="D65" s="5">
        <v>410.03</v>
      </c>
      <c r="E65" s="5">
        <v>584.13</v>
      </c>
      <c r="F65" s="5">
        <v>480.7</v>
      </c>
      <c r="G65" s="5">
        <v>343.66</v>
      </c>
      <c r="H65" s="5">
        <v>457.18</v>
      </c>
      <c r="I65" s="5">
        <v>328.69</v>
      </c>
      <c r="J65" s="5">
        <v>375.18</v>
      </c>
      <c r="K65" s="5">
        <v>375.18</v>
      </c>
      <c r="L65" s="5">
        <v>316.42</v>
      </c>
      <c r="M65" s="5">
        <v>298.88</v>
      </c>
      <c r="N65" s="5">
        <v>232.82</v>
      </c>
      <c r="O65" s="5">
        <f t="shared" si="16"/>
        <v>5463.48</v>
      </c>
    </row>
    <row r="66" spans="1:15" ht="11.25">
      <c r="A66" s="4" t="s">
        <v>67</v>
      </c>
      <c r="B66" s="5">
        <v>65.86</v>
      </c>
      <c r="C66" s="5">
        <v>65.86</v>
      </c>
      <c r="D66" s="5">
        <v>65.86</v>
      </c>
      <c r="E66" s="5">
        <v>65.86</v>
      </c>
      <c r="F66" s="5">
        <v>65.86</v>
      </c>
      <c r="G66" s="5">
        <v>65.86</v>
      </c>
      <c r="H66" s="5">
        <v>65.86</v>
      </c>
      <c r="I66" s="5">
        <v>65.86</v>
      </c>
      <c r="J66" s="5">
        <v>65.86</v>
      </c>
      <c r="K66" s="5">
        <v>65.86</v>
      </c>
      <c r="L66" s="5">
        <v>65.86</v>
      </c>
      <c r="M66" s="5">
        <v>65.86</v>
      </c>
      <c r="N66" s="5">
        <v>65.86</v>
      </c>
      <c r="O66" s="5">
        <f t="shared" si="16"/>
        <v>856.1800000000001</v>
      </c>
    </row>
    <row r="67" spans="1:15" ht="11.25">
      <c r="A67" s="4" t="s">
        <v>51</v>
      </c>
      <c r="B67" s="5">
        <v>250</v>
      </c>
      <c r="C67" s="5">
        <v>250</v>
      </c>
      <c r="D67" s="5">
        <v>250</v>
      </c>
      <c r="E67" s="5">
        <v>250</v>
      </c>
      <c r="F67" s="5">
        <v>250</v>
      </c>
      <c r="G67" s="5">
        <v>250</v>
      </c>
      <c r="H67" s="5">
        <v>250</v>
      </c>
      <c r="I67" s="5">
        <v>250</v>
      </c>
      <c r="J67" s="5">
        <v>250</v>
      </c>
      <c r="K67" s="5">
        <v>250</v>
      </c>
      <c r="L67" s="5">
        <v>250</v>
      </c>
      <c r="M67" s="5">
        <v>250</v>
      </c>
      <c r="N67" s="5">
        <v>250</v>
      </c>
      <c r="O67" s="5">
        <f t="shared" si="16"/>
        <v>3250</v>
      </c>
    </row>
    <row r="68" spans="1:15" ht="11.25">
      <c r="A68" s="4" t="s">
        <v>52</v>
      </c>
      <c r="B68" s="5">
        <v>759.48</v>
      </c>
      <c r="C68" s="5">
        <v>598.73</v>
      </c>
      <c r="D68" s="5">
        <v>335.26</v>
      </c>
      <c r="E68" s="5">
        <v>472.53</v>
      </c>
      <c r="F68" s="5">
        <v>808.75</v>
      </c>
      <c r="G68" s="5">
        <v>946.7</v>
      </c>
      <c r="H68" s="5">
        <v>746.33</v>
      </c>
      <c r="I68" s="5">
        <v>417.91</v>
      </c>
      <c r="J68" s="5">
        <v>589.01</v>
      </c>
      <c r="K68" s="5">
        <v>678.23</v>
      </c>
      <c r="L68" s="5">
        <v>1480</v>
      </c>
      <c r="M68" s="5">
        <v>657</v>
      </c>
      <c r="N68" s="5">
        <v>746</v>
      </c>
      <c r="O68" s="5">
        <f t="shared" si="16"/>
        <v>9235.93</v>
      </c>
    </row>
    <row r="69" spans="1:15" ht="11.25">
      <c r="A69" s="4" t="s">
        <v>14</v>
      </c>
      <c r="B69" s="5">
        <v>6592.07</v>
      </c>
      <c r="C69" s="5">
        <v>6664.33</v>
      </c>
      <c r="D69" s="5">
        <v>6922.32</v>
      </c>
      <c r="E69" s="5">
        <v>5800.95</v>
      </c>
      <c r="F69" s="5">
        <v>6648.16</v>
      </c>
      <c r="G69" s="5">
        <v>6647.25</v>
      </c>
      <c r="H69" s="5">
        <v>6734.1</v>
      </c>
      <c r="I69" s="5">
        <v>7191.01</v>
      </c>
      <c r="J69" s="5">
        <v>6973.42</v>
      </c>
      <c r="K69" s="5">
        <v>6884.2</v>
      </c>
      <c r="L69" s="5">
        <v>6141.19</v>
      </c>
      <c r="M69" s="5">
        <v>6981.73</v>
      </c>
      <c r="N69" s="5">
        <v>6958.79</v>
      </c>
      <c r="O69" s="5">
        <f t="shared" si="16"/>
        <v>87139.51999999999</v>
      </c>
    </row>
    <row r="70" spans="1:15" ht="11.25">
      <c r="A70" s="4" t="s">
        <v>65</v>
      </c>
      <c r="B70" s="5">
        <f>450</f>
        <v>450</v>
      </c>
      <c r="C70" s="5">
        <f>450</f>
        <v>450</v>
      </c>
      <c r="D70" s="5">
        <f>450</f>
        <v>450</v>
      </c>
      <c r="E70" s="5">
        <f>450</f>
        <v>450</v>
      </c>
      <c r="F70" s="5">
        <f>450</f>
        <v>450</v>
      </c>
      <c r="G70" s="5">
        <f>450</f>
        <v>450</v>
      </c>
      <c r="H70" s="5">
        <f>450</f>
        <v>450</v>
      </c>
      <c r="I70" s="5">
        <f>450</f>
        <v>450</v>
      </c>
      <c r="J70" s="5">
        <f>450</f>
        <v>450</v>
      </c>
      <c r="K70" s="5">
        <f>450</f>
        <v>450</v>
      </c>
      <c r="L70" s="5">
        <f>450</f>
        <v>450</v>
      </c>
      <c r="M70" s="5">
        <f>450</f>
        <v>450</v>
      </c>
      <c r="N70" s="5">
        <f>450</f>
        <v>450</v>
      </c>
      <c r="O70" s="5">
        <f t="shared" si="16"/>
        <v>5850</v>
      </c>
    </row>
    <row r="71" spans="1:15" ht="11.25">
      <c r="A71" s="4" t="s">
        <v>66</v>
      </c>
      <c r="B71" s="5">
        <v>350</v>
      </c>
      <c r="C71" s="5">
        <v>350</v>
      </c>
      <c r="D71" s="5">
        <v>350</v>
      </c>
      <c r="E71" s="5">
        <v>350</v>
      </c>
      <c r="F71" s="5">
        <v>350</v>
      </c>
      <c r="G71" s="5">
        <v>350</v>
      </c>
      <c r="H71" s="5">
        <v>350</v>
      </c>
      <c r="I71" s="5">
        <v>350</v>
      </c>
      <c r="J71" s="5">
        <v>350</v>
      </c>
      <c r="K71" s="5">
        <v>350</v>
      </c>
      <c r="L71" s="5">
        <v>350</v>
      </c>
      <c r="M71" s="5">
        <v>350</v>
      </c>
      <c r="N71" s="5">
        <v>350</v>
      </c>
      <c r="O71" s="5">
        <f t="shared" si="16"/>
        <v>4550</v>
      </c>
    </row>
    <row r="72" spans="1:15" ht="11.25">
      <c r="A72" s="4" t="s">
        <v>53</v>
      </c>
      <c r="B72" s="5">
        <v>4809.32</v>
      </c>
      <c r="C72" s="5">
        <v>4809.32</v>
      </c>
      <c r="D72" s="5">
        <v>4809.32</v>
      </c>
      <c r="E72" s="5">
        <v>4809.32</v>
      </c>
      <c r="F72" s="5">
        <v>4809.32</v>
      </c>
      <c r="G72" s="5">
        <v>4809.32</v>
      </c>
      <c r="H72" s="5">
        <v>4809.32</v>
      </c>
      <c r="I72" s="5">
        <v>4809.32</v>
      </c>
      <c r="J72" s="5">
        <v>4809.32</v>
      </c>
      <c r="K72" s="5">
        <v>4809.32</v>
      </c>
      <c r="L72" s="5">
        <v>4809.32</v>
      </c>
      <c r="M72" s="5">
        <v>4809.32</v>
      </c>
      <c r="N72" s="5">
        <v>4809.32</v>
      </c>
      <c r="O72" s="5">
        <f t="shared" si="16"/>
        <v>62521.159999999996</v>
      </c>
    </row>
    <row r="73" spans="1:15" ht="11.25">
      <c r="A73" s="4" t="s">
        <v>36</v>
      </c>
      <c r="B73" s="5">
        <v>790.18</v>
      </c>
      <c r="C73" s="5">
        <v>790.18</v>
      </c>
      <c r="D73" s="5">
        <v>790.18</v>
      </c>
      <c r="E73" s="5">
        <v>790.18</v>
      </c>
      <c r="F73" s="5">
        <v>790.18</v>
      </c>
      <c r="G73" s="5">
        <v>790.18</v>
      </c>
      <c r="H73" s="5">
        <v>790.18</v>
      </c>
      <c r="I73" s="5">
        <v>790.18</v>
      </c>
      <c r="J73" s="5">
        <v>790.18</v>
      </c>
      <c r="K73" s="5">
        <v>790.18</v>
      </c>
      <c r="L73" s="5">
        <v>790.18</v>
      </c>
      <c r="M73" s="5">
        <v>790.18</v>
      </c>
      <c r="N73" s="5">
        <v>790.18</v>
      </c>
      <c r="O73" s="5">
        <f t="shared" si="16"/>
        <v>10272.340000000002</v>
      </c>
    </row>
    <row r="74" spans="1:15" ht="11.25">
      <c r="A74" s="3" t="s">
        <v>15</v>
      </c>
      <c r="B74" s="7">
        <f>B9+B16+B23+B28+B32+B41+B49+B51+B53+B60</f>
        <v>97489.81</v>
      </c>
      <c r="C74" s="7">
        <f aca="true" t="shared" si="18" ref="C74:N74">C9+C16+C23+C28+C32+C41+C49+C51+C53+C60</f>
        <v>100627.21666666667</v>
      </c>
      <c r="D74" s="7">
        <f t="shared" si="18"/>
        <v>147986.74</v>
      </c>
      <c r="E74" s="7">
        <f t="shared" si="18"/>
        <v>123456.26599999999</v>
      </c>
      <c r="F74" s="7">
        <f t="shared" si="18"/>
        <v>160897.76659999997</v>
      </c>
      <c r="G74" s="7">
        <f t="shared" si="18"/>
        <v>145519.65759999998</v>
      </c>
      <c r="H74" s="7">
        <f t="shared" si="18"/>
        <v>130272.21459999999</v>
      </c>
      <c r="I74" s="7">
        <f t="shared" si="18"/>
        <v>114081.17293333334</v>
      </c>
      <c r="J74" s="7">
        <f t="shared" si="18"/>
        <v>94094.70824285714</v>
      </c>
      <c r="K74" s="7">
        <f t="shared" si="18"/>
        <v>44303.56</v>
      </c>
      <c r="L74" s="7">
        <f t="shared" si="18"/>
        <v>43536.729999999996</v>
      </c>
      <c r="M74" s="7">
        <f t="shared" si="18"/>
        <v>109944.09460000001</v>
      </c>
      <c r="N74" s="7">
        <f t="shared" si="18"/>
        <v>103972.005</v>
      </c>
      <c r="O74" s="7">
        <f>O9+O16+O23+O28+O32+O41+O49+O51+O53+O60</f>
        <v>1416181.942242857</v>
      </c>
    </row>
    <row r="77" spans="1:15" ht="11.25">
      <c r="A77" s="4" t="s">
        <v>82</v>
      </c>
      <c r="B77" s="5">
        <v>115523.4</v>
      </c>
      <c r="C77" s="5">
        <v>125145.07</v>
      </c>
      <c r="D77" s="5">
        <v>125668.8</v>
      </c>
      <c r="E77" s="5">
        <v>128684.14</v>
      </c>
      <c r="F77" s="5">
        <v>124184.78</v>
      </c>
      <c r="G77" s="5">
        <v>128471.9</v>
      </c>
      <c r="H77" s="5">
        <v>126030.81</v>
      </c>
      <c r="I77" s="5">
        <v>126667.17</v>
      </c>
      <c r="J77" s="5">
        <v>81258.84</v>
      </c>
      <c r="K77" s="5">
        <v>20874.59</v>
      </c>
      <c r="L77" s="5">
        <v>20868.77</v>
      </c>
      <c r="M77" s="5">
        <v>197189.22</v>
      </c>
      <c r="N77" s="5">
        <v>108579.97</v>
      </c>
      <c r="O77" s="5">
        <f>SUM(B77:N77)</f>
        <v>1429147.4600000002</v>
      </c>
    </row>
    <row r="78" spans="1:15" ht="11.25">
      <c r="A78" s="4" t="s">
        <v>83</v>
      </c>
      <c r="B78" s="5">
        <v>0</v>
      </c>
      <c r="C78" s="5">
        <v>63949.24</v>
      </c>
      <c r="D78" s="5">
        <v>76973.32</v>
      </c>
      <c r="E78" s="5">
        <v>123912</v>
      </c>
      <c r="F78" s="5">
        <v>136432</v>
      </c>
      <c r="G78" s="5">
        <v>84036.7</v>
      </c>
      <c r="H78" s="5">
        <v>125739.5</v>
      </c>
      <c r="I78" s="5">
        <v>89175.08</v>
      </c>
      <c r="J78" s="5">
        <v>114178.18</v>
      </c>
      <c r="K78" s="5">
        <v>25550.2</v>
      </c>
      <c r="L78" s="5">
        <v>92524.02</v>
      </c>
      <c r="M78" s="5">
        <v>32252</v>
      </c>
      <c r="N78" s="5">
        <v>137469.5</v>
      </c>
      <c r="O78" s="5">
        <f>SUM(B78:N78)</f>
        <v>1102191.74</v>
      </c>
    </row>
    <row r="79" spans="1:15" ht="11.25">
      <c r="A79" s="4" t="s">
        <v>85</v>
      </c>
      <c r="B79" s="5">
        <f>B74</f>
        <v>97489.81</v>
      </c>
      <c r="C79" s="5">
        <f aca="true" t="shared" si="19" ref="C79:N79">C74</f>
        <v>100627.21666666667</v>
      </c>
      <c r="D79" s="5">
        <f t="shared" si="19"/>
        <v>147986.74</v>
      </c>
      <c r="E79" s="5">
        <f t="shared" si="19"/>
        <v>123456.26599999999</v>
      </c>
      <c r="F79" s="5">
        <f t="shared" si="19"/>
        <v>160897.76659999997</v>
      </c>
      <c r="G79" s="5">
        <f t="shared" si="19"/>
        <v>145519.65759999998</v>
      </c>
      <c r="H79" s="5">
        <f t="shared" si="19"/>
        <v>130272.21459999999</v>
      </c>
      <c r="I79" s="5">
        <f t="shared" si="19"/>
        <v>114081.17293333334</v>
      </c>
      <c r="J79" s="5">
        <f t="shared" si="19"/>
        <v>94094.70824285714</v>
      </c>
      <c r="K79" s="5">
        <f t="shared" si="19"/>
        <v>44303.56</v>
      </c>
      <c r="L79" s="5">
        <f t="shared" si="19"/>
        <v>43536.729999999996</v>
      </c>
      <c r="M79" s="5">
        <f t="shared" si="19"/>
        <v>109944.09460000001</v>
      </c>
      <c r="N79" s="5">
        <f t="shared" si="19"/>
        <v>103972.005</v>
      </c>
      <c r="O79" s="5">
        <f>SUM(B79:N79)</f>
        <v>1416181.942242857</v>
      </c>
    </row>
    <row r="80" spans="1:15" ht="11.25">
      <c r="A80" s="4" t="s">
        <v>172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f>O78-O79</f>
        <v>-313990.2022428571</v>
      </c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FOX</cp:lastModifiedBy>
  <cp:lastPrinted>2014-07-16T03:35:46Z</cp:lastPrinted>
  <dcterms:created xsi:type="dcterms:W3CDTF">2012-09-01T05:05:47Z</dcterms:created>
  <dcterms:modified xsi:type="dcterms:W3CDTF">2014-11-09T08:22:22Z</dcterms:modified>
  <cp:category/>
  <cp:version/>
  <cp:contentType/>
  <cp:contentStatus/>
</cp:coreProperties>
</file>