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8610" tabRatio="504" activeTab="0"/>
  </bookViews>
  <sheets>
    <sheet name="льготные" sheetId="1" r:id="rId1"/>
    <sheet name="тарифы" sheetId="2" r:id="rId2"/>
    <sheet name="ЭОТ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<sst xmlns="http://schemas.openxmlformats.org/spreadsheetml/2006/main" count="1161" uniqueCount="97">
  <si>
    <t xml:space="preserve"> на потребление  теплоэнергии, горячей, холодной воды, электроэнергии организациями</t>
  </si>
  <si>
    <t>Обьект</t>
  </si>
  <si>
    <t>Теплоэнергия</t>
  </si>
  <si>
    <t>Горячая вода</t>
  </si>
  <si>
    <t>Холодная  вода</t>
  </si>
  <si>
    <t>Электроэнергия</t>
  </si>
  <si>
    <t>Канализация</t>
  </si>
  <si>
    <t>Всего</t>
  </si>
  <si>
    <t>Гкал</t>
  </si>
  <si>
    <t>тыс.руб</t>
  </si>
  <si>
    <t>м3</t>
  </si>
  <si>
    <t>квт/час</t>
  </si>
  <si>
    <t xml:space="preserve"> Администрация Ягод.</t>
  </si>
  <si>
    <t>Архив</t>
  </si>
  <si>
    <t>Гараж</t>
  </si>
  <si>
    <t>Газета "Север.правда"</t>
  </si>
  <si>
    <t xml:space="preserve">                   ЛИМИТ</t>
  </si>
  <si>
    <t>МОУ "СОШ п.Ягодное"</t>
  </si>
  <si>
    <t>МОУ ДО "РЦВРДТ"</t>
  </si>
  <si>
    <t>МОУ "Школа-интернат"</t>
  </si>
  <si>
    <t>Приложение № 1</t>
  </si>
  <si>
    <t>Приложение № 2</t>
  </si>
  <si>
    <t>Приложение № 4</t>
  </si>
  <si>
    <t>Приложение № 3</t>
  </si>
  <si>
    <t>Итого</t>
  </si>
  <si>
    <t>Студия ТВ</t>
  </si>
  <si>
    <t>МОУ СОШ п. Бурхала</t>
  </si>
  <si>
    <t xml:space="preserve">МОУ СОШ п. Дебин"                                                                                                      </t>
  </si>
  <si>
    <t xml:space="preserve">МОУ СОШ  п. Оротукан                                                                                                                            </t>
  </si>
  <si>
    <t>ДЮСШ п.Оротукан</t>
  </si>
  <si>
    <t>Спортком. "Дарума"</t>
  </si>
  <si>
    <t>МОУ ДОД ДЮСШ п. Ягодное</t>
  </si>
  <si>
    <t>МО "Ягоднинский  муниципальный район"</t>
  </si>
  <si>
    <t>Образование</t>
  </si>
  <si>
    <t>Спорт</t>
  </si>
  <si>
    <t xml:space="preserve"> </t>
  </si>
  <si>
    <t>Культура</t>
  </si>
  <si>
    <t>МУ"Кинотеатр"Факел"</t>
  </si>
  <si>
    <t xml:space="preserve">Парк культуры и отдыха                                                                                                             </t>
  </si>
  <si>
    <t>Гостиница на ул. Ленина</t>
  </si>
  <si>
    <t>Гостиница в с/к. ДАРУМА</t>
  </si>
  <si>
    <t>Гараж к/т</t>
  </si>
  <si>
    <t xml:space="preserve">                   </t>
  </si>
  <si>
    <t>ЛИМИТЫ</t>
  </si>
  <si>
    <t>гараж</t>
  </si>
  <si>
    <r>
      <t xml:space="preserve">Тех. здание </t>
    </r>
    <r>
      <rPr>
        <sz val="8"/>
        <rFont val="Times New Roman"/>
        <family val="1"/>
      </rPr>
      <t>(сл.пом.Строителей,8. отд. Культ)</t>
    </r>
  </si>
  <si>
    <r>
      <t xml:space="preserve">МУ "Райспорттуркомитет" </t>
    </r>
    <r>
      <rPr>
        <b/>
        <sz val="10"/>
        <rFont val="Times New Roman"/>
        <family val="1"/>
      </rPr>
      <t>Офис</t>
    </r>
  </si>
  <si>
    <t>Д/сад Ромашка"</t>
  </si>
  <si>
    <t xml:space="preserve">гараж СОШ п. Дебин"                                                                                                      </t>
  </si>
  <si>
    <t>ВСЕГО:</t>
  </si>
  <si>
    <t xml:space="preserve"> Приложение № 5</t>
  </si>
  <si>
    <t xml:space="preserve">Гараж </t>
  </si>
  <si>
    <t xml:space="preserve">МУ "Управление  культуры" </t>
  </si>
  <si>
    <t>МБУ Центральная библиотека</t>
  </si>
  <si>
    <t>МБОУ ДОД Детск. школа ис-ств п. Ягодное</t>
  </si>
  <si>
    <t>ЯРНЦФР - ЦК (Центр культуры)</t>
  </si>
  <si>
    <t>к  постановлению администрации Ягоднинского района</t>
  </si>
  <si>
    <r>
      <t xml:space="preserve">МУ "Райспорттуркомитет" </t>
    </r>
    <r>
      <rPr>
        <b/>
        <sz val="11"/>
        <rFont val="Times New Roman"/>
        <family val="1"/>
      </rPr>
      <t>Офис</t>
    </r>
  </si>
  <si>
    <t>Тех. здание (сл.пом.Строителей,8. отд. Культ)</t>
  </si>
  <si>
    <t>УЧРЕЖДЕНИЯ</t>
  </si>
  <si>
    <t>население</t>
  </si>
  <si>
    <t>Теплоэнергия (Гкал)</t>
  </si>
  <si>
    <t>1-е п/г.</t>
  </si>
  <si>
    <t>2-е п/г.</t>
  </si>
  <si>
    <t>среднегодовая</t>
  </si>
  <si>
    <t>Синегорье</t>
  </si>
  <si>
    <t>Ягодное</t>
  </si>
  <si>
    <t>Дебин</t>
  </si>
  <si>
    <t>Оротукан</t>
  </si>
  <si>
    <t>Бурхала</t>
  </si>
  <si>
    <t>ГВС (м3)</t>
  </si>
  <si>
    <t>льготная</t>
  </si>
  <si>
    <t>гкал/куб.м</t>
  </si>
  <si>
    <t>ГВС (Гкал)</t>
  </si>
  <si>
    <t>ХВС (м3)</t>
  </si>
  <si>
    <t>Электроэнергия (Квт.час)</t>
  </si>
  <si>
    <t>Канализация (м3)</t>
  </si>
  <si>
    <t xml:space="preserve">от     № </t>
  </si>
  <si>
    <t xml:space="preserve">                      и  учреждениями, финансируемыми  из  районного бюджета на 2015 г.</t>
  </si>
  <si>
    <t>и  учреждениями, финансируемыми  из  районного бюджета на 1 квартал  2015  г.</t>
  </si>
  <si>
    <t>и  учреждениями, финансируемыми  из  районного бюджета на 2 квартал  2015 г.</t>
  </si>
  <si>
    <t>и  учреждениями, финансируемыми  из  районного бюджета на 3 квартал  2015 г.</t>
  </si>
  <si>
    <t>МБДОУ детский сад "Радуга" п.Синегорье</t>
  </si>
  <si>
    <t>МБОУ СОШ п. Синегорье</t>
  </si>
  <si>
    <t>Дворец спорта п. Синегорье</t>
  </si>
  <si>
    <t>и  учреждениями, финансируемыми  из  районного бюджета на 4 квартал  2015 г.</t>
  </si>
  <si>
    <t>бассейн</t>
  </si>
  <si>
    <t xml:space="preserve">Дебин </t>
  </si>
  <si>
    <t>ИТОГО</t>
  </si>
  <si>
    <t>ЛЬГОТНАЯ</t>
  </si>
  <si>
    <t>ЭОТ</t>
  </si>
  <si>
    <t>Разница</t>
  </si>
  <si>
    <t>Тех. здание  - Гараж</t>
  </si>
  <si>
    <t>ДЮСШ п. Ягодное</t>
  </si>
  <si>
    <t>Приложение № 5</t>
  </si>
  <si>
    <t>к  постановлению администрации Ягоднинского района от 02.02.2015 г.  № 64</t>
  </si>
  <si>
    <t>к  постановлению администрации Ягоднинского района от 02.02.2015 г.  №64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</si>
</sst>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0.000000000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64" fontId="7" fillId="0" borderId="21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164" fontId="7" fillId="0" borderId="26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/>
    </xf>
    <xf numFmtId="164" fontId="7" fillId="0" borderId="28" xfId="0" applyNumberFormat="1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164" fontId="7" fillId="0" borderId="30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/>
    </xf>
    <xf numFmtId="164" fontId="7" fillId="0" borderId="32" xfId="0" applyNumberFormat="1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  <xf numFmtId="1" fontId="9" fillId="0" borderId="33" xfId="0" applyNumberFormat="1" applyFont="1" applyFill="1" applyBorder="1" applyAlignment="1">
      <alignment/>
    </xf>
    <xf numFmtId="1" fontId="9" fillId="0" borderId="34" xfId="0" applyNumberFormat="1" applyFont="1" applyFill="1" applyBorder="1" applyAlignment="1">
      <alignment/>
    </xf>
    <xf numFmtId="164" fontId="7" fillId="0" borderId="35" xfId="0" applyNumberFormat="1" applyFont="1" applyFill="1" applyBorder="1" applyAlignment="1">
      <alignment/>
    </xf>
    <xf numFmtId="164" fontId="9" fillId="0" borderId="33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64" fontId="7" fillId="0" borderId="3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164" fontId="9" fillId="0" borderId="37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164" fontId="7" fillId="0" borderId="44" xfId="0" applyNumberFormat="1" applyFont="1" applyFill="1" applyBorder="1" applyAlignment="1">
      <alignment/>
    </xf>
    <xf numFmtId="164" fontId="9" fillId="0" borderId="4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wrapText="1"/>
    </xf>
    <xf numFmtId="164" fontId="9" fillId="0" borderId="46" xfId="0" applyNumberFormat="1" applyFont="1" applyFill="1" applyBorder="1" applyAlignment="1">
      <alignment/>
    </xf>
    <xf numFmtId="164" fontId="9" fillId="0" borderId="47" xfId="0" applyNumberFormat="1" applyFont="1" applyFill="1" applyBorder="1" applyAlignment="1">
      <alignment/>
    </xf>
    <xf numFmtId="1" fontId="9" fillId="0" borderId="37" xfId="0" applyNumberFormat="1" applyFont="1" applyFill="1" applyBorder="1" applyAlignment="1">
      <alignment wrapText="1"/>
    </xf>
    <xf numFmtId="1" fontId="9" fillId="0" borderId="34" xfId="0" applyNumberFormat="1" applyFont="1" applyFill="1" applyBorder="1" applyAlignment="1">
      <alignment wrapText="1"/>
    </xf>
    <xf numFmtId="1" fontId="9" fillId="0" borderId="33" xfId="0" applyNumberFormat="1" applyFont="1" applyFill="1" applyBorder="1" applyAlignment="1">
      <alignment wrapText="1"/>
    </xf>
    <xf numFmtId="1" fontId="7" fillId="0" borderId="20" xfId="0" applyNumberFormat="1" applyFont="1" applyFill="1" applyBorder="1" applyAlignment="1">
      <alignment wrapText="1"/>
    </xf>
    <xf numFmtId="1" fontId="7" fillId="0" borderId="22" xfId="0" applyNumberFormat="1" applyFont="1" applyFill="1" applyBorder="1" applyAlignment="1">
      <alignment/>
    </xf>
    <xf numFmtId="1" fontId="9" fillId="0" borderId="46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9" fillId="0" borderId="4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wrapText="1"/>
    </xf>
    <xf numFmtId="0" fontId="9" fillId="0" borderId="50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/>
    </xf>
    <xf numFmtId="49" fontId="9" fillId="0" borderId="51" xfId="0" applyNumberFormat="1" applyFont="1" applyFill="1" applyBorder="1" applyAlignment="1">
      <alignment horizontal="left" wrapText="1"/>
    </xf>
    <xf numFmtId="0" fontId="9" fillId="0" borderId="51" xfId="0" applyFont="1" applyFill="1" applyBorder="1" applyAlignment="1">
      <alignment wrapText="1"/>
    </xf>
    <xf numFmtId="0" fontId="9" fillId="0" borderId="32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52" xfId="0" applyFont="1" applyFill="1" applyBorder="1" applyAlignment="1">
      <alignment wrapText="1"/>
    </xf>
    <xf numFmtId="0" fontId="9" fillId="0" borderId="53" xfId="0" applyFont="1" applyFill="1" applyBorder="1" applyAlignment="1">
      <alignment wrapText="1"/>
    </xf>
    <xf numFmtId="0" fontId="7" fillId="0" borderId="36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9" fillId="0" borderId="54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164" fontId="9" fillId="0" borderId="23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 wrapText="1"/>
    </xf>
    <xf numFmtId="164" fontId="7" fillId="0" borderId="28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164" fontId="9" fillId="0" borderId="0" xfId="0" applyNumberFormat="1" applyFont="1" applyFill="1" applyAlignment="1">
      <alignment/>
    </xf>
    <xf numFmtId="0" fontId="9" fillId="0" borderId="2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9" fillId="0" borderId="18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164" fontId="9" fillId="0" borderId="10" xfId="0" applyNumberFormat="1" applyFont="1" applyFill="1" applyBorder="1" applyAlignment="1">
      <alignment/>
    </xf>
    <xf numFmtId="0" fontId="9" fillId="0" borderId="55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/>
    </xf>
    <xf numFmtId="0" fontId="9" fillId="0" borderId="48" xfId="0" applyFont="1" applyFill="1" applyBorder="1" applyAlignment="1">
      <alignment wrapText="1"/>
    </xf>
    <xf numFmtId="1" fontId="9" fillId="0" borderId="1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9" fillId="0" borderId="52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55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horizontal="left" wrapText="1"/>
    </xf>
    <xf numFmtId="0" fontId="9" fillId="0" borderId="4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5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64" fontId="9" fillId="0" borderId="50" xfId="0" applyNumberFormat="1" applyFont="1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164" fontId="9" fillId="0" borderId="59" xfId="0" applyNumberFormat="1" applyFont="1" applyFill="1" applyBorder="1" applyAlignment="1">
      <alignment/>
    </xf>
    <xf numFmtId="164" fontId="9" fillId="0" borderId="51" xfId="0" applyNumberFormat="1" applyFont="1" applyFill="1" applyBorder="1" applyAlignment="1">
      <alignment/>
    </xf>
    <xf numFmtId="164" fontId="9" fillId="0" borderId="60" xfId="0" applyNumberFormat="1" applyFont="1" applyFill="1" applyBorder="1" applyAlignment="1">
      <alignment/>
    </xf>
    <xf numFmtId="164" fontId="9" fillId="0" borderId="61" xfId="0" applyNumberFormat="1" applyFont="1" applyFill="1" applyBorder="1" applyAlignment="1">
      <alignment/>
    </xf>
    <xf numFmtId="164" fontId="9" fillId="0" borderId="62" xfId="0" applyNumberFormat="1" applyFont="1" applyFill="1" applyBorder="1" applyAlignment="1">
      <alignment/>
    </xf>
    <xf numFmtId="164" fontId="9" fillId="0" borderId="63" xfId="0" applyNumberFormat="1" applyFont="1" applyFill="1" applyBorder="1" applyAlignment="1">
      <alignment/>
    </xf>
    <xf numFmtId="164" fontId="9" fillId="0" borderId="64" xfId="0" applyNumberFormat="1" applyFont="1" applyFill="1" applyBorder="1" applyAlignment="1">
      <alignment/>
    </xf>
    <xf numFmtId="164" fontId="9" fillId="0" borderId="65" xfId="0" applyNumberFormat="1" applyFont="1" applyFill="1" applyBorder="1" applyAlignment="1">
      <alignment/>
    </xf>
    <xf numFmtId="164" fontId="9" fillId="0" borderId="28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9" fillId="0" borderId="66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9" fillId="0" borderId="67" xfId="0" applyNumberFormat="1" applyFont="1" applyFill="1" applyBorder="1" applyAlignment="1">
      <alignment/>
    </xf>
    <xf numFmtId="164" fontId="9" fillId="0" borderId="68" xfId="0" applyNumberFormat="1" applyFont="1" applyFill="1" applyBorder="1" applyAlignment="1">
      <alignment/>
    </xf>
    <xf numFmtId="164" fontId="9" fillId="0" borderId="36" xfId="0" applyNumberFormat="1" applyFont="1" applyFill="1" applyBorder="1" applyAlignment="1">
      <alignment/>
    </xf>
    <xf numFmtId="164" fontId="9" fillId="0" borderId="69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left" wrapText="1"/>
    </xf>
    <xf numFmtId="164" fontId="7" fillId="0" borderId="70" xfId="0" applyNumberFormat="1" applyFont="1" applyFill="1" applyBorder="1" applyAlignment="1">
      <alignment/>
    </xf>
    <xf numFmtId="164" fontId="7" fillId="0" borderId="71" xfId="0" applyNumberFormat="1" applyFont="1" applyFill="1" applyBorder="1" applyAlignment="1">
      <alignment/>
    </xf>
    <xf numFmtId="1" fontId="9" fillId="0" borderId="37" xfId="0" applyNumberFormat="1" applyFont="1" applyFill="1" applyBorder="1" applyAlignment="1">
      <alignment/>
    </xf>
    <xf numFmtId="1" fontId="9" fillId="0" borderId="45" xfId="0" applyNumberFormat="1" applyFont="1" applyFill="1" applyBorder="1" applyAlignment="1">
      <alignment/>
    </xf>
    <xf numFmtId="1" fontId="9" fillId="0" borderId="49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9" fillId="0" borderId="48" xfId="0" applyNumberFormat="1" applyFont="1" applyFill="1" applyBorder="1" applyAlignment="1">
      <alignment/>
    </xf>
    <xf numFmtId="1" fontId="7" fillId="0" borderId="7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/>
    </xf>
    <xf numFmtId="164" fontId="7" fillId="0" borderId="68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9" fillId="0" borderId="72" xfId="0" applyNumberFormat="1" applyFont="1" applyFill="1" applyBorder="1" applyAlignment="1">
      <alignment/>
    </xf>
    <xf numFmtId="164" fontId="9" fillId="0" borderId="73" xfId="0" applyNumberFormat="1" applyFont="1" applyFill="1" applyBorder="1" applyAlignment="1">
      <alignment/>
    </xf>
    <xf numFmtId="164" fontId="9" fillId="0" borderId="7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46" fillId="0" borderId="19" xfId="0" applyNumberFormat="1" applyFont="1" applyBorder="1" applyAlignment="1">
      <alignment horizontal="center"/>
    </xf>
    <xf numFmtId="2" fontId="46" fillId="0" borderId="41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6" fillId="0" borderId="7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7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0" fontId="2" fillId="0" borderId="54" xfId="0" applyFont="1" applyFill="1" applyBorder="1" applyAlignment="1">
      <alignment horizontal="center" wrapText="1"/>
    </xf>
    <xf numFmtId="0" fontId="46" fillId="0" borderId="80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1" fontId="7" fillId="0" borderId="20" xfId="0" applyNumberFormat="1" applyFont="1" applyFill="1" applyBorder="1" applyAlignment="1">
      <alignment vertical="center"/>
    </xf>
    <xf numFmtId="164" fontId="9" fillId="0" borderId="46" xfId="0" applyNumberFormat="1" applyFont="1" applyFill="1" applyBorder="1" applyAlignment="1">
      <alignment wrapText="1"/>
    </xf>
    <xf numFmtId="1" fontId="9" fillId="0" borderId="55" xfId="0" applyNumberFormat="1" applyFont="1" applyFill="1" applyBorder="1" applyAlignment="1">
      <alignment wrapText="1"/>
    </xf>
    <xf numFmtId="164" fontId="9" fillId="0" borderId="48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 wrapText="1"/>
    </xf>
    <xf numFmtId="1" fontId="9" fillId="0" borderId="19" xfId="0" applyNumberFormat="1" applyFont="1" applyFill="1" applyBorder="1" applyAlignment="1">
      <alignment wrapText="1"/>
    </xf>
    <xf numFmtId="164" fontId="9" fillId="0" borderId="49" xfId="0" applyNumberFormat="1" applyFont="1" applyFill="1" applyBorder="1" applyAlignment="1">
      <alignment/>
    </xf>
    <xf numFmtId="164" fontId="9" fillId="0" borderId="45" xfId="0" applyNumberFormat="1" applyFont="1" applyFill="1" applyBorder="1" applyAlignment="1">
      <alignment wrapText="1"/>
    </xf>
    <xf numFmtId="1" fontId="9" fillId="0" borderId="81" xfId="0" applyNumberFormat="1" applyFont="1" applyFill="1" applyBorder="1" applyAlignment="1">
      <alignment wrapText="1"/>
    </xf>
    <xf numFmtId="164" fontId="9" fillId="0" borderId="52" xfId="0" applyNumberFormat="1" applyFont="1" applyFill="1" applyBorder="1" applyAlignment="1">
      <alignment wrapText="1"/>
    </xf>
    <xf numFmtId="164" fontId="9" fillId="0" borderId="82" xfId="0" applyNumberFormat="1" applyFont="1" applyFill="1" applyBorder="1" applyAlignment="1">
      <alignment/>
    </xf>
    <xf numFmtId="1" fontId="9" fillId="0" borderId="52" xfId="0" applyNumberFormat="1" applyFont="1" applyFill="1" applyBorder="1" applyAlignment="1">
      <alignment wrapText="1"/>
    </xf>
    <xf numFmtId="164" fontId="9" fillId="0" borderId="55" xfId="0" applyNumberFormat="1" applyFont="1" applyFill="1" applyBorder="1" applyAlignment="1">
      <alignment/>
    </xf>
    <xf numFmtId="164" fontId="9" fillId="0" borderId="71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9" fillId="0" borderId="70" xfId="0" applyNumberFormat="1" applyFont="1" applyFill="1" applyBorder="1" applyAlignment="1">
      <alignment/>
    </xf>
    <xf numFmtId="1" fontId="9" fillId="0" borderId="56" xfId="0" applyNumberFormat="1" applyFont="1" applyFill="1" applyBorder="1" applyAlignment="1">
      <alignment wrapText="1"/>
    </xf>
    <xf numFmtId="164" fontId="9" fillId="0" borderId="37" xfId="0" applyNumberFormat="1" applyFont="1" applyFill="1" applyBorder="1" applyAlignment="1">
      <alignment wrapText="1"/>
    </xf>
    <xf numFmtId="164" fontId="9" fillId="0" borderId="52" xfId="0" applyNumberFormat="1" applyFont="1" applyFill="1" applyBorder="1" applyAlignment="1">
      <alignment/>
    </xf>
    <xf numFmtId="164" fontId="9" fillId="0" borderId="33" xfId="0" applyNumberFormat="1" applyFont="1" applyFill="1" applyBorder="1" applyAlignment="1">
      <alignment wrapText="1"/>
    </xf>
    <xf numFmtId="1" fontId="9" fillId="0" borderId="45" xfId="0" applyNumberFormat="1" applyFont="1" applyFill="1" applyBorder="1" applyAlignment="1">
      <alignment wrapText="1"/>
    </xf>
    <xf numFmtId="164" fontId="9" fillId="0" borderId="54" xfId="0" applyNumberFormat="1" applyFont="1" applyFill="1" applyBorder="1" applyAlignment="1">
      <alignment/>
    </xf>
    <xf numFmtId="1" fontId="9" fillId="0" borderId="48" xfId="0" applyNumberFormat="1" applyFont="1" applyFill="1" applyBorder="1" applyAlignment="1">
      <alignment wrapText="1"/>
    </xf>
    <xf numFmtId="1" fontId="9" fillId="0" borderId="49" xfId="0" applyNumberFormat="1" applyFont="1" applyFill="1" applyBorder="1" applyAlignment="1">
      <alignment wrapText="1"/>
    </xf>
    <xf numFmtId="164" fontId="9" fillId="0" borderId="56" xfId="0" applyNumberFormat="1" applyFont="1" applyFill="1" applyBorder="1" applyAlignment="1">
      <alignment/>
    </xf>
    <xf numFmtId="164" fontId="7" fillId="0" borderId="74" xfId="0" applyNumberFormat="1" applyFont="1" applyFill="1" applyBorder="1" applyAlignment="1">
      <alignment/>
    </xf>
    <xf numFmtId="164" fontId="9" fillId="33" borderId="60" xfId="0" applyNumberFormat="1" applyFont="1" applyFill="1" applyBorder="1" applyAlignment="1">
      <alignment wrapText="1"/>
    </xf>
    <xf numFmtId="164" fontId="9" fillId="34" borderId="60" xfId="0" applyNumberFormat="1" applyFont="1" applyFill="1" applyBorder="1" applyAlignment="1">
      <alignment wrapText="1"/>
    </xf>
    <xf numFmtId="164" fontId="9" fillId="22" borderId="60" xfId="0" applyNumberFormat="1" applyFont="1" applyFill="1" applyBorder="1" applyAlignment="1">
      <alignment wrapText="1"/>
    </xf>
    <xf numFmtId="164" fontId="9" fillId="22" borderId="47" xfId="0" applyNumberFormat="1" applyFont="1" applyFill="1" applyBorder="1" applyAlignment="1">
      <alignment wrapText="1"/>
    </xf>
    <xf numFmtId="164" fontId="9" fillId="11" borderId="47" xfId="0" applyNumberFormat="1" applyFont="1" applyFill="1" applyBorder="1" applyAlignment="1">
      <alignment wrapText="1"/>
    </xf>
    <xf numFmtId="164" fontId="9" fillId="11" borderId="47" xfId="0" applyNumberFormat="1" applyFont="1" applyFill="1" applyBorder="1" applyAlignment="1">
      <alignment/>
    </xf>
    <xf numFmtId="164" fontId="9" fillId="13" borderId="47" xfId="0" applyNumberFormat="1" applyFont="1" applyFill="1" applyBorder="1" applyAlignment="1">
      <alignment wrapText="1"/>
    </xf>
    <xf numFmtId="0" fontId="5" fillId="0" borderId="40" xfId="0" applyFont="1" applyFill="1" applyBorder="1" applyAlignment="1">
      <alignment/>
    </xf>
    <xf numFmtId="0" fontId="5" fillId="0" borderId="81" xfId="0" applyFont="1" applyFill="1" applyBorder="1" applyAlignment="1">
      <alignment horizontal="left" wrapText="1"/>
    </xf>
    <xf numFmtId="164" fontId="9" fillId="8" borderId="47" xfId="0" applyNumberFormat="1" applyFont="1" applyFill="1" applyBorder="1" applyAlignment="1">
      <alignment wrapText="1"/>
    </xf>
    <xf numFmtId="164" fontId="9" fillId="15" borderId="47" xfId="0" applyNumberFormat="1" applyFont="1" applyFill="1" applyBorder="1" applyAlignment="1">
      <alignment wrapText="1"/>
    </xf>
    <xf numFmtId="164" fontId="9" fillId="15" borderId="60" xfId="0" applyNumberFormat="1" applyFont="1" applyFill="1" applyBorder="1" applyAlignment="1">
      <alignment wrapText="1"/>
    </xf>
    <xf numFmtId="164" fontId="9" fillId="8" borderId="58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>
      <alignment/>
    </xf>
    <xf numFmtId="164" fontId="9" fillId="8" borderId="67" xfId="0" applyNumberFormat="1" applyFont="1" applyFill="1" applyBorder="1" applyAlignment="1">
      <alignment wrapText="1"/>
    </xf>
    <xf numFmtId="0" fontId="9" fillId="0" borderId="48" xfId="0" applyFont="1" applyFill="1" applyBorder="1" applyAlignment="1">
      <alignment horizontal="left" wrapText="1"/>
    </xf>
    <xf numFmtId="164" fontId="9" fillId="11" borderId="64" xfId="0" applyNumberFormat="1" applyFont="1" applyFill="1" applyBorder="1" applyAlignment="1">
      <alignment wrapText="1"/>
    </xf>
    <xf numFmtId="164" fontId="9" fillId="8" borderId="51" xfId="0" applyNumberFormat="1" applyFont="1" applyFill="1" applyBorder="1" applyAlignment="1">
      <alignment wrapText="1"/>
    </xf>
    <xf numFmtId="164" fontId="9" fillId="22" borderId="51" xfId="0" applyNumberFormat="1" applyFont="1" applyFill="1" applyBorder="1" applyAlignment="1">
      <alignment wrapText="1"/>
    </xf>
    <xf numFmtId="164" fontId="9" fillId="8" borderId="60" xfId="0" applyNumberFormat="1" applyFont="1" applyFill="1" applyBorder="1" applyAlignment="1">
      <alignment wrapText="1"/>
    </xf>
    <xf numFmtId="0" fontId="6" fillId="0" borderId="28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164" fontId="9" fillId="8" borderId="50" xfId="0" applyNumberFormat="1" applyFont="1" applyFill="1" applyBorder="1" applyAlignment="1">
      <alignment wrapText="1"/>
    </xf>
    <xf numFmtId="164" fontId="9" fillId="35" borderId="47" xfId="0" applyNumberFormat="1" applyFont="1" applyFill="1" applyBorder="1" applyAlignment="1">
      <alignment wrapText="1"/>
    </xf>
    <xf numFmtId="164" fontId="9" fillId="35" borderId="66" xfId="0" applyNumberFormat="1" applyFont="1" applyFill="1" applyBorder="1" applyAlignment="1">
      <alignment wrapText="1"/>
    </xf>
    <xf numFmtId="164" fontId="9" fillId="35" borderId="51" xfId="0" applyNumberFormat="1" applyFont="1" applyFill="1" applyBorder="1" applyAlignment="1">
      <alignment wrapText="1"/>
    </xf>
    <xf numFmtId="164" fontId="9" fillId="35" borderId="69" xfId="0" applyNumberFormat="1" applyFont="1" applyFill="1" applyBorder="1" applyAlignment="1">
      <alignment wrapText="1"/>
    </xf>
    <xf numFmtId="164" fontId="7" fillId="0" borderId="83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 horizontal="left" wrapText="1"/>
    </xf>
    <xf numFmtId="164" fontId="9" fillId="35" borderId="60" xfId="0" applyNumberFormat="1" applyFont="1" applyFill="1" applyBorder="1" applyAlignment="1">
      <alignment wrapText="1"/>
    </xf>
    <xf numFmtId="1" fontId="7" fillId="0" borderId="84" xfId="0" applyNumberFormat="1" applyFont="1" applyFill="1" applyBorder="1" applyAlignment="1">
      <alignment wrapText="1"/>
    </xf>
    <xf numFmtId="1" fontId="7" fillId="0" borderId="26" xfId="0" applyNumberFormat="1" applyFont="1" applyFill="1" applyBorder="1" applyAlignment="1">
      <alignment horizontal="left" wrapText="1"/>
    </xf>
    <xf numFmtId="1" fontId="7" fillId="0" borderId="26" xfId="0" applyNumberFormat="1" applyFont="1" applyFill="1" applyBorder="1" applyAlignment="1">
      <alignment wrapText="1"/>
    </xf>
    <xf numFmtId="0" fontId="5" fillId="36" borderId="52" xfId="0" applyFont="1" applyFill="1" applyBorder="1" applyAlignment="1">
      <alignment vertical="center" wrapText="1"/>
    </xf>
    <xf numFmtId="0" fontId="5" fillId="36" borderId="49" xfId="0" applyFont="1" applyFill="1" applyBorder="1" applyAlignment="1">
      <alignment wrapText="1"/>
    </xf>
    <xf numFmtId="0" fontId="5" fillId="36" borderId="48" xfId="0" applyFont="1" applyFill="1" applyBorder="1" applyAlignment="1">
      <alignment vertical="center" wrapText="1"/>
    </xf>
    <xf numFmtId="0" fontId="5" fillId="36" borderId="44" xfId="0" applyFont="1" applyFill="1" applyBorder="1" applyAlignment="1">
      <alignment wrapText="1"/>
    </xf>
    <xf numFmtId="0" fontId="5" fillId="36" borderId="12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5" fillId="36" borderId="57" xfId="0" applyFont="1" applyFill="1" applyBorder="1" applyAlignment="1">
      <alignment horizontal="left" wrapText="1"/>
    </xf>
    <xf numFmtId="0" fontId="5" fillId="36" borderId="40" xfId="0" applyFont="1" applyFill="1" applyBorder="1" applyAlignment="1">
      <alignment/>
    </xf>
    <xf numFmtId="0" fontId="5" fillId="36" borderId="40" xfId="0" applyFont="1" applyFill="1" applyBorder="1" applyAlignment="1">
      <alignment horizontal="left" wrapText="1"/>
    </xf>
    <xf numFmtId="0" fontId="5" fillId="36" borderId="40" xfId="0" applyFont="1" applyFill="1" applyBorder="1" applyAlignment="1">
      <alignment wrapText="1"/>
    </xf>
    <xf numFmtId="0" fontId="9" fillId="0" borderId="4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1" fillId="36" borderId="18" xfId="0" applyFont="1" applyFill="1" applyBorder="1" applyAlignment="1">
      <alignment wrapText="1"/>
    </xf>
    <xf numFmtId="0" fontId="7" fillId="36" borderId="16" xfId="0" applyFont="1" applyFill="1" applyBorder="1" applyAlignment="1">
      <alignment wrapText="1"/>
    </xf>
    <xf numFmtId="0" fontId="7" fillId="36" borderId="18" xfId="0" applyFont="1" applyFill="1" applyBorder="1" applyAlignment="1">
      <alignment wrapText="1"/>
    </xf>
    <xf numFmtId="0" fontId="1" fillId="36" borderId="14" xfId="0" applyFont="1" applyFill="1" applyBorder="1" applyAlignment="1">
      <alignment vertical="center" wrapText="1"/>
    </xf>
    <xf numFmtId="0" fontId="5" fillId="36" borderId="51" xfId="0" applyFont="1" applyFill="1" applyBorder="1" applyAlignment="1">
      <alignment horizontal="left" wrapText="1"/>
    </xf>
    <xf numFmtId="0" fontId="5" fillId="36" borderId="51" xfId="0" applyFont="1" applyFill="1" applyBorder="1" applyAlignment="1">
      <alignment wrapText="1"/>
    </xf>
    <xf numFmtId="0" fontId="5" fillId="36" borderId="32" xfId="0" applyFont="1" applyFill="1" applyBorder="1" applyAlignment="1">
      <alignment wrapText="1"/>
    </xf>
    <xf numFmtId="49" fontId="5" fillId="36" borderId="51" xfId="0" applyNumberFormat="1" applyFont="1" applyFill="1" applyBorder="1" applyAlignment="1">
      <alignment horizontal="left" wrapText="1"/>
    </xf>
    <xf numFmtId="0" fontId="5" fillId="36" borderId="81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9" fillId="0" borderId="6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9" fillId="0" borderId="61" xfId="0" applyFont="1" applyFill="1" applyBorder="1" applyAlignment="1">
      <alignment wrapText="1"/>
    </xf>
    <xf numFmtId="164" fontId="9" fillId="0" borderId="85" xfId="0" applyNumberFormat="1" applyFont="1" applyFill="1" applyBorder="1" applyAlignment="1">
      <alignment/>
    </xf>
    <xf numFmtId="164" fontId="9" fillId="0" borderId="79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69" xfId="0" applyFont="1" applyFill="1" applyBorder="1" applyAlignment="1">
      <alignment/>
    </xf>
    <xf numFmtId="0" fontId="9" fillId="0" borderId="80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7" fillId="36" borderId="15" xfId="0" applyFont="1" applyFill="1" applyBorder="1" applyAlignment="1">
      <alignment horizontal="left" wrapText="1"/>
    </xf>
    <xf numFmtId="0" fontId="1" fillId="36" borderId="18" xfId="0" applyFont="1" applyFill="1" applyBorder="1" applyAlignment="1">
      <alignment horizontal="left" wrapText="1"/>
    </xf>
    <xf numFmtId="0" fontId="1" fillId="36" borderId="0" xfId="0" applyFont="1" applyFill="1" applyAlignment="1">
      <alignment wrapText="1"/>
    </xf>
    <xf numFmtId="0" fontId="7" fillId="36" borderId="13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7" fillId="0" borderId="61" xfId="0" applyFont="1" applyFill="1" applyBorder="1" applyAlignment="1">
      <alignment wrapText="1"/>
    </xf>
    <xf numFmtId="164" fontId="7" fillId="0" borderId="34" xfId="0" applyNumberFormat="1" applyFont="1" applyFill="1" applyBorder="1" applyAlignment="1">
      <alignment/>
    </xf>
    <xf numFmtId="164" fontId="7" fillId="0" borderId="47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4" fontId="7" fillId="0" borderId="51" xfId="0" applyNumberFormat="1" applyFont="1" applyFill="1" applyBorder="1" applyAlignment="1">
      <alignment/>
    </xf>
    <xf numFmtId="164" fontId="7" fillId="0" borderId="79" xfId="0" applyNumberFormat="1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0" fontId="9" fillId="0" borderId="86" xfId="0" applyFont="1" applyFill="1" applyBorder="1" applyAlignment="1">
      <alignment/>
    </xf>
    <xf numFmtId="0" fontId="9" fillId="0" borderId="65" xfId="0" applyFont="1" applyFill="1" applyBorder="1" applyAlignment="1">
      <alignment wrapText="1"/>
    </xf>
    <xf numFmtId="164" fontId="9" fillId="0" borderId="86" xfId="0" applyNumberFormat="1" applyFont="1" applyFill="1" applyBorder="1" applyAlignment="1">
      <alignment/>
    </xf>
    <xf numFmtId="0" fontId="7" fillId="0" borderId="59" xfId="0" applyFont="1" applyFill="1" applyBorder="1" applyAlignment="1">
      <alignment wrapText="1"/>
    </xf>
    <xf numFmtId="164" fontId="7" fillId="0" borderId="46" xfId="0" applyNumberFormat="1" applyFont="1" applyFill="1" applyBorder="1" applyAlignment="1">
      <alignment/>
    </xf>
    <xf numFmtId="164" fontId="7" fillId="0" borderId="60" xfId="0" applyNumberFormat="1" applyFont="1" applyFill="1" applyBorder="1" applyAlignment="1">
      <alignment/>
    </xf>
    <xf numFmtId="164" fontId="7" fillId="0" borderId="38" xfId="0" applyNumberFormat="1" applyFont="1" applyFill="1" applyBorder="1" applyAlignment="1">
      <alignment/>
    </xf>
    <xf numFmtId="164" fontId="7" fillId="0" borderId="50" xfId="0" applyNumberFormat="1" applyFont="1" applyFill="1" applyBorder="1" applyAlignment="1">
      <alignment/>
    </xf>
    <xf numFmtId="0" fontId="7" fillId="0" borderId="55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9" fillId="0" borderId="45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2" fontId="9" fillId="0" borderId="41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9" fillId="0" borderId="37" xfId="0" applyNumberFormat="1" applyFont="1" applyFill="1" applyBorder="1" applyAlignment="1">
      <alignment/>
    </xf>
    <xf numFmtId="0" fontId="5" fillId="0" borderId="51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2" fontId="9" fillId="0" borderId="58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2" fontId="9" fillId="0" borderId="66" xfId="0" applyNumberFormat="1" applyFont="1" applyFill="1" applyBorder="1" applyAlignment="1">
      <alignment/>
    </xf>
    <xf numFmtId="2" fontId="9" fillId="0" borderId="46" xfId="0" applyNumberFormat="1" applyFont="1" applyFill="1" applyBorder="1" applyAlignment="1">
      <alignment/>
    </xf>
    <xf numFmtId="2" fontId="9" fillId="0" borderId="47" xfId="0" applyNumberFormat="1" applyFont="1" applyFill="1" applyBorder="1" applyAlignment="1">
      <alignment/>
    </xf>
    <xf numFmtId="2" fontId="9" fillId="0" borderId="34" xfId="0" applyNumberFormat="1" applyFont="1" applyFill="1" applyBorder="1" applyAlignment="1">
      <alignment/>
    </xf>
    <xf numFmtId="2" fontId="9" fillId="0" borderId="60" xfId="0" applyNumberFormat="1" applyFont="1" applyFill="1" applyBorder="1" applyAlignment="1">
      <alignment/>
    </xf>
    <xf numFmtId="2" fontId="9" fillId="0" borderId="50" xfId="0" applyNumberFormat="1" applyFont="1" applyFill="1" applyBorder="1" applyAlignment="1">
      <alignment/>
    </xf>
    <xf numFmtId="2" fontId="7" fillId="0" borderId="7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2" fontId="7" fillId="0" borderId="71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5" fillId="0" borderId="44" xfId="0" applyFont="1" applyFill="1" applyBorder="1" applyAlignment="1">
      <alignment wrapText="1"/>
    </xf>
    <xf numFmtId="0" fontId="5" fillId="0" borderId="57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5" fillId="0" borderId="52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wrapText="1"/>
    </xf>
    <xf numFmtId="164" fontId="1" fillId="0" borderId="18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9" fillId="0" borderId="46" xfId="0" applyNumberFormat="1" applyFont="1" applyFill="1" applyBorder="1" applyAlignment="1">
      <alignment wrapText="1"/>
    </xf>
    <xf numFmtId="2" fontId="9" fillId="0" borderId="60" xfId="0" applyNumberFormat="1" applyFont="1" applyFill="1" applyBorder="1" applyAlignment="1">
      <alignment wrapText="1"/>
    </xf>
    <xf numFmtId="2" fontId="9" fillId="0" borderId="38" xfId="0" applyNumberFormat="1" applyFont="1" applyFill="1" applyBorder="1" applyAlignment="1">
      <alignment/>
    </xf>
    <xf numFmtId="2" fontId="9" fillId="0" borderId="55" xfId="0" applyNumberFormat="1" applyFont="1" applyFill="1" applyBorder="1" applyAlignment="1">
      <alignment wrapText="1"/>
    </xf>
    <xf numFmtId="2" fontId="7" fillId="0" borderId="40" xfId="0" applyNumberFormat="1" applyFont="1" applyFill="1" applyBorder="1" applyAlignment="1">
      <alignment/>
    </xf>
    <xf numFmtId="2" fontId="9" fillId="0" borderId="34" xfId="0" applyNumberFormat="1" applyFont="1" applyFill="1" applyBorder="1" applyAlignment="1">
      <alignment wrapText="1"/>
    </xf>
    <xf numFmtId="2" fontId="9" fillId="0" borderId="19" xfId="0" applyNumberFormat="1" applyFont="1" applyFill="1" applyBorder="1" applyAlignment="1">
      <alignment wrapText="1"/>
    </xf>
    <xf numFmtId="2" fontId="9" fillId="0" borderId="45" xfId="0" applyNumberFormat="1" applyFont="1" applyFill="1" applyBorder="1" applyAlignment="1">
      <alignment wrapText="1"/>
    </xf>
    <xf numFmtId="2" fontId="9" fillId="0" borderId="42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2" fontId="9" fillId="0" borderId="81" xfId="0" applyNumberFormat="1" applyFont="1" applyFill="1" applyBorder="1" applyAlignment="1">
      <alignment wrapText="1"/>
    </xf>
    <xf numFmtId="2" fontId="7" fillId="0" borderId="32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9" fillId="0" borderId="52" xfId="0" applyNumberFormat="1" applyFont="1" applyFill="1" applyBorder="1" applyAlignment="1">
      <alignment wrapText="1"/>
    </xf>
    <xf numFmtId="2" fontId="9" fillId="0" borderId="82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vertical="center" wrapText="1"/>
    </xf>
    <xf numFmtId="2" fontId="7" fillId="0" borderId="20" xfId="0" applyNumberFormat="1" applyFont="1" applyFill="1" applyBorder="1" applyAlignment="1">
      <alignment vertical="center"/>
    </xf>
    <xf numFmtId="2" fontId="7" fillId="0" borderId="31" xfId="0" applyNumberFormat="1" applyFont="1" applyFill="1" applyBorder="1" applyAlignment="1">
      <alignment vertical="center"/>
    </xf>
    <xf numFmtId="2" fontId="9" fillId="0" borderId="37" xfId="0" applyNumberFormat="1" applyFont="1" applyFill="1" applyBorder="1" applyAlignment="1">
      <alignment wrapText="1"/>
    </xf>
    <xf numFmtId="2" fontId="9" fillId="0" borderId="33" xfId="0" applyNumberFormat="1" applyFont="1" applyFill="1" applyBorder="1" applyAlignment="1">
      <alignment wrapText="1"/>
    </xf>
    <xf numFmtId="2" fontId="9" fillId="0" borderId="33" xfId="0" applyNumberFormat="1" applyFont="1" applyFill="1" applyBorder="1" applyAlignment="1">
      <alignment/>
    </xf>
    <xf numFmtId="2" fontId="9" fillId="0" borderId="48" xfId="0" applyNumberFormat="1" applyFont="1" applyFill="1" applyBorder="1" applyAlignment="1">
      <alignment wrapText="1"/>
    </xf>
    <xf numFmtId="2" fontId="9" fillId="0" borderId="49" xfId="0" applyNumberFormat="1" applyFont="1" applyFill="1" applyBorder="1" applyAlignment="1">
      <alignment wrapText="1"/>
    </xf>
    <xf numFmtId="2" fontId="9" fillId="0" borderId="47" xfId="0" applyNumberFormat="1" applyFont="1" applyFill="1" applyBorder="1" applyAlignment="1">
      <alignment wrapText="1"/>
    </xf>
    <xf numFmtId="2" fontId="9" fillId="0" borderId="56" xfId="0" applyNumberFormat="1" applyFont="1" applyFill="1" applyBorder="1" applyAlignment="1">
      <alignment/>
    </xf>
    <xf numFmtId="2" fontId="7" fillId="0" borderId="74" xfId="0" applyNumberFormat="1" applyFont="1" applyFill="1" applyBorder="1" applyAlignment="1">
      <alignment/>
    </xf>
    <xf numFmtId="2" fontId="7" fillId="0" borderId="36" xfId="0" applyNumberFormat="1" applyFont="1" applyFill="1" applyBorder="1" applyAlignment="1">
      <alignment/>
    </xf>
    <xf numFmtId="2" fontId="9" fillId="0" borderId="48" xfId="0" applyNumberFormat="1" applyFont="1" applyFill="1" applyBorder="1" applyAlignment="1">
      <alignment/>
    </xf>
    <xf numFmtId="2" fontId="9" fillId="0" borderId="49" xfId="0" applyNumberFormat="1" applyFont="1" applyFill="1" applyBorder="1" applyAlignment="1">
      <alignment/>
    </xf>
    <xf numFmtId="2" fontId="9" fillId="0" borderId="43" xfId="0" applyNumberFormat="1" applyFont="1" applyFill="1" applyBorder="1" applyAlignment="1">
      <alignment/>
    </xf>
    <xf numFmtId="2" fontId="9" fillId="0" borderId="55" xfId="0" applyNumberFormat="1" applyFont="1" applyFill="1" applyBorder="1" applyAlignment="1">
      <alignment/>
    </xf>
    <xf numFmtId="2" fontId="9" fillId="0" borderId="71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 wrapText="1"/>
    </xf>
    <xf numFmtId="2" fontId="9" fillId="0" borderId="52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0" borderId="54" xfId="0" applyNumberFormat="1" applyFont="1" applyFill="1" applyBorder="1" applyAlignment="1">
      <alignment/>
    </xf>
    <xf numFmtId="2" fontId="9" fillId="0" borderId="58" xfId="0" applyNumberFormat="1" applyFont="1" applyFill="1" applyBorder="1" applyAlignment="1">
      <alignment wrapText="1"/>
    </xf>
    <xf numFmtId="2" fontId="9" fillId="0" borderId="50" xfId="0" applyNumberFormat="1" applyFont="1" applyFill="1" applyBorder="1" applyAlignment="1">
      <alignment wrapText="1"/>
    </xf>
    <xf numFmtId="2" fontId="9" fillId="0" borderId="66" xfId="0" applyNumberFormat="1" applyFont="1" applyFill="1" applyBorder="1" applyAlignment="1">
      <alignment wrapText="1"/>
    </xf>
    <xf numFmtId="2" fontId="7" fillId="0" borderId="83" xfId="0" applyNumberFormat="1" applyFont="1" applyFill="1" applyBorder="1" applyAlignment="1">
      <alignment/>
    </xf>
    <xf numFmtId="2" fontId="9" fillId="0" borderId="51" xfId="0" applyNumberFormat="1" applyFont="1" applyFill="1" applyBorder="1" applyAlignment="1">
      <alignment wrapText="1"/>
    </xf>
    <xf numFmtId="2" fontId="9" fillId="0" borderId="67" xfId="0" applyNumberFormat="1" applyFont="1" applyFill="1" applyBorder="1" applyAlignment="1">
      <alignment wrapText="1"/>
    </xf>
    <xf numFmtId="2" fontId="9" fillId="0" borderId="69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>
      <alignment/>
    </xf>
    <xf numFmtId="2" fontId="7" fillId="0" borderId="68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2" fontId="9" fillId="0" borderId="70" xfId="0" applyNumberFormat="1" applyFont="1" applyFill="1" applyBorder="1" applyAlignment="1">
      <alignment/>
    </xf>
    <xf numFmtId="2" fontId="9" fillId="0" borderId="56" xfId="0" applyNumberFormat="1" applyFont="1" applyFill="1" applyBorder="1" applyAlignment="1">
      <alignment wrapText="1"/>
    </xf>
    <xf numFmtId="2" fontId="7" fillId="0" borderId="20" xfId="0" applyNumberFormat="1" applyFont="1" applyFill="1" applyBorder="1" applyAlignment="1">
      <alignment wrapText="1"/>
    </xf>
    <xf numFmtId="2" fontId="9" fillId="0" borderId="20" xfId="0" applyNumberFormat="1" applyFont="1" applyFill="1" applyBorder="1" applyAlignment="1">
      <alignment/>
    </xf>
    <xf numFmtId="2" fontId="7" fillId="0" borderId="84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2" fontId="9" fillId="0" borderId="31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 horizontal="left" wrapText="1"/>
    </xf>
    <xf numFmtId="2" fontId="7" fillId="0" borderId="26" xfId="0" applyNumberFormat="1" applyFont="1" applyFill="1" applyBorder="1" applyAlignment="1">
      <alignment horizontal="left" wrapText="1"/>
    </xf>
    <xf numFmtId="2" fontId="7" fillId="0" borderId="28" xfId="0" applyNumberFormat="1" applyFont="1" applyFill="1" applyBorder="1" applyAlignment="1">
      <alignment horizontal="left" wrapText="1"/>
    </xf>
    <xf numFmtId="2" fontId="9" fillId="0" borderId="0" xfId="0" applyNumberFormat="1" applyFont="1" applyFill="1" applyAlignment="1">
      <alignment/>
    </xf>
    <xf numFmtId="2" fontId="7" fillId="0" borderId="26" xfId="0" applyNumberFormat="1" applyFont="1" applyFill="1" applyBorder="1" applyAlignment="1">
      <alignment wrapText="1"/>
    </xf>
    <xf numFmtId="2" fontId="9" fillId="0" borderId="64" xfId="0" applyNumberFormat="1" applyFont="1" applyFill="1" applyBorder="1" applyAlignment="1">
      <alignment wrapText="1"/>
    </xf>
    <xf numFmtId="2" fontId="7" fillId="0" borderId="44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1264"/>
  <sheetViews>
    <sheetView tabSelected="1" zoomScale="85" zoomScaleNormal="85" zoomScalePageLayoutView="0" workbookViewId="0" topLeftCell="AU3">
      <pane xSplit="16125" topLeftCell="A1" activePane="topLeft" state="split"/>
      <selection pane="topLeft" activeCell="BI14" sqref="BI14"/>
      <selection pane="topRight" activeCell="AK8" sqref="AK8:AV8"/>
    </sheetView>
  </sheetViews>
  <sheetFormatPr defaultColWidth="8.796875" defaultRowHeight="15"/>
  <cols>
    <col min="1" max="1" width="19.59765625" style="14" customWidth="1"/>
    <col min="2" max="2" width="7.3984375" style="1" customWidth="1"/>
    <col min="3" max="4" width="7" style="1" customWidth="1"/>
    <col min="5" max="5" width="7.59765625" style="1" customWidth="1"/>
    <col min="6" max="6" width="8.796875" style="1" customWidth="1"/>
    <col min="7" max="7" width="6.59765625" style="1" customWidth="1"/>
    <col min="8" max="8" width="9.59765625" style="1" customWidth="1"/>
    <col min="9" max="10" width="8.19921875" style="1" customWidth="1"/>
    <col min="11" max="11" width="5.59765625" style="1" customWidth="1"/>
    <col min="12" max="12" width="8.19921875" style="1" customWidth="1"/>
    <col min="13" max="13" width="21.296875" style="1" customWidth="1"/>
    <col min="14" max="14" width="7.19921875" style="1" customWidth="1"/>
    <col min="15" max="15" width="6.796875" style="1" customWidth="1"/>
    <col min="16" max="16" width="7.296875" style="1" customWidth="1"/>
    <col min="17" max="17" width="6.8984375" style="1" customWidth="1"/>
    <col min="18" max="18" width="7.296875" style="1" customWidth="1"/>
    <col min="19" max="19" width="6.3984375" style="1" customWidth="1"/>
    <col min="20" max="20" width="8.3984375" style="2" customWidth="1"/>
    <col min="21" max="21" width="6.796875" style="1" customWidth="1"/>
    <col min="22" max="22" width="7" style="1" customWidth="1"/>
    <col min="23" max="23" width="6.3984375" style="1" customWidth="1"/>
    <col min="24" max="24" width="7.09765625" style="1" customWidth="1"/>
    <col min="25" max="25" width="21.796875" style="14" customWidth="1"/>
    <col min="26" max="26" width="7.19921875" style="1" customWidth="1"/>
    <col min="27" max="27" width="7.796875" style="1" customWidth="1"/>
    <col min="28" max="28" width="7.19921875" style="1" customWidth="1"/>
    <col min="29" max="29" width="6.8984375" style="1" customWidth="1"/>
    <col min="30" max="31" width="6.3984375" style="1" customWidth="1"/>
    <col min="32" max="32" width="8.796875" style="2" customWidth="1"/>
    <col min="33" max="33" width="6.796875" style="1" customWidth="1"/>
    <col min="34" max="34" width="6" style="1" customWidth="1"/>
    <col min="35" max="35" width="6.3984375" style="1" customWidth="1"/>
    <col min="36" max="36" width="8" style="1" customWidth="1"/>
    <col min="37" max="37" width="21.296875" style="1" customWidth="1"/>
    <col min="38" max="38" width="6.69921875" style="1" customWidth="1"/>
    <col min="39" max="39" width="6.796875" style="1" customWidth="1"/>
    <col min="40" max="40" width="5.3984375" style="1" customWidth="1"/>
    <col min="41" max="41" width="6.19921875" style="1" customWidth="1"/>
    <col min="42" max="42" width="7.19921875" style="1" customWidth="1"/>
    <col min="43" max="43" width="5.8984375" style="1" customWidth="1"/>
    <col min="44" max="44" width="9.8984375" style="1" customWidth="1"/>
    <col min="45" max="45" width="6.59765625" style="1" customWidth="1"/>
    <col min="46" max="46" width="7.796875" style="1" customWidth="1"/>
    <col min="47" max="47" width="6.19921875" style="1" customWidth="1"/>
    <col min="48" max="48" width="7.59765625" style="1" customWidth="1"/>
    <col min="49" max="49" width="21.09765625" style="86" customWidth="1"/>
    <col min="50" max="50" width="6.59765625" style="1" customWidth="1"/>
    <col min="51" max="51" width="6.796875" style="1" customWidth="1"/>
    <col min="52" max="52" width="7.09765625" style="1" customWidth="1"/>
    <col min="53" max="53" width="6.19921875" style="1" customWidth="1"/>
    <col min="54" max="54" width="6" style="1" customWidth="1"/>
    <col min="55" max="55" width="5.8984375" style="1" customWidth="1"/>
    <col min="56" max="56" width="9.69921875" style="1" customWidth="1"/>
    <col min="57" max="57" width="6.59765625" style="1" customWidth="1"/>
    <col min="58" max="59" width="6.19921875" style="1" customWidth="1"/>
    <col min="60" max="60" width="7.796875" style="1" customWidth="1"/>
    <col min="61" max="16384" width="8.8984375" style="1" customWidth="1"/>
  </cols>
  <sheetData>
    <row r="1" ht="15.75">
      <c r="A1" s="14" t="s">
        <v>35</v>
      </c>
    </row>
    <row r="2" spans="7:57" ht="14.25" customHeight="1">
      <c r="G2" s="503" t="s">
        <v>20</v>
      </c>
      <c r="H2" s="503"/>
      <c r="I2" s="15"/>
      <c r="M2" s="1" t="s">
        <v>35</v>
      </c>
      <c r="O2" s="1" t="s">
        <v>35</v>
      </c>
      <c r="Q2" s="1" t="s">
        <v>35</v>
      </c>
      <c r="R2" s="1" t="s">
        <v>35</v>
      </c>
      <c r="S2" s="503" t="s">
        <v>21</v>
      </c>
      <c r="T2" s="503"/>
      <c r="U2" s="15"/>
      <c r="Z2" s="1" t="s">
        <v>35</v>
      </c>
      <c r="AA2" s="1" t="s">
        <v>35</v>
      </c>
      <c r="AC2" s="1" t="s">
        <v>35</v>
      </c>
      <c r="AE2" s="503" t="s">
        <v>23</v>
      </c>
      <c r="AF2" s="503"/>
      <c r="AG2" s="15"/>
      <c r="AN2" s="1" t="s">
        <v>35</v>
      </c>
      <c r="AQ2" s="503" t="s">
        <v>22</v>
      </c>
      <c r="AR2" s="503"/>
      <c r="AS2" s="15"/>
      <c r="BC2" s="503" t="s">
        <v>94</v>
      </c>
      <c r="BD2" s="503"/>
      <c r="BE2" s="15"/>
    </row>
    <row r="3" spans="6:60" ht="30.75" customHeight="1">
      <c r="F3" s="31" t="s">
        <v>35</v>
      </c>
      <c r="G3" s="504" t="s">
        <v>95</v>
      </c>
      <c r="H3" s="504"/>
      <c r="I3" s="504"/>
      <c r="J3" s="504"/>
      <c r="K3" s="504"/>
      <c r="L3" s="504"/>
      <c r="N3" s="1" t="s">
        <v>35</v>
      </c>
      <c r="R3" s="1" t="s">
        <v>35</v>
      </c>
      <c r="S3" s="504" t="s">
        <v>96</v>
      </c>
      <c r="T3" s="504"/>
      <c r="U3" s="504"/>
      <c r="V3" s="504"/>
      <c r="W3" s="504"/>
      <c r="X3" s="504"/>
      <c r="Y3" s="14" t="s">
        <v>35</v>
      </c>
      <c r="Z3" s="1" t="s">
        <v>35</v>
      </c>
      <c r="AB3" s="1" t="s">
        <v>35</v>
      </c>
      <c r="AE3" s="504" t="s">
        <v>95</v>
      </c>
      <c r="AF3" s="504"/>
      <c r="AG3" s="504"/>
      <c r="AH3" s="504"/>
      <c r="AI3" s="504"/>
      <c r="AJ3" s="504"/>
      <c r="AK3" s="1" t="s">
        <v>35</v>
      </c>
      <c r="AP3" s="1" t="s">
        <v>35</v>
      </c>
      <c r="AQ3" s="504" t="s">
        <v>95</v>
      </c>
      <c r="AR3" s="504"/>
      <c r="AS3" s="504"/>
      <c r="AT3" s="504"/>
      <c r="AU3" s="504"/>
      <c r="AV3" s="504"/>
      <c r="BC3" s="504" t="s">
        <v>95</v>
      </c>
      <c r="BD3" s="504"/>
      <c r="BE3" s="504"/>
      <c r="BF3" s="504"/>
      <c r="BG3" s="504"/>
      <c r="BH3" s="504"/>
    </row>
    <row r="4" spans="7:58" ht="15.75" customHeight="1">
      <c r="G4" s="502"/>
      <c r="H4" s="502"/>
      <c r="I4" s="502"/>
      <c r="J4" s="502"/>
      <c r="M4" s="1" t="s">
        <v>35</v>
      </c>
      <c r="N4" s="1" t="s">
        <v>35</v>
      </c>
      <c r="O4" s="1" t="s">
        <v>35</v>
      </c>
      <c r="R4" s="1" t="s">
        <v>35</v>
      </c>
      <c r="S4" s="502"/>
      <c r="T4" s="502"/>
      <c r="U4" s="502"/>
      <c r="V4" s="502"/>
      <c r="Y4" s="14" t="s">
        <v>35</v>
      </c>
      <c r="AA4" s="1" t="s">
        <v>35</v>
      </c>
      <c r="AE4" s="502"/>
      <c r="AF4" s="502"/>
      <c r="AG4" s="502"/>
      <c r="AH4" s="502"/>
      <c r="AQ4" s="502"/>
      <c r="AR4" s="502"/>
      <c r="AS4" s="502"/>
      <c r="AT4" s="502"/>
      <c r="BC4" s="502"/>
      <c r="BD4" s="502"/>
      <c r="BE4" s="502"/>
      <c r="BF4" s="502"/>
    </row>
    <row r="5" spans="7:58" ht="15.75" customHeight="1">
      <c r="G5" s="32"/>
      <c r="H5" s="32"/>
      <c r="I5" s="32"/>
      <c r="J5" s="32"/>
      <c r="T5" s="3"/>
      <c r="AF5" s="3"/>
      <c r="AJ5" s="1" t="s">
        <v>35</v>
      </c>
      <c r="AS5" s="3"/>
      <c r="BE5" s="3"/>
      <c r="BF5" s="3"/>
    </row>
    <row r="6" spans="1:60" ht="15.75">
      <c r="A6" s="496" t="s">
        <v>16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6" t="s">
        <v>16</v>
      </c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6" t="s">
        <v>43</v>
      </c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6" t="s">
        <v>43</v>
      </c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6" t="s">
        <v>43</v>
      </c>
      <c r="AX6" s="497"/>
      <c r="AY6" s="497"/>
      <c r="AZ6" s="497"/>
      <c r="BA6" s="497"/>
      <c r="BB6" s="497"/>
      <c r="BC6" s="497"/>
      <c r="BD6" s="497"/>
      <c r="BE6" s="497"/>
      <c r="BF6" s="497"/>
      <c r="BG6" s="497"/>
      <c r="BH6" s="497"/>
    </row>
    <row r="7" spans="1:60" ht="15.75" customHeight="1">
      <c r="A7" s="496" t="s">
        <v>0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6" t="s">
        <v>0</v>
      </c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6" t="s">
        <v>0</v>
      </c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6" t="s">
        <v>0</v>
      </c>
      <c r="AL7" s="497"/>
      <c r="AM7" s="497"/>
      <c r="AN7" s="497"/>
      <c r="AO7" s="497"/>
      <c r="AP7" s="497"/>
      <c r="AQ7" s="497"/>
      <c r="AR7" s="497"/>
      <c r="AS7" s="497"/>
      <c r="AT7" s="497"/>
      <c r="AU7" s="497"/>
      <c r="AV7" s="497"/>
      <c r="AW7" s="496" t="s">
        <v>0</v>
      </c>
      <c r="AX7" s="497"/>
      <c r="AY7" s="497"/>
      <c r="AZ7" s="497"/>
      <c r="BA7" s="497"/>
      <c r="BB7" s="497"/>
      <c r="BC7" s="497"/>
      <c r="BD7" s="497"/>
      <c r="BE7" s="497"/>
      <c r="BF7" s="497"/>
      <c r="BG7" s="497"/>
      <c r="BH7" s="497"/>
    </row>
    <row r="8" spans="1:60" ht="16.5" customHeight="1" thickBot="1">
      <c r="A8" s="498" t="s">
        <v>78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8" t="s">
        <v>79</v>
      </c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8" t="s">
        <v>80</v>
      </c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8" t="s">
        <v>81</v>
      </c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8" t="s">
        <v>85</v>
      </c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</row>
    <row r="9" spans="1:60" ht="16.5" customHeight="1" thickBot="1">
      <c r="A9" s="43"/>
      <c r="B9" s="186"/>
      <c r="C9" s="186"/>
      <c r="D9" s="42"/>
      <c r="E9" s="42"/>
      <c r="F9" s="42"/>
      <c r="G9" s="42"/>
      <c r="H9" s="42"/>
      <c r="I9" s="42"/>
      <c r="J9" s="42"/>
      <c r="K9" s="42"/>
      <c r="L9" s="41"/>
      <c r="M9" s="43"/>
      <c r="N9" s="42"/>
      <c r="O9" s="42"/>
      <c r="P9" s="42"/>
      <c r="Q9" s="42"/>
      <c r="R9" s="42"/>
      <c r="S9" s="42"/>
      <c r="T9" s="42"/>
      <c r="U9" s="42"/>
      <c r="V9" s="42"/>
      <c r="W9" s="42"/>
      <c r="X9" s="41"/>
      <c r="Y9" s="43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1"/>
      <c r="AK9" s="43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1"/>
      <c r="AW9" s="87"/>
      <c r="AX9" s="41"/>
      <c r="AY9" s="42"/>
      <c r="AZ9" s="41"/>
      <c r="BA9" s="42"/>
      <c r="BB9" s="41"/>
      <c r="BC9" s="42"/>
      <c r="BD9" s="41"/>
      <c r="BE9" s="42"/>
      <c r="BF9" s="41"/>
      <c r="BG9" s="42"/>
      <c r="BH9" s="41"/>
    </row>
    <row r="10" spans="1:62" ht="32.25" customHeight="1" thickBot="1">
      <c r="A10" s="180" t="s">
        <v>1</v>
      </c>
      <c r="B10" s="489" t="s">
        <v>2</v>
      </c>
      <c r="C10" s="495"/>
      <c r="D10" s="489" t="s">
        <v>3</v>
      </c>
      <c r="E10" s="490"/>
      <c r="F10" s="489" t="s">
        <v>4</v>
      </c>
      <c r="G10" s="490"/>
      <c r="H10" s="489" t="s">
        <v>5</v>
      </c>
      <c r="I10" s="490"/>
      <c r="J10" s="489" t="s">
        <v>6</v>
      </c>
      <c r="K10" s="490"/>
      <c r="L10" s="22" t="s">
        <v>7</v>
      </c>
      <c r="M10" s="493" t="s">
        <v>1</v>
      </c>
      <c r="N10" s="489" t="s">
        <v>2</v>
      </c>
      <c r="O10" s="490"/>
      <c r="P10" s="489" t="s">
        <v>3</v>
      </c>
      <c r="Q10" s="490"/>
      <c r="R10" s="489" t="s">
        <v>4</v>
      </c>
      <c r="S10" s="490"/>
      <c r="T10" s="489" t="s">
        <v>5</v>
      </c>
      <c r="U10" s="490"/>
      <c r="V10" s="489" t="s">
        <v>6</v>
      </c>
      <c r="W10" s="490"/>
      <c r="X10" s="22" t="s">
        <v>7</v>
      </c>
      <c r="Y10" s="493" t="s">
        <v>1</v>
      </c>
      <c r="Z10" s="489" t="s">
        <v>2</v>
      </c>
      <c r="AA10" s="490"/>
      <c r="AB10" s="489" t="s">
        <v>3</v>
      </c>
      <c r="AC10" s="490"/>
      <c r="AD10" s="489" t="s">
        <v>4</v>
      </c>
      <c r="AE10" s="490"/>
      <c r="AF10" s="489" t="s">
        <v>5</v>
      </c>
      <c r="AG10" s="490"/>
      <c r="AH10" s="489" t="s">
        <v>6</v>
      </c>
      <c r="AI10" s="490"/>
      <c r="AJ10" s="22" t="s">
        <v>7</v>
      </c>
      <c r="AK10" s="21" t="s">
        <v>1</v>
      </c>
      <c r="AL10" s="489" t="s">
        <v>2</v>
      </c>
      <c r="AM10" s="490"/>
      <c r="AN10" s="489" t="s">
        <v>3</v>
      </c>
      <c r="AO10" s="490"/>
      <c r="AP10" s="489" t="s">
        <v>4</v>
      </c>
      <c r="AQ10" s="490"/>
      <c r="AR10" s="489" t="s">
        <v>5</v>
      </c>
      <c r="AS10" s="490"/>
      <c r="AT10" s="489" t="s">
        <v>6</v>
      </c>
      <c r="AU10" s="491"/>
      <c r="AV10" s="22" t="s">
        <v>7</v>
      </c>
      <c r="AW10" s="88" t="s">
        <v>1</v>
      </c>
      <c r="AX10" s="489" t="s">
        <v>2</v>
      </c>
      <c r="AY10" s="490"/>
      <c r="AZ10" s="489" t="s">
        <v>3</v>
      </c>
      <c r="BA10" s="490"/>
      <c r="BB10" s="489" t="s">
        <v>4</v>
      </c>
      <c r="BC10" s="490"/>
      <c r="BD10" s="489" t="s">
        <v>5</v>
      </c>
      <c r="BE10" s="490"/>
      <c r="BF10" s="489" t="s">
        <v>6</v>
      </c>
      <c r="BG10" s="490"/>
      <c r="BH10" s="22" t="s">
        <v>7</v>
      </c>
      <c r="BI10" s="492"/>
      <c r="BJ10" s="492"/>
    </row>
    <row r="11" spans="1:60" ht="29.25" customHeight="1" thickBot="1">
      <c r="A11" s="181"/>
      <c r="B11" s="19" t="s">
        <v>8</v>
      </c>
      <c r="C11" s="48" t="s">
        <v>9</v>
      </c>
      <c r="D11" s="18" t="s">
        <v>8</v>
      </c>
      <c r="E11" s="48" t="s">
        <v>9</v>
      </c>
      <c r="F11" s="19" t="s">
        <v>10</v>
      </c>
      <c r="G11" s="48" t="s">
        <v>9</v>
      </c>
      <c r="H11" s="18" t="s">
        <v>11</v>
      </c>
      <c r="I11" s="48" t="s">
        <v>9</v>
      </c>
      <c r="J11" s="19" t="s">
        <v>10</v>
      </c>
      <c r="K11" s="24" t="s">
        <v>9</v>
      </c>
      <c r="L11" s="24" t="s">
        <v>9</v>
      </c>
      <c r="M11" s="501"/>
      <c r="N11" s="129" t="s">
        <v>8</v>
      </c>
      <c r="O11" s="48" t="s">
        <v>9</v>
      </c>
      <c r="P11" s="131" t="s">
        <v>8</v>
      </c>
      <c r="Q11" s="48" t="s">
        <v>9</v>
      </c>
      <c r="R11" s="129" t="s">
        <v>10</v>
      </c>
      <c r="S11" s="48" t="s">
        <v>9</v>
      </c>
      <c r="T11" s="131" t="s">
        <v>11</v>
      </c>
      <c r="U11" s="130" t="s">
        <v>9</v>
      </c>
      <c r="V11" s="129" t="s">
        <v>10</v>
      </c>
      <c r="W11" s="48" t="s">
        <v>9</v>
      </c>
      <c r="X11" s="132" t="s">
        <v>9</v>
      </c>
      <c r="Y11" s="501"/>
      <c r="Z11" s="129" t="s">
        <v>8</v>
      </c>
      <c r="AA11" s="48" t="s">
        <v>9</v>
      </c>
      <c r="AB11" s="131" t="s">
        <v>8</v>
      </c>
      <c r="AC11" s="48" t="s">
        <v>9</v>
      </c>
      <c r="AD11" s="129" t="s">
        <v>10</v>
      </c>
      <c r="AE11" s="48" t="s">
        <v>9</v>
      </c>
      <c r="AF11" s="131" t="s">
        <v>11</v>
      </c>
      <c r="AG11" s="130" t="s">
        <v>9</v>
      </c>
      <c r="AH11" s="129" t="s">
        <v>10</v>
      </c>
      <c r="AI11" s="48" t="s">
        <v>9</v>
      </c>
      <c r="AJ11" s="132" t="s">
        <v>9</v>
      </c>
      <c r="AK11" s="23"/>
      <c r="AL11" s="19" t="s">
        <v>8</v>
      </c>
      <c r="AM11" s="106" t="s">
        <v>9</v>
      </c>
      <c r="AN11" s="107" t="s">
        <v>8</v>
      </c>
      <c r="AO11" s="48" t="s">
        <v>9</v>
      </c>
      <c r="AP11" s="19" t="s">
        <v>10</v>
      </c>
      <c r="AQ11" s="48" t="s">
        <v>9</v>
      </c>
      <c r="AR11" s="18" t="s">
        <v>11</v>
      </c>
      <c r="AS11" s="48" t="s">
        <v>9</v>
      </c>
      <c r="AT11" s="19" t="s">
        <v>10</v>
      </c>
      <c r="AU11" s="48" t="s">
        <v>9</v>
      </c>
      <c r="AV11" s="24" t="s">
        <v>9</v>
      </c>
      <c r="AW11" s="89"/>
      <c r="AX11" s="19" t="s">
        <v>8</v>
      </c>
      <c r="AY11" s="106" t="s">
        <v>9</v>
      </c>
      <c r="AZ11" s="314" t="s">
        <v>8</v>
      </c>
      <c r="BA11" s="48" t="s">
        <v>9</v>
      </c>
      <c r="BB11" s="19" t="s">
        <v>10</v>
      </c>
      <c r="BC11" s="48" t="s">
        <v>9</v>
      </c>
      <c r="BD11" s="18" t="s">
        <v>11</v>
      </c>
      <c r="BE11" s="48" t="s">
        <v>9</v>
      </c>
      <c r="BF11" s="19" t="s">
        <v>10</v>
      </c>
      <c r="BG11" s="48" t="s">
        <v>9</v>
      </c>
      <c r="BH11" s="24" t="s">
        <v>9</v>
      </c>
    </row>
    <row r="12" spans="1:60" ht="30.75" customHeight="1" thickBot="1">
      <c r="A12" s="411" t="s">
        <v>32</v>
      </c>
      <c r="B12" s="5"/>
      <c r="C12" s="5"/>
      <c r="D12" s="5"/>
      <c r="E12" s="5"/>
      <c r="F12" s="5"/>
      <c r="G12" s="5"/>
      <c r="H12" s="16"/>
      <c r="I12" s="16"/>
      <c r="J12" s="5" t="s">
        <v>35</v>
      </c>
      <c r="K12" s="5" t="s">
        <v>35</v>
      </c>
      <c r="L12" s="6" t="s">
        <v>42</v>
      </c>
      <c r="M12" s="137" t="s">
        <v>32</v>
      </c>
      <c r="N12" s="90"/>
      <c r="O12" s="134"/>
      <c r="P12" s="135"/>
      <c r="Q12" s="134"/>
      <c r="R12" s="135"/>
      <c r="S12" s="135"/>
      <c r="T12" s="244"/>
      <c r="U12" s="135"/>
      <c r="V12" s="135"/>
      <c r="W12" s="135" t="s">
        <v>35</v>
      </c>
      <c r="X12" s="136"/>
      <c r="Y12" s="149" t="s">
        <v>32</v>
      </c>
      <c r="Z12" s="133"/>
      <c r="AA12" s="134"/>
      <c r="AB12" s="117"/>
      <c r="AC12" s="134"/>
      <c r="AD12" s="117"/>
      <c r="AE12" s="135"/>
      <c r="AF12" s="61"/>
      <c r="AG12" s="135"/>
      <c r="AH12" s="135"/>
      <c r="AI12" s="135" t="s">
        <v>35</v>
      </c>
      <c r="AJ12" s="136"/>
      <c r="AK12" s="128" t="s">
        <v>32</v>
      </c>
      <c r="AL12" s="16"/>
      <c r="AM12" s="47"/>
      <c r="AN12" s="16"/>
      <c r="AO12" s="290"/>
      <c r="AP12" s="30"/>
      <c r="AQ12" s="291"/>
      <c r="AR12" s="16"/>
      <c r="AS12" s="40"/>
      <c r="AT12" s="17"/>
      <c r="AU12" s="17" t="s">
        <v>35</v>
      </c>
      <c r="AV12" s="7"/>
      <c r="AW12" s="90" t="s">
        <v>32</v>
      </c>
      <c r="AX12" s="30"/>
      <c r="AY12" s="47"/>
      <c r="AZ12" s="39"/>
      <c r="BA12" s="290"/>
      <c r="BB12" s="30"/>
      <c r="BC12" s="291"/>
      <c r="BD12" s="39"/>
      <c r="BE12" s="40"/>
      <c r="BF12" s="40"/>
      <c r="BG12" s="17" t="s">
        <v>35</v>
      </c>
      <c r="BH12" s="7"/>
    </row>
    <row r="13" spans="1:60" ht="15.75">
      <c r="A13" s="406" t="s">
        <v>12</v>
      </c>
      <c r="B13" s="66">
        <f aca="true" t="shared" si="0" ref="B13:K19">N13+Z13+AL13+AX13</f>
        <v>486.0799999999999</v>
      </c>
      <c r="C13" s="150">
        <f t="shared" si="0"/>
        <v>912.5140484000001</v>
      </c>
      <c r="D13" s="65">
        <f t="shared" si="0"/>
        <v>11</v>
      </c>
      <c r="E13" s="151">
        <f t="shared" si="0"/>
        <v>20.894046799999998</v>
      </c>
      <c r="F13" s="66">
        <f t="shared" si="0"/>
        <v>635</v>
      </c>
      <c r="G13" s="150">
        <f t="shared" si="0"/>
        <v>26.28153</v>
      </c>
      <c r="H13" s="173">
        <f t="shared" si="0"/>
        <v>115435</v>
      </c>
      <c r="I13" s="151">
        <f t="shared" si="0"/>
        <v>608.117375</v>
      </c>
      <c r="J13" s="66">
        <f t="shared" si="0"/>
        <v>635</v>
      </c>
      <c r="K13" s="152">
        <f t="shared" si="0"/>
        <v>11.86974</v>
      </c>
      <c r="L13" s="68">
        <f>C13+E13+G13+I13+K13</f>
        <v>1579.6767402</v>
      </c>
      <c r="M13" s="138" t="s">
        <v>12</v>
      </c>
      <c r="N13" s="422">
        <v>211.5</v>
      </c>
      <c r="O13" s="423">
        <f>N13*1692.07/1000</f>
        <v>357.87280499999997</v>
      </c>
      <c r="P13" s="424">
        <v>2.8</v>
      </c>
      <c r="Q13" s="423">
        <f>P13*1692.07/1000</f>
        <v>4.7377959999999995</v>
      </c>
      <c r="R13" s="394">
        <v>115</v>
      </c>
      <c r="S13" s="423">
        <f>R13*38.52/1000</f>
        <v>4.4298</v>
      </c>
      <c r="T13" s="425">
        <v>34042</v>
      </c>
      <c r="U13" s="423">
        <f>T13*5.027/1000</f>
        <v>171.129134</v>
      </c>
      <c r="V13" s="424">
        <f>R13</f>
        <v>115</v>
      </c>
      <c r="W13" s="423">
        <f>V13*17.86/1000</f>
        <v>2.0539</v>
      </c>
      <c r="X13" s="426">
        <f aca="true" t="shared" si="1" ref="X13:X18">O13+Q13+S13+U13+W13</f>
        <v>540.223435</v>
      </c>
      <c r="Y13" s="103" t="s">
        <v>12</v>
      </c>
      <c r="Z13" s="394">
        <v>66.2</v>
      </c>
      <c r="AA13" s="423">
        <f>Z13*1692.07/1000</f>
        <v>112.015034</v>
      </c>
      <c r="AB13" s="453">
        <v>2.92</v>
      </c>
      <c r="AC13" s="423">
        <f>AB13*1692.07/1000</f>
        <v>4.9408444</v>
      </c>
      <c r="AD13" s="394">
        <v>107</v>
      </c>
      <c r="AE13" s="423">
        <f>AD13*38.52/1000</f>
        <v>4.12164</v>
      </c>
      <c r="AF13" s="422">
        <v>23783</v>
      </c>
      <c r="AG13" s="423">
        <f>AF13*5.027/1000</f>
        <v>119.557141</v>
      </c>
      <c r="AH13" s="424">
        <f>AD13</f>
        <v>107</v>
      </c>
      <c r="AI13" s="423">
        <f>AH13*17.86/1000</f>
        <v>1.91102</v>
      </c>
      <c r="AJ13" s="426">
        <f aca="true" t="shared" si="2" ref="AJ13:AJ18">AA13+AC13+AE13+AG13+AI13</f>
        <v>242.5456794</v>
      </c>
      <c r="AK13" s="103" t="s">
        <v>12</v>
      </c>
      <c r="AL13" s="386">
        <v>17.9</v>
      </c>
      <c r="AM13" s="462">
        <f>AL13*2124.13/1000</f>
        <v>38.021927</v>
      </c>
      <c r="AN13" s="392">
        <v>2.69</v>
      </c>
      <c r="AO13" s="449">
        <f aca="true" t="shared" si="3" ref="AM13:AO18">AN13*2124.13/1000</f>
        <v>5.7139097</v>
      </c>
      <c r="AP13" s="394">
        <v>116</v>
      </c>
      <c r="AQ13" s="463">
        <f>AP13*42.93/1000</f>
        <v>4.9798800000000005</v>
      </c>
      <c r="AR13" s="444">
        <v>22695</v>
      </c>
      <c r="AS13" s="464">
        <f>AR13*5.51/1000</f>
        <v>125.04945</v>
      </c>
      <c r="AT13" s="386">
        <f>AP13</f>
        <v>116</v>
      </c>
      <c r="AU13" s="462">
        <f>AT13*19.14/1000</f>
        <v>2.2202400000000004</v>
      </c>
      <c r="AV13" s="465">
        <f aca="true" t="shared" si="4" ref="AV13:AV18">AM13+AO13+AQ13+AS13+AU13</f>
        <v>175.9854067</v>
      </c>
      <c r="AW13" s="91" t="s">
        <v>12</v>
      </c>
      <c r="AX13" s="386">
        <v>190.48</v>
      </c>
      <c r="AY13" s="462">
        <f>AX13*2124.13/1000</f>
        <v>404.60428240000005</v>
      </c>
      <c r="AZ13" s="386">
        <v>2.59</v>
      </c>
      <c r="BA13" s="449">
        <f>AZ13*2124.13/1000</f>
        <v>5.5014967</v>
      </c>
      <c r="BB13" s="424">
        <v>297</v>
      </c>
      <c r="BC13" s="463">
        <f>BB13*42.93/1000</f>
        <v>12.75021</v>
      </c>
      <c r="BD13" s="444">
        <v>34915</v>
      </c>
      <c r="BE13" s="464">
        <f>BD13*5.51/1000</f>
        <v>192.38165</v>
      </c>
      <c r="BF13" s="386">
        <f>BB13</f>
        <v>297</v>
      </c>
      <c r="BG13" s="462">
        <f>BF13*19.14/1000</f>
        <v>5.6845799999999995</v>
      </c>
      <c r="BH13" s="485">
        <f aca="true" t="shared" si="5" ref="BH13:BH18">AY13+BA13+BC13+BE13+BG13</f>
        <v>620.9222191</v>
      </c>
    </row>
    <row r="14" spans="1:60" ht="15.75">
      <c r="A14" s="10" t="s">
        <v>13</v>
      </c>
      <c r="B14" s="66">
        <f t="shared" si="0"/>
        <v>101.26</v>
      </c>
      <c r="C14" s="153">
        <f t="shared" si="0"/>
        <v>189.217651</v>
      </c>
      <c r="D14" s="60">
        <f t="shared" si="0"/>
        <v>6.839999999999999</v>
      </c>
      <c r="E14" s="154">
        <f t="shared" si="0"/>
        <v>12.4335582</v>
      </c>
      <c r="F14" s="69">
        <f t="shared" si="0"/>
        <v>596</v>
      </c>
      <c r="G14" s="150">
        <f t="shared" si="0"/>
        <v>24.02955</v>
      </c>
      <c r="H14" s="57">
        <f t="shared" si="0"/>
        <v>10450</v>
      </c>
      <c r="I14" s="79">
        <f t="shared" si="0"/>
        <v>55.493905999999996</v>
      </c>
      <c r="J14" s="69">
        <f t="shared" si="0"/>
        <v>596</v>
      </c>
      <c r="K14" s="155">
        <f t="shared" si="0"/>
        <v>10.9556</v>
      </c>
      <c r="L14" s="68">
        <f aca="true" t="shared" si="6" ref="L14:L19">C14+E14+G14+I14+K14</f>
        <v>292.1302652</v>
      </c>
      <c r="M14" s="139" t="s">
        <v>13</v>
      </c>
      <c r="N14" s="427">
        <v>44.24</v>
      </c>
      <c r="O14" s="423">
        <f>N14*1692.07/1000</f>
        <v>74.8571768</v>
      </c>
      <c r="P14" s="384">
        <v>4.79</v>
      </c>
      <c r="Q14" s="423">
        <f>P14*1692.07/1000</f>
        <v>8.1050153</v>
      </c>
      <c r="R14" s="396">
        <v>233</v>
      </c>
      <c r="S14" s="423">
        <f>R14*38.52/1000</f>
        <v>8.97516</v>
      </c>
      <c r="T14" s="428">
        <v>2643</v>
      </c>
      <c r="U14" s="423">
        <f>T14*5.027/1000</f>
        <v>13.286361000000001</v>
      </c>
      <c r="V14" s="384">
        <f>R14</f>
        <v>233</v>
      </c>
      <c r="W14" s="423">
        <f>V14*17.86/1000</f>
        <v>4.16138</v>
      </c>
      <c r="X14" s="426">
        <f t="shared" si="1"/>
        <v>109.3850931</v>
      </c>
      <c r="Y14" s="96" t="s">
        <v>13</v>
      </c>
      <c r="Z14" s="396">
        <v>15.64</v>
      </c>
      <c r="AA14" s="423">
        <f>Z14*1692.07/1000</f>
        <v>26.4639748</v>
      </c>
      <c r="AB14" s="454">
        <v>0.06</v>
      </c>
      <c r="AC14" s="423">
        <f>AB14*1692.07/1000</f>
        <v>0.1015242</v>
      </c>
      <c r="AD14" s="396">
        <v>120</v>
      </c>
      <c r="AE14" s="423">
        <f>AD14*38.52/1000</f>
        <v>4.622400000000001</v>
      </c>
      <c r="AF14" s="427">
        <v>1675</v>
      </c>
      <c r="AG14" s="423">
        <f>AF14*5.027/1000</f>
        <v>8.420225</v>
      </c>
      <c r="AH14" s="384">
        <f>AD14</f>
        <v>120</v>
      </c>
      <c r="AI14" s="423">
        <f>AH14*17.86/1000</f>
        <v>2.1431999999999998</v>
      </c>
      <c r="AJ14" s="426">
        <f t="shared" si="2"/>
        <v>41.751324000000004</v>
      </c>
      <c r="AK14" s="96" t="s">
        <v>13</v>
      </c>
      <c r="AL14" s="396">
        <v>2.85</v>
      </c>
      <c r="AM14" s="449">
        <f t="shared" si="3"/>
        <v>6.053770500000001</v>
      </c>
      <c r="AN14" s="384">
        <v>0.06</v>
      </c>
      <c r="AO14" s="449">
        <f t="shared" si="3"/>
        <v>0.1274478</v>
      </c>
      <c r="AP14" s="396">
        <v>72</v>
      </c>
      <c r="AQ14" s="466">
        <f>AP14*42.93/1000</f>
        <v>3.09096</v>
      </c>
      <c r="AR14" s="427">
        <v>2017</v>
      </c>
      <c r="AS14" s="466">
        <f>AR14*5.51/1000</f>
        <v>11.11367</v>
      </c>
      <c r="AT14" s="396">
        <f>AP14</f>
        <v>72</v>
      </c>
      <c r="AU14" s="449">
        <f>AT14*19.14/1000</f>
        <v>1.37808</v>
      </c>
      <c r="AV14" s="465">
        <f t="shared" si="4"/>
        <v>21.7639283</v>
      </c>
      <c r="AW14" s="92" t="s">
        <v>13</v>
      </c>
      <c r="AX14" s="396">
        <v>38.53</v>
      </c>
      <c r="AY14" s="449">
        <f>AX14*2124.13/1000</f>
        <v>81.8427289</v>
      </c>
      <c r="AZ14" s="396">
        <v>1.93</v>
      </c>
      <c r="BA14" s="449">
        <f>AZ14*2124.13/1000</f>
        <v>4.0995709</v>
      </c>
      <c r="BB14" s="384">
        <v>171</v>
      </c>
      <c r="BC14" s="466">
        <f>BB14*42.93/1000</f>
        <v>7.34103</v>
      </c>
      <c r="BD14" s="427">
        <v>4115</v>
      </c>
      <c r="BE14" s="466">
        <f>BD14*5.51/1000</f>
        <v>22.67365</v>
      </c>
      <c r="BF14" s="396">
        <f>BB14</f>
        <v>171</v>
      </c>
      <c r="BG14" s="449">
        <f>BF14*19.14/1000</f>
        <v>3.27294</v>
      </c>
      <c r="BH14" s="426">
        <f t="shared" si="5"/>
        <v>119.2299198</v>
      </c>
    </row>
    <row r="15" spans="1:60" ht="15.75">
      <c r="A15" s="10" t="s">
        <v>51</v>
      </c>
      <c r="B15" s="66">
        <f t="shared" si="0"/>
        <v>123.92000000000002</v>
      </c>
      <c r="C15" s="153">
        <f t="shared" si="0"/>
        <v>230.8479338</v>
      </c>
      <c r="D15" s="60">
        <f t="shared" si="0"/>
        <v>0</v>
      </c>
      <c r="E15" s="154">
        <f t="shared" si="0"/>
        <v>0</v>
      </c>
      <c r="F15" s="69">
        <f t="shared" si="0"/>
        <v>498</v>
      </c>
      <c r="G15" s="150">
        <f t="shared" si="0"/>
        <v>20.179620000000003</v>
      </c>
      <c r="H15" s="57">
        <f t="shared" si="0"/>
        <v>9979.04</v>
      </c>
      <c r="I15" s="79">
        <f t="shared" si="0"/>
        <v>52.54582408</v>
      </c>
      <c r="J15" s="69">
        <f t="shared" si="0"/>
        <v>498</v>
      </c>
      <c r="K15" s="155">
        <f t="shared" si="0"/>
        <v>9.18356</v>
      </c>
      <c r="L15" s="68">
        <f t="shared" si="6"/>
        <v>312.75693788</v>
      </c>
      <c r="M15" s="139" t="s">
        <v>14</v>
      </c>
      <c r="N15" s="427">
        <v>56.78</v>
      </c>
      <c r="O15" s="423">
        <f>N15*1692.07/1000</f>
        <v>96.07573459999999</v>
      </c>
      <c r="P15" s="384">
        <v>0</v>
      </c>
      <c r="Q15" s="423">
        <f>P15*1692.07/1000</f>
        <v>0</v>
      </c>
      <c r="R15" s="396">
        <v>240</v>
      </c>
      <c r="S15" s="423">
        <f>R15*38.52/1000</f>
        <v>9.244800000000001</v>
      </c>
      <c r="T15" s="428">
        <v>2599</v>
      </c>
      <c r="U15" s="423">
        <f>T15*5.027/1000</f>
        <v>13.065173000000001</v>
      </c>
      <c r="V15" s="384">
        <f>R15</f>
        <v>240</v>
      </c>
      <c r="W15" s="423">
        <f>V15*17.86/1000</f>
        <v>4.2863999999999995</v>
      </c>
      <c r="X15" s="426">
        <f t="shared" si="1"/>
        <v>122.67210759999999</v>
      </c>
      <c r="Y15" s="96" t="s">
        <v>14</v>
      </c>
      <c r="Z15" s="396">
        <v>18.15</v>
      </c>
      <c r="AA15" s="423">
        <f>Z15*1692.07/1000</f>
        <v>30.711070499999998</v>
      </c>
      <c r="AB15" s="454">
        <v>0</v>
      </c>
      <c r="AC15" s="423">
        <f>AB15*1692.07/1000</f>
        <v>0</v>
      </c>
      <c r="AD15" s="396">
        <v>32</v>
      </c>
      <c r="AE15" s="423">
        <f>AD15*38.52/1000</f>
        <v>1.2326400000000002</v>
      </c>
      <c r="AF15" s="427">
        <v>2450.04</v>
      </c>
      <c r="AG15" s="423">
        <f>AF15*5.027/1000</f>
        <v>12.31635108</v>
      </c>
      <c r="AH15" s="384">
        <f>AD15</f>
        <v>32</v>
      </c>
      <c r="AI15" s="423">
        <f>AH15*17.86/1000</f>
        <v>0.57152</v>
      </c>
      <c r="AJ15" s="426">
        <f t="shared" si="2"/>
        <v>44.83158158</v>
      </c>
      <c r="AK15" s="96" t="s">
        <v>14</v>
      </c>
      <c r="AL15" s="396">
        <v>5.11</v>
      </c>
      <c r="AM15" s="449">
        <f t="shared" si="3"/>
        <v>10.8543043</v>
      </c>
      <c r="AN15" s="384">
        <v>0</v>
      </c>
      <c r="AO15" s="449">
        <f t="shared" si="3"/>
        <v>0</v>
      </c>
      <c r="AP15" s="396">
        <v>18</v>
      </c>
      <c r="AQ15" s="466">
        <f>AP15*42.93/1000</f>
        <v>0.77274</v>
      </c>
      <c r="AR15" s="427">
        <v>1276</v>
      </c>
      <c r="AS15" s="466">
        <f>AR15*5.51/1000</f>
        <v>7.030759999999999</v>
      </c>
      <c r="AT15" s="396">
        <f>AP15</f>
        <v>18</v>
      </c>
      <c r="AU15" s="449">
        <f>AT15*19.14/1000</f>
        <v>0.34452</v>
      </c>
      <c r="AV15" s="465">
        <f t="shared" si="4"/>
        <v>19.0023243</v>
      </c>
      <c r="AW15" s="92" t="s">
        <v>14</v>
      </c>
      <c r="AX15" s="396">
        <v>43.88</v>
      </c>
      <c r="AY15" s="449">
        <f>AX15*2124.13/1000</f>
        <v>93.20682440000002</v>
      </c>
      <c r="AZ15" s="396">
        <v>0</v>
      </c>
      <c r="BA15" s="449">
        <f>AZ15*2124.13/1000</f>
        <v>0</v>
      </c>
      <c r="BB15" s="384">
        <v>208</v>
      </c>
      <c r="BC15" s="466">
        <f>BB15*42.93/1000</f>
        <v>8.929440000000001</v>
      </c>
      <c r="BD15" s="427">
        <v>3654</v>
      </c>
      <c r="BE15" s="466">
        <f>BD15*5.51/1000</f>
        <v>20.13354</v>
      </c>
      <c r="BF15" s="396">
        <f>BB15</f>
        <v>208</v>
      </c>
      <c r="BG15" s="449">
        <f>BF15*19.14/1000</f>
        <v>3.9811199999999998</v>
      </c>
      <c r="BH15" s="426">
        <f t="shared" si="5"/>
        <v>126.25092440000002</v>
      </c>
    </row>
    <row r="16" spans="1:60" ht="16.5" thickBot="1">
      <c r="A16" s="10" t="s">
        <v>14</v>
      </c>
      <c r="B16" s="187">
        <f>N16+Z16+AL16+AX16</f>
        <v>0</v>
      </c>
      <c r="C16" s="188">
        <f>O16+AA16+AM16+AY16+0.01</f>
        <v>0.01</v>
      </c>
      <c r="D16" s="76">
        <f t="shared" si="0"/>
        <v>0</v>
      </c>
      <c r="E16" s="156">
        <f t="shared" si="0"/>
        <v>0</v>
      </c>
      <c r="F16" s="70">
        <f t="shared" si="0"/>
        <v>0</v>
      </c>
      <c r="G16" s="157">
        <f t="shared" si="0"/>
        <v>0</v>
      </c>
      <c r="H16" s="174">
        <f t="shared" si="0"/>
        <v>2232.96</v>
      </c>
      <c r="I16" s="158">
        <f t="shared" si="0"/>
        <v>11.649163920000001</v>
      </c>
      <c r="J16" s="70">
        <f t="shared" si="0"/>
        <v>0</v>
      </c>
      <c r="K16" s="159">
        <f t="shared" si="0"/>
        <v>0</v>
      </c>
      <c r="L16" s="68">
        <f t="shared" si="6"/>
        <v>11.659163920000001</v>
      </c>
      <c r="M16" s="139" t="s">
        <v>14</v>
      </c>
      <c r="N16" s="429">
        <v>0</v>
      </c>
      <c r="O16" s="423">
        <f>N16*1692.07/1000</f>
        <v>0</v>
      </c>
      <c r="P16" s="430">
        <v>0</v>
      </c>
      <c r="Q16" s="423">
        <f>P16*1692.07/1000</f>
        <v>0</v>
      </c>
      <c r="R16" s="431">
        <v>0</v>
      </c>
      <c r="S16" s="423">
        <f>R16*38.52/1000</f>
        <v>0</v>
      </c>
      <c r="T16" s="432">
        <v>908</v>
      </c>
      <c r="U16" s="423">
        <f>T16*5.027/1000</f>
        <v>4.564516</v>
      </c>
      <c r="V16" s="430">
        <f>R16</f>
        <v>0</v>
      </c>
      <c r="W16" s="423">
        <f>V16*17.86/1000</f>
        <v>0</v>
      </c>
      <c r="X16" s="433">
        <f t="shared" si="1"/>
        <v>4.564516</v>
      </c>
      <c r="Y16" s="96" t="s">
        <v>14</v>
      </c>
      <c r="Z16" s="396">
        <v>0</v>
      </c>
      <c r="AA16" s="423">
        <f>Z16*1692.07/1000</f>
        <v>0</v>
      </c>
      <c r="AB16" s="454">
        <v>0</v>
      </c>
      <c r="AC16" s="423">
        <f>AB16*1692.07/1000</f>
        <v>0</v>
      </c>
      <c r="AD16" s="396">
        <v>0</v>
      </c>
      <c r="AE16" s="423">
        <f>AD16*38.52/1000</f>
        <v>0</v>
      </c>
      <c r="AF16" s="445">
        <v>446.96</v>
      </c>
      <c r="AG16" s="423">
        <f>AF16*5.027/1000</f>
        <v>2.24686792</v>
      </c>
      <c r="AH16" s="455">
        <f>AD16</f>
        <v>0</v>
      </c>
      <c r="AI16" s="423">
        <f>AH16*17.86/1000</f>
        <v>0</v>
      </c>
      <c r="AJ16" s="426">
        <f t="shared" si="2"/>
        <v>2.24686792</v>
      </c>
      <c r="AK16" s="108" t="s">
        <v>14</v>
      </c>
      <c r="AL16" s="446">
        <v>0</v>
      </c>
      <c r="AM16" s="467">
        <f t="shared" si="3"/>
        <v>0</v>
      </c>
      <c r="AN16" s="384">
        <v>0</v>
      </c>
      <c r="AO16" s="449">
        <f t="shared" si="3"/>
        <v>0</v>
      </c>
      <c r="AP16" s="446">
        <v>0</v>
      </c>
      <c r="AQ16" s="466">
        <f>AP16*42.93/1000</f>
        <v>0</v>
      </c>
      <c r="AR16" s="445">
        <v>326</v>
      </c>
      <c r="AS16" s="468">
        <f>AR16*5.51/1000</f>
        <v>1.79626</v>
      </c>
      <c r="AT16" s="446">
        <f>AP16</f>
        <v>0</v>
      </c>
      <c r="AU16" s="467">
        <f>AT16*19.14/1000</f>
        <v>0</v>
      </c>
      <c r="AV16" s="465">
        <f t="shared" si="4"/>
        <v>1.79626</v>
      </c>
      <c r="AW16" s="92" t="s">
        <v>14</v>
      </c>
      <c r="AX16" s="446">
        <v>0</v>
      </c>
      <c r="AY16" s="467">
        <f>AX16*2124.13/1000</f>
        <v>0</v>
      </c>
      <c r="AZ16" s="446">
        <v>0</v>
      </c>
      <c r="BA16" s="449">
        <f>AZ16*2124.13/1000</f>
        <v>0</v>
      </c>
      <c r="BB16" s="430">
        <v>0</v>
      </c>
      <c r="BC16" s="466">
        <f>BB16*42.93/1000</f>
        <v>0</v>
      </c>
      <c r="BD16" s="445">
        <v>552</v>
      </c>
      <c r="BE16" s="468">
        <f>BD16*5.51/1000</f>
        <v>3.04152</v>
      </c>
      <c r="BF16" s="446">
        <f>BB16</f>
        <v>0</v>
      </c>
      <c r="BG16" s="467">
        <f>BF16*19.14/1000</f>
        <v>0</v>
      </c>
      <c r="BH16" s="486">
        <f t="shared" si="5"/>
        <v>3.04152</v>
      </c>
    </row>
    <row r="17" spans="1:60" ht="16.5" thickBot="1">
      <c r="A17" s="405" t="s">
        <v>24</v>
      </c>
      <c r="B17" s="35">
        <f>N17+Z17+AL17+AX17</f>
        <v>711.26</v>
      </c>
      <c r="C17" s="50">
        <f>C13+C14+C15+C16</f>
        <v>1332.5896332</v>
      </c>
      <c r="D17" s="35">
        <f t="shared" si="0"/>
        <v>17.84</v>
      </c>
      <c r="E17" s="44">
        <f t="shared" si="0"/>
        <v>33.327605</v>
      </c>
      <c r="F17" s="34">
        <f t="shared" si="0"/>
        <v>1729</v>
      </c>
      <c r="G17" s="50">
        <f t="shared" si="0"/>
        <v>70.4907</v>
      </c>
      <c r="H17" s="84">
        <f t="shared" si="0"/>
        <v>138097</v>
      </c>
      <c r="I17" s="44">
        <f t="shared" si="0"/>
        <v>727.8062689999999</v>
      </c>
      <c r="J17" s="34">
        <f t="shared" si="0"/>
        <v>1729</v>
      </c>
      <c r="K17" s="46">
        <f>K13+K14+K15+K16</f>
        <v>32.0089</v>
      </c>
      <c r="L17" s="38">
        <f>C17+E17+G17+I17+K17</f>
        <v>2196.2231071999995</v>
      </c>
      <c r="M17" s="25" t="s">
        <v>24</v>
      </c>
      <c r="N17" s="434">
        <f aca="true" t="shared" si="7" ref="N17:W17">SUM(N13:N16)</f>
        <v>312.52</v>
      </c>
      <c r="O17" s="435">
        <f t="shared" si="7"/>
        <v>528.8057163999999</v>
      </c>
      <c r="P17" s="434">
        <f t="shared" si="7"/>
        <v>7.59</v>
      </c>
      <c r="Q17" s="435">
        <f t="shared" si="7"/>
        <v>12.8428113</v>
      </c>
      <c r="R17" s="434">
        <f t="shared" si="7"/>
        <v>588</v>
      </c>
      <c r="S17" s="435">
        <f t="shared" si="7"/>
        <v>22.64976</v>
      </c>
      <c r="T17" s="434">
        <f t="shared" si="7"/>
        <v>40192</v>
      </c>
      <c r="U17" s="435">
        <f t="shared" si="7"/>
        <v>202.04518399999998</v>
      </c>
      <c r="V17" s="434">
        <f t="shared" si="7"/>
        <v>588</v>
      </c>
      <c r="W17" s="435">
        <f t="shared" si="7"/>
        <v>10.50168</v>
      </c>
      <c r="X17" s="421">
        <f t="shared" si="1"/>
        <v>776.8451516999999</v>
      </c>
      <c r="Y17" s="25" t="s">
        <v>24</v>
      </c>
      <c r="Z17" s="434">
        <f aca="true" t="shared" si="8" ref="Z17:AI17">SUM(Z13:Z16)</f>
        <v>99.99000000000001</v>
      </c>
      <c r="AA17" s="435">
        <f t="shared" si="8"/>
        <v>169.1900793</v>
      </c>
      <c r="AB17" s="434">
        <f t="shared" si="8"/>
        <v>2.98</v>
      </c>
      <c r="AC17" s="435">
        <f t="shared" si="8"/>
        <v>5.0423686</v>
      </c>
      <c r="AD17" s="434">
        <f t="shared" si="8"/>
        <v>259</v>
      </c>
      <c r="AE17" s="435">
        <f t="shared" si="8"/>
        <v>9.976680000000002</v>
      </c>
      <c r="AF17" s="434">
        <f t="shared" si="8"/>
        <v>28355</v>
      </c>
      <c r="AG17" s="435">
        <f t="shared" si="8"/>
        <v>142.540585</v>
      </c>
      <c r="AH17" s="434">
        <f t="shared" si="8"/>
        <v>259</v>
      </c>
      <c r="AI17" s="435">
        <f t="shared" si="8"/>
        <v>4.62574</v>
      </c>
      <c r="AJ17" s="421">
        <f t="shared" si="2"/>
        <v>331.37545289999997</v>
      </c>
      <c r="AK17" s="109" t="s">
        <v>24</v>
      </c>
      <c r="AL17" s="469">
        <f aca="true" t="shared" si="9" ref="AL17:AU17">SUM(AL13:AL16)</f>
        <v>25.86</v>
      </c>
      <c r="AM17" s="470">
        <f t="shared" si="9"/>
        <v>54.9300018</v>
      </c>
      <c r="AN17" s="434">
        <f t="shared" si="9"/>
        <v>2.75</v>
      </c>
      <c r="AO17" s="435">
        <f t="shared" si="9"/>
        <v>5.8413575</v>
      </c>
      <c r="AP17" s="434">
        <f t="shared" si="9"/>
        <v>206</v>
      </c>
      <c r="AQ17" s="435">
        <f t="shared" si="9"/>
        <v>8.843580000000001</v>
      </c>
      <c r="AR17" s="469">
        <f t="shared" si="9"/>
        <v>26314</v>
      </c>
      <c r="AS17" s="470">
        <f t="shared" si="9"/>
        <v>144.99013999999997</v>
      </c>
      <c r="AT17" s="469">
        <f t="shared" si="9"/>
        <v>206</v>
      </c>
      <c r="AU17" s="470">
        <f t="shared" si="9"/>
        <v>3.9428400000000003</v>
      </c>
      <c r="AV17" s="421">
        <f t="shared" si="4"/>
        <v>218.54791929999996</v>
      </c>
      <c r="AW17" s="25" t="s">
        <v>24</v>
      </c>
      <c r="AX17" s="434">
        <f aca="true" t="shared" si="10" ref="AX17:BG17">SUM(AX13:AX16)</f>
        <v>272.89</v>
      </c>
      <c r="AY17" s="470">
        <f t="shared" si="10"/>
        <v>579.6538357000001</v>
      </c>
      <c r="AZ17" s="434">
        <f t="shared" si="10"/>
        <v>4.52</v>
      </c>
      <c r="BA17" s="435">
        <f t="shared" si="10"/>
        <v>9.6010676</v>
      </c>
      <c r="BB17" s="434">
        <f t="shared" si="10"/>
        <v>676</v>
      </c>
      <c r="BC17" s="435">
        <f t="shared" si="10"/>
        <v>29.02068</v>
      </c>
      <c r="BD17" s="434">
        <f t="shared" si="10"/>
        <v>43236</v>
      </c>
      <c r="BE17" s="452">
        <f t="shared" si="10"/>
        <v>238.23036000000002</v>
      </c>
      <c r="BF17" s="434">
        <f t="shared" si="10"/>
        <v>676</v>
      </c>
      <c r="BG17" s="470">
        <f t="shared" si="10"/>
        <v>12.93864</v>
      </c>
      <c r="BH17" s="421">
        <f t="shared" si="5"/>
        <v>869.4445833</v>
      </c>
    </row>
    <row r="18" spans="1:60" ht="16.5" thickBot="1">
      <c r="A18" s="406" t="s">
        <v>15</v>
      </c>
      <c r="B18" s="78">
        <f>N18+Z18+AL18+AX18</f>
        <v>78</v>
      </c>
      <c r="C18" s="79">
        <f>O18+AA18+AM18+AY18</f>
        <v>146.4381876</v>
      </c>
      <c r="D18" s="60">
        <f t="shared" si="0"/>
        <v>1.4</v>
      </c>
      <c r="E18" s="154">
        <f t="shared" si="0"/>
        <v>2.67134</v>
      </c>
      <c r="F18" s="384">
        <f t="shared" si="0"/>
        <v>89.53</v>
      </c>
      <c r="G18" s="150">
        <f t="shared" si="0"/>
        <v>3.6461313000000004</v>
      </c>
      <c r="H18" s="175">
        <f t="shared" si="0"/>
        <v>11785</v>
      </c>
      <c r="I18" s="160">
        <f t="shared" si="0"/>
        <v>61.816619</v>
      </c>
      <c r="J18" s="385">
        <f t="shared" si="0"/>
        <v>89.53</v>
      </c>
      <c r="K18" s="162">
        <f>W18+AI18+AU18+BG18</f>
        <v>1.6563113999999999</v>
      </c>
      <c r="L18" s="75">
        <f t="shared" si="6"/>
        <v>216.22858929999998</v>
      </c>
      <c r="M18" s="140" t="s">
        <v>15</v>
      </c>
      <c r="N18" s="436">
        <v>34.32</v>
      </c>
      <c r="O18" s="423">
        <f>N18*1692.07/1000</f>
        <v>58.0718424</v>
      </c>
      <c r="P18" s="437">
        <v>0.35</v>
      </c>
      <c r="Q18" s="423">
        <f>P18*1692.07/1000</f>
        <v>0.5922244999999999</v>
      </c>
      <c r="R18" s="438">
        <v>22.38</v>
      </c>
      <c r="S18" s="423">
        <f>R18*38.52/1000</f>
        <v>0.8620776000000001</v>
      </c>
      <c r="T18" s="436">
        <v>3440</v>
      </c>
      <c r="U18" s="423">
        <f>T18*5.027/1000</f>
        <v>17.29288</v>
      </c>
      <c r="V18" s="386">
        <f>R18</f>
        <v>22.38</v>
      </c>
      <c r="W18" s="423">
        <f>V18*17.86/1000</f>
        <v>0.3997068</v>
      </c>
      <c r="X18" s="426">
        <f t="shared" si="1"/>
        <v>77.2187313</v>
      </c>
      <c r="Y18" s="118" t="s">
        <v>15</v>
      </c>
      <c r="Z18" s="456">
        <v>10.22</v>
      </c>
      <c r="AA18" s="423">
        <f>Z18*1692.07/1000</f>
        <v>17.2929554</v>
      </c>
      <c r="AB18" s="438">
        <v>0.35</v>
      </c>
      <c r="AC18" s="423">
        <f>AB18*1692.07/1000</f>
        <v>0.5922244999999999</v>
      </c>
      <c r="AD18" s="457">
        <v>22.38</v>
      </c>
      <c r="AE18" s="423">
        <f>AD18*38.52/1000</f>
        <v>0.8620776000000001</v>
      </c>
      <c r="AF18" s="458">
        <v>3017</v>
      </c>
      <c r="AG18" s="423">
        <f>AF18*5.027/1000</f>
        <v>15.166459000000001</v>
      </c>
      <c r="AH18" s="386">
        <f>AD18</f>
        <v>22.38</v>
      </c>
      <c r="AI18" s="423">
        <f>AH18*17.86/1000</f>
        <v>0.3997068</v>
      </c>
      <c r="AJ18" s="426">
        <f t="shared" si="2"/>
        <v>34.3134233</v>
      </c>
      <c r="AK18" s="110" t="s">
        <v>15</v>
      </c>
      <c r="AL18" s="471">
        <v>3.28</v>
      </c>
      <c r="AM18" s="449">
        <f t="shared" si="3"/>
        <v>6.9671464</v>
      </c>
      <c r="AN18" s="457">
        <v>0.35</v>
      </c>
      <c r="AO18" s="449">
        <f t="shared" si="3"/>
        <v>0.7434455000000001</v>
      </c>
      <c r="AP18" s="472">
        <v>22.39</v>
      </c>
      <c r="AQ18" s="449">
        <f>AP18*42.93/1000</f>
        <v>0.9612027000000001</v>
      </c>
      <c r="AR18" s="473">
        <v>1912</v>
      </c>
      <c r="AS18" s="449">
        <f>AR18*5.51/1000</f>
        <v>10.53512</v>
      </c>
      <c r="AT18" s="392">
        <f>AP18</f>
        <v>22.39</v>
      </c>
      <c r="AU18" s="449">
        <f>AT18*19.14/1000</f>
        <v>0.4285446</v>
      </c>
      <c r="AV18" s="426">
        <f t="shared" si="4"/>
        <v>19.635459199999996</v>
      </c>
      <c r="AW18" s="93" t="s">
        <v>15</v>
      </c>
      <c r="AX18" s="472">
        <v>30.18</v>
      </c>
      <c r="AY18" s="449">
        <f>AX18*2124.13/1000</f>
        <v>64.1062434</v>
      </c>
      <c r="AZ18" s="457">
        <v>0.35</v>
      </c>
      <c r="BA18" s="449">
        <f>AZ18*2124.13/1000</f>
        <v>0.7434455000000001</v>
      </c>
      <c r="BB18" s="457">
        <v>22.38</v>
      </c>
      <c r="BC18" s="449">
        <f>BB18*42.93/1000</f>
        <v>0.9607733999999999</v>
      </c>
      <c r="BD18" s="473">
        <v>3416</v>
      </c>
      <c r="BE18" s="466">
        <f>BD18*5.51/1000</f>
        <v>18.82216</v>
      </c>
      <c r="BF18" s="386">
        <f>BB18</f>
        <v>22.38</v>
      </c>
      <c r="BG18" s="449">
        <f>BF18*19.14/1000</f>
        <v>0.4283532</v>
      </c>
      <c r="BH18" s="426">
        <f t="shared" si="5"/>
        <v>85.0609755</v>
      </c>
    </row>
    <row r="19" spans="1:61" s="9" customFormat="1" ht="21" customHeight="1" thickBot="1">
      <c r="A19" s="410" t="s">
        <v>24</v>
      </c>
      <c r="B19" s="35">
        <f>N19+Z19+AL19+AX19</f>
        <v>78</v>
      </c>
      <c r="C19" s="50">
        <f>O19+AA19+AM19+AY19</f>
        <v>146.4381876</v>
      </c>
      <c r="D19" s="35">
        <f t="shared" si="0"/>
        <v>1.4</v>
      </c>
      <c r="E19" s="44">
        <f t="shared" si="0"/>
        <v>2.67134</v>
      </c>
      <c r="F19" s="34">
        <f t="shared" si="0"/>
        <v>89.53</v>
      </c>
      <c r="G19" s="50">
        <f t="shared" si="0"/>
        <v>3.6461313000000004</v>
      </c>
      <c r="H19" s="84">
        <f t="shared" si="0"/>
        <v>11785</v>
      </c>
      <c r="I19" s="44">
        <f t="shared" si="0"/>
        <v>61.816619</v>
      </c>
      <c r="J19" s="34">
        <f t="shared" si="0"/>
        <v>89.53</v>
      </c>
      <c r="K19" s="46">
        <f>W19+AI19+AU19+BG19</f>
        <v>1.6563113999999999</v>
      </c>
      <c r="L19" s="38">
        <f t="shared" si="6"/>
        <v>216.22858929999998</v>
      </c>
      <c r="M19" s="25" t="s">
        <v>24</v>
      </c>
      <c r="N19" s="434">
        <f>SUM(N18)</f>
        <v>34.32</v>
      </c>
      <c r="O19" s="435">
        <f aca="true" t="shared" si="11" ref="O19:W19">SUM(O18)</f>
        <v>58.0718424</v>
      </c>
      <c r="P19" s="434">
        <f t="shared" si="11"/>
        <v>0.35</v>
      </c>
      <c r="Q19" s="435">
        <f t="shared" si="11"/>
        <v>0.5922244999999999</v>
      </c>
      <c r="R19" s="434">
        <f t="shared" si="11"/>
        <v>22.38</v>
      </c>
      <c r="S19" s="439">
        <f t="shared" si="11"/>
        <v>0.8620776000000001</v>
      </c>
      <c r="T19" s="434">
        <f t="shared" si="11"/>
        <v>3440</v>
      </c>
      <c r="U19" s="435">
        <f t="shared" si="11"/>
        <v>17.29288</v>
      </c>
      <c r="V19" s="418">
        <f t="shared" si="11"/>
        <v>22.38</v>
      </c>
      <c r="W19" s="435">
        <f t="shared" si="11"/>
        <v>0.3997068</v>
      </c>
      <c r="X19" s="420">
        <f>SUM(X18:X18)</f>
        <v>77.2187313</v>
      </c>
      <c r="Y19" s="25" t="s">
        <v>24</v>
      </c>
      <c r="Z19" s="434">
        <f>SUM(Z18)</f>
        <v>10.22</v>
      </c>
      <c r="AA19" s="435">
        <f>SUM(AA18)</f>
        <v>17.2929554</v>
      </c>
      <c r="AB19" s="434">
        <f aca="true" t="shared" si="12" ref="AB19:AI19">SUM(AB18)</f>
        <v>0.35</v>
      </c>
      <c r="AC19" s="435">
        <f t="shared" si="12"/>
        <v>0.5922244999999999</v>
      </c>
      <c r="AD19" s="434">
        <f t="shared" si="12"/>
        <v>22.38</v>
      </c>
      <c r="AE19" s="439">
        <f t="shared" si="12"/>
        <v>0.8620776000000001</v>
      </c>
      <c r="AF19" s="434">
        <f t="shared" si="12"/>
        <v>3017</v>
      </c>
      <c r="AG19" s="435">
        <f t="shared" si="12"/>
        <v>15.166459000000001</v>
      </c>
      <c r="AH19" s="418">
        <f t="shared" si="12"/>
        <v>22.38</v>
      </c>
      <c r="AI19" s="435">
        <f t="shared" si="12"/>
        <v>0.3997068</v>
      </c>
      <c r="AJ19" s="420">
        <f>SUM(AJ18:AJ18)</f>
        <v>34.3134233</v>
      </c>
      <c r="AK19" s="26" t="s">
        <v>24</v>
      </c>
      <c r="AL19" s="434">
        <f>SUM(AL18)</f>
        <v>3.28</v>
      </c>
      <c r="AM19" s="435">
        <f aca="true" t="shared" si="13" ref="AM19:AU19">SUM(AM18)</f>
        <v>6.9671464</v>
      </c>
      <c r="AN19" s="434">
        <f t="shared" si="13"/>
        <v>0.35</v>
      </c>
      <c r="AO19" s="435">
        <f t="shared" si="13"/>
        <v>0.7434455000000001</v>
      </c>
      <c r="AP19" s="434">
        <f t="shared" si="13"/>
        <v>22.39</v>
      </c>
      <c r="AQ19" s="439">
        <f t="shared" si="13"/>
        <v>0.9612027000000001</v>
      </c>
      <c r="AR19" s="434">
        <f t="shared" si="13"/>
        <v>1912</v>
      </c>
      <c r="AS19" s="435">
        <f t="shared" si="13"/>
        <v>10.53512</v>
      </c>
      <c r="AT19" s="418">
        <f t="shared" si="13"/>
        <v>22.39</v>
      </c>
      <c r="AU19" s="435">
        <f t="shared" si="13"/>
        <v>0.4285446</v>
      </c>
      <c r="AV19" s="420">
        <f>SUM(AV18:AV18)</f>
        <v>19.635459199999996</v>
      </c>
      <c r="AW19" s="25" t="s">
        <v>24</v>
      </c>
      <c r="AX19" s="434">
        <f>SUM(AX18)</f>
        <v>30.18</v>
      </c>
      <c r="AY19" s="435">
        <f>SUM(AY18)</f>
        <v>64.1062434</v>
      </c>
      <c r="AZ19" s="434">
        <f aca="true" t="shared" si="14" ref="AZ19:BG19">SUM(AZ18)</f>
        <v>0.35</v>
      </c>
      <c r="BA19" s="435">
        <f t="shared" si="14"/>
        <v>0.7434455000000001</v>
      </c>
      <c r="BB19" s="434">
        <f t="shared" si="14"/>
        <v>22.38</v>
      </c>
      <c r="BC19" s="439">
        <f t="shared" si="14"/>
        <v>0.9607733999999999</v>
      </c>
      <c r="BD19" s="434">
        <f t="shared" si="14"/>
        <v>3416</v>
      </c>
      <c r="BE19" s="487">
        <f t="shared" si="14"/>
        <v>18.82216</v>
      </c>
      <c r="BF19" s="434">
        <f t="shared" si="14"/>
        <v>22.38</v>
      </c>
      <c r="BG19" s="435">
        <f t="shared" si="14"/>
        <v>0.4283532</v>
      </c>
      <c r="BH19" s="420">
        <f>SUM(BH18:BH18)</f>
        <v>85.0609755</v>
      </c>
      <c r="BI19" s="8" t="s">
        <v>35</v>
      </c>
    </row>
    <row r="20" spans="1:60" ht="21" customHeight="1" thickBot="1">
      <c r="A20" s="412" t="s">
        <v>36</v>
      </c>
      <c r="B20" s="115"/>
      <c r="C20" s="115"/>
      <c r="D20" s="115"/>
      <c r="E20" s="115"/>
      <c r="F20" s="115"/>
      <c r="G20" s="115"/>
      <c r="H20" s="176"/>
      <c r="I20" s="163"/>
      <c r="J20" s="163"/>
      <c r="K20" s="163"/>
      <c r="L20" s="55" t="s">
        <v>35</v>
      </c>
      <c r="M20" s="141" t="s">
        <v>36</v>
      </c>
      <c r="N20" s="440"/>
      <c r="O20" s="441"/>
      <c r="P20" s="442"/>
      <c r="Q20" s="441"/>
      <c r="R20" s="442"/>
      <c r="S20" s="442"/>
      <c r="T20" s="442"/>
      <c r="U20" s="442"/>
      <c r="V20" s="442"/>
      <c r="W20" s="442" t="s">
        <v>35</v>
      </c>
      <c r="X20" s="443"/>
      <c r="Y20" s="119" t="s">
        <v>36</v>
      </c>
      <c r="Z20" s="434"/>
      <c r="AA20" s="441"/>
      <c r="AB20" s="418"/>
      <c r="AC20" s="441"/>
      <c r="AD20" s="418"/>
      <c r="AE20" s="442"/>
      <c r="AF20" s="418"/>
      <c r="AG20" s="442"/>
      <c r="AH20" s="442"/>
      <c r="AI20" s="442" t="s">
        <v>35</v>
      </c>
      <c r="AJ20" s="443"/>
      <c r="AK20" s="64" t="s">
        <v>36</v>
      </c>
      <c r="AL20" s="438"/>
      <c r="AM20" s="474"/>
      <c r="AN20" s="475"/>
      <c r="AO20" s="474"/>
      <c r="AP20" s="475"/>
      <c r="AQ20" s="475"/>
      <c r="AR20" s="476"/>
      <c r="AS20" s="477"/>
      <c r="AT20" s="475" t="s">
        <v>35</v>
      </c>
      <c r="AU20" s="478"/>
      <c r="AV20" s="421"/>
      <c r="AW20" s="94" t="s">
        <v>36</v>
      </c>
      <c r="AX20" s="488" t="s">
        <v>35</v>
      </c>
      <c r="AY20" s="474"/>
      <c r="AZ20" s="475"/>
      <c r="BA20" s="474"/>
      <c r="BB20" s="475"/>
      <c r="BC20" s="475"/>
      <c r="BD20" s="474"/>
      <c r="BE20" s="477"/>
      <c r="BF20" s="475"/>
      <c r="BG20" s="475"/>
      <c r="BH20" s="419"/>
    </row>
    <row r="21" spans="1:62" ht="15.75" customHeight="1">
      <c r="A21" s="413" t="s">
        <v>52</v>
      </c>
      <c r="B21" s="65">
        <f aca="true" t="shared" si="15" ref="B21:K28">N21+Z21+AL21+AX21</f>
        <v>0</v>
      </c>
      <c r="C21" s="151">
        <f t="shared" si="15"/>
        <v>0</v>
      </c>
      <c r="D21" s="65">
        <f t="shared" si="15"/>
        <v>0</v>
      </c>
      <c r="E21" s="151">
        <f t="shared" si="15"/>
        <v>0</v>
      </c>
      <c r="F21" s="67">
        <f t="shared" si="15"/>
        <v>0</v>
      </c>
      <c r="G21" s="164">
        <f t="shared" si="15"/>
        <v>0</v>
      </c>
      <c r="H21" s="173">
        <f t="shared" si="15"/>
        <v>11027.33</v>
      </c>
      <c r="I21" s="151">
        <f t="shared" si="15"/>
        <v>57.66266011</v>
      </c>
      <c r="J21" s="67">
        <f t="shared" si="15"/>
        <v>0</v>
      </c>
      <c r="K21" s="164">
        <f t="shared" si="15"/>
        <v>0</v>
      </c>
      <c r="L21" s="55">
        <f aca="true" t="shared" si="16" ref="L21:L28">C21+E21+G21+I21+K21</f>
        <v>57.66266011</v>
      </c>
      <c r="M21" s="142" t="s">
        <v>52</v>
      </c>
      <c r="N21" s="444">
        <v>0</v>
      </c>
      <c r="O21" s="423">
        <f aca="true" t="shared" si="17" ref="O21:O27">N21*1692.07/1000</f>
        <v>0</v>
      </c>
      <c r="P21" s="386">
        <v>0</v>
      </c>
      <c r="Q21" s="423">
        <f aca="true" t="shared" si="18" ref="Q21:Q27">P21*1692.07/1000</f>
        <v>0</v>
      </c>
      <c r="R21" s="386">
        <v>0</v>
      </c>
      <c r="S21" s="423">
        <f aca="true" t="shared" si="19" ref="S21:S27">R21*38.52/1000</f>
        <v>0</v>
      </c>
      <c r="T21" s="444">
        <v>3787.26</v>
      </c>
      <c r="U21" s="423">
        <f aca="true" t="shared" si="20" ref="U21:U27">T21*5.027/1000</f>
        <v>19.03855602</v>
      </c>
      <c r="V21" s="386">
        <f aca="true" t="shared" si="21" ref="V21:V27">R21</f>
        <v>0</v>
      </c>
      <c r="W21" s="423">
        <f aca="true" t="shared" si="22" ref="W21:W27">V21*17.86/1000</f>
        <v>0</v>
      </c>
      <c r="X21" s="426">
        <f aca="true" t="shared" si="23" ref="X21:X27">O21+Q21+S21+U21+W21</f>
        <v>19.03855602</v>
      </c>
      <c r="Y21" s="95" t="s">
        <v>52</v>
      </c>
      <c r="Z21" s="459">
        <v>0</v>
      </c>
      <c r="AA21" s="423">
        <f aca="true" t="shared" si="24" ref="AA21:AA27">Z21*1692.07/1000</f>
        <v>0</v>
      </c>
      <c r="AB21" s="453">
        <v>0</v>
      </c>
      <c r="AC21" s="423">
        <f aca="true" t="shared" si="25" ref="AC21:AC27">AB21*1692.07/1000</f>
        <v>0</v>
      </c>
      <c r="AD21" s="386">
        <v>0</v>
      </c>
      <c r="AE21" s="423">
        <f aca="true" t="shared" si="26" ref="AE21:AE27">AD21*38.52/1000</f>
        <v>0</v>
      </c>
      <c r="AF21" s="444">
        <v>2626.67</v>
      </c>
      <c r="AG21" s="423">
        <f aca="true" t="shared" si="27" ref="AG21:AG27">AF21*5.027/1000</f>
        <v>13.20427009</v>
      </c>
      <c r="AH21" s="386">
        <f aca="true" t="shared" si="28" ref="AH21:AH27">AD21</f>
        <v>0</v>
      </c>
      <c r="AI21" s="423">
        <f aca="true" t="shared" si="29" ref="AI21:AI27">AH21*17.86/1000</f>
        <v>0</v>
      </c>
      <c r="AJ21" s="426">
        <f aca="true" t="shared" si="30" ref="AJ21:AJ27">AA21+AC21+AE21+AG21+AI21</f>
        <v>13.20427009</v>
      </c>
      <c r="AK21" s="95" t="s">
        <v>52</v>
      </c>
      <c r="AL21" s="386">
        <v>0</v>
      </c>
      <c r="AM21" s="449">
        <f aca="true" t="shared" si="31" ref="AM21:AM27">AL21*2124.13/1000</f>
        <v>0</v>
      </c>
      <c r="AN21" s="394">
        <v>0</v>
      </c>
      <c r="AO21" s="449">
        <f aca="true" t="shared" si="32" ref="AO21:AO27">AN21*2124.13/1000</f>
        <v>0</v>
      </c>
      <c r="AP21" s="394">
        <v>0</v>
      </c>
      <c r="AQ21" s="423">
        <f aca="true" t="shared" si="33" ref="AQ21:AQ27">AP21*42.93/1000</f>
        <v>0</v>
      </c>
      <c r="AR21" s="422">
        <v>1469.4</v>
      </c>
      <c r="AS21" s="423">
        <f aca="true" t="shared" si="34" ref="AS21:AS27">AR21*5.51/1000</f>
        <v>8.096394</v>
      </c>
      <c r="AT21" s="424">
        <f aca="true" t="shared" si="35" ref="AT21:AT27">AP21</f>
        <v>0</v>
      </c>
      <c r="AU21" s="423">
        <f aca="true" t="shared" si="36" ref="AU21:AU27">AT21*19.14/1000</f>
        <v>0</v>
      </c>
      <c r="AV21" s="426">
        <f aca="true" t="shared" si="37" ref="AV21:AV27">AM21+AO21+AQ21+AS21+AU21</f>
        <v>8.096394</v>
      </c>
      <c r="AW21" s="95" t="s">
        <v>52</v>
      </c>
      <c r="AX21" s="386">
        <v>0</v>
      </c>
      <c r="AY21" s="449">
        <f aca="true" t="shared" si="38" ref="AY21:AY27">AX21*2124.13/1000</f>
        <v>0</v>
      </c>
      <c r="AZ21" s="394">
        <v>0</v>
      </c>
      <c r="BA21" s="449">
        <f aca="true" t="shared" si="39" ref="BA21:BA27">AZ21*2124.13/1000</f>
        <v>0</v>
      </c>
      <c r="BB21" s="424">
        <v>0</v>
      </c>
      <c r="BC21" s="423">
        <f aca="true" t="shared" si="40" ref="BC21:BC27">BB21*42.93/1000</f>
        <v>0</v>
      </c>
      <c r="BD21" s="444">
        <v>3144</v>
      </c>
      <c r="BE21" s="449">
        <f aca="true" t="shared" si="41" ref="BE21:BE27">BD21*5.51/1000</f>
        <v>17.323439999999998</v>
      </c>
      <c r="BF21" s="392">
        <f aca="true" t="shared" si="42" ref="BF21:BF27">BB21</f>
        <v>0</v>
      </c>
      <c r="BG21" s="423">
        <f aca="true" t="shared" si="43" ref="BG21:BG27">BF21*19.14/1000</f>
        <v>0</v>
      </c>
      <c r="BH21" s="485">
        <f aca="true" t="shared" si="44" ref="BH21:BH27">AY21+BA21+BC21+BE21+BG21</f>
        <v>17.323439999999998</v>
      </c>
      <c r="BJ21" s="1" t="s">
        <v>35</v>
      </c>
    </row>
    <row r="22" spans="1:60" ht="25.5" customHeight="1">
      <c r="A22" s="414" t="s">
        <v>53</v>
      </c>
      <c r="B22" s="78">
        <f t="shared" si="15"/>
        <v>260.3</v>
      </c>
      <c r="C22" s="79">
        <f t="shared" si="15"/>
        <v>489.873485</v>
      </c>
      <c r="D22" s="60">
        <f t="shared" si="15"/>
        <v>2.16</v>
      </c>
      <c r="E22" s="154">
        <f t="shared" si="15"/>
        <v>4.1214960000000005</v>
      </c>
      <c r="F22" s="69">
        <f t="shared" si="15"/>
        <v>100.80000000000001</v>
      </c>
      <c r="G22" s="150">
        <f t="shared" si="15"/>
        <v>4.10508</v>
      </c>
      <c r="H22" s="57">
        <f t="shared" si="15"/>
        <v>14373</v>
      </c>
      <c r="I22" s="79">
        <f t="shared" si="15"/>
        <v>75.695895</v>
      </c>
      <c r="J22" s="69">
        <f t="shared" si="15"/>
        <v>100.80000000000001</v>
      </c>
      <c r="K22" s="153">
        <f t="shared" si="15"/>
        <v>1.8647999999999998</v>
      </c>
      <c r="L22" s="165">
        <f t="shared" si="16"/>
        <v>575.6607559999999</v>
      </c>
      <c r="M22" s="142" t="s">
        <v>53</v>
      </c>
      <c r="N22" s="427">
        <v>110.4</v>
      </c>
      <c r="O22" s="423">
        <f t="shared" si="17"/>
        <v>186.804528</v>
      </c>
      <c r="P22" s="396">
        <v>0.54</v>
      </c>
      <c r="Q22" s="423">
        <f t="shared" si="18"/>
        <v>0.9137178</v>
      </c>
      <c r="R22" s="396">
        <f>16.8+8.4</f>
        <v>25.200000000000003</v>
      </c>
      <c r="S22" s="423">
        <f t="shared" si="19"/>
        <v>0.9707040000000002</v>
      </c>
      <c r="T22" s="427">
        <v>2775</v>
      </c>
      <c r="U22" s="423">
        <f t="shared" si="20"/>
        <v>13.949925</v>
      </c>
      <c r="V22" s="396">
        <f t="shared" si="21"/>
        <v>25.200000000000003</v>
      </c>
      <c r="W22" s="423">
        <f t="shared" si="22"/>
        <v>0.4500720000000001</v>
      </c>
      <c r="X22" s="426">
        <f t="shared" si="23"/>
        <v>203.08894680000003</v>
      </c>
      <c r="Y22" s="95" t="s">
        <v>53</v>
      </c>
      <c r="Z22" s="453">
        <v>35.5</v>
      </c>
      <c r="AA22" s="423">
        <f t="shared" si="24"/>
        <v>60.068485</v>
      </c>
      <c r="AB22" s="454">
        <v>0.54</v>
      </c>
      <c r="AC22" s="423">
        <f t="shared" si="25"/>
        <v>0.9137178</v>
      </c>
      <c r="AD22" s="396">
        <v>25.2</v>
      </c>
      <c r="AE22" s="423">
        <f t="shared" si="26"/>
        <v>0.970704</v>
      </c>
      <c r="AF22" s="427">
        <v>4470</v>
      </c>
      <c r="AG22" s="423">
        <f t="shared" si="27"/>
        <v>22.47069</v>
      </c>
      <c r="AH22" s="396">
        <f t="shared" si="28"/>
        <v>25.2</v>
      </c>
      <c r="AI22" s="423">
        <f t="shared" si="29"/>
        <v>0.45007199999999997</v>
      </c>
      <c r="AJ22" s="426">
        <f t="shared" si="30"/>
        <v>84.8736688</v>
      </c>
      <c r="AK22" s="95" t="s">
        <v>53</v>
      </c>
      <c r="AL22" s="396">
        <v>9.4</v>
      </c>
      <c r="AM22" s="449">
        <f t="shared" si="31"/>
        <v>19.966822</v>
      </c>
      <c r="AN22" s="396">
        <v>0.54</v>
      </c>
      <c r="AO22" s="449">
        <f t="shared" si="32"/>
        <v>1.1470302</v>
      </c>
      <c r="AP22" s="396">
        <v>25.2</v>
      </c>
      <c r="AQ22" s="449">
        <f t="shared" si="33"/>
        <v>1.081836</v>
      </c>
      <c r="AR22" s="427">
        <v>2732</v>
      </c>
      <c r="AS22" s="449">
        <f t="shared" si="34"/>
        <v>15.05332</v>
      </c>
      <c r="AT22" s="384">
        <f t="shared" si="35"/>
        <v>25.2</v>
      </c>
      <c r="AU22" s="449">
        <f t="shared" si="36"/>
        <v>0.482328</v>
      </c>
      <c r="AV22" s="426">
        <f t="shared" si="37"/>
        <v>37.7313362</v>
      </c>
      <c r="AW22" s="95" t="s">
        <v>53</v>
      </c>
      <c r="AX22" s="396">
        <v>105</v>
      </c>
      <c r="AY22" s="449">
        <f t="shared" si="38"/>
        <v>223.03365000000002</v>
      </c>
      <c r="AZ22" s="396">
        <v>0.54</v>
      </c>
      <c r="BA22" s="449">
        <f t="shared" si="39"/>
        <v>1.1470302</v>
      </c>
      <c r="BB22" s="384">
        <v>25.2</v>
      </c>
      <c r="BC22" s="449">
        <f t="shared" si="40"/>
        <v>1.081836</v>
      </c>
      <c r="BD22" s="427">
        <v>4396</v>
      </c>
      <c r="BE22" s="449">
        <f t="shared" si="41"/>
        <v>24.22196</v>
      </c>
      <c r="BF22" s="384">
        <f t="shared" si="42"/>
        <v>25.2</v>
      </c>
      <c r="BG22" s="449">
        <f t="shared" si="43"/>
        <v>0.482328</v>
      </c>
      <c r="BH22" s="426">
        <f t="shared" si="44"/>
        <v>249.9668042</v>
      </c>
    </row>
    <row r="23" spans="1:65" ht="30.75" customHeight="1">
      <c r="A23" s="414" t="s">
        <v>54</v>
      </c>
      <c r="B23" s="78">
        <f t="shared" si="15"/>
        <v>436.7</v>
      </c>
      <c r="C23" s="79">
        <f t="shared" si="15"/>
        <v>820.067837</v>
      </c>
      <c r="D23" s="60">
        <f t="shared" si="15"/>
        <v>8.64</v>
      </c>
      <c r="E23" s="154">
        <f t="shared" si="15"/>
        <v>16.485984000000002</v>
      </c>
      <c r="F23" s="69">
        <f t="shared" si="15"/>
        <v>275</v>
      </c>
      <c r="G23" s="150">
        <f t="shared" si="15"/>
        <v>11.19717</v>
      </c>
      <c r="H23" s="57">
        <f t="shared" si="15"/>
        <v>23972.940000000002</v>
      </c>
      <c r="I23" s="79">
        <f t="shared" si="15"/>
        <v>126.39937229999998</v>
      </c>
      <c r="J23" s="69">
        <f t="shared" si="15"/>
        <v>275</v>
      </c>
      <c r="K23" s="153">
        <f t="shared" si="15"/>
        <v>5.08686</v>
      </c>
      <c r="L23" s="165">
        <f t="shared" si="16"/>
        <v>979.2372233000001</v>
      </c>
      <c r="M23" s="143" t="s">
        <v>54</v>
      </c>
      <c r="N23" s="427">
        <f>73.2+62.8+55.8</f>
        <v>191.8</v>
      </c>
      <c r="O23" s="423">
        <f t="shared" si="17"/>
        <v>324.53902600000004</v>
      </c>
      <c r="P23" s="396">
        <v>2.16</v>
      </c>
      <c r="Q23" s="423">
        <f t="shared" si="18"/>
        <v>3.6548712</v>
      </c>
      <c r="R23" s="396">
        <v>69</v>
      </c>
      <c r="S23" s="423">
        <f t="shared" si="19"/>
        <v>2.65788</v>
      </c>
      <c r="T23" s="427">
        <v>7393.7</v>
      </c>
      <c r="U23" s="423">
        <f t="shared" si="20"/>
        <v>37.1681299</v>
      </c>
      <c r="V23" s="396">
        <f t="shared" si="21"/>
        <v>69</v>
      </c>
      <c r="W23" s="423">
        <f t="shared" si="22"/>
        <v>1.23234</v>
      </c>
      <c r="X23" s="426">
        <f t="shared" si="23"/>
        <v>369.25224710000003</v>
      </c>
      <c r="Y23" s="95" t="s">
        <v>54</v>
      </c>
      <c r="Z23" s="453">
        <f>41.4+15.7+0</f>
        <v>57.099999999999994</v>
      </c>
      <c r="AA23" s="423">
        <f t="shared" si="24"/>
        <v>96.61719699999999</v>
      </c>
      <c r="AB23" s="454">
        <v>2.16</v>
      </c>
      <c r="AC23" s="423">
        <f t="shared" si="25"/>
        <v>3.6548712</v>
      </c>
      <c r="AD23" s="396">
        <v>69</v>
      </c>
      <c r="AE23" s="423">
        <f t="shared" si="26"/>
        <v>2.65788</v>
      </c>
      <c r="AF23" s="427">
        <v>4390</v>
      </c>
      <c r="AG23" s="423">
        <f t="shared" si="27"/>
        <v>22.06853</v>
      </c>
      <c r="AH23" s="396">
        <f t="shared" si="28"/>
        <v>69</v>
      </c>
      <c r="AI23" s="423">
        <f t="shared" si="29"/>
        <v>1.23234</v>
      </c>
      <c r="AJ23" s="426">
        <f t="shared" si="30"/>
        <v>126.23081819999999</v>
      </c>
      <c r="AK23" s="95" t="s">
        <v>54</v>
      </c>
      <c r="AL23" s="396">
        <v>18.3</v>
      </c>
      <c r="AM23" s="449">
        <f t="shared" si="31"/>
        <v>38.871579000000004</v>
      </c>
      <c r="AN23" s="396">
        <v>2.16</v>
      </c>
      <c r="AO23" s="449">
        <f t="shared" si="32"/>
        <v>4.5881208</v>
      </c>
      <c r="AP23" s="396">
        <v>69</v>
      </c>
      <c r="AQ23" s="449">
        <f t="shared" si="33"/>
        <v>2.96217</v>
      </c>
      <c r="AR23" s="427">
        <v>6042.24</v>
      </c>
      <c r="AS23" s="449">
        <f t="shared" si="34"/>
        <v>33.292742399999995</v>
      </c>
      <c r="AT23" s="384">
        <f t="shared" si="35"/>
        <v>69</v>
      </c>
      <c r="AU23" s="449">
        <f t="shared" si="36"/>
        <v>1.3206600000000002</v>
      </c>
      <c r="AV23" s="426">
        <f t="shared" si="37"/>
        <v>81.03527220000001</v>
      </c>
      <c r="AW23" s="95" t="s">
        <v>54</v>
      </c>
      <c r="AX23" s="396">
        <f>41.8+56.2+71.5</f>
        <v>169.5</v>
      </c>
      <c r="AY23" s="449">
        <f t="shared" si="38"/>
        <v>360.04003500000005</v>
      </c>
      <c r="AZ23" s="396">
        <v>2.16</v>
      </c>
      <c r="BA23" s="449">
        <f t="shared" si="39"/>
        <v>4.5881208</v>
      </c>
      <c r="BB23" s="384">
        <v>68</v>
      </c>
      <c r="BC23" s="449">
        <f t="shared" si="40"/>
        <v>2.91924</v>
      </c>
      <c r="BD23" s="427">
        <v>6147</v>
      </c>
      <c r="BE23" s="449">
        <f t="shared" si="41"/>
        <v>33.86997</v>
      </c>
      <c r="BF23" s="384">
        <f t="shared" si="42"/>
        <v>68</v>
      </c>
      <c r="BG23" s="449">
        <f t="shared" si="43"/>
        <v>1.30152</v>
      </c>
      <c r="BH23" s="426">
        <f t="shared" si="44"/>
        <v>402.71888580000007</v>
      </c>
      <c r="BM23" s="1" t="s">
        <v>35</v>
      </c>
    </row>
    <row r="24" spans="1:60" s="33" customFormat="1" ht="23.25" customHeight="1">
      <c r="A24" s="29" t="s">
        <v>37</v>
      </c>
      <c r="B24" s="78">
        <f t="shared" si="15"/>
        <v>516.85</v>
      </c>
      <c r="C24" s="79">
        <f t="shared" si="15"/>
        <v>971.6518645</v>
      </c>
      <c r="D24" s="60">
        <f t="shared" si="15"/>
        <v>10.93</v>
      </c>
      <c r="E24" s="154">
        <f t="shared" si="15"/>
        <v>20.9527465</v>
      </c>
      <c r="F24" s="69">
        <f t="shared" si="15"/>
        <v>192.10000000000002</v>
      </c>
      <c r="G24" s="150">
        <f t="shared" si="15"/>
        <v>7.822081800000001</v>
      </c>
      <c r="H24" s="57">
        <f t="shared" si="15"/>
        <v>25275.800000000003</v>
      </c>
      <c r="I24" s="79">
        <f t="shared" si="15"/>
        <v>133.3412194</v>
      </c>
      <c r="J24" s="69">
        <f t="shared" si="15"/>
        <v>192.10000000000002</v>
      </c>
      <c r="K24" s="153">
        <f t="shared" si="15"/>
        <v>3.5535044000000005</v>
      </c>
      <c r="L24" s="165">
        <f t="shared" si="16"/>
        <v>1137.3214166</v>
      </c>
      <c r="M24" s="122" t="s">
        <v>37</v>
      </c>
      <c r="N24" s="427">
        <v>209.1</v>
      </c>
      <c r="O24" s="423">
        <f t="shared" si="17"/>
        <v>353.811837</v>
      </c>
      <c r="P24" s="396">
        <v>3.53</v>
      </c>
      <c r="Q24" s="423">
        <f t="shared" si="18"/>
        <v>5.9730071</v>
      </c>
      <c r="R24" s="396">
        <f>36.81+11.35</f>
        <v>48.160000000000004</v>
      </c>
      <c r="S24" s="423">
        <f t="shared" si="19"/>
        <v>1.8551232000000002</v>
      </c>
      <c r="T24" s="427">
        <v>7229.5</v>
      </c>
      <c r="U24" s="423">
        <f t="shared" si="20"/>
        <v>36.342696499999995</v>
      </c>
      <c r="V24" s="396">
        <f t="shared" si="21"/>
        <v>48.160000000000004</v>
      </c>
      <c r="W24" s="423">
        <f t="shared" si="22"/>
        <v>0.8601376000000001</v>
      </c>
      <c r="X24" s="426">
        <f t="shared" si="23"/>
        <v>398.8428014</v>
      </c>
      <c r="Y24" s="96" t="s">
        <v>37</v>
      </c>
      <c r="Z24" s="453">
        <v>83</v>
      </c>
      <c r="AA24" s="423">
        <f t="shared" si="24"/>
        <v>140.44181</v>
      </c>
      <c r="AB24" s="454">
        <v>1.71</v>
      </c>
      <c r="AC24" s="423">
        <f t="shared" si="25"/>
        <v>2.8934397</v>
      </c>
      <c r="AD24" s="396">
        <f>36.81+11.35</f>
        <v>48.160000000000004</v>
      </c>
      <c r="AE24" s="423">
        <f t="shared" si="26"/>
        <v>1.8551232000000002</v>
      </c>
      <c r="AF24" s="427">
        <v>5044.7</v>
      </c>
      <c r="AG24" s="423">
        <f t="shared" si="27"/>
        <v>25.359706900000003</v>
      </c>
      <c r="AH24" s="396">
        <f t="shared" si="28"/>
        <v>48.160000000000004</v>
      </c>
      <c r="AI24" s="423">
        <f t="shared" si="29"/>
        <v>0.8601376000000001</v>
      </c>
      <c r="AJ24" s="426">
        <f t="shared" si="30"/>
        <v>171.4102174</v>
      </c>
      <c r="AK24" s="96" t="s">
        <v>37</v>
      </c>
      <c r="AL24" s="396">
        <v>18.4</v>
      </c>
      <c r="AM24" s="449">
        <f t="shared" si="31"/>
        <v>39.083991999999995</v>
      </c>
      <c r="AN24" s="396">
        <v>2.16</v>
      </c>
      <c r="AO24" s="449">
        <f t="shared" si="32"/>
        <v>4.5881208</v>
      </c>
      <c r="AP24" s="396">
        <f>36.81+11.35</f>
        <v>48.160000000000004</v>
      </c>
      <c r="AQ24" s="449">
        <f t="shared" si="33"/>
        <v>2.0675088</v>
      </c>
      <c r="AR24" s="427">
        <v>5772.1</v>
      </c>
      <c r="AS24" s="449">
        <f t="shared" si="34"/>
        <v>31.804271</v>
      </c>
      <c r="AT24" s="384">
        <f t="shared" si="35"/>
        <v>48.160000000000004</v>
      </c>
      <c r="AU24" s="449">
        <f t="shared" si="36"/>
        <v>0.9217824</v>
      </c>
      <c r="AV24" s="426">
        <f t="shared" si="37"/>
        <v>78.46567499999999</v>
      </c>
      <c r="AW24" s="96" t="s">
        <v>37</v>
      </c>
      <c r="AX24" s="396">
        <v>206.35</v>
      </c>
      <c r="AY24" s="449">
        <f t="shared" si="38"/>
        <v>438.3142255</v>
      </c>
      <c r="AZ24" s="396">
        <v>3.53</v>
      </c>
      <c r="BA24" s="449">
        <f t="shared" si="39"/>
        <v>7.4981789</v>
      </c>
      <c r="BB24" s="384">
        <f>36.27+11.35</f>
        <v>47.620000000000005</v>
      </c>
      <c r="BC24" s="449">
        <f t="shared" si="40"/>
        <v>2.0443266</v>
      </c>
      <c r="BD24" s="427">
        <v>7229.5</v>
      </c>
      <c r="BE24" s="449">
        <f t="shared" si="41"/>
        <v>39.834545</v>
      </c>
      <c r="BF24" s="384">
        <f t="shared" si="42"/>
        <v>47.620000000000005</v>
      </c>
      <c r="BG24" s="449">
        <f t="shared" si="43"/>
        <v>0.9114468000000001</v>
      </c>
      <c r="BH24" s="426">
        <f t="shared" si="44"/>
        <v>488.60272280000004</v>
      </c>
    </row>
    <row r="25" spans="1:63" s="33" customFormat="1" ht="15" customHeight="1">
      <c r="A25" s="29" t="s">
        <v>41</v>
      </c>
      <c r="B25" s="78">
        <f t="shared" si="15"/>
        <v>107.15</v>
      </c>
      <c r="C25" s="79">
        <f t="shared" si="15"/>
        <v>218.6784905</v>
      </c>
      <c r="D25" s="60">
        <f t="shared" si="15"/>
        <v>0</v>
      </c>
      <c r="E25" s="154">
        <f t="shared" si="15"/>
        <v>0</v>
      </c>
      <c r="F25" s="69">
        <f t="shared" si="15"/>
        <v>0</v>
      </c>
      <c r="G25" s="150">
        <f t="shared" si="15"/>
        <v>0</v>
      </c>
      <c r="H25" s="57">
        <f t="shared" si="15"/>
        <v>0</v>
      </c>
      <c r="I25" s="79">
        <f t="shared" si="15"/>
        <v>0</v>
      </c>
      <c r="J25" s="69">
        <f t="shared" si="15"/>
        <v>0</v>
      </c>
      <c r="K25" s="153">
        <f t="shared" si="15"/>
        <v>0</v>
      </c>
      <c r="L25" s="165">
        <f t="shared" si="16"/>
        <v>218.6784905</v>
      </c>
      <c r="M25" s="122" t="s">
        <v>41</v>
      </c>
      <c r="N25" s="427">
        <v>16.57</v>
      </c>
      <c r="O25" s="423">
        <f t="shared" si="17"/>
        <v>28.0375999</v>
      </c>
      <c r="P25" s="396">
        <v>0</v>
      </c>
      <c r="Q25" s="423">
        <f t="shared" si="18"/>
        <v>0</v>
      </c>
      <c r="R25" s="396">
        <v>0</v>
      </c>
      <c r="S25" s="423">
        <f t="shared" si="19"/>
        <v>0</v>
      </c>
      <c r="T25" s="427">
        <v>0</v>
      </c>
      <c r="U25" s="423">
        <f t="shared" si="20"/>
        <v>0</v>
      </c>
      <c r="V25" s="396">
        <f t="shared" si="21"/>
        <v>0</v>
      </c>
      <c r="W25" s="423">
        <f t="shared" si="22"/>
        <v>0</v>
      </c>
      <c r="X25" s="426">
        <f t="shared" si="23"/>
        <v>28.0375999</v>
      </c>
      <c r="Y25" s="96" t="s">
        <v>41</v>
      </c>
      <c r="Z25" s="453">
        <v>4.08</v>
      </c>
      <c r="AA25" s="423">
        <f t="shared" si="24"/>
        <v>6.9036456</v>
      </c>
      <c r="AB25" s="454">
        <v>0</v>
      </c>
      <c r="AC25" s="423">
        <f t="shared" si="25"/>
        <v>0</v>
      </c>
      <c r="AD25" s="396">
        <v>0</v>
      </c>
      <c r="AE25" s="423">
        <f t="shared" si="26"/>
        <v>0</v>
      </c>
      <c r="AF25" s="427">
        <v>0</v>
      </c>
      <c r="AG25" s="423">
        <f t="shared" si="27"/>
        <v>0</v>
      </c>
      <c r="AH25" s="396">
        <f t="shared" si="28"/>
        <v>0</v>
      </c>
      <c r="AI25" s="423">
        <f t="shared" si="29"/>
        <v>0</v>
      </c>
      <c r="AJ25" s="426">
        <f t="shared" si="30"/>
        <v>6.9036456</v>
      </c>
      <c r="AK25" s="96" t="s">
        <v>41</v>
      </c>
      <c r="AL25" s="396">
        <v>0</v>
      </c>
      <c r="AM25" s="449">
        <f t="shared" si="31"/>
        <v>0</v>
      </c>
      <c r="AN25" s="396">
        <v>0</v>
      </c>
      <c r="AO25" s="449">
        <f t="shared" si="32"/>
        <v>0</v>
      </c>
      <c r="AP25" s="396">
        <v>0</v>
      </c>
      <c r="AQ25" s="449">
        <f t="shared" si="33"/>
        <v>0</v>
      </c>
      <c r="AR25" s="427">
        <v>0</v>
      </c>
      <c r="AS25" s="449">
        <f t="shared" si="34"/>
        <v>0</v>
      </c>
      <c r="AT25" s="384">
        <f t="shared" si="35"/>
        <v>0</v>
      </c>
      <c r="AU25" s="449">
        <f t="shared" si="36"/>
        <v>0</v>
      </c>
      <c r="AV25" s="426">
        <f t="shared" si="37"/>
        <v>0</v>
      </c>
      <c r="AW25" s="96" t="s">
        <v>41</v>
      </c>
      <c r="AX25" s="396">
        <v>86.5</v>
      </c>
      <c r="AY25" s="449">
        <f t="shared" si="38"/>
        <v>183.737245</v>
      </c>
      <c r="AZ25" s="396">
        <v>0</v>
      </c>
      <c r="BA25" s="449">
        <f t="shared" si="39"/>
        <v>0</v>
      </c>
      <c r="BB25" s="384">
        <v>0</v>
      </c>
      <c r="BC25" s="449">
        <f t="shared" si="40"/>
        <v>0</v>
      </c>
      <c r="BD25" s="427">
        <v>0</v>
      </c>
      <c r="BE25" s="449">
        <f t="shared" si="41"/>
        <v>0</v>
      </c>
      <c r="BF25" s="384">
        <f t="shared" si="42"/>
        <v>0</v>
      </c>
      <c r="BG25" s="449">
        <f t="shared" si="43"/>
        <v>0</v>
      </c>
      <c r="BH25" s="426">
        <f t="shared" si="44"/>
        <v>183.737245</v>
      </c>
      <c r="BK25" s="33" t="s">
        <v>35</v>
      </c>
    </row>
    <row r="26" spans="1:63" s="33" customFormat="1" ht="33" customHeight="1">
      <c r="A26" s="415" t="s">
        <v>55</v>
      </c>
      <c r="B26" s="78">
        <f t="shared" si="15"/>
        <v>554.86</v>
      </c>
      <c r="C26" s="79">
        <f t="shared" si="15"/>
        <v>1055.9070142</v>
      </c>
      <c r="D26" s="60">
        <f t="shared" si="15"/>
        <v>30.17</v>
      </c>
      <c r="E26" s="154">
        <f t="shared" si="15"/>
        <v>57.798529099999996</v>
      </c>
      <c r="F26" s="69">
        <f t="shared" si="15"/>
        <v>525</v>
      </c>
      <c r="G26" s="150">
        <f t="shared" si="15"/>
        <v>21.380625000000002</v>
      </c>
      <c r="H26" s="57">
        <f t="shared" si="15"/>
        <v>54116.18</v>
      </c>
      <c r="I26" s="79">
        <f t="shared" si="15"/>
        <v>279.70623256</v>
      </c>
      <c r="J26" s="69">
        <f t="shared" si="15"/>
        <v>525</v>
      </c>
      <c r="K26" s="153">
        <f t="shared" si="15"/>
        <v>9.7125</v>
      </c>
      <c r="L26" s="165">
        <f t="shared" si="16"/>
        <v>1424.5049008600001</v>
      </c>
      <c r="M26" s="122" t="s">
        <v>55</v>
      </c>
      <c r="N26" s="427">
        <v>218.56</v>
      </c>
      <c r="O26" s="423">
        <f t="shared" si="17"/>
        <v>369.81881919999995</v>
      </c>
      <c r="P26" s="396">
        <v>10.37</v>
      </c>
      <c r="Q26" s="423">
        <f t="shared" si="18"/>
        <v>17.546765899999997</v>
      </c>
      <c r="R26" s="396">
        <v>131.25</v>
      </c>
      <c r="S26" s="423">
        <f t="shared" si="19"/>
        <v>5.05575</v>
      </c>
      <c r="T26" s="427">
        <v>27848.38</v>
      </c>
      <c r="U26" s="423">
        <f t="shared" si="20"/>
        <v>139.99380626</v>
      </c>
      <c r="V26" s="396">
        <f t="shared" si="21"/>
        <v>131.25</v>
      </c>
      <c r="W26" s="423">
        <f t="shared" si="22"/>
        <v>2.344125</v>
      </c>
      <c r="X26" s="426">
        <f t="shared" si="23"/>
        <v>534.75926636</v>
      </c>
      <c r="Y26" s="96" t="s">
        <v>55</v>
      </c>
      <c r="Z26" s="453">
        <v>65.4</v>
      </c>
      <c r="AA26" s="423">
        <f t="shared" si="24"/>
        <v>110.66137800000001</v>
      </c>
      <c r="AB26" s="454">
        <v>4.18</v>
      </c>
      <c r="AC26" s="423">
        <f t="shared" si="25"/>
        <v>7.072852599999999</v>
      </c>
      <c r="AD26" s="396">
        <v>131.25</v>
      </c>
      <c r="AE26" s="423">
        <f t="shared" si="26"/>
        <v>5.05575</v>
      </c>
      <c r="AF26" s="427">
        <v>10399.9</v>
      </c>
      <c r="AG26" s="423">
        <f t="shared" si="27"/>
        <v>52.2802973</v>
      </c>
      <c r="AH26" s="396">
        <f t="shared" si="28"/>
        <v>131.25</v>
      </c>
      <c r="AI26" s="423">
        <f t="shared" si="29"/>
        <v>2.344125</v>
      </c>
      <c r="AJ26" s="426">
        <f t="shared" si="30"/>
        <v>177.4144029</v>
      </c>
      <c r="AK26" s="96" t="s">
        <v>55</v>
      </c>
      <c r="AL26" s="396">
        <v>18</v>
      </c>
      <c r="AM26" s="449">
        <f t="shared" si="31"/>
        <v>38.23434</v>
      </c>
      <c r="AN26" s="396">
        <v>7.02</v>
      </c>
      <c r="AO26" s="449">
        <f t="shared" si="32"/>
        <v>14.9113926</v>
      </c>
      <c r="AP26" s="396">
        <v>131.25</v>
      </c>
      <c r="AQ26" s="449">
        <f t="shared" si="33"/>
        <v>5.6345625</v>
      </c>
      <c r="AR26" s="427">
        <v>2199.9</v>
      </c>
      <c r="AS26" s="449">
        <f t="shared" si="34"/>
        <v>12.121449</v>
      </c>
      <c r="AT26" s="384">
        <f t="shared" si="35"/>
        <v>131.25</v>
      </c>
      <c r="AU26" s="449">
        <f t="shared" si="36"/>
        <v>2.512125</v>
      </c>
      <c r="AV26" s="426">
        <f t="shared" si="37"/>
        <v>73.4138691</v>
      </c>
      <c r="AW26" s="96" t="s">
        <v>55</v>
      </c>
      <c r="AX26" s="396">
        <v>252.9</v>
      </c>
      <c r="AY26" s="449">
        <f t="shared" si="38"/>
        <v>537.192477</v>
      </c>
      <c r="AZ26" s="396">
        <v>8.6</v>
      </c>
      <c r="BA26" s="449">
        <f t="shared" si="39"/>
        <v>18.267518</v>
      </c>
      <c r="BB26" s="384">
        <v>131.25</v>
      </c>
      <c r="BC26" s="449">
        <f t="shared" si="40"/>
        <v>5.6345625</v>
      </c>
      <c r="BD26" s="427">
        <v>13668</v>
      </c>
      <c r="BE26" s="449">
        <f t="shared" si="41"/>
        <v>75.31067999999999</v>
      </c>
      <c r="BF26" s="384">
        <f t="shared" si="42"/>
        <v>131.25</v>
      </c>
      <c r="BG26" s="449">
        <f t="shared" si="43"/>
        <v>2.512125</v>
      </c>
      <c r="BH26" s="426">
        <f t="shared" si="44"/>
        <v>638.9173625000001</v>
      </c>
      <c r="BK26" s="33" t="s">
        <v>35</v>
      </c>
    </row>
    <row r="27" spans="1:61" s="33" customFormat="1" ht="28.5" customHeight="1" thickBot="1">
      <c r="A27" s="415" t="s">
        <v>38</v>
      </c>
      <c r="B27" s="189">
        <f t="shared" si="15"/>
        <v>0</v>
      </c>
      <c r="C27" s="166">
        <f t="shared" si="15"/>
        <v>0</v>
      </c>
      <c r="D27" s="59">
        <f t="shared" si="15"/>
        <v>0</v>
      </c>
      <c r="E27" s="167">
        <f t="shared" si="15"/>
        <v>0</v>
      </c>
      <c r="F27" s="71">
        <f t="shared" si="15"/>
        <v>0</v>
      </c>
      <c r="G27" s="168">
        <f t="shared" si="15"/>
        <v>0</v>
      </c>
      <c r="H27" s="56">
        <f t="shared" si="15"/>
        <v>24352.270000000004</v>
      </c>
      <c r="I27" s="166">
        <f t="shared" si="15"/>
        <v>125.86774694</v>
      </c>
      <c r="J27" s="71">
        <f t="shared" si="15"/>
        <v>0</v>
      </c>
      <c r="K27" s="169">
        <f t="shared" si="15"/>
        <v>0</v>
      </c>
      <c r="L27" s="52">
        <f t="shared" si="16"/>
        <v>125.86774694</v>
      </c>
      <c r="M27" s="124" t="s">
        <v>38</v>
      </c>
      <c r="N27" s="445">
        <v>0</v>
      </c>
      <c r="O27" s="423">
        <f t="shared" si="17"/>
        <v>0</v>
      </c>
      <c r="P27" s="446">
        <v>0</v>
      </c>
      <c r="Q27" s="423">
        <f t="shared" si="18"/>
        <v>0</v>
      </c>
      <c r="R27" s="446">
        <v>0</v>
      </c>
      <c r="S27" s="423">
        <f t="shared" si="19"/>
        <v>0</v>
      </c>
      <c r="T27" s="429">
        <v>12531.77</v>
      </c>
      <c r="U27" s="423">
        <f t="shared" si="20"/>
        <v>62.99720779</v>
      </c>
      <c r="V27" s="446">
        <f t="shared" si="21"/>
        <v>0</v>
      </c>
      <c r="W27" s="423">
        <f t="shared" si="22"/>
        <v>0</v>
      </c>
      <c r="X27" s="426">
        <f t="shared" si="23"/>
        <v>62.99720779</v>
      </c>
      <c r="Y27" s="96" t="s">
        <v>38</v>
      </c>
      <c r="Z27" s="460">
        <v>0</v>
      </c>
      <c r="AA27" s="423">
        <f t="shared" si="24"/>
        <v>0</v>
      </c>
      <c r="AB27" s="461">
        <v>0</v>
      </c>
      <c r="AC27" s="423">
        <f t="shared" si="25"/>
        <v>0</v>
      </c>
      <c r="AD27" s="446">
        <v>0</v>
      </c>
      <c r="AE27" s="423">
        <f t="shared" si="26"/>
        <v>0</v>
      </c>
      <c r="AF27" s="445">
        <v>4679.95</v>
      </c>
      <c r="AG27" s="423">
        <f t="shared" si="27"/>
        <v>23.526108649999998</v>
      </c>
      <c r="AH27" s="446">
        <f t="shared" si="28"/>
        <v>0</v>
      </c>
      <c r="AI27" s="423">
        <f t="shared" si="29"/>
        <v>0</v>
      </c>
      <c r="AJ27" s="426">
        <f t="shared" si="30"/>
        <v>23.526108649999998</v>
      </c>
      <c r="AK27" s="96" t="s">
        <v>38</v>
      </c>
      <c r="AL27" s="446">
        <v>0</v>
      </c>
      <c r="AM27" s="449">
        <f t="shared" si="31"/>
        <v>0</v>
      </c>
      <c r="AN27" s="446">
        <v>0</v>
      </c>
      <c r="AO27" s="449">
        <f t="shared" si="32"/>
        <v>0</v>
      </c>
      <c r="AP27" s="446">
        <v>0</v>
      </c>
      <c r="AQ27" s="449">
        <f t="shared" si="33"/>
        <v>0</v>
      </c>
      <c r="AR27" s="445">
        <v>989.95</v>
      </c>
      <c r="AS27" s="449">
        <f t="shared" si="34"/>
        <v>5.4546244999999995</v>
      </c>
      <c r="AT27" s="455">
        <f t="shared" si="35"/>
        <v>0</v>
      </c>
      <c r="AU27" s="449">
        <f t="shared" si="36"/>
        <v>0</v>
      </c>
      <c r="AV27" s="426">
        <f t="shared" si="37"/>
        <v>5.4546244999999995</v>
      </c>
      <c r="AW27" s="96" t="s">
        <v>38</v>
      </c>
      <c r="AX27" s="446">
        <v>0</v>
      </c>
      <c r="AY27" s="449">
        <f t="shared" si="38"/>
        <v>0</v>
      </c>
      <c r="AZ27" s="446">
        <v>0</v>
      </c>
      <c r="BA27" s="449">
        <f t="shared" si="39"/>
        <v>0</v>
      </c>
      <c r="BB27" s="455">
        <v>0</v>
      </c>
      <c r="BC27" s="449">
        <f t="shared" si="40"/>
        <v>0</v>
      </c>
      <c r="BD27" s="445">
        <v>6150.6</v>
      </c>
      <c r="BE27" s="449">
        <f t="shared" si="41"/>
        <v>33.88980600000001</v>
      </c>
      <c r="BF27" s="455">
        <f t="shared" si="42"/>
        <v>0</v>
      </c>
      <c r="BG27" s="449">
        <f t="shared" si="43"/>
        <v>0</v>
      </c>
      <c r="BH27" s="486">
        <f t="shared" si="44"/>
        <v>33.88980600000001</v>
      </c>
      <c r="BI27" s="33" t="s">
        <v>35</v>
      </c>
    </row>
    <row r="28" spans="1:60" s="33" customFormat="1" ht="19.5" customHeight="1" thickBot="1">
      <c r="A28" s="27" t="s">
        <v>24</v>
      </c>
      <c r="B28" s="35">
        <f t="shared" si="15"/>
        <v>1875.8600000000001</v>
      </c>
      <c r="C28" s="50">
        <f t="shared" si="15"/>
        <v>3556.1786912000002</v>
      </c>
      <c r="D28" s="35">
        <f>P28+AB28+AN28+AZ28</f>
        <v>51.9</v>
      </c>
      <c r="E28" s="44">
        <f t="shared" si="15"/>
        <v>99.3587556</v>
      </c>
      <c r="F28" s="34">
        <f t="shared" si="15"/>
        <v>1092.9</v>
      </c>
      <c r="G28" s="50">
        <f t="shared" si="15"/>
        <v>44.5049568</v>
      </c>
      <c r="H28" s="84">
        <f t="shared" si="15"/>
        <v>153117.52</v>
      </c>
      <c r="I28" s="44">
        <f t="shared" si="15"/>
        <v>798.6731263099998</v>
      </c>
      <c r="J28" s="34">
        <f t="shared" si="15"/>
        <v>1092.9</v>
      </c>
      <c r="K28" s="46">
        <f t="shared" si="15"/>
        <v>20.2176644</v>
      </c>
      <c r="L28" s="63">
        <f t="shared" si="16"/>
        <v>4518.93319431</v>
      </c>
      <c r="M28" s="27" t="s">
        <v>24</v>
      </c>
      <c r="N28" s="434">
        <f aca="true" t="shared" si="45" ref="N28:W28">SUM(N21:N27)</f>
        <v>746.4300000000001</v>
      </c>
      <c r="O28" s="401">
        <f t="shared" si="45"/>
        <v>1263.0118101</v>
      </c>
      <c r="P28" s="434">
        <f t="shared" si="45"/>
        <v>16.6</v>
      </c>
      <c r="Q28" s="401">
        <f t="shared" si="45"/>
        <v>28.088361999999996</v>
      </c>
      <c r="R28" s="434">
        <f t="shared" si="45"/>
        <v>273.61</v>
      </c>
      <c r="S28" s="401">
        <f t="shared" si="45"/>
        <v>10.539457200000001</v>
      </c>
      <c r="T28" s="434">
        <f t="shared" si="45"/>
        <v>61565.61</v>
      </c>
      <c r="U28" s="401">
        <f t="shared" si="45"/>
        <v>309.49032146999997</v>
      </c>
      <c r="V28" s="434">
        <f t="shared" si="45"/>
        <v>273.61</v>
      </c>
      <c r="W28" s="401">
        <f t="shared" si="45"/>
        <v>4.8866746</v>
      </c>
      <c r="X28" s="421">
        <f>O28+Q28+S28+U28+W28</f>
        <v>1616.0166253700002</v>
      </c>
      <c r="Y28" s="27" t="s">
        <v>24</v>
      </c>
      <c r="Z28" s="434">
        <f aca="true" t="shared" si="46" ref="Z28:AI28">SUM(Z21:Z27)</f>
        <v>245.08</v>
      </c>
      <c r="AA28" s="401">
        <f t="shared" si="46"/>
        <v>414.6925156</v>
      </c>
      <c r="AB28" s="434">
        <f t="shared" si="46"/>
        <v>8.59</v>
      </c>
      <c r="AC28" s="401">
        <f t="shared" si="46"/>
        <v>14.534881299999999</v>
      </c>
      <c r="AD28" s="434">
        <f t="shared" si="46"/>
        <v>273.61</v>
      </c>
      <c r="AE28" s="401">
        <f t="shared" si="46"/>
        <v>10.539457200000001</v>
      </c>
      <c r="AF28" s="434">
        <f t="shared" si="46"/>
        <v>31611.219999999998</v>
      </c>
      <c r="AG28" s="401">
        <f t="shared" si="46"/>
        <v>158.90960293999998</v>
      </c>
      <c r="AH28" s="434">
        <f t="shared" si="46"/>
        <v>273.61</v>
      </c>
      <c r="AI28" s="401">
        <f t="shared" si="46"/>
        <v>4.8866746</v>
      </c>
      <c r="AJ28" s="421">
        <f>AA28+AC28+AE28+AG28+AI28</f>
        <v>603.5631316399999</v>
      </c>
      <c r="AK28" s="27" t="s">
        <v>24</v>
      </c>
      <c r="AL28" s="434">
        <f aca="true" t="shared" si="47" ref="AL28:AU28">SUM(AL21:AL27)</f>
        <v>64.1</v>
      </c>
      <c r="AM28" s="401">
        <f t="shared" si="47"/>
        <v>136.156733</v>
      </c>
      <c r="AN28" s="434">
        <f t="shared" si="47"/>
        <v>11.879999999999999</v>
      </c>
      <c r="AO28" s="401">
        <f t="shared" si="47"/>
        <v>25.2346644</v>
      </c>
      <c r="AP28" s="434">
        <f t="shared" si="47"/>
        <v>273.61</v>
      </c>
      <c r="AQ28" s="401">
        <f t="shared" si="47"/>
        <v>11.7460773</v>
      </c>
      <c r="AR28" s="434">
        <f t="shared" si="47"/>
        <v>19205.59</v>
      </c>
      <c r="AS28" s="401">
        <f t="shared" si="47"/>
        <v>105.82280089999999</v>
      </c>
      <c r="AT28" s="434">
        <f t="shared" si="47"/>
        <v>273.61</v>
      </c>
      <c r="AU28" s="401">
        <f t="shared" si="47"/>
        <v>5.2368954</v>
      </c>
      <c r="AV28" s="421">
        <f>AM28+AO28+AQ28+AS28+AU28</f>
        <v>284.19717099999997</v>
      </c>
      <c r="AW28" s="27" t="s">
        <v>24</v>
      </c>
      <c r="AX28" s="434">
        <f aca="true" t="shared" si="48" ref="AX28:BG28">SUM(AX21:AX27)</f>
        <v>820.25</v>
      </c>
      <c r="AY28" s="401">
        <f t="shared" si="48"/>
        <v>1742.3176325000002</v>
      </c>
      <c r="AZ28" s="434">
        <f t="shared" si="48"/>
        <v>14.83</v>
      </c>
      <c r="BA28" s="401">
        <f t="shared" si="48"/>
        <v>31.5008479</v>
      </c>
      <c r="BB28" s="434">
        <f t="shared" si="48"/>
        <v>272.07</v>
      </c>
      <c r="BC28" s="401">
        <f t="shared" si="48"/>
        <v>11.6799651</v>
      </c>
      <c r="BD28" s="434">
        <f t="shared" si="48"/>
        <v>40735.1</v>
      </c>
      <c r="BE28" s="401">
        <f t="shared" si="48"/>
        <v>224.450401</v>
      </c>
      <c r="BF28" s="434">
        <f t="shared" si="48"/>
        <v>272.07</v>
      </c>
      <c r="BG28" s="401">
        <f t="shared" si="48"/>
        <v>5.2074198</v>
      </c>
      <c r="BH28" s="421">
        <f>AY28+BA28+BC28+BE28+BG28</f>
        <v>2015.1562663000002</v>
      </c>
    </row>
    <row r="29" spans="1:60" s="33" customFormat="1" ht="21" customHeight="1" thickBot="1">
      <c r="A29" s="390" t="s">
        <v>34</v>
      </c>
      <c r="B29" s="120"/>
      <c r="C29" s="170"/>
      <c r="D29" s="120"/>
      <c r="E29" s="170"/>
      <c r="F29" s="120"/>
      <c r="G29" s="120"/>
      <c r="H29" s="177"/>
      <c r="I29" s="125"/>
      <c r="J29" s="120" t="s">
        <v>35</v>
      </c>
      <c r="K29" s="120" t="s">
        <v>35</v>
      </c>
      <c r="L29" s="53"/>
      <c r="M29" s="20" t="s">
        <v>34</v>
      </c>
      <c r="N29" s="440"/>
      <c r="O29" s="441"/>
      <c r="P29" s="442"/>
      <c r="Q29" s="441"/>
      <c r="R29" s="442"/>
      <c r="S29" s="442"/>
      <c r="T29" s="442"/>
      <c r="U29" s="442"/>
      <c r="V29" s="442"/>
      <c r="W29" s="442" t="s">
        <v>35</v>
      </c>
      <c r="X29" s="443"/>
      <c r="Y29" s="112" t="s">
        <v>34</v>
      </c>
      <c r="Z29" s="434"/>
      <c r="AA29" s="441"/>
      <c r="AB29" s="418"/>
      <c r="AC29" s="441"/>
      <c r="AD29" s="418"/>
      <c r="AE29" s="442"/>
      <c r="AF29" s="418"/>
      <c r="AG29" s="442"/>
      <c r="AH29" s="442"/>
      <c r="AI29" s="442" t="s">
        <v>35</v>
      </c>
      <c r="AJ29" s="443"/>
      <c r="AK29" s="112" t="s">
        <v>34</v>
      </c>
      <c r="AL29" s="438"/>
      <c r="AM29" s="479"/>
      <c r="AN29" s="475"/>
      <c r="AO29" s="479"/>
      <c r="AP29" s="475"/>
      <c r="AQ29" s="475"/>
      <c r="AR29" s="480"/>
      <c r="AS29" s="481"/>
      <c r="AT29" s="475" t="s">
        <v>35</v>
      </c>
      <c r="AU29" s="478" t="s">
        <v>35</v>
      </c>
      <c r="AV29" s="421"/>
      <c r="AW29" s="20" t="s">
        <v>34</v>
      </c>
      <c r="AX29" s="488" t="s">
        <v>35</v>
      </c>
      <c r="AY29" s="479"/>
      <c r="AZ29" s="475"/>
      <c r="BA29" s="479"/>
      <c r="BB29" s="475"/>
      <c r="BC29" s="475"/>
      <c r="BD29" s="474"/>
      <c r="BE29" s="481"/>
      <c r="BF29" s="475"/>
      <c r="BG29" s="475" t="s">
        <v>35</v>
      </c>
      <c r="BH29" s="419"/>
    </row>
    <row r="30" spans="1:61" s="33" customFormat="1" ht="30.75" customHeight="1">
      <c r="A30" s="387" t="s">
        <v>46</v>
      </c>
      <c r="B30" s="65">
        <f aca="true" t="shared" si="49" ref="B30:K40">N30+Z30+AL30+AX30</f>
        <v>0</v>
      </c>
      <c r="C30" s="151">
        <f t="shared" si="49"/>
        <v>0</v>
      </c>
      <c r="D30" s="65">
        <f t="shared" si="49"/>
        <v>0</v>
      </c>
      <c r="E30" s="151">
        <f t="shared" si="49"/>
        <v>0</v>
      </c>
      <c r="F30" s="67">
        <f t="shared" si="49"/>
        <v>0</v>
      </c>
      <c r="G30" s="164">
        <f t="shared" si="49"/>
        <v>0</v>
      </c>
      <c r="H30" s="173">
        <f t="shared" si="49"/>
        <v>8246.45</v>
      </c>
      <c r="I30" s="164">
        <f t="shared" si="49"/>
        <v>43.23379315</v>
      </c>
      <c r="J30" s="65">
        <f t="shared" si="49"/>
        <v>0</v>
      </c>
      <c r="K30" s="151">
        <f t="shared" si="49"/>
        <v>0</v>
      </c>
      <c r="L30" s="165">
        <f aca="true" t="shared" si="50" ref="L30:L35">C30+E30+G30+I30+K30</f>
        <v>43.23379315</v>
      </c>
      <c r="M30" s="144" t="s">
        <v>57</v>
      </c>
      <c r="N30" s="444">
        <v>0</v>
      </c>
      <c r="O30" s="423">
        <f aca="true" t="shared" si="51" ref="O30:O37">N30*1692.07/1000</f>
        <v>0</v>
      </c>
      <c r="P30" s="394">
        <v>0</v>
      </c>
      <c r="Q30" s="423">
        <f aca="true" t="shared" si="52" ref="Q30:Q37">P30*1692.07/1000</f>
        <v>0</v>
      </c>
      <c r="R30" s="394">
        <v>0</v>
      </c>
      <c r="S30" s="423">
        <f aca="true" t="shared" si="53" ref="S30:S37">R30*38.52/1000</f>
        <v>0</v>
      </c>
      <c r="T30" s="447">
        <v>2461.45</v>
      </c>
      <c r="U30" s="423">
        <f aca="true" t="shared" si="54" ref="U30:U39">T30*5.027/1000</f>
        <v>12.373709149999998</v>
      </c>
      <c r="V30" s="394">
        <f>R30</f>
        <v>0</v>
      </c>
      <c r="W30" s="423">
        <f aca="true" t="shared" si="55" ref="W30:W37">V30*17.86/1000</f>
        <v>0</v>
      </c>
      <c r="X30" s="426">
        <f aca="true" t="shared" si="56" ref="X30:X39">O30+Q30+S30+U30+W30</f>
        <v>12.373709149999998</v>
      </c>
      <c r="Y30" s="121" t="s">
        <v>57</v>
      </c>
      <c r="Z30" s="459">
        <v>0</v>
      </c>
      <c r="AA30" s="423">
        <f aca="true" t="shared" si="57" ref="AA30:AA37">Z30*1692.07/1000</f>
        <v>0</v>
      </c>
      <c r="AB30" s="459">
        <v>0</v>
      </c>
      <c r="AC30" s="423">
        <f aca="true" t="shared" si="58" ref="AC30:AC37">AB30*1692.07/1000</f>
        <v>0</v>
      </c>
      <c r="AD30" s="386">
        <v>0</v>
      </c>
      <c r="AE30" s="423">
        <f aca="true" t="shared" si="59" ref="AE30:AE37">AD30*38.52/1000</f>
        <v>0</v>
      </c>
      <c r="AF30" s="444">
        <v>2102</v>
      </c>
      <c r="AG30" s="423">
        <f aca="true" t="shared" si="60" ref="AG30:AG39">AF30*5.027/1000</f>
        <v>10.566754000000001</v>
      </c>
      <c r="AH30" s="394">
        <f>AD30</f>
        <v>0</v>
      </c>
      <c r="AI30" s="423">
        <f aca="true" t="shared" si="61" ref="AI30:AI37">AH30*17.86/1000</f>
        <v>0</v>
      </c>
      <c r="AJ30" s="426">
        <f aca="true" t="shared" si="62" ref="AJ30:AJ39">AA30+AC30+AE30+AG30+AI30</f>
        <v>10.566754000000001</v>
      </c>
      <c r="AK30" s="97" t="s">
        <v>57</v>
      </c>
      <c r="AL30" s="386">
        <v>0</v>
      </c>
      <c r="AM30" s="449">
        <f aca="true" t="shared" si="63" ref="AM30:AM37">AL30*2124.13/1000</f>
        <v>0</v>
      </c>
      <c r="AN30" s="394">
        <v>0</v>
      </c>
      <c r="AO30" s="449">
        <f aca="true" t="shared" si="64" ref="AO30:AO37">AN30*2124.13/1000</f>
        <v>0</v>
      </c>
      <c r="AP30" s="394">
        <v>0</v>
      </c>
      <c r="AQ30" s="423">
        <f aca="true" t="shared" si="65" ref="AQ30:AQ37">AP30*42.93/1000</f>
        <v>0</v>
      </c>
      <c r="AR30" s="422">
        <v>2545</v>
      </c>
      <c r="AS30" s="423">
        <f aca="true" t="shared" si="66" ref="AS30:AS39">AR30*5.51/1000</f>
        <v>14.022949999999998</v>
      </c>
      <c r="AT30" s="424">
        <f>AP30</f>
        <v>0</v>
      </c>
      <c r="AU30" s="423">
        <f aca="true" t="shared" si="67" ref="AU30:AU37">AT30*19.14/1000</f>
        <v>0</v>
      </c>
      <c r="AV30" s="426">
        <f aca="true" t="shared" si="68" ref="AV30:AV39">AM30+AO30+AQ30+AS30+AU30</f>
        <v>14.022949999999998</v>
      </c>
      <c r="AW30" s="97" t="s">
        <v>57</v>
      </c>
      <c r="AX30" s="386">
        <v>0</v>
      </c>
      <c r="AY30" s="449">
        <f aca="true" t="shared" si="69" ref="AY30:AY37">AX30*2124.13/1000</f>
        <v>0</v>
      </c>
      <c r="AZ30" s="394">
        <v>0</v>
      </c>
      <c r="BA30" s="449">
        <f aca="true" t="shared" si="70" ref="BA30:BA37">AZ30*2124.13/1000</f>
        <v>0</v>
      </c>
      <c r="BB30" s="424">
        <v>0</v>
      </c>
      <c r="BC30" s="449">
        <f aca="true" t="shared" si="71" ref="BC30:BC37">BB30*42.93/1000</f>
        <v>0</v>
      </c>
      <c r="BD30" s="444">
        <v>1138</v>
      </c>
      <c r="BE30" s="449">
        <f aca="true" t="shared" si="72" ref="BE30:BE39">BD30*5.51/1000</f>
        <v>6.27038</v>
      </c>
      <c r="BF30" s="392">
        <f aca="true" t="shared" si="73" ref="BF30:BF39">BB30</f>
        <v>0</v>
      </c>
      <c r="BG30" s="423">
        <f aca="true" t="shared" si="74" ref="BG30:BG37">BF30*19.14/1000</f>
        <v>0</v>
      </c>
      <c r="BH30" s="426">
        <f aca="true" t="shared" si="75" ref="BH30:BH39">AY30+BA30+BC30+BE30+BG30</f>
        <v>6.27038</v>
      </c>
      <c r="BI30" s="33" t="s">
        <v>35</v>
      </c>
    </row>
    <row r="31" spans="1:60" s="33" customFormat="1" ht="15.75">
      <c r="A31" s="388" t="s">
        <v>40</v>
      </c>
      <c r="B31" s="78">
        <f t="shared" si="49"/>
        <v>0</v>
      </c>
      <c r="C31" s="79">
        <f t="shared" si="49"/>
        <v>0</v>
      </c>
      <c r="D31" s="60">
        <f t="shared" si="49"/>
        <v>0</v>
      </c>
      <c r="E31" s="154">
        <f t="shared" si="49"/>
        <v>0</v>
      </c>
      <c r="F31" s="69">
        <f t="shared" si="49"/>
        <v>0</v>
      </c>
      <c r="G31" s="150">
        <f t="shared" si="49"/>
        <v>0</v>
      </c>
      <c r="H31" s="57">
        <f t="shared" si="49"/>
        <v>7294.45</v>
      </c>
      <c r="I31" s="153">
        <f t="shared" si="49"/>
        <v>38.50062506</v>
      </c>
      <c r="J31" s="60">
        <f t="shared" si="49"/>
        <v>0</v>
      </c>
      <c r="K31" s="79">
        <f t="shared" si="49"/>
        <v>0</v>
      </c>
      <c r="L31" s="165">
        <f t="shared" si="50"/>
        <v>38.50062506</v>
      </c>
      <c r="M31" s="122" t="s">
        <v>40</v>
      </c>
      <c r="N31" s="427">
        <v>0</v>
      </c>
      <c r="O31" s="423">
        <f t="shared" si="51"/>
        <v>0</v>
      </c>
      <c r="P31" s="396">
        <v>0</v>
      </c>
      <c r="Q31" s="423">
        <f t="shared" si="52"/>
        <v>0</v>
      </c>
      <c r="R31" s="396">
        <v>0</v>
      </c>
      <c r="S31" s="423">
        <f t="shared" si="53"/>
        <v>0</v>
      </c>
      <c r="T31" s="448">
        <v>2375.52</v>
      </c>
      <c r="U31" s="423">
        <f t="shared" si="54"/>
        <v>11.94173904</v>
      </c>
      <c r="V31" s="396">
        <f>R31</f>
        <v>0</v>
      </c>
      <c r="W31" s="423">
        <f t="shared" si="55"/>
        <v>0</v>
      </c>
      <c r="X31" s="426">
        <f t="shared" si="56"/>
        <v>11.94173904</v>
      </c>
      <c r="Y31" s="122" t="s">
        <v>40</v>
      </c>
      <c r="Z31" s="453">
        <v>0</v>
      </c>
      <c r="AA31" s="423">
        <f t="shared" si="57"/>
        <v>0</v>
      </c>
      <c r="AB31" s="454">
        <v>0</v>
      </c>
      <c r="AC31" s="423">
        <f t="shared" si="58"/>
        <v>0</v>
      </c>
      <c r="AD31" s="396">
        <v>0</v>
      </c>
      <c r="AE31" s="423">
        <f t="shared" si="59"/>
        <v>0</v>
      </c>
      <c r="AF31" s="427">
        <v>1127.16</v>
      </c>
      <c r="AG31" s="423">
        <f t="shared" si="60"/>
        <v>5.66623332</v>
      </c>
      <c r="AH31" s="396">
        <f>AD31</f>
        <v>0</v>
      </c>
      <c r="AI31" s="423">
        <f t="shared" si="61"/>
        <v>0</v>
      </c>
      <c r="AJ31" s="426">
        <f t="shared" si="62"/>
        <v>5.66623332</v>
      </c>
      <c r="AK31" s="98" t="s">
        <v>40</v>
      </c>
      <c r="AL31" s="394">
        <v>0</v>
      </c>
      <c r="AM31" s="449">
        <f t="shared" si="63"/>
        <v>0</v>
      </c>
      <c r="AN31" s="396">
        <v>0</v>
      </c>
      <c r="AO31" s="449">
        <f t="shared" si="64"/>
        <v>0</v>
      </c>
      <c r="AP31" s="396">
        <v>0</v>
      </c>
      <c r="AQ31" s="449">
        <f t="shared" si="65"/>
        <v>0</v>
      </c>
      <c r="AR31" s="427">
        <v>1336.23</v>
      </c>
      <c r="AS31" s="449">
        <f t="shared" si="66"/>
        <v>7.3626273</v>
      </c>
      <c r="AT31" s="384">
        <f>AP31</f>
        <v>0</v>
      </c>
      <c r="AU31" s="449">
        <f t="shared" si="67"/>
        <v>0</v>
      </c>
      <c r="AV31" s="426">
        <f t="shared" si="68"/>
        <v>7.3626273</v>
      </c>
      <c r="AW31" s="98" t="s">
        <v>40</v>
      </c>
      <c r="AX31" s="396">
        <v>0</v>
      </c>
      <c r="AY31" s="449">
        <f t="shared" si="69"/>
        <v>0</v>
      </c>
      <c r="AZ31" s="396">
        <v>0</v>
      </c>
      <c r="BA31" s="449">
        <f t="shared" si="70"/>
        <v>0</v>
      </c>
      <c r="BB31" s="384">
        <v>0</v>
      </c>
      <c r="BC31" s="449">
        <f t="shared" si="71"/>
        <v>0</v>
      </c>
      <c r="BD31" s="427">
        <v>2455.54</v>
      </c>
      <c r="BE31" s="449">
        <f t="shared" si="72"/>
        <v>13.530025399999998</v>
      </c>
      <c r="BF31" s="384">
        <f t="shared" si="73"/>
        <v>0</v>
      </c>
      <c r="BG31" s="449">
        <f t="shared" si="74"/>
        <v>0</v>
      </c>
      <c r="BH31" s="426">
        <f t="shared" si="75"/>
        <v>13.530025399999998</v>
      </c>
    </row>
    <row r="32" spans="1:60" s="33" customFormat="1" ht="15.75">
      <c r="A32" s="388" t="s">
        <v>39</v>
      </c>
      <c r="B32" s="78">
        <f t="shared" si="49"/>
        <v>30.29</v>
      </c>
      <c r="C32" s="79">
        <f t="shared" si="49"/>
        <v>59.3280017</v>
      </c>
      <c r="D32" s="60">
        <f t="shared" si="49"/>
        <v>5.88</v>
      </c>
      <c r="E32" s="154">
        <f t="shared" si="49"/>
        <v>11.837473800000001</v>
      </c>
      <c r="F32" s="69">
        <f t="shared" si="49"/>
        <v>228.2</v>
      </c>
      <c r="G32" s="150">
        <f t="shared" si="49"/>
        <v>9.554076</v>
      </c>
      <c r="H32" s="57">
        <f t="shared" si="49"/>
        <v>1836.61</v>
      </c>
      <c r="I32" s="153">
        <f t="shared" si="49"/>
        <v>9.637672610000001</v>
      </c>
      <c r="J32" s="60">
        <f t="shared" si="49"/>
        <v>228.2</v>
      </c>
      <c r="K32" s="79">
        <f t="shared" si="49"/>
        <v>4.2973479999999995</v>
      </c>
      <c r="L32" s="165">
        <f t="shared" si="50"/>
        <v>94.65457210999999</v>
      </c>
      <c r="M32" s="122" t="s">
        <v>39</v>
      </c>
      <c r="N32" s="427">
        <v>8</v>
      </c>
      <c r="O32" s="423">
        <f t="shared" si="51"/>
        <v>13.53656</v>
      </c>
      <c r="P32" s="396">
        <v>0.84</v>
      </c>
      <c r="Q32" s="423">
        <f t="shared" si="52"/>
        <v>1.4213388</v>
      </c>
      <c r="R32" s="396">
        <v>32</v>
      </c>
      <c r="S32" s="423">
        <f t="shared" si="53"/>
        <v>1.2326400000000002</v>
      </c>
      <c r="T32" s="448">
        <v>571.16</v>
      </c>
      <c r="U32" s="423">
        <f t="shared" si="54"/>
        <v>2.87122132</v>
      </c>
      <c r="V32" s="396">
        <f>R32</f>
        <v>32</v>
      </c>
      <c r="W32" s="423">
        <f t="shared" si="55"/>
        <v>0.57152</v>
      </c>
      <c r="X32" s="426">
        <f t="shared" si="56"/>
        <v>19.63328012</v>
      </c>
      <c r="Y32" s="122" t="s">
        <v>39</v>
      </c>
      <c r="Z32" s="453">
        <v>3.6</v>
      </c>
      <c r="AA32" s="423">
        <f t="shared" si="57"/>
        <v>6.091452</v>
      </c>
      <c r="AB32" s="454">
        <v>0.67</v>
      </c>
      <c r="AC32" s="423">
        <f t="shared" si="58"/>
        <v>1.1336868999999998</v>
      </c>
      <c r="AD32" s="396">
        <v>23</v>
      </c>
      <c r="AE32" s="423">
        <f t="shared" si="59"/>
        <v>0.8859600000000001</v>
      </c>
      <c r="AF32" s="427">
        <v>426.87</v>
      </c>
      <c r="AG32" s="423">
        <f t="shared" si="60"/>
        <v>2.14587549</v>
      </c>
      <c r="AH32" s="396">
        <f>AD32</f>
        <v>23</v>
      </c>
      <c r="AI32" s="423">
        <f t="shared" si="61"/>
        <v>0.41078</v>
      </c>
      <c r="AJ32" s="426">
        <f t="shared" si="62"/>
        <v>10.66775439</v>
      </c>
      <c r="AK32" s="98" t="s">
        <v>39</v>
      </c>
      <c r="AL32" s="394">
        <v>0</v>
      </c>
      <c r="AM32" s="449">
        <f t="shared" si="63"/>
        <v>0</v>
      </c>
      <c r="AN32" s="396">
        <v>2.99</v>
      </c>
      <c r="AO32" s="449">
        <f t="shared" si="64"/>
        <v>6.3511487</v>
      </c>
      <c r="AP32" s="396">
        <v>102.6</v>
      </c>
      <c r="AQ32" s="449">
        <f t="shared" si="65"/>
        <v>4.404617999999999</v>
      </c>
      <c r="AR32" s="427">
        <v>554</v>
      </c>
      <c r="AS32" s="449">
        <f t="shared" si="66"/>
        <v>3.05254</v>
      </c>
      <c r="AT32" s="384">
        <f>AP32</f>
        <v>102.6</v>
      </c>
      <c r="AU32" s="449">
        <f t="shared" si="67"/>
        <v>1.9637639999999998</v>
      </c>
      <c r="AV32" s="426">
        <f t="shared" si="68"/>
        <v>15.772070699999999</v>
      </c>
      <c r="AW32" s="98" t="s">
        <v>39</v>
      </c>
      <c r="AX32" s="396">
        <v>18.69</v>
      </c>
      <c r="AY32" s="449">
        <f t="shared" si="69"/>
        <v>39.6999897</v>
      </c>
      <c r="AZ32" s="396">
        <v>1.38</v>
      </c>
      <c r="BA32" s="449">
        <f t="shared" si="70"/>
        <v>2.9312994</v>
      </c>
      <c r="BB32" s="384">
        <v>70.6</v>
      </c>
      <c r="BC32" s="449">
        <f t="shared" si="71"/>
        <v>3.030858</v>
      </c>
      <c r="BD32" s="427">
        <v>284.58</v>
      </c>
      <c r="BE32" s="449">
        <f t="shared" si="72"/>
        <v>1.5680357999999999</v>
      </c>
      <c r="BF32" s="384">
        <f t="shared" si="73"/>
        <v>70.6</v>
      </c>
      <c r="BG32" s="449">
        <f t="shared" si="74"/>
        <v>1.351284</v>
      </c>
      <c r="BH32" s="426">
        <f t="shared" si="75"/>
        <v>48.5814669</v>
      </c>
    </row>
    <row r="33" spans="1:61" ht="19.5" customHeight="1">
      <c r="A33" s="99" t="s">
        <v>92</v>
      </c>
      <c r="B33" s="78">
        <f t="shared" si="49"/>
        <v>144.57999999999998</v>
      </c>
      <c r="C33" s="79">
        <f t="shared" si="49"/>
        <v>270.148303</v>
      </c>
      <c r="D33" s="60">
        <f t="shared" si="49"/>
        <v>0.5800000000000001</v>
      </c>
      <c r="E33" s="154">
        <f t="shared" si="49"/>
        <v>1.1801482</v>
      </c>
      <c r="F33" s="69">
        <f t="shared" si="49"/>
        <v>21</v>
      </c>
      <c r="G33" s="150">
        <f t="shared" si="49"/>
        <v>0.8927100000000001</v>
      </c>
      <c r="H33" s="57">
        <f t="shared" si="49"/>
        <v>11859.619999999999</v>
      </c>
      <c r="I33" s="153">
        <f t="shared" si="49"/>
        <v>62.25249514</v>
      </c>
      <c r="J33" s="60">
        <f t="shared" si="49"/>
        <v>0</v>
      </c>
      <c r="K33" s="79">
        <f t="shared" si="49"/>
        <v>0</v>
      </c>
      <c r="L33" s="165">
        <f t="shared" si="50"/>
        <v>334.47365634000005</v>
      </c>
      <c r="M33" s="99" t="s">
        <v>92</v>
      </c>
      <c r="N33" s="427">
        <v>62.99</v>
      </c>
      <c r="O33" s="423">
        <f t="shared" si="51"/>
        <v>106.5834893</v>
      </c>
      <c r="P33" s="396">
        <v>0.12</v>
      </c>
      <c r="Q33" s="423">
        <f t="shared" si="52"/>
        <v>0.2030484</v>
      </c>
      <c r="R33" s="396">
        <v>2</v>
      </c>
      <c r="S33" s="423">
        <f t="shared" si="53"/>
        <v>0.07704000000000001</v>
      </c>
      <c r="T33" s="448">
        <v>3521.47</v>
      </c>
      <c r="U33" s="423">
        <f t="shared" si="54"/>
        <v>17.702429690000002</v>
      </c>
      <c r="V33" s="396">
        <v>0</v>
      </c>
      <c r="W33" s="423">
        <f t="shared" si="55"/>
        <v>0</v>
      </c>
      <c r="X33" s="426">
        <f t="shared" si="56"/>
        <v>124.56600739</v>
      </c>
      <c r="Y33" s="99" t="s">
        <v>92</v>
      </c>
      <c r="Z33" s="453">
        <v>22.55</v>
      </c>
      <c r="AA33" s="423">
        <f t="shared" si="57"/>
        <v>38.1561785</v>
      </c>
      <c r="AB33" s="454">
        <v>0</v>
      </c>
      <c r="AC33" s="423">
        <f t="shared" si="58"/>
        <v>0</v>
      </c>
      <c r="AD33" s="396">
        <v>0</v>
      </c>
      <c r="AE33" s="423">
        <f t="shared" si="59"/>
        <v>0</v>
      </c>
      <c r="AF33" s="427">
        <v>2884.35</v>
      </c>
      <c r="AG33" s="423">
        <f t="shared" si="60"/>
        <v>14.49962745</v>
      </c>
      <c r="AH33" s="396">
        <f>AD33</f>
        <v>0</v>
      </c>
      <c r="AI33" s="423">
        <f t="shared" si="61"/>
        <v>0</v>
      </c>
      <c r="AJ33" s="426">
        <f t="shared" si="62"/>
        <v>52.65580595</v>
      </c>
      <c r="AK33" s="99" t="s">
        <v>92</v>
      </c>
      <c r="AL33" s="396">
        <v>2.63</v>
      </c>
      <c r="AM33" s="449">
        <f t="shared" si="63"/>
        <v>5.586461900000001</v>
      </c>
      <c r="AN33" s="396">
        <v>0.34</v>
      </c>
      <c r="AO33" s="449">
        <f t="shared" si="64"/>
        <v>0.7222042000000001</v>
      </c>
      <c r="AP33" s="396">
        <v>8</v>
      </c>
      <c r="AQ33" s="449">
        <f t="shared" si="65"/>
        <v>0.34344</v>
      </c>
      <c r="AR33" s="427">
        <v>2578.8</v>
      </c>
      <c r="AS33" s="449">
        <f t="shared" si="66"/>
        <v>14.209188</v>
      </c>
      <c r="AT33" s="384">
        <v>0</v>
      </c>
      <c r="AU33" s="449">
        <f t="shared" si="67"/>
        <v>0</v>
      </c>
      <c r="AV33" s="426">
        <f t="shared" si="68"/>
        <v>20.861294100000002</v>
      </c>
      <c r="AW33" s="99" t="s">
        <v>92</v>
      </c>
      <c r="AX33" s="396">
        <v>56.41</v>
      </c>
      <c r="AY33" s="449">
        <f t="shared" si="69"/>
        <v>119.82217329999999</v>
      </c>
      <c r="AZ33" s="396">
        <v>0.12</v>
      </c>
      <c r="BA33" s="449">
        <f t="shared" si="70"/>
        <v>0.2548956</v>
      </c>
      <c r="BB33" s="384">
        <v>11</v>
      </c>
      <c r="BC33" s="449">
        <f t="shared" si="71"/>
        <v>0.47223000000000004</v>
      </c>
      <c r="BD33" s="427">
        <v>2875</v>
      </c>
      <c r="BE33" s="449">
        <f t="shared" si="72"/>
        <v>15.84125</v>
      </c>
      <c r="BF33" s="384">
        <v>0</v>
      </c>
      <c r="BG33" s="449">
        <f t="shared" si="74"/>
        <v>0</v>
      </c>
      <c r="BH33" s="426">
        <f t="shared" si="75"/>
        <v>136.39054889999997</v>
      </c>
      <c r="BI33" s="1" t="s">
        <v>35</v>
      </c>
    </row>
    <row r="34" spans="1:61" ht="28.5" customHeight="1">
      <c r="A34" s="388" t="s">
        <v>93</v>
      </c>
      <c r="B34" s="78">
        <f t="shared" si="49"/>
        <v>297.43</v>
      </c>
      <c r="C34" s="79">
        <f t="shared" si="49"/>
        <v>559.0210819</v>
      </c>
      <c r="D34" s="60">
        <f t="shared" si="49"/>
        <v>92.39999999999999</v>
      </c>
      <c r="E34" s="154">
        <f t="shared" si="49"/>
        <v>173.3617908</v>
      </c>
      <c r="F34" s="69">
        <f t="shared" si="49"/>
        <v>1972</v>
      </c>
      <c r="G34" s="150">
        <f t="shared" si="49"/>
        <v>79.11018</v>
      </c>
      <c r="H34" s="57">
        <f t="shared" si="49"/>
        <v>40756.7</v>
      </c>
      <c r="I34" s="153">
        <f t="shared" si="49"/>
        <v>212.68148290000002</v>
      </c>
      <c r="J34" s="60">
        <f t="shared" si="49"/>
        <v>1972</v>
      </c>
      <c r="K34" s="79">
        <f t="shared" si="49"/>
        <v>36.13384</v>
      </c>
      <c r="L34" s="165">
        <f t="shared" si="50"/>
        <v>1060.3083756</v>
      </c>
      <c r="M34" s="124" t="s">
        <v>31</v>
      </c>
      <c r="N34" s="427">
        <v>122.93</v>
      </c>
      <c r="O34" s="423">
        <f t="shared" si="51"/>
        <v>208.0061651</v>
      </c>
      <c r="P34" s="396">
        <v>25.63</v>
      </c>
      <c r="Q34" s="423">
        <f t="shared" si="52"/>
        <v>43.3677541</v>
      </c>
      <c r="R34" s="396">
        <v>604</v>
      </c>
      <c r="S34" s="423">
        <f t="shared" si="53"/>
        <v>23.266080000000002</v>
      </c>
      <c r="T34" s="448">
        <v>13313.25</v>
      </c>
      <c r="U34" s="423">
        <f t="shared" si="54"/>
        <v>66.92570775</v>
      </c>
      <c r="V34" s="396">
        <f>R34</f>
        <v>604</v>
      </c>
      <c r="W34" s="423">
        <f t="shared" si="55"/>
        <v>10.78744</v>
      </c>
      <c r="X34" s="426">
        <f t="shared" si="56"/>
        <v>352.35314695</v>
      </c>
      <c r="Y34" s="124" t="s">
        <v>31</v>
      </c>
      <c r="Z34" s="453">
        <v>45.47</v>
      </c>
      <c r="AA34" s="423">
        <f t="shared" si="57"/>
        <v>76.93842289999999</v>
      </c>
      <c r="AB34" s="454">
        <v>27.39</v>
      </c>
      <c r="AC34" s="423">
        <f t="shared" si="58"/>
        <v>46.3457973</v>
      </c>
      <c r="AD34" s="396">
        <v>654</v>
      </c>
      <c r="AE34" s="423">
        <f t="shared" si="59"/>
        <v>25.19208</v>
      </c>
      <c r="AF34" s="427">
        <v>11299.45</v>
      </c>
      <c r="AG34" s="423">
        <f t="shared" si="60"/>
        <v>56.802335150000005</v>
      </c>
      <c r="AH34" s="396">
        <f>AD34</f>
        <v>654</v>
      </c>
      <c r="AI34" s="423">
        <f t="shared" si="61"/>
        <v>11.68044</v>
      </c>
      <c r="AJ34" s="426">
        <f t="shared" si="62"/>
        <v>216.95907535</v>
      </c>
      <c r="AK34" s="100" t="s">
        <v>31</v>
      </c>
      <c r="AL34" s="394">
        <v>16.93</v>
      </c>
      <c r="AM34" s="449">
        <f t="shared" si="63"/>
        <v>35.961520900000004</v>
      </c>
      <c r="AN34" s="396">
        <v>13.75</v>
      </c>
      <c r="AO34" s="449">
        <f t="shared" si="64"/>
        <v>29.2067875</v>
      </c>
      <c r="AP34" s="396">
        <v>305</v>
      </c>
      <c r="AQ34" s="449">
        <f t="shared" si="65"/>
        <v>13.09365</v>
      </c>
      <c r="AR34" s="427">
        <v>7144</v>
      </c>
      <c r="AS34" s="449">
        <f t="shared" si="66"/>
        <v>39.36344</v>
      </c>
      <c r="AT34" s="384">
        <f>AP34</f>
        <v>305</v>
      </c>
      <c r="AU34" s="449">
        <f t="shared" si="67"/>
        <v>5.8377</v>
      </c>
      <c r="AV34" s="426">
        <f t="shared" si="68"/>
        <v>123.46309839999999</v>
      </c>
      <c r="AW34" s="100" t="s">
        <v>31</v>
      </c>
      <c r="AX34" s="396">
        <v>112.1</v>
      </c>
      <c r="AY34" s="449">
        <f t="shared" si="69"/>
        <v>238.114973</v>
      </c>
      <c r="AZ34" s="396">
        <v>25.63</v>
      </c>
      <c r="BA34" s="449">
        <f t="shared" si="70"/>
        <v>54.4414519</v>
      </c>
      <c r="BB34" s="384">
        <v>409</v>
      </c>
      <c r="BC34" s="449">
        <f t="shared" si="71"/>
        <v>17.55837</v>
      </c>
      <c r="BD34" s="427">
        <v>9000</v>
      </c>
      <c r="BE34" s="449">
        <f t="shared" si="72"/>
        <v>49.59</v>
      </c>
      <c r="BF34" s="384">
        <f t="shared" si="73"/>
        <v>409</v>
      </c>
      <c r="BG34" s="449">
        <f t="shared" si="74"/>
        <v>7.82826</v>
      </c>
      <c r="BH34" s="426">
        <f t="shared" si="75"/>
        <v>367.5330549</v>
      </c>
      <c r="BI34" s="1" t="s">
        <v>35</v>
      </c>
    </row>
    <row r="35" spans="1:60" ht="18" customHeight="1">
      <c r="A35" s="29" t="s">
        <v>86</v>
      </c>
      <c r="B35" s="78">
        <f t="shared" si="49"/>
        <v>456.29999999999995</v>
      </c>
      <c r="C35" s="79">
        <f t="shared" si="49"/>
        <v>856.688889</v>
      </c>
      <c r="D35" s="60">
        <f t="shared" si="49"/>
        <v>0</v>
      </c>
      <c r="E35" s="154">
        <f t="shared" si="49"/>
        <v>0</v>
      </c>
      <c r="F35" s="69">
        <f t="shared" si="49"/>
        <v>0</v>
      </c>
      <c r="G35" s="150">
        <f t="shared" si="49"/>
        <v>0</v>
      </c>
      <c r="H35" s="57">
        <f t="shared" si="49"/>
        <v>0</v>
      </c>
      <c r="I35" s="153">
        <f t="shared" si="49"/>
        <v>0</v>
      </c>
      <c r="J35" s="60">
        <f t="shared" si="49"/>
        <v>0</v>
      </c>
      <c r="K35" s="79">
        <f t="shared" si="49"/>
        <v>0</v>
      </c>
      <c r="L35" s="165">
        <f t="shared" si="50"/>
        <v>856.688889</v>
      </c>
      <c r="M35" s="29" t="s">
        <v>86</v>
      </c>
      <c r="N35" s="427">
        <f>76.7+65.7+58.4</f>
        <v>200.8</v>
      </c>
      <c r="O35" s="423">
        <f t="shared" si="51"/>
        <v>339.76765600000004</v>
      </c>
      <c r="P35" s="396">
        <v>0</v>
      </c>
      <c r="Q35" s="423">
        <f t="shared" si="52"/>
        <v>0</v>
      </c>
      <c r="R35" s="396">
        <v>0</v>
      </c>
      <c r="S35" s="423">
        <f t="shared" si="53"/>
        <v>0</v>
      </c>
      <c r="T35" s="448">
        <v>0</v>
      </c>
      <c r="U35" s="423">
        <f t="shared" si="54"/>
        <v>0</v>
      </c>
      <c r="V35" s="396">
        <v>0</v>
      </c>
      <c r="W35" s="423">
        <f t="shared" si="55"/>
        <v>0</v>
      </c>
      <c r="X35" s="426">
        <f t="shared" si="56"/>
        <v>339.76765600000004</v>
      </c>
      <c r="Y35" s="29" t="s">
        <v>86</v>
      </c>
      <c r="Z35" s="427">
        <f>43.3+16.4</f>
        <v>59.699999999999996</v>
      </c>
      <c r="AA35" s="423">
        <f t="shared" si="57"/>
        <v>101.01657899999998</v>
      </c>
      <c r="AB35" s="396">
        <v>0</v>
      </c>
      <c r="AC35" s="423">
        <f t="shared" si="58"/>
        <v>0</v>
      </c>
      <c r="AD35" s="396">
        <v>0</v>
      </c>
      <c r="AE35" s="423">
        <f t="shared" si="59"/>
        <v>0</v>
      </c>
      <c r="AF35" s="448">
        <v>0</v>
      </c>
      <c r="AG35" s="423">
        <f t="shared" si="60"/>
        <v>0</v>
      </c>
      <c r="AH35" s="396">
        <v>0</v>
      </c>
      <c r="AI35" s="423">
        <f t="shared" si="61"/>
        <v>0</v>
      </c>
      <c r="AJ35" s="426">
        <f t="shared" si="62"/>
        <v>101.01657899999998</v>
      </c>
      <c r="AK35" s="29" t="s">
        <v>86</v>
      </c>
      <c r="AL35" s="427">
        <v>19.2</v>
      </c>
      <c r="AM35" s="449">
        <f t="shared" si="63"/>
        <v>40.783296</v>
      </c>
      <c r="AN35" s="396">
        <v>0</v>
      </c>
      <c r="AO35" s="449">
        <f t="shared" si="64"/>
        <v>0</v>
      </c>
      <c r="AP35" s="396">
        <v>0</v>
      </c>
      <c r="AQ35" s="423">
        <f>AP35*38.52/1000</f>
        <v>0</v>
      </c>
      <c r="AR35" s="448">
        <v>0</v>
      </c>
      <c r="AS35" s="423">
        <f>AR35*5.027/1000</f>
        <v>0</v>
      </c>
      <c r="AT35" s="396">
        <v>0</v>
      </c>
      <c r="AU35" s="423">
        <f>AT35*17.86/1000</f>
        <v>0</v>
      </c>
      <c r="AV35" s="426">
        <f t="shared" si="68"/>
        <v>40.783296</v>
      </c>
      <c r="AW35" s="29" t="s">
        <v>86</v>
      </c>
      <c r="AX35" s="427">
        <f>43.8+58.9+73.9</f>
        <v>176.6</v>
      </c>
      <c r="AY35" s="449">
        <f t="shared" si="69"/>
        <v>375.121358</v>
      </c>
      <c r="AZ35" s="396">
        <v>0</v>
      </c>
      <c r="BA35" s="449">
        <f t="shared" si="70"/>
        <v>0</v>
      </c>
      <c r="BB35" s="396">
        <v>0</v>
      </c>
      <c r="BC35" s="423">
        <f>BB35*38.52/1000</f>
        <v>0</v>
      </c>
      <c r="BD35" s="448">
        <v>0</v>
      </c>
      <c r="BE35" s="423">
        <f>BD35*5.027/1000</f>
        <v>0</v>
      </c>
      <c r="BF35" s="396">
        <v>0</v>
      </c>
      <c r="BG35" s="423">
        <f>BF35*17.86/1000</f>
        <v>0</v>
      </c>
      <c r="BH35" s="426">
        <f t="shared" si="75"/>
        <v>375.121358</v>
      </c>
    </row>
    <row r="36" spans="1:60" ht="17.25" customHeight="1">
      <c r="A36" s="389" t="s">
        <v>25</v>
      </c>
      <c r="B36" s="78"/>
      <c r="C36" s="154"/>
      <c r="D36" s="78"/>
      <c r="E36" s="154"/>
      <c r="F36" s="66"/>
      <c r="G36" s="150"/>
      <c r="H36" s="178">
        <f t="shared" si="49"/>
        <v>12100.22</v>
      </c>
      <c r="I36" s="150">
        <f t="shared" si="49"/>
        <v>63.45677493999999</v>
      </c>
      <c r="J36" s="78"/>
      <c r="K36" s="154"/>
      <c r="L36" s="68">
        <f>I36</f>
        <v>63.45677493999999</v>
      </c>
      <c r="M36" s="101" t="s">
        <v>25</v>
      </c>
      <c r="N36" s="422"/>
      <c r="O36" s="423">
        <f t="shared" si="51"/>
        <v>0</v>
      </c>
      <c r="P36" s="394"/>
      <c r="Q36" s="423">
        <f t="shared" si="52"/>
        <v>0</v>
      </c>
      <c r="R36" s="394"/>
      <c r="S36" s="423">
        <f t="shared" si="53"/>
        <v>0</v>
      </c>
      <c r="T36" s="447">
        <v>3679.22</v>
      </c>
      <c r="U36" s="423">
        <f t="shared" si="54"/>
        <v>18.49543894</v>
      </c>
      <c r="V36" s="394"/>
      <c r="W36" s="423">
        <f t="shared" si="55"/>
        <v>0</v>
      </c>
      <c r="X36" s="426">
        <f t="shared" si="56"/>
        <v>18.49543894</v>
      </c>
      <c r="Y36" s="101" t="s">
        <v>25</v>
      </c>
      <c r="Z36" s="453"/>
      <c r="AA36" s="423">
        <f t="shared" si="57"/>
        <v>0</v>
      </c>
      <c r="AB36" s="453"/>
      <c r="AC36" s="423">
        <f t="shared" si="58"/>
        <v>0</v>
      </c>
      <c r="AD36" s="394"/>
      <c r="AE36" s="423">
        <f t="shared" si="59"/>
        <v>0</v>
      </c>
      <c r="AF36" s="422">
        <v>2978</v>
      </c>
      <c r="AG36" s="423">
        <f t="shared" si="60"/>
        <v>14.970406</v>
      </c>
      <c r="AH36" s="394"/>
      <c r="AI36" s="423">
        <f t="shared" si="61"/>
        <v>0</v>
      </c>
      <c r="AJ36" s="426">
        <f t="shared" si="62"/>
        <v>14.970406</v>
      </c>
      <c r="AK36" s="101" t="s">
        <v>25</v>
      </c>
      <c r="AL36" s="394"/>
      <c r="AM36" s="449">
        <f t="shared" si="63"/>
        <v>0</v>
      </c>
      <c r="AN36" s="394"/>
      <c r="AO36" s="449">
        <f t="shared" si="64"/>
        <v>0</v>
      </c>
      <c r="AP36" s="394"/>
      <c r="AQ36" s="423">
        <f t="shared" si="65"/>
        <v>0</v>
      </c>
      <c r="AR36" s="422">
        <v>2966</v>
      </c>
      <c r="AS36" s="423">
        <f t="shared" si="66"/>
        <v>16.34266</v>
      </c>
      <c r="AT36" s="424"/>
      <c r="AU36" s="423">
        <f t="shared" si="67"/>
        <v>0</v>
      </c>
      <c r="AV36" s="426">
        <f t="shared" si="68"/>
        <v>16.34266</v>
      </c>
      <c r="AW36" s="101" t="s">
        <v>25</v>
      </c>
      <c r="AX36" s="394"/>
      <c r="AY36" s="449">
        <f t="shared" si="69"/>
        <v>0</v>
      </c>
      <c r="AZ36" s="394"/>
      <c r="BA36" s="449">
        <f t="shared" si="70"/>
        <v>0</v>
      </c>
      <c r="BB36" s="424"/>
      <c r="BC36" s="423">
        <f t="shared" si="71"/>
        <v>0</v>
      </c>
      <c r="BD36" s="422">
        <v>2477</v>
      </c>
      <c r="BE36" s="423">
        <f t="shared" si="72"/>
        <v>13.648269999999998</v>
      </c>
      <c r="BF36" s="424">
        <f t="shared" si="73"/>
        <v>0</v>
      </c>
      <c r="BG36" s="423">
        <f t="shared" si="74"/>
        <v>0</v>
      </c>
      <c r="BH36" s="426">
        <f t="shared" si="75"/>
        <v>13.648269999999998</v>
      </c>
    </row>
    <row r="37" spans="1:60" ht="15.75">
      <c r="A37" s="388" t="s">
        <v>30</v>
      </c>
      <c r="B37" s="78">
        <f aca="true" t="shared" si="76" ref="B37:K40">N37+Z37+AL37+AX37</f>
        <v>303.14</v>
      </c>
      <c r="C37" s="79">
        <f t="shared" si="76"/>
        <v>578.0628242</v>
      </c>
      <c r="D37" s="60">
        <f t="shared" si="76"/>
        <v>10.55</v>
      </c>
      <c r="E37" s="154">
        <f t="shared" si="76"/>
        <v>20.6986139</v>
      </c>
      <c r="F37" s="69">
        <f t="shared" si="76"/>
        <v>911</v>
      </c>
      <c r="G37" s="150">
        <f t="shared" si="76"/>
        <v>37.1486763</v>
      </c>
      <c r="H37" s="57">
        <f t="shared" si="49"/>
        <v>118275.11</v>
      </c>
      <c r="I37" s="153">
        <f t="shared" si="49"/>
        <v>622.90574272</v>
      </c>
      <c r="J37" s="60">
        <f t="shared" si="49"/>
        <v>911</v>
      </c>
      <c r="K37" s="79">
        <f t="shared" si="49"/>
        <v>16.867490399999998</v>
      </c>
      <c r="L37" s="165">
        <f>C37+E37+G37+I37+K37</f>
        <v>1275.68334752</v>
      </c>
      <c r="M37" s="124" t="s">
        <v>30</v>
      </c>
      <c r="N37" s="427">
        <v>106.14</v>
      </c>
      <c r="O37" s="423">
        <f t="shared" si="51"/>
        <v>179.5963098</v>
      </c>
      <c r="P37" s="396">
        <v>1.95</v>
      </c>
      <c r="Q37" s="423">
        <f t="shared" si="52"/>
        <v>3.2995365</v>
      </c>
      <c r="R37" s="396">
        <v>221.12</v>
      </c>
      <c r="S37" s="423">
        <f t="shared" si="53"/>
        <v>8.5175424</v>
      </c>
      <c r="T37" s="448">
        <v>29467.86</v>
      </c>
      <c r="U37" s="423">
        <f t="shared" si="54"/>
        <v>148.13493222000002</v>
      </c>
      <c r="V37" s="396">
        <f>R37</f>
        <v>221.12</v>
      </c>
      <c r="W37" s="423">
        <f t="shared" si="55"/>
        <v>3.9492032</v>
      </c>
      <c r="X37" s="426">
        <f t="shared" si="56"/>
        <v>343.49752412000004</v>
      </c>
      <c r="Y37" s="124" t="s">
        <v>30</v>
      </c>
      <c r="Z37" s="453">
        <v>46.26</v>
      </c>
      <c r="AA37" s="423">
        <f t="shared" si="57"/>
        <v>78.27515819999999</v>
      </c>
      <c r="AB37" s="454">
        <v>2.01</v>
      </c>
      <c r="AC37" s="423">
        <f t="shared" si="58"/>
        <v>3.4010606999999995</v>
      </c>
      <c r="AD37" s="396">
        <v>223.45</v>
      </c>
      <c r="AE37" s="423">
        <f t="shared" si="59"/>
        <v>8.607294</v>
      </c>
      <c r="AF37" s="427">
        <v>30139</v>
      </c>
      <c r="AG37" s="423">
        <f t="shared" si="60"/>
        <v>151.50875299999998</v>
      </c>
      <c r="AH37" s="396">
        <f>AD37</f>
        <v>223.45</v>
      </c>
      <c r="AI37" s="423">
        <f t="shared" si="61"/>
        <v>3.9908169999999994</v>
      </c>
      <c r="AJ37" s="426">
        <f t="shared" si="62"/>
        <v>245.78308289999995</v>
      </c>
      <c r="AK37" s="100" t="s">
        <v>30</v>
      </c>
      <c r="AL37" s="396">
        <v>5.94</v>
      </c>
      <c r="AM37" s="449">
        <f t="shared" si="63"/>
        <v>12.6173322</v>
      </c>
      <c r="AN37" s="396">
        <v>3.49</v>
      </c>
      <c r="AO37" s="449">
        <f t="shared" si="64"/>
        <v>7.413213700000001</v>
      </c>
      <c r="AP37" s="396">
        <v>243.45</v>
      </c>
      <c r="AQ37" s="449">
        <f t="shared" si="65"/>
        <v>10.4513085</v>
      </c>
      <c r="AR37" s="427">
        <v>28568.25</v>
      </c>
      <c r="AS37" s="449">
        <f t="shared" si="66"/>
        <v>157.4110575</v>
      </c>
      <c r="AT37" s="384">
        <f>AP37</f>
        <v>243.45</v>
      </c>
      <c r="AU37" s="449">
        <f t="shared" si="67"/>
        <v>4.6596329999999995</v>
      </c>
      <c r="AV37" s="426">
        <f t="shared" si="68"/>
        <v>192.5525449</v>
      </c>
      <c r="AW37" s="100" t="s">
        <v>30</v>
      </c>
      <c r="AX37" s="396">
        <v>144.8</v>
      </c>
      <c r="AY37" s="449">
        <f t="shared" si="69"/>
        <v>307.574024</v>
      </c>
      <c r="AZ37" s="396">
        <v>3.1</v>
      </c>
      <c r="BA37" s="449">
        <f t="shared" si="70"/>
        <v>6.584803000000001</v>
      </c>
      <c r="BB37" s="384">
        <v>222.98</v>
      </c>
      <c r="BC37" s="449">
        <f t="shared" si="71"/>
        <v>9.572531399999999</v>
      </c>
      <c r="BD37" s="427">
        <v>30100</v>
      </c>
      <c r="BE37" s="449">
        <f t="shared" si="72"/>
        <v>165.851</v>
      </c>
      <c r="BF37" s="384">
        <f>BB37</f>
        <v>222.98</v>
      </c>
      <c r="BG37" s="449">
        <f t="shared" si="74"/>
        <v>4.2678372</v>
      </c>
      <c r="BH37" s="426">
        <f t="shared" si="75"/>
        <v>493.8501956</v>
      </c>
    </row>
    <row r="38" spans="1:63" s="9" customFormat="1" ht="23.25" customHeight="1">
      <c r="A38" s="278" t="s">
        <v>84</v>
      </c>
      <c r="B38" s="78">
        <f t="shared" si="76"/>
        <v>1417.6399999999999</v>
      </c>
      <c r="C38" s="79">
        <f t="shared" si="76"/>
        <v>6689.90941583</v>
      </c>
      <c r="D38" s="60">
        <f t="shared" si="76"/>
        <v>1328.8400000000001</v>
      </c>
      <c r="E38" s="154">
        <f t="shared" si="76"/>
        <v>458.1953603200001</v>
      </c>
      <c r="F38" s="69">
        <f t="shared" si="76"/>
        <v>3110.45</v>
      </c>
      <c r="G38" s="150">
        <f t="shared" si="76"/>
        <v>156.89310550000002</v>
      </c>
      <c r="H38" s="57">
        <f t="shared" si="76"/>
        <v>788578</v>
      </c>
      <c r="I38" s="153">
        <f t="shared" si="76"/>
        <v>4150.51238</v>
      </c>
      <c r="J38" s="60">
        <f t="shared" si="76"/>
        <v>4439.289999999999</v>
      </c>
      <c r="K38" s="79">
        <f t="shared" si="76"/>
        <v>31.976472299999998</v>
      </c>
      <c r="L38" s="165">
        <f>C38+E38+G38+I38+K38</f>
        <v>11487.486733950002</v>
      </c>
      <c r="M38" s="278" t="s">
        <v>84</v>
      </c>
      <c r="N38" s="427">
        <v>671.38</v>
      </c>
      <c r="O38" s="449">
        <f>N38*4477.45/1000</f>
        <v>3006.070381</v>
      </c>
      <c r="P38" s="396">
        <v>594.86</v>
      </c>
      <c r="Q38" s="423">
        <f>P38*332.25/1000</f>
        <v>197.64223500000003</v>
      </c>
      <c r="R38" s="396">
        <v>1302.61</v>
      </c>
      <c r="S38" s="423">
        <f>R38*47.03/1000</f>
        <v>61.2617483</v>
      </c>
      <c r="T38" s="448">
        <v>212500</v>
      </c>
      <c r="U38" s="423">
        <f t="shared" si="54"/>
        <v>1068.2375</v>
      </c>
      <c r="V38" s="396">
        <f>R38+P38</f>
        <v>1897.4699999999998</v>
      </c>
      <c r="W38" s="423">
        <f>V38*6.97/1000</f>
        <v>13.225365899999998</v>
      </c>
      <c r="X38" s="426">
        <f>O38+Q38+S38+U38+W38</f>
        <v>4346.437230199999</v>
      </c>
      <c r="Y38" s="278" t="s">
        <v>84</v>
      </c>
      <c r="Z38" s="453">
        <v>205.15</v>
      </c>
      <c r="AA38" s="449">
        <f>Z38*4477.45/1000</f>
        <v>918.5488674999999</v>
      </c>
      <c r="AB38" s="454">
        <v>387.58</v>
      </c>
      <c r="AC38" s="423">
        <f>AB38*332.25/1000</f>
        <v>128.773455</v>
      </c>
      <c r="AD38" s="396">
        <v>458.14</v>
      </c>
      <c r="AE38" s="423">
        <f>AD38*47.03/1000</f>
        <v>21.5463242</v>
      </c>
      <c r="AF38" s="427">
        <v>190300</v>
      </c>
      <c r="AG38" s="423">
        <f t="shared" si="60"/>
        <v>956.6381</v>
      </c>
      <c r="AH38" s="396">
        <f>AD38+AB38</f>
        <v>845.72</v>
      </c>
      <c r="AI38" s="423">
        <f>AH38*6.97/1000</f>
        <v>5.8946684</v>
      </c>
      <c r="AJ38" s="426">
        <f>AA38+AC38+AE38+AG38+AI38</f>
        <v>2031.4014151</v>
      </c>
      <c r="AK38" s="278" t="s">
        <v>84</v>
      </c>
      <c r="AL38" s="396">
        <v>13.91</v>
      </c>
      <c r="AM38" s="449">
        <f>AL38*5110.403/1000</f>
        <v>71.08570573</v>
      </c>
      <c r="AN38" s="396">
        <v>80.8</v>
      </c>
      <c r="AO38" s="449">
        <f>AN38*380.4263/1000</f>
        <v>30.738445040000002</v>
      </c>
      <c r="AP38" s="396">
        <v>493.7</v>
      </c>
      <c r="AQ38" s="449">
        <f>AP38*54.89/1000</f>
        <v>27.099193</v>
      </c>
      <c r="AR38" s="427">
        <v>174700</v>
      </c>
      <c r="AS38" s="449">
        <f t="shared" si="66"/>
        <v>962.597</v>
      </c>
      <c r="AT38" s="396">
        <f>AP38+AN38</f>
        <v>574.5</v>
      </c>
      <c r="AU38" s="449">
        <f>AT38*7.58/1000</f>
        <v>4.35471</v>
      </c>
      <c r="AV38" s="426">
        <f>AM38+AO38+AQ38+AS38+AU38</f>
        <v>1095.87505377</v>
      </c>
      <c r="AW38" s="278" t="s">
        <v>84</v>
      </c>
      <c r="AX38" s="396">
        <v>527.2</v>
      </c>
      <c r="AY38" s="449">
        <f>AX38*5110.403/1000</f>
        <v>2694.2044616000003</v>
      </c>
      <c r="AZ38" s="396">
        <v>265.6</v>
      </c>
      <c r="BA38" s="449">
        <f>AZ38*380.4263/1000</f>
        <v>101.04122528000002</v>
      </c>
      <c r="BB38" s="384">
        <v>856</v>
      </c>
      <c r="BC38" s="449">
        <f>BB38*54.89/1000</f>
        <v>46.98584</v>
      </c>
      <c r="BD38" s="427">
        <v>211078</v>
      </c>
      <c r="BE38" s="449">
        <f t="shared" si="72"/>
        <v>1163.03978</v>
      </c>
      <c r="BF38" s="396">
        <f>BB38+AZ38</f>
        <v>1121.6</v>
      </c>
      <c r="BG38" s="449">
        <f>BF38*7.58/1000</f>
        <v>8.501728</v>
      </c>
      <c r="BH38" s="426">
        <f>AY38+BA38+BC38+BE38+BG38</f>
        <v>4013.7730348800005</v>
      </c>
      <c r="BI38" s="1"/>
      <c r="BJ38" s="1"/>
      <c r="BK38" s="1"/>
    </row>
    <row r="39" spans="1:60" ht="16.5" thickBot="1">
      <c r="A39" s="388" t="s">
        <v>29</v>
      </c>
      <c r="B39" s="78">
        <f t="shared" si="76"/>
        <v>270.4</v>
      </c>
      <c r="C39" s="79">
        <f t="shared" si="76"/>
        <v>679.0848954999999</v>
      </c>
      <c r="D39" s="60">
        <f t="shared" si="76"/>
        <v>4.279999999999999</v>
      </c>
      <c r="E39" s="154">
        <f t="shared" si="76"/>
        <v>10.8375311</v>
      </c>
      <c r="F39" s="69">
        <f t="shared" si="76"/>
        <v>245.55999999999997</v>
      </c>
      <c r="G39" s="150">
        <f t="shared" si="76"/>
        <v>6.9623762</v>
      </c>
      <c r="H39" s="57">
        <f t="shared" si="49"/>
        <v>10290.330000000002</v>
      </c>
      <c r="I39" s="153">
        <f t="shared" si="49"/>
        <v>54.13862529</v>
      </c>
      <c r="J39" s="60">
        <f t="shared" si="49"/>
        <v>245.55999999999997</v>
      </c>
      <c r="K39" s="79">
        <f t="shared" si="49"/>
        <v>2.5706064</v>
      </c>
      <c r="L39" s="165">
        <f>C39+E39+G39+I39+K39</f>
        <v>753.5940344899999</v>
      </c>
      <c r="M39" s="122" t="s">
        <v>29</v>
      </c>
      <c r="N39" s="427">
        <v>130.9</v>
      </c>
      <c r="O39" s="423">
        <f>N39*2295.37/1000</f>
        <v>300.463933</v>
      </c>
      <c r="P39" s="396">
        <v>1.17</v>
      </c>
      <c r="Q39" s="423">
        <f>P39*2295.37/1000</f>
        <v>2.6855829</v>
      </c>
      <c r="R39" s="396">
        <v>51.9</v>
      </c>
      <c r="S39" s="423">
        <f>R39*24.72/1000</f>
        <v>1.2829679999999999</v>
      </c>
      <c r="T39" s="448">
        <v>3080.76</v>
      </c>
      <c r="U39" s="423">
        <f t="shared" si="54"/>
        <v>15.486980520000001</v>
      </c>
      <c r="V39" s="396">
        <f>R39</f>
        <v>51.9</v>
      </c>
      <c r="W39" s="449">
        <f>V39*10.06/1000</f>
        <v>0.5221140000000001</v>
      </c>
      <c r="X39" s="426">
        <f t="shared" si="56"/>
        <v>320.4415784199999</v>
      </c>
      <c r="Y39" s="122" t="s">
        <v>29</v>
      </c>
      <c r="Z39" s="396">
        <v>39.77</v>
      </c>
      <c r="AA39" s="423">
        <f>Z39*2295.37/1000</f>
        <v>91.2868649</v>
      </c>
      <c r="AB39" s="454">
        <v>1.38</v>
      </c>
      <c r="AC39" s="423">
        <f>AB39*2295.37/1000</f>
        <v>3.1676105999999997</v>
      </c>
      <c r="AD39" s="396">
        <v>46.2</v>
      </c>
      <c r="AE39" s="423">
        <f>AD39*24.72/1000</f>
        <v>1.142064</v>
      </c>
      <c r="AF39" s="427">
        <v>2221.71</v>
      </c>
      <c r="AG39" s="423">
        <f t="shared" si="60"/>
        <v>11.168536170000001</v>
      </c>
      <c r="AH39" s="396">
        <f>AD39</f>
        <v>46.2</v>
      </c>
      <c r="AI39" s="449">
        <f>AH39*10.06/1000</f>
        <v>0.4647720000000001</v>
      </c>
      <c r="AJ39" s="426">
        <f t="shared" si="62"/>
        <v>107.22984767</v>
      </c>
      <c r="AK39" s="98" t="s">
        <v>29</v>
      </c>
      <c r="AL39" s="396">
        <v>8.1</v>
      </c>
      <c r="AM39" s="449">
        <f>AL39*2881.12/1000</f>
        <v>23.337071999999996</v>
      </c>
      <c r="AN39" s="396">
        <v>0.17</v>
      </c>
      <c r="AO39" s="449">
        <f>AN39*2881.12/1000</f>
        <v>0.4897904</v>
      </c>
      <c r="AP39" s="396">
        <v>44.86</v>
      </c>
      <c r="AQ39" s="466">
        <f>AP39*30.77/1000</f>
        <v>1.3803422</v>
      </c>
      <c r="AR39" s="427">
        <v>2646.06</v>
      </c>
      <c r="AS39" s="449">
        <f t="shared" si="66"/>
        <v>14.579790599999999</v>
      </c>
      <c r="AT39" s="384">
        <f>AP39</f>
        <v>44.86</v>
      </c>
      <c r="AU39" s="449">
        <f>AT39*10.74/1000</f>
        <v>0.4817964</v>
      </c>
      <c r="AV39" s="426">
        <f t="shared" si="68"/>
        <v>40.26879159999999</v>
      </c>
      <c r="AW39" s="98" t="s">
        <v>29</v>
      </c>
      <c r="AX39" s="396">
        <v>91.63</v>
      </c>
      <c r="AY39" s="449">
        <f>AX39*2881.12/1000</f>
        <v>263.9970256</v>
      </c>
      <c r="AZ39" s="396">
        <v>1.56</v>
      </c>
      <c r="BA39" s="449">
        <f>AZ39*2881.12/1000</f>
        <v>4.4945472</v>
      </c>
      <c r="BB39" s="384">
        <v>102.6</v>
      </c>
      <c r="BC39" s="466">
        <f>BB39*30.77/1000</f>
        <v>3.157002</v>
      </c>
      <c r="BD39" s="427">
        <v>2341.8</v>
      </c>
      <c r="BE39" s="449">
        <f t="shared" si="72"/>
        <v>12.903318</v>
      </c>
      <c r="BF39" s="384">
        <f t="shared" si="73"/>
        <v>102.6</v>
      </c>
      <c r="BG39" s="449">
        <f>BF39*10.74/1000</f>
        <v>1.101924</v>
      </c>
      <c r="BH39" s="426">
        <f t="shared" si="75"/>
        <v>285.65381679999996</v>
      </c>
    </row>
    <row r="40" spans="1:62" s="9" customFormat="1" ht="15" customHeight="1" thickBot="1">
      <c r="A40" s="20" t="s">
        <v>24</v>
      </c>
      <c r="B40" s="35">
        <f t="shared" si="76"/>
        <v>2919.7799999999997</v>
      </c>
      <c r="C40" s="50">
        <f t="shared" si="76"/>
        <v>9692.24341113</v>
      </c>
      <c r="D40" s="35">
        <f>P40+AB40+AN40+AZ40</f>
        <v>1442.53</v>
      </c>
      <c r="E40" s="44">
        <f t="shared" si="76"/>
        <v>676.1109181200001</v>
      </c>
      <c r="F40" s="34">
        <f t="shared" si="76"/>
        <v>6488.209999999999</v>
      </c>
      <c r="G40" s="50">
        <f t="shared" si="76"/>
        <v>290.561124</v>
      </c>
      <c r="H40" s="84">
        <f t="shared" si="49"/>
        <v>999237.49</v>
      </c>
      <c r="I40" s="44">
        <f t="shared" si="49"/>
        <v>5257.31959181</v>
      </c>
      <c r="J40" s="34">
        <f t="shared" si="49"/>
        <v>7796.049999999999</v>
      </c>
      <c r="K40" s="46">
        <f t="shared" si="49"/>
        <v>91.84575709999999</v>
      </c>
      <c r="L40" s="63">
        <f>C40+E40+G40+I40+K40</f>
        <v>16008.080802160002</v>
      </c>
      <c r="M40" s="20" t="s">
        <v>24</v>
      </c>
      <c r="N40" s="434">
        <f aca="true" t="shared" si="77" ref="N40:W40">SUM(N30:N39)</f>
        <v>1303.14</v>
      </c>
      <c r="O40" s="435">
        <f t="shared" si="77"/>
        <v>4154.0244942</v>
      </c>
      <c r="P40" s="434">
        <f t="shared" si="77"/>
        <v>624.5699999999999</v>
      </c>
      <c r="Q40" s="435">
        <f t="shared" si="77"/>
        <v>248.61949570000002</v>
      </c>
      <c r="R40" s="434">
        <f t="shared" si="77"/>
        <v>2213.63</v>
      </c>
      <c r="S40" s="435">
        <f t="shared" si="77"/>
        <v>95.63801869999999</v>
      </c>
      <c r="T40" s="434">
        <f t="shared" si="77"/>
        <v>270970.69</v>
      </c>
      <c r="U40" s="435">
        <f t="shared" si="77"/>
        <v>1362.16965863</v>
      </c>
      <c r="V40" s="434">
        <f t="shared" si="77"/>
        <v>2806.49</v>
      </c>
      <c r="W40" s="435">
        <f t="shared" si="77"/>
        <v>29.055643099999994</v>
      </c>
      <c r="X40" s="421">
        <f>O40+Q40+S40+U40+W40</f>
        <v>5889.507310329999</v>
      </c>
      <c r="Y40" s="20" t="s">
        <v>24</v>
      </c>
      <c r="Z40" s="434">
        <f aca="true" t="shared" si="78" ref="Z40:AI40">SUM(Z30:Z39)</f>
        <v>422.5</v>
      </c>
      <c r="AA40" s="435">
        <f t="shared" si="78"/>
        <v>1310.3135229999998</v>
      </c>
      <c r="AB40" s="434">
        <f t="shared" si="78"/>
        <v>419.03</v>
      </c>
      <c r="AC40" s="435">
        <f t="shared" si="78"/>
        <v>182.82161050000002</v>
      </c>
      <c r="AD40" s="434">
        <f t="shared" si="78"/>
        <v>1404.7900000000002</v>
      </c>
      <c r="AE40" s="435">
        <f t="shared" si="78"/>
        <v>57.373722199999996</v>
      </c>
      <c r="AF40" s="434">
        <f t="shared" si="78"/>
        <v>243478.54</v>
      </c>
      <c r="AG40" s="435">
        <f t="shared" si="78"/>
        <v>1223.96662058</v>
      </c>
      <c r="AH40" s="434">
        <f t="shared" si="78"/>
        <v>1792.3700000000001</v>
      </c>
      <c r="AI40" s="435">
        <f t="shared" si="78"/>
        <v>22.4414774</v>
      </c>
      <c r="AJ40" s="421">
        <f>AA40+AC40+AE40+AG40+AI40</f>
        <v>2796.91695368</v>
      </c>
      <c r="AK40" s="20" t="s">
        <v>24</v>
      </c>
      <c r="AL40" s="434">
        <f aca="true" t="shared" si="79" ref="AL40:AU40">SUM(AL30:AL39)</f>
        <v>66.71</v>
      </c>
      <c r="AM40" s="435">
        <f t="shared" si="79"/>
        <v>189.37138873</v>
      </c>
      <c r="AN40" s="434">
        <f t="shared" si="79"/>
        <v>101.54</v>
      </c>
      <c r="AO40" s="435">
        <f t="shared" si="79"/>
        <v>74.92158954000001</v>
      </c>
      <c r="AP40" s="434">
        <f t="shared" si="79"/>
        <v>1197.61</v>
      </c>
      <c r="AQ40" s="435">
        <f t="shared" si="79"/>
        <v>56.7725517</v>
      </c>
      <c r="AR40" s="434">
        <f t="shared" si="79"/>
        <v>223038.34</v>
      </c>
      <c r="AS40" s="435">
        <f t="shared" si="79"/>
        <v>1228.9412534</v>
      </c>
      <c r="AT40" s="434">
        <f t="shared" si="79"/>
        <v>1270.4099999999999</v>
      </c>
      <c r="AU40" s="435">
        <f t="shared" si="79"/>
        <v>17.2976034</v>
      </c>
      <c r="AV40" s="421">
        <f>AM40+AO40+AQ40+AS40+AU40</f>
        <v>1567.30438677</v>
      </c>
      <c r="AW40" s="20" t="s">
        <v>24</v>
      </c>
      <c r="AX40" s="434">
        <f>SUM(AX30:AX39)</f>
        <v>1127.4299999999998</v>
      </c>
      <c r="AY40" s="435">
        <f>SUM(AY30:AY39)</f>
        <v>4038.5340052000006</v>
      </c>
      <c r="AZ40" s="434">
        <f>SUM(AZ30:AZ39)</f>
        <v>297.39000000000004</v>
      </c>
      <c r="BA40" s="435">
        <f>SUM(BA30:BA39)</f>
        <v>169.74822238000002</v>
      </c>
      <c r="BB40" s="434">
        <f aca="true" t="shared" si="80" ref="BB40:BG40">SUM(BB30:BB39)</f>
        <v>1672.1799999999998</v>
      </c>
      <c r="BC40" s="435">
        <f t="shared" si="80"/>
        <v>80.7768314</v>
      </c>
      <c r="BD40" s="434">
        <f t="shared" si="80"/>
        <v>261749.91999999998</v>
      </c>
      <c r="BE40" s="435">
        <f t="shared" si="80"/>
        <v>1442.2420592</v>
      </c>
      <c r="BF40" s="434">
        <f t="shared" si="80"/>
        <v>1926.7799999999997</v>
      </c>
      <c r="BG40" s="435">
        <f t="shared" si="80"/>
        <v>23.0510332</v>
      </c>
      <c r="BH40" s="421">
        <f>AY40+BA40+BC40+BE40+BG40</f>
        <v>5754.3521513800015</v>
      </c>
      <c r="BI40" s="12"/>
      <c r="BJ40" s="11"/>
    </row>
    <row r="41" spans="1:60" ht="16.5" thickBot="1">
      <c r="A41" s="405" t="s">
        <v>33</v>
      </c>
      <c r="B41" s="187" t="s">
        <v>35</v>
      </c>
      <c r="C41" s="115"/>
      <c r="D41" s="115"/>
      <c r="E41" s="115"/>
      <c r="F41" s="115"/>
      <c r="G41" s="115"/>
      <c r="H41" s="176" t="s">
        <v>35</v>
      </c>
      <c r="I41" s="115"/>
      <c r="J41" s="115"/>
      <c r="K41" s="115" t="s">
        <v>35</v>
      </c>
      <c r="L41" s="53"/>
      <c r="M41" s="133" t="s">
        <v>33</v>
      </c>
      <c r="N41" s="440"/>
      <c r="O41" s="441"/>
      <c r="P41" s="442"/>
      <c r="Q41" s="441"/>
      <c r="R41" s="442"/>
      <c r="S41" s="442"/>
      <c r="T41" s="442"/>
      <c r="U41" s="442"/>
      <c r="V41" s="442"/>
      <c r="W41" s="442" t="s">
        <v>35</v>
      </c>
      <c r="X41" s="443"/>
      <c r="Y41" s="114" t="s">
        <v>33</v>
      </c>
      <c r="Z41" s="434"/>
      <c r="AA41" s="441"/>
      <c r="AB41" s="418"/>
      <c r="AC41" s="441"/>
      <c r="AD41" s="418"/>
      <c r="AE41" s="442"/>
      <c r="AF41" s="418"/>
      <c r="AG41" s="442"/>
      <c r="AH41" s="442"/>
      <c r="AI41" s="442" t="s">
        <v>35</v>
      </c>
      <c r="AJ41" s="443"/>
      <c r="AK41" s="114" t="s">
        <v>33</v>
      </c>
      <c r="AL41" s="482"/>
      <c r="AM41" s="474"/>
      <c r="AN41" s="475"/>
      <c r="AO41" s="474"/>
      <c r="AP41" s="475"/>
      <c r="AQ41" s="475"/>
      <c r="AR41" s="483"/>
      <c r="AS41" s="474"/>
      <c r="AT41" s="475" t="s">
        <v>35</v>
      </c>
      <c r="AU41" s="478"/>
      <c r="AV41" s="421"/>
      <c r="AW41" s="102" t="s">
        <v>33</v>
      </c>
      <c r="AX41" s="460" t="s">
        <v>35</v>
      </c>
      <c r="AY41" s="474"/>
      <c r="AZ41" s="475"/>
      <c r="BA41" s="474"/>
      <c r="BB41" s="475"/>
      <c r="BC41" s="475"/>
      <c r="BD41" s="474"/>
      <c r="BE41" s="474"/>
      <c r="BF41" s="475"/>
      <c r="BG41" s="475"/>
      <c r="BH41" s="419"/>
    </row>
    <row r="42" spans="1:60" s="4" customFormat="1" ht="15">
      <c r="A42" s="406" t="s">
        <v>17</v>
      </c>
      <c r="B42" s="386">
        <f aca="true" t="shared" si="81" ref="B42:K53">N42+Z42+AL42+AX42</f>
        <v>1611.67</v>
      </c>
      <c r="C42" s="391">
        <f t="shared" si="81"/>
        <v>3020.1247549</v>
      </c>
      <c r="D42" s="386">
        <f t="shared" si="81"/>
        <v>67.84</v>
      </c>
      <c r="E42" s="391">
        <f t="shared" si="81"/>
        <v>127.33705119999999</v>
      </c>
      <c r="F42" s="392">
        <f t="shared" si="81"/>
        <v>5923.09</v>
      </c>
      <c r="G42" s="393">
        <f t="shared" si="81"/>
        <v>236.3798718</v>
      </c>
      <c r="H42" s="386">
        <f t="shared" si="81"/>
        <v>93578.47</v>
      </c>
      <c r="I42" s="391">
        <f t="shared" si="81"/>
        <v>491.55359969000006</v>
      </c>
      <c r="J42" s="392">
        <f t="shared" si="81"/>
        <v>5923.09</v>
      </c>
      <c r="K42" s="391">
        <f t="shared" si="81"/>
        <v>108.1729474</v>
      </c>
      <c r="L42" s="165">
        <f aca="true" t="shared" si="82" ref="L42:L53">C42+E42+G42+I42+K42</f>
        <v>3983.5682249899996</v>
      </c>
      <c r="M42" s="145" t="s">
        <v>17</v>
      </c>
      <c r="N42" s="444">
        <v>719.57</v>
      </c>
      <c r="O42" s="423">
        <f>N42*1692.07/1000</f>
        <v>1217.5628099</v>
      </c>
      <c r="P42" s="386">
        <f>26.33-0.03</f>
        <v>26.299999999999997</v>
      </c>
      <c r="Q42" s="423">
        <f>P42*1692.07/1000</f>
        <v>44.50144099999999</v>
      </c>
      <c r="R42" s="386">
        <v>1721.19</v>
      </c>
      <c r="S42" s="423">
        <f>R42*38.52/1000</f>
        <v>66.3002388</v>
      </c>
      <c r="T42" s="444">
        <v>29913.47</v>
      </c>
      <c r="U42" s="423">
        <f aca="true" t="shared" si="83" ref="U42:U52">T42*5.027/1000</f>
        <v>150.37501369000003</v>
      </c>
      <c r="V42" s="386">
        <f>R42</f>
        <v>1721.19</v>
      </c>
      <c r="W42" s="423">
        <f>V42*17.86/1000</f>
        <v>30.7404534</v>
      </c>
      <c r="X42" s="426">
        <f aca="true" t="shared" si="84" ref="X42:X52">O42+Q42+S42+U42+W42</f>
        <v>1509.47995679</v>
      </c>
      <c r="Y42" s="103" t="s">
        <v>17</v>
      </c>
      <c r="Z42" s="386">
        <v>213.8</v>
      </c>
      <c r="AA42" s="423">
        <f>Z42*1692.07/1000</f>
        <v>361.764566</v>
      </c>
      <c r="AB42" s="386">
        <v>12.5</v>
      </c>
      <c r="AC42" s="423">
        <f>AB42*1692.07/1000</f>
        <v>21.150875</v>
      </c>
      <c r="AD42" s="386">
        <v>2337.4</v>
      </c>
      <c r="AE42" s="423">
        <f>AD42*38.52/1000</f>
        <v>90.03664800000001</v>
      </c>
      <c r="AF42" s="444">
        <v>19908</v>
      </c>
      <c r="AG42" s="423">
        <f aca="true" t="shared" si="85" ref="AG42:AG52">AF42*5.027/1000</f>
        <v>100.077516</v>
      </c>
      <c r="AH42" s="386">
        <f>AD42</f>
        <v>2337.4</v>
      </c>
      <c r="AI42" s="423">
        <f>AH42*17.86/1000</f>
        <v>41.745964</v>
      </c>
      <c r="AJ42" s="426">
        <f aca="true" t="shared" si="86" ref="AJ42:AJ52">AA42+AC42+AE42+AG42+AI42</f>
        <v>614.7755689999999</v>
      </c>
      <c r="AK42" s="103" t="s">
        <v>17</v>
      </c>
      <c r="AL42" s="386">
        <v>19.5</v>
      </c>
      <c r="AM42" s="449">
        <f>AL42*2124.13/1000</f>
        <v>41.420535</v>
      </c>
      <c r="AN42" s="394">
        <v>8.31</v>
      </c>
      <c r="AO42" s="449">
        <f>AN42*2124.13/1000</f>
        <v>17.651520300000005</v>
      </c>
      <c r="AP42" s="394">
        <v>701.3</v>
      </c>
      <c r="AQ42" s="423">
        <f>AP42*42.93/1000</f>
        <v>30.106809</v>
      </c>
      <c r="AR42" s="422">
        <v>15645</v>
      </c>
      <c r="AS42" s="423">
        <f aca="true" t="shared" si="87" ref="AS42:AS52">AR42*5.51/1000</f>
        <v>86.20394999999999</v>
      </c>
      <c r="AT42" s="394">
        <f>AP42</f>
        <v>701.3</v>
      </c>
      <c r="AU42" s="423">
        <f>AT42*19.14/1000</f>
        <v>13.422882</v>
      </c>
      <c r="AV42" s="426">
        <f aca="true" t="shared" si="88" ref="AV42:AV52">AM42+AO42+AQ42+AS42+AU42</f>
        <v>188.8056963</v>
      </c>
      <c r="AW42" s="103" t="s">
        <v>17</v>
      </c>
      <c r="AX42" s="394">
        <f>658.75+0.05</f>
        <v>658.8</v>
      </c>
      <c r="AY42" s="449">
        <f>AX42*2124.13/1000</f>
        <v>1399.3768440000001</v>
      </c>
      <c r="AZ42" s="394">
        <v>20.73</v>
      </c>
      <c r="BA42" s="449">
        <f>AZ42*2124.13/1000</f>
        <v>44.033214900000004</v>
      </c>
      <c r="BB42" s="394">
        <f>1163.21-0.01</f>
        <v>1163.2</v>
      </c>
      <c r="BC42" s="423">
        <f>BB42*42.93/1000</f>
        <v>49.936175999999996</v>
      </c>
      <c r="BD42" s="422">
        <v>28112</v>
      </c>
      <c r="BE42" s="423">
        <f aca="true" t="shared" si="89" ref="BE42:BE52">BD42*5.51/1000</f>
        <v>154.89712</v>
      </c>
      <c r="BF42" s="394">
        <f aca="true" t="shared" si="90" ref="BF42:BF52">BB42</f>
        <v>1163.2</v>
      </c>
      <c r="BG42" s="423">
        <f>BF42*19.14/1000</f>
        <v>22.263648</v>
      </c>
      <c r="BH42" s="426">
        <f aca="true" t="shared" si="91" ref="BH42:BH52">AY42+BA42+BC42+BE42+BG42</f>
        <v>1670.5070029000003</v>
      </c>
    </row>
    <row r="43" spans="1:60" ht="15.75">
      <c r="A43" s="10" t="s">
        <v>47</v>
      </c>
      <c r="B43" s="394">
        <f t="shared" si="81"/>
        <v>334.06</v>
      </c>
      <c r="C43" s="395">
        <f t="shared" si="81"/>
        <v>652.3864444</v>
      </c>
      <c r="D43" s="396">
        <f>P43+AB43+AN43+AZ43</f>
        <v>84.85</v>
      </c>
      <c r="E43" s="397">
        <f t="shared" si="81"/>
        <v>163.55059390000002</v>
      </c>
      <c r="F43" s="384">
        <f t="shared" si="81"/>
        <v>2865.9</v>
      </c>
      <c r="G43" s="398">
        <f t="shared" si="81"/>
        <v>116.59448699999999</v>
      </c>
      <c r="H43" s="396">
        <f t="shared" si="81"/>
        <v>43848.770000000004</v>
      </c>
      <c r="I43" s="395">
        <f t="shared" si="81"/>
        <v>230.81868586000002</v>
      </c>
      <c r="J43" s="384">
        <f t="shared" si="81"/>
        <v>2759.9</v>
      </c>
      <c r="K43" s="395">
        <f t="shared" si="81"/>
        <v>51.023526</v>
      </c>
      <c r="L43" s="165">
        <f t="shared" si="82"/>
        <v>1214.37373716</v>
      </c>
      <c r="M43" s="146" t="s">
        <v>47</v>
      </c>
      <c r="N43" s="427">
        <f>109.59</f>
        <v>109.59</v>
      </c>
      <c r="O43" s="423">
        <f>N43*1692.07/1000</f>
        <v>185.4339513</v>
      </c>
      <c r="P43" s="396">
        <f>0.03+24.44</f>
        <v>24.470000000000002</v>
      </c>
      <c r="Q43" s="423">
        <f>P43*1692.07/1000</f>
        <v>41.404952900000005</v>
      </c>
      <c r="R43" s="396">
        <v>885</v>
      </c>
      <c r="S43" s="423">
        <f>R43*38.52/1000</f>
        <v>34.0902</v>
      </c>
      <c r="T43" s="427">
        <v>14289.08</v>
      </c>
      <c r="U43" s="423">
        <f t="shared" si="83"/>
        <v>71.83120516</v>
      </c>
      <c r="V43" s="396">
        <f>R43-26.5</f>
        <v>858.5</v>
      </c>
      <c r="W43" s="423">
        <f>V43*17.86/1000</f>
        <v>15.33281</v>
      </c>
      <c r="X43" s="426">
        <f t="shared" si="84"/>
        <v>348.09311935999995</v>
      </c>
      <c r="Y43" s="96" t="s">
        <v>47</v>
      </c>
      <c r="Z43" s="396">
        <v>22.8</v>
      </c>
      <c r="AA43" s="423">
        <f>Z43*1692.07/1000</f>
        <v>38.579195999999996</v>
      </c>
      <c r="AB43" s="396">
        <v>14.14</v>
      </c>
      <c r="AC43" s="423">
        <f>AB43*1692.07/1000</f>
        <v>23.9258698</v>
      </c>
      <c r="AD43" s="396">
        <v>575</v>
      </c>
      <c r="AE43" s="423">
        <f>AD43*38.52/1000</f>
        <v>22.149</v>
      </c>
      <c r="AF43" s="427">
        <v>8046.4</v>
      </c>
      <c r="AG43" s="423">
        <f t="shared" si="85"/>
        <v>40.449252800000004</v>
      </c>
      <c r="AH43" s="396">
        <f>AD43-26.5</f>
        <v>548.5</v>
      </c>
      <c r="AI43" s="423">
        <f>AH43*17.86/1000</f>
        <v>9.796209999999999</v>
      </c>
      <c r="AJ43" s="426">
        <f t="shared" si="86"/>
        <v>134.8995286</v>
      </c>
      <c r="AK43" s="96" t="s">
        <v>47</v>
      </c>
      <c r="AL43" s="396">
        <v>7.2</v>
      </c>
      <c r="AM43" s="449">
        <f>AL43*2124.13/1000</f>
        <v>15.293736</v>
      </c>
      <c r="AN43" s="396">
        <v>21.27</v>
      </c>
      <c r="AO43" s="449">
        <f>AN43*2124.13/1000</f>
        <v>45.1802451</v>
      </c>
      <c r="AP43" s="396">
        <v>648</v>
      </c>
      <c r="AQ43" s="449">
        <f>AP43*42.93/1000</f>
        <v>27.81864</v>
      </c>
      <c r="AR43" s="427">
        <v>6060.29</v>
      </c>
      <c r="AS43" s="449">
        <f t="shared" si="87"/>
        <v>33.3921979</v>
      </c>
      <c r="AT43" s="396">
        <f>AP43-26.5</f>
        <v>621.5</v>
      </c>
      <c r="AU43" s="449">
        <f>AT43*19.14/1000</f>
        <v>11.89551</v>
      </c>
      <c r="AV43" s="426">
        <f t="shared" si="88"/>
        <v>133.580329</v>
      </c>
      <c r="AW43" s="96" t="s">
        <v>47</v>
      </c>
      <c r="AX43" s="396">
        <v>194.47</v>
      </c>
      <c r="AY43" s="449">
        <f>AX43*2124.13/1000</f>
        <v>413.0795611</v>
      </c>
      <c r="AZ43" s="396">
        <v>24.97</v>
      </c>
      <c r="BA43" s="449">
        <f>AZ43*2124.13/1000</f>
        <v>53.0395261</v>
      </c>
      <c r="BB43" s="396">
        <f>757.85+0.05</f>
        <v>757.9</v>
      </c>
      <c r="BC43" s="449">
        <f>BB43*42.93/1000</f>
        <v>32.536646999999995</v>
      </c>
      <c r="BD43" s="427">
        <v>15453</v>
      </c>
      <c r="BE43" s="449">
        <f t="shared" si="89"/>
        <v>85.14603</v>
      </c>
      <c r="BF43" s="396">
        <f>BB43-26.5</f>
        <v>731.4</v>
      </c>
      <c r="BG43" s="449">
        <f>BF43*19.14/1000</f>
        <v>13.998996</v>
      </c>
      <c r="BH43" s="426">
        <f t="shared" si="91"/>
        <v>597.8007602</v>
      </c>
    </row>
    <row r="44" spans="1:62" ht="21.75" customHeight="1">
      <c r="A44" s="407" t="s">
        <v>19</v>
      </c>
      <c r="B44" s="394">
        <f t="shared" si="81"/>
        <v>1838.53</v>
      </c>
      <c r="C44" s="395">
        <f t="shared" si="81"/>
        <v>3429.6261955</v>
      </c>
      <c r="D44" s="396">
        <f t="shared" si="81"/>
        <v>143.62</v>
      </c>
      <c r="E44" s="397">
        <f t="shared" si="81"/>
        <v>273.52717060000003</v>
      </c>
      <c r="F44" s="384">
        <f t="shared" si="81"/>
        <v>6962.299999999999</v>
      </c>
      <c r="G44" s="398">
        <f t="shared" si="81"/>
        <v>282.99260699999996</v>
      </c>
      <c r="H44" s="396">
        <f t="shared" si="81"/>
        <v>188578.6</v>
      </c>
      <c r="I44" s="395">
        <f t="shared" si="81"/>
        <v>993.53768045</v>
      </c>
      <c r="J44" s="384">
        <f t="shared" si="81"/>
        <v>6948</v>
      </c>
      <c r="K44" s="395">
        <f t="shared" si="81"/>
        <v>128.388368</v>
      </c>
      <c r="L44" s="165">
        <f t="shared" si="82"/>
        <v>5108.07202155</v>
      </c>
      <c r="M44" s="147" t="s">
        <v>19</v>
      </c>
      <c r="N44" s="427">
        <v>877.18</v>
      </c>
      <c r="O44" s="423">
        <f>N44*1692.07/1000</f>
        <v>1484.2499626</v>
      </c>
      <c r="P44" s="450">
        <f>40.49+0.01</f>
        <v>40.5</v>
      </c>
      <c r="Q44" s="423">
        <f>P44*1692.07/1000</f>
        <v>68.52883499999999</v>
      </c>
      <c r="R44" s="431">
        <v>2143.2</v>
      </c>
      <c r="S44" s="423">
        <f>R44*38.52/1000</f>
        <v>82.55606399999999</v>
      </c>
      <c r="T44" s="427">
        <v>54056.1</v>
      </c>
      <c r="U44" s="423">
        <f t="shared" si="83"/>
        <v>271.7400147</v>
      </c>
      <c r="V44" s="396">
        <f>R44-14.3</f>
        <v>2128.8999999999996</v>
      </c>
      <c r="W44" s="423">
        <f>V44*17.86/1000</f>
        <v>38.02215399999999</v>
      </c>
      <c r="X44" s="426">
        <f t="shared" si="84"/>
        <v>1945.0970303</v>
      </c>
      <c r="Y44" s="104" t="s">
        <v>19</v>
      </c>
      <c r="Z44" s="396">
        <v>223.71</v>
      </c>
      <c r="AA44" s="423">
        <f>Z44*1692.07/1000</f>
        <v>378.5329797</v>
      </c>
      <c r="AB44" s="450">
        <v>32.5</v>
      </c>
      <c r="AC44" s="423">
        <f>AB44*1692.07/1000</f>
        <v>54.992275</v>
      </c>
      <c r="AD44" s="431">
        <v>1462</v>
      </c>
      <c r="AE44" s="423">
        <f>AD44*38.52/1000</f>
        <v>56.31624000000001</v>
      </c>
      <c r="AF44" s="427">
        <v>40209.75</v>
      </c>
      <c r="AG44" s="423">
        <f t="shared" si="85"/>
        <v>202.13441325000002</v>
      </c>
      <c r="AH44" s="396">
        <f>AD44</f>
        <v>1462</v>
      </c>
      <c r="AI44" s="423">
        <f>AH44*17.86/1000</f>
        <v>26.11132</v>
      </c>
      <c r="AJ44" s="426">
        <f t="shared" si="86"/>
        <v>718.0872279499999</v>
      </c>
      <c r="AK44" s="96" t="s">
        <v>19</v>
      </c>
      <c r="AL44" s="396">
        <v>21.45</v>
      </c>
      <c r="AM44" s="449">
        <f>AL44*2124.13/1000</f>
        <v>45.5625885</v>
      </c>
      <c r="AN44" s="396">
        <v>26.23</v>
      </c>
      <c r="AO44" s="449">
        <f>AN44*2124.13/1000</f>
        <v>55.715929900000006</v>
      </c>
      <c r="AP44" s="396">
        <v>1067</v>
      </c>
      <c r="AQ44" s="449">
        <f>AP44*42.93/1000</f>
        <v>45.806309999999996</v>
      </c>
      <c r="AR44" s="427">
        <v>44472.75</v>
      </c>
      <c r="AS44" s="449">
        <f t="shared" si="87"/>
        <v>245.0448525</v>
      </c>
      <c r="AT44" s="396">
        <f>AP44</f>
        <v>1067</v>
      </c>
      <c r="AU44" s="449">
        <f>AT44*19.14/1000</f>
        <v>20.42238</v>
      </c>
      <c r="AV44" s="426">
        <f t="shared" si="88"/>
        <v>412.55206089999996</v>
      </c>
      <c r="AW44" s="96" t="s">
        <v>19</v>
      </c>
      <c r="AX44" s="396">
        <v>716.19</v>
      </c>
      <c r="AY44" s="449">
        <f>AX44*2124.13/1000</f>
        <v>1521.2806647</v>
      </c>
      <c r="AZ44" s="396">
        <v>44.39</v>
      </c>
      <c r="BA44" s="449">
        <f>AZ44*2124.13/1000</f>
        <v>94.2901307</v>
      </c>
      <c r="BB44" s="396">
        <v>2290.1</v>
      </c>
      <c r="BC44" s="449">
        <f>BB44*42.93/1000</f>
        <v>98.313993</v>
      </c>
      <c r="BD44" s="427">
        <v>49840</v>
      </c>
      <c r="BE44" s="449">
        <f t="shared" si="89"/>
        <v>274.61839999999995</v>
      </c>
      <c r="BF44" s="396">
        <f t="shared" si="90"/>
        <v>2290.1</v>
      </c>
      <c r="BG44" s="449">
        <f>BF44*19.14/1000</f>
        <v>43.832514</v>
      </c>
      <c r="BH44" s="426">
        <f t="shared" si="91"/>
        <v>2032.3357024</v>
      </c>
      <c r="BJ44" s="1" t="s">
        <v>35</v>
      </c>
    </row>
    <row r="45" spans="1:60" ht="15.75">
      <c r="A45" s="407" t="s">
        <v>44</v>
      </c>
      <c r="B45" s="394">
        <f t="shared" si="81"/>
        <v>0</v>
      </c>
      <c r="C45" s="395">
        <f t="shared" si="81"/>
        <v>0</v>
      </c>
      <c r="D45" s="396">
        <f t="shared" si="81"/>
        <v>0</v>
      </c>
      <c r="E45" s="397">
        <f t="shared" si="81"/>
        <v>0</v>
      </c>
      <c r="F45" s="384">
        <f t="shared" si="81"/>
        <v>0</v>
      </c>
      <c r="G45" s="398">
        <f t="shared" si="81"/>
        <v>0</v>
      </c>
      <c r="H45" s="396">
        <f t="shared" si="81"/>
        <v>4697.02</v>
      </c>
      <c r="I45" s="395">
        <f t="shared" si="81"/>
        <v>24.39462104</v>
      </c>
      <c r="J45" s="384">
        <f t="shared" si="81"/>
        <v>0</v>
      </c>
      <c r="K45" s="395">
        <f t="shared" si="81"/>
        <v>0</v>
      </c>
      <c r="L45" s="165">
        <f t="shared" si="82"/>
        <v>24.39462104</v>
      </c>
      <c r="M45" s="147" t="s">
        <v>44</v>
      </c>
      <c r="N45" s="427">
        <v>0</v>
      </c>
      <c r="O45" s="423">
        <f>N45*1692.07/1000</f>
        <v>0</v>
      </c>
      <c r="P45" s="396">
        <v>0</v>
      </c>
      <c r="Q45" s="423">
        <f>P45*1692.07/1000</f>
        <v>0</v>
      </c>
      <c r="R45" s="396">
        <v>0</v>
      </c>
      <c r="S45" s="423">
        <f>R45*38.52/1000</f>
        <v>0</v>
      </c>
      <c r="T45" s="427">
        <f>1527.75</f>
        <v>1527.75</v>
      </c>
      <c r="U45" s="423">
        <f t="shared" si="83"/>
        <v>7.67999925</v>
      </c>
      <c r="V45" s="396">
        <f>R45</f>
        <v>0</v>
      </c>
      <c r="W45" s="423">
        <f>V45*17.86/1000</f>
        <v>0</v>
      </c>
      <c r="X45" s="426">
        <f t="shared" si="84"/>
        <v>7.67999925</v>
      </c>
      <c r="Y45" s="96" t="s">
        <v>44</v>
      </c>
      <c r="Z45" s="396">
        <v>0</v>
      </c>
      <c r="AA45" s="423">
        <f>Z45*1692.07/1000</f>
        <v>0</v>
      </c>
      <c r="AB45" s="396">
        <v>0</v>
      </c>
      <c r="AC45" s="423">
        <f>AB45*1692.07/1000</f>
        <v>0</v>
      </c>
      <c r="AD45" s="396">
        <v>0</v>
      </c>
      <c r="AE45" s="423">
        <f>AD45*38.52/1000</f>
        <v>0</v>
      </c>
      <c r="AF45" s="427">
        <f>1548.77</f>
        <v>1548.77</v>
      </c>
      <c r="AG45" s="423">
        <f t="shared" si="85"/>
        <v>7.7856667900000005</v>
      </c>
      <c r="AH45" s="396">
        <f>AD45</f>
        <v>0</v>
      </c>
      <c r="AI45" s="423">
        <f>AH45*17.86/1000</f>
        <v>0</v>
      </c>
      <c r="AJ45" s="426">
        <f t="shared" si="86"/>
        <v>7.7856667900000005</v>
      </c>
      <c r="AK45" s="96" t="s">
        <v>44</v>
      </c>
      <c r="AL45" s="396">
        <v>0</v>
      </c>
      <c r="AM45" s="449">
        <f>AL45*2124.13/1000</f>
        <v>0</v>
      </c>
      <c r="AN45" s="396">
        <v>0</v>
      </c>
      <c r="AO45" s="449">
        <f>AN45*2124.13/1000</f>
        <v>0</v>
      </c>
      <c r="AP45" s="396">
        <v>0</v>
      </c>
      <c r="AQ45" s="449">
        <f>AP45*42.93/1000</f>
        <v>0</v>
      </c>
      <c r="AR45" s="427">
        <v>304.5</v>
      </c>
      <c r="AS45" s="449">
        <f t="shared" si="87"/>
        <v>1.677795</v>
      </c>
      <c r="AT45" s="396">
        <f>AP45</f>
        <v>0</v>
      </c>
      <c r="AU45" s="449">
        <f>AT45*19.14/1000</f>
        <v>0</v>
      </c>
      <c r="AV45" s="426">
        <f t="shared" si="88"/>
        <v>1.677795</v>
      </c>
      <c r="AW45" s="96" t="s">
        <v>44</v>
      </c>
      <c r="AX45" s="396">
        <v>0</v>
      </c>
      <c r="AY45" s="449">
        <f>AX45*2124.13/1000</f>
        <v>0</v>
      </c>
      <c r="AZ45" s="396">
        <v>0</v>
      </c>
      <c r="BA45" s="449">
        <f>AZ45*2124.13/1000</f>
        <v>0</v>
      </c>
      <c r="BB45" s="396">
        <v>0</v>
      </c>
      <c r="BC45" s="449">
        <f>BB45*42.93/1000</f>
        <v>0</v>
      </c>
      <c r="BD45" s="427">
        <v>1316</v>
      </c>
      <c r="BE45" s="449">
        <f t="shared" si="89"/>
        <v>7.25116</v>
      </c>
      <c r="BF45" s="396">
        <f t="shared" si="90"/>
        <v>0</v>
      </c>
      <c r="BG45" s="449">
        <f>BF45*19.14/1000</f>
        <v>0</v>
      </c>
      <c r="BH45" s="426">
        <f t="shared" si="91"/>
        <v>7.25116</v>
      </c>
    </row>
    <row r="46" spans="1:60" s="4" customFormat="1" ht="15">
      <c r="A46" s="10" t="s">
        <v>18</v>
      </c>
      <c r="B46" s="394">
        <f t="shared" si="81"/>
        <v>65.9</v>
      </c>
      <c r="C46" s="395">
        <f t="shared" si="81"/>
        <v>121.444793</v>
      </c>
      <c r="D46" s="396">
        <f t="shared" si="81"/>
        <v>4.6</v>
      </c>
      <c r="E46" s="397">
        <f t="shared" si="81"/>
        <v>8.6303596</v>
      </c>
      <c r="F46" s="384">
        <f t="shared" si="81"/>
        <v>260.11</v>
      </c>
      <c r="G46" s="398">
        <f t="shared" si="81"/>
        <v>10.7769429</v>
      </c>
      <c r="H46" s="396">
        <f t="shared" si="81"/>
        <v>3794</v>
      </c>
      <c r="I46" s="395">
        <f t="shared" si="81"/>
        <v>19.875184</v>
      </c>
      <c r="J46" s="384">
        <f t="shared" si="81"/>
        <v>260.11</v>
      </c>
      <c r="K46" s="395">
        <f t="shared" si="81"/>
        <v>4.8654302000000005</v>
      </c>
      <c r="L46" s="165">
        <f t="shared" si="82"/>
        <v>165.59270969999997</v>
      </c>
      <c r="M46" s="146" t="s">
        <v>18</v>
      </c>
      <c r="N46" s="427">
        <v>34.4</v>
      </c>
      <c r="O46" s="423">
        <f>N46*1692.07/1000</f>
        <v>58.207208</v>
      </c>
      <c r="P46" s="396">
        <f>1.86-0.02</f>
        <v>1.84</v>
      </c>
      <c r="Q46" s="423">
        <f>P46*1692.07/1000</f>
        <v>3.1134088</v>
      </c>
      <c r="R46" s="396">
        <v>52.17</v>
      </c>
      <c r="S46" s="423">
        <f>R46*38.52/1000</f>
        <v>2.0095884</v>
      </c>
      <c r="T46" s="427">
        <v>1345</v>
      </c>
      <c r="U46" s="423">
        <f t="shared" si="83"/>
        <v>6.761315000000001</v>
      </c>
      <c r="V46" s="396">
        <f>R46</f>
        <v>52.17</v>
      </c>
      <c r="W46" s="423">
        <f>V46*17.86/1000</f>
        <v>0.9317562</v>
      </c>
      <c r="X46" s="426">
        <f t="shared" si="84"/>
        <v>71.0232764</v>
      </c>
      <c r="Y46" s="96" t="s">
        <v>18</v>
      </c>
      <c r="Z46" s="396">
        <v>8.5</v>
      </c>
      <c r="AA46" s="423">
        <f>Z46*1692.07/1000</f>
        <v>14.382594999999998</v>
      </c>
      <c r="AB46" s="396">
        <v>0.8</v>
      </c>
      <c r="AC46" s="423">
        <f>AB46*1692.07/1000</f>
        <v>1.353656</v>
      </c>
      <c r="AD46" s="396">
        <v>36.17</v>
      </c>
      <c r="AE46" s="423">
        <f>AD46*38.52/1000</f>
        <v>1.3932684000000002</v>
      </c>
      <c r="AF46" s="427">
        <v>787</v>
      </c>
      <c r="AG46" s="423">
        <f t="shared" si="85"/>
        <v>3.956249</v>
      </c>
      <c r="AH46" s="396">
        <f>AD46</f>
        <v>36.17</v>
      </c>
      <c r="AI46" s="423">
        <f>AH46*17.86/1000</f>
        <v>0.6459962</v>
      </c>
      <c r="AJ46" s="426">
        <f t="shared" si="86"/>
        <v>21.731764599999998</v>
      </c>
      <c r="AK46" s="96" t="s">
        <v>18</v>
      </c>
      <c r="AL46" s="396">
        <v>1.5</v>
      </c>
      <c r="AM46" s="449">
        <f>AL46*2124.13/1000</f>
        <v>3.186195</v>
      </c>
      <c r="AN46" s="396">
        <v>0.54</v>
      </c>
      <c r="AO46" s="449">
        <f>AN46*2124.13/1000</f>
        <v>1.1470302</v>
      </c>
      <c r="AP46" s="396">
        <v>28.17</v>
      </c>
      <c r="AQ46" s="449">
        <f>AP46*42.93/1000</f>
        <v>1.2093381</v>
      </c>
      <c r="AR46" s="427">
        <v>628</v>
      </c>
      <c r="AS46" s="449">
        <f t="shared" si="87"/>
        <v>3.4602799999999996</v>
      </c>
      <c r="AT46" s="396">
        <f>AP46</f>
        <v>28.17</v>
      </c>
      <c r="AU46" s="449">
        <f>AT46*19.14/1000</f>
        <v>0.5391738</v>
      </c>
      <c r="AV46" s="426">
        <f t="shared" si="88"/>
        <v>9.5420171</v>
      </c>
      <c r="AW46" s="96" t="s">
        <v>18</v>
      </c>
      <c r="AX46" s="396">
        <v>21.5</v>
      </c>
      <c r="AY46" s="449">
        <f>AX46*2124.13/1000</f>
        <v>45.668795</v>
      </c>
      <c r="AZ46" s="396">
        <v>1.42</v>
      </c>
      <c r="BA46" s="449">
        <f>AZ46*2124.13/1000</f>
        <v>3.0162646</v>
      </c>
      <c r="BB46" s="396">
        <f>0.04+143.56</f>
        <v>143.6</v>
      </c>
      <c r="BC46" s="449">
        <f>BB46*42.93/1000</f>
        <v>6.1647479999999995</v>
      </c>
      <c r="BD46" s="427">
        <v>1034</v>
      </c>
      <c r="BE46" s="449">
        <f t="shared" si="89"/>
        <v>5.6973400000000005</v>
      </c>
      <c r="BF46" s="396">
        <f t="shared" si="90"/>
        <v>143.6</v>
      </c>
      <c r="BG46" s="449">
        <f>BF46*19.14/1000</f>
        <v>2.748504</v>
      </c>
      <c r="BH46" s="426">
        <f t="shared" si="91"/>
        <v>63.2956516</v>
      </c>
    </row>
    <row r="47" spans="1:60" ht="15.75">
      <c r="A47" s="10" t="s">
        <v>27</v>
      </c>
      <c r="B47" s="394">
        <f t="shared" si="81"/>
        <v>1204.4</v>
      </c>
      <c r="C47" s="395">
        <f t="shared" si="81"/>
        <v>2863.839679</v>
      </c>
      <c r="D47" s="396">
        <f t="shared" si="81"/>
        <v>0</v>
      </c>
      <c r="E47" s="397">
        <f t="shared" si="81"/>
        <v>0</v>
      </c>
      <c r="F47" s="384">
        <f t="shared" si="81"/>
        <v>3412</v>
      </c>
      <c r="G47" s="398">
        <f t="shared" si="81"/>
        <v>142.17872</v>
      </c>
      <c r="H47" s="396">
        <f t="shared" si="81"/>
        <v>78064.2</v>
      </c>
      <c r="I47" s="395">
        <f t="shared" si="81"/>
        <v>411.2996883</v>
      </c>
      <c r="J47" s="384">
        <f t="shared" si="81"/>
        <v>0</v>
      </c>
      <c r="K47" s="395">
        <f t="shared" si="81"/>
        <v>0</v>
      </c>
      <c r="L47" s="165">
        <f t="shared" si="82"/>
        <v>3417.3180873</v>
      </c>
      <c r="M47" s="148" t="s">
        <v>27</v>
      </c>
      <c r="N47" s="427">
        <v>542.8</v>
      </c>
      <c r="O47" s="449">
        <f>2264.3*N47/1000</f>
        <v>1229.06204</v>
      </c>
      <c r="P47" s="396">
        <v>0</v>
      </c>
      <c r="Q47" s="449">
        <f>2264.3*P47/1000</f>
        <v>0</v>
      </c>
      <c r="R47" s="396">
        <v>1541</v>
      </c>
      <c r="S47" s="449">
        <f>R47*40.96/1000</f>
        <v>63.11936</v>
      </c>
      <c r="T47" s="427">
        <v>21647.7</v>
      </c>
      <c r="U47" s="423">
        <f t="shared" si="83"/>
        <v>108.8229879</v>
      </c>
      <c r="V47" s="396">
        <v>0</v>
      </c>
      <c r="W47" s="449">
        <v>0</v>
      </c>
      <c r="X47" s="426">
        <f t="shared" si="84"/>
        <v>1401.0043879</v>
      </c>
      <c r="Y47" s="96" t="s">
        <v>27</v>
      </c>
      <c r="Z47" s="396">
        <v>223.7</v>
      </c>
      <c r="AA47" s="449">
        <f>2264.3*Z47/1000</f>
        <v>506.52391000000006</v>
      </c>
      <c r="AB47" s="396">
        <v>0</v>
      </c>
      <c r="AC47" s="449">
        <f>2264.3*AB47/1000</f>
        <v>0</v>
      </c>
      <c r="AD47" s="396">
        <v>831</v>
      </c>
      <c r="AE47" s="449">
        <f>AD47*40.96/1000</f>
        <v>34.03776</v>
      </c>
      <c r="AF47" s="427">
        <v>17346.2</v>
      </c>
      <c r="AG47" s="423">
        <f t="shared" si="85"/>
        <v>87.1993474</v>
      </c>
      <c r="AH47" s="396">
        <v>0</v>
      </c>
      <c r="AI47" s="449">
        <v>0</v>
      </c>
      <c r="AJ47" s="426">
        <f t="shared" si="86"/>
        <v>627.7610174</v>
      </c>
      <c r="AK47" s="96" t="s">
        <v>27</v>
      </c>
      <c r="AL47" s="396">
        <v>23.9</v>
      </c>
      <c r="AM47" s="449">
        <f>AL47*2576.51/1000</f>
        <v>61.578589</v>
      </c>
      <c r="AN47" s="396">
        <v>0</v>
      </c>
      <c r="AO47" s="449">
        <f>AN47*2576.51/1000</f>
        <v>0</v>
      </c>
      <c r="AP47" s="396">
        <v>374</v>
      </c>
      <c r="AQ47" s="449">
        <f>AP47*43.29/1000</f>
        <v>16.190459999999998</v>
      </c>
      <c r="AR47" s="427">
        <v>19155.3</v>
      </c>
      <c r="AS47" s="449">
        <f t="shared" si="87"/>
        <v>105.54570299999999</v>
      </c>
      <c r="AT47" s="396">
        <v>0</v>
      </c>
      <c r="AU47" s="449">
        <v>0</v>
      </c>
      <c r="AV47" s="426">
        <f t="shared" si="88"/>
        <v>183.314752</v>
      </c>
      <c r="AW47" s="96" t="s">
        <v>27</v>
      </c>
      <c r="AX47" s="396">
        <v>414</v>
      </c>
      <c r="AY47" s="449">
        <f>AX47*2576.51/1000</f>
        <v>1066.67514</v>
      </c>
      <c r="AZ47" s="396">
        <v>0</v>
      </c>
      <c r="BA47" s="449">
        <f>AZ47*2576.51/1000</f>
        <v>0</v>
      </c>
      <c r="BB47" s="396">
        <v>666</v>
      </c>
      <c r="BC47" s="449">
        <f>BB47*43.29/1000</f>
        <v>28.831139999999998</v>
      </c>
      <c r="BD47" s="427">
        <v>19915</v>
      </c>
      <c r="BE47" s="449">
        <f t="shared" si="89"/>
        <v>109.73164999999999</v>
      </c>
      <c r="BF47" s="396">
        <v>0</v>
      </c>
      <c r="BG47" s="449">
        <v>0</v>
      </c>
      <c r="BH47" s="426">
        <f t="shared" si="91"/>
        <v>1205.23793</v>
      </c>
    </row>
    <row r="48" spans="1:60" ht="15.75">
      <c r="A48" s="10" t="s">
        <v>48</v>
      </c>
      <c r="B48" s="394">
        <f t="shared" si="81"/>
        <v>0</v>
      </c>
      <c r="C48" s="395">
        <f t="shared" si="81"/>
        <v>0</v>
      </c>
      <c r="D48" s="396">
        <f t="shared" si="81"/>
        <v>0</v>
      </c>
      <c r="E48" s="397">
        <f t="shared" si="81"/>
        <v>0</v>
      </c>
      <c r="F48" s="384">
        <f t="shared" si="81"/>
        <v>0</v>
      </c>
      <c r="G48" s="398">
        <f t="shared" si="81"/>
        <v>0</v>
      </c>
      <c r="H48" s="396">
        <f t="shared" si="81"/>
        <v>4535.86</v>
      </c>
      <c r="I48" s="395">
        <f t="shared" si="81"/>
        <v>23.96631986</v>
      </c>
      <c r="J48" s="384">
        <f t="shared" si="81"/>
        <v>0</v>
      </c>
      <c r="K48" s="395">
        <f t="shared" si="81"/>
        <v>0</v>
      </c>
      <c r="L48" s="165">
        <f t="shared" si="82"/>
        <v>23.96631986</v>
      </c>
      <c r="M48" s="148" t="s">
        <v>48</v>
      </c>
      <c r="N48" s="427">
        <v>0</v>
      </c>
      <c r="O48" s="449">
        <f>2264.3*N48/1000</f>
        <v>0</v>
      </c>
      <c r="P48" s="396">
        <v>0</v>
      </c>
      <c r="Q48" s="449">
        <f>2264.3*P48/1000</f>
        <v>0</v>
      </c>
      <c r="R48" s="396">
        <v>0</v>
      </c>
      <c r="S48" s="449">
        <f>R48*40.96/1000</f>
        <v>0</v>
      </c>
      <c r="T48" s="427">
        <v>2025.84</v>
      </c>
      <c r="U48" s="423">
        <f t="shared" si="83"/>
        <v>10.18389768</v>
      </c>
      <c r="V48" s="396">
        <f>R48</f>
        <v>0</v>
      </c>
      <c r="W48" s="449">
        <v>0</v>
      </c>
      <c r="X48" s="426">
        <f t="shared" si="84"/>
        <v>10.18389768</v>
      </c>
      <c r="Y48" s="96" t="s">
        <v>48</v>
      </c>
      <c r="Z48" s="396">
        <v>0</v>
      </c>
      <c r="AA48" s="449">
        <f>2264.3*Z48/1000</f>
        <v>0</v>
      </c>
      <c r="AB48" s="396">
        <v>0</v>
      </c>
      <c r="AC48" s="449">
        <f>2264.3*AB48/1000</f>
        <v>0</v>
      </c>
      <c r="AD48" s="396">
        <v>0</v>
      </c>
      <c r="AE48" s="449">
        <f>AD48*40.96/1000</f>
        <v>0</v>
      </c>
      <c r="AF48" s="427">
        <v>98.94</v>
      </c>
      <c r="AG48" s="423">
        <f t="shared" si="85"/>
        <v>0.49737138</v>
      </c>
      <c r="AH48" s="396">
        <f>AD48</f>
        <v>0</v>
      </c>
      <c r="AI48" s="449">
        <v>0</v>
      </c>
      <c r="AJ48" s="426">
        <f t="shared" si="86"/>
        <v>0.49737138</v>
      </c>
      <c r="AK48" s="96" t="s">
        <v>48</v>
      </c>
      <c r="AL48" s="396">
        <v>0</v>
      </c>
      <c r="AM48" s="449">
        <f>AL48*2576.51/1000</f>
        <v>0</v>
      </c>
      <c r="AN48" s="396">
        <v>0</v>
      </c>
      <c r="AO48" s="449">
        <f>AN48*2576.51/1000</f>
        <v>0</v>
      </c>
      <c r="AP48" s="396">
        <v>0</v>
      </c>
      <c r="AQ48" s="449">
        <f>AP48*43.29/1000</f>
        <v>0</v>
      </c>
      <c r="AR48" s="427">
        <v>871.08</v>
      </c>
      <c r="AS48" s="449">
        <f t="shared" si="87"/>
        <v>4.7996508</v>
      </c>
      <c r="AT48" s="396">
        <f>AP48</f>
        <v>0</v>
      </c>
      <c r="AU48" s="449">
        <v>0</v>
      </c>
      <c r="AV48" s="426">
        <f t="shared" si="88"/>
        <v>4.7996508</v>
      </c>
      <c r="AW48" s="96" t="s">
        <v>48</v>
      </c>
      <c r="AX48" s="396">
        <v>0</v>
      </c>
      <c r="AY48" s="449">
        <f>AX48*2576.51/1000</f>
        <v>0</v>
      </c>
      <c r="AZ48" s="396">
        <v>0</v>
      </c>
      <c r="BA48" s="449">
        <f>AZ48*2576.51/1000</f>
        <v>0</v>
      </c>
      <c r="BB48" s="396">
        <v>0</v>
      </c>
      <c r="BC48" s="449">
        <f>BB48*43.29/1000</f>
        <v>0</v>
      </c>
      <c r="BD48" s="427">
        <v>1540</v>
      </c>
      <c r="BE48" s="449">
        <f t="shared" si="89"/>
        <v>8.4854</v>
      </c>
      <c r="BF48" s="396">
        <f t="shared" si="90"/>
        <v>0</v>
      </c>
      <c r="BG48" s="449">
        <v>0</v>
      </c>
      <c r="BH48" s="426">
        <f t="shared" si="91"/>
        <v>8.4854</v>
      </c>
    </row>
    <row r="49" spans="1:60" ht="15.75">
      <c r="A49" s="277" t="s">
        <v>83</v>
      </c>
      <c r="B49" s="394">
        <f t="shared" si="81"/>
        <v>1633.4499999999998</v>
      </c>
      <c r="C49" s="395">
        <f t="shared" si="81"/>
        <v>7706.8811061</v>
      </c>
      <c r="D49" s="396">
        <f t="shared" si="81"/>
        <v>672.6500000000001</v>
      </c>
      <c r="E49" s="397">
        <f t="shared" si="81"/>
        <v>235.63947064900003</v>
      </c>
      <c r="F49" s="384">
        <f t="shared" si="81"/>
        <v>508.99999999999994</v>
      </c>
      <c r="G49" s="398">
        <f t="shared" si="81"/>
        <v>25.984228</v>
      </c>
      <c r="H49" s="396">
        <f t="shared" si="81"/>
        <v>54973</v>
      </c>
      <c r="I49" s="395">
        <f t="shared" si="81"/>
        <v>285.973529</v>
      </c>
      <c r="J49" s="384">
        <f t="shared" si="81"/>
        <v>1181.65</v>
      </c>
      <c r="K49" s="395">
        <f t="shared" si="81"/>
        <v>8.5487438</v>
      </c>
      <c r="L49" s="165">
        <f>C49+E49+G49+I49+K49</f>
        <v>8263.027077549</v>
      </c>
      <c r="M49" s="277" t="s">
        <v>83</v>
      </c>
      <c r="N49" s="396">
        <v>783.87</v>
      </c>
      <c r="O49" s="449">
        <f>N49*4477.45/1000</f>
        <v>3509.7387314999996</v>
      </c>
      <c r="P49" s="396">
        <v>245.43</v>
      </c>
      <c r="Q49" s="423">
        <f>P49*332.25/1000</f>
        <v>81.54411750000001</v>
      </c>
      <c r="R49" s="396">
        <v>130</v>
      </c>
      <c r="S49" s="423">
        <f>R49*47.03/1000</f>
        <v>6.1139</v>
      </c>
      <c r="T49" s="427">
        <v>24066</v>
      </c>
      <c r="U49" s="423">
        <f t="shared" si="83"/>
        <v>120.979782</v>
      </c>
      <c r="V49" s="396">
        <f>R49+P49</f>
        <v>375.43</v>
      </c>
      <c r="W49" s="423">
        <f>V49*6.97/1000</f>
        <v>2.6167471</v>
      </c>
      <c r="X49" s="426">
        <f t="shared" si="84"/>
        <v>3720.9932780999993</v>
      </c>
      <c r="Y49" s="277" t="s">
        <v>83</v>
      </c>
      <c r="Z49" s="396">
        <v>228.38</v>
      </c>
      <c r="AA49" s="449">
        <f>Z49*4477.45/1000</f>
        <v>1022.560031</v>
      </c>
      <c r="AB49" s="396">
        <v>174.99</v>
      </c>
      <c r="AC49" s="423">
        <f>AB49*332.25/1000</f>
        <v>58.14042750000001</v>
      </c>
      <c r="AD49" s="396">
        <v>118.7</v>
      </c>
      <c r="AE49" s="423">
        <f>AD49*47.03/1000</f>
        <v>5.582461</v>
      </c>
      <c r="AF49" s="427">
        <v>10981</v>
      </c>
      <c r="AG49" s="423">
        <f t="shared" si="85"/>
        <v>55.201487</v>
      </c>
      <c r="AH49" s="396">
        <f>AD49+AB49</f>
        <v>293.69</v>
      </c>
      <c r="AI49" s="423">
        <f>AH49*6.97/1000</f>
        <v>2.0470193</v>
      </c>
      <c r="AJ49" s="426">
        <f t="shared" si="86"/>
        <v>1143.5314258</v>
      </c>
      <c r="AK49" s="277" t="s">
        <v>83</v>
      </c>
      <c r="AL49" s="396">
        <v>25.8</v>
      </c>
      <c r="AM49" s="449">
        <f>AL49*5110.403/1000</f>
        <v>131.8483974</v>
      </c>
      <c r="AN49" s="396">
        <v>48.73</v>
      </c>
      <c r="AO49" s="449">
        <f>AN49*380.4263/1000</f>
        <v>18.538173599</v>
      </c>
      <c r="AP49" s="396">
        <v>96.1</v>
      </c>
      <c r="AQ49" s="449">
        <f>AP49*54.89/1000</f>
        <v>5.274929</v>
      </c>
      <c r="AR49" s="427">
        <v>971</v>
      </c>
      <c r="AS49" s="449">
        <f t="shared" si="87"/>
        <v>5.35021</v>
      </c>
      <c r="AT49" s="396">
        <f>AP49+AN49</f>
        <v>144.82999999999998</v>
      </c>
      <c r="AU49" s="449">
        <f>AT49*7.58/1000</f>
        <v>1.0978113999999999</v>
      </c>
      <c r="AV49" s="426">
        <f t="shared" si="88"/>
        <v>162.10952139900002</v>
      </c>
      <c r="AW49" s="277" t="s">
        <v>83</v>
      </c>
      <c r="AX49" s="396">
        <v>595.4</v>
      </c>
      <c r="AY49" s="449">
        <f>AX49*5110.403/1000</f>
        <v>3042.7339462</v>
      </c>
      <c r="AZ49" s="396">
        <v>203.5</v>
      </c>
      <c r="BA49" s="449">
        <f>AZ49*380.4263/1000</f>
        <v>77.41675205000001</v>
      </c>
      <c r="BB49" s="396">
        <v>164.2</v>
      </c>
      <c r="BC49" s="449">
        <f>BB49*54.89/1000</f>
        <v>9.012938</v>
      </c>
      <c r="BD49" s="427">
        <v>18955</v>
      </c>
      <c r="BE49" s="449">
        <f t="shared" si="89"/>
        <v>104.44205000000001</v>
      </c>
      <c r="BF49" s="396">
        <f>BB49+AZ49</f>
        <v>367.7</v>
      </c>
      <c r="BG49" s="449">
        <f>BF49*7.58/1000</f>
        <v>2.787166</v>
      </c>
      <c r="BH49" s="426">
        <f>AY49+BA49+BC49+BE49+BG49</f>
        <v>3236.39285225</v>
      </c>
    </row>
    <row r="50" spans="1:60" ht="26.25">
      <c r="A50" s="10" t="s">
        <v>82</v>
      </c>
      <c r="B50" s="394">
        <f t="shared" si="81"/>
        <v>846.39</v>
      </c>
      <c r="C50" s="395">
        <f t="shared" si="81"/>
        <v>4006.5312623600003</v>
      </c>
      <c r="D50" s="396">
        <f t="shared" si="81"/>
        <v>1402.33</v>
      </c>
      <c r="E50" s="397">
        <f t="shared" si="81"/>
        <v>495.391176395</v>
      </c>
      <c r="F50" s="384">
        <f t="shared" si="81"/>
        <v>1515.46</v>
      </c>
      <c r="G50" s="398">
        <f t="shared" si="81"/>
        <v>77.5475864</v>
      </c>
      <c r="H50" s="396">
        <f t="shared" si="81"/>
        <v>82669</v>
      </c>
      <c r="I50" s="395">
        <f t="shared" si="81"/>
        <v>437.75159299999996</v>
      </c>
      <c r="J50" s="384">
        <f t="shared" si="81"/>
        <v>2917.79</v>
      </c>
      <c r="K50" s="395">
        <f t="shared" si="81"/>
        <v>21.1971329</v>
      </c>
      <c r="L50" s="165">
        <f>C50+E50+G50+I50+K50</f>
        <v>5038.418751055</v>
      </c>
      <c r="M50" s="10" t="s">
        <v>82</v>
      </c>
      <c r="N50" s="396">
        <v>382.91</v>
      </c>
      <c r="O50" s="449">
        <f>N50*4477.45/1000</f>
        <v>1714.4603795</v>
      </c>
      <c r="P50" s="396">
        <f>352.6+0.04</f>
        <v>352.64000000000004</v>
      </c>
      <c r="Q50" s="423">
        <f>P50*332.25/1000</f>
        <v>117.16464000000002</v>
      </c>
      <c r="R50" s="396">
        <v>424.11</v>
      </c>
      <c r="S50" s="423">
        <f>R50*47.03/1000</f>
        <v>19.945893299999998</v>
      </c>
      <c r="T50" s="427">
        <v>19493</v>
      </c>
      <c r="U50" s="423">
        <f t="shared" si="83"/>
        <v>97.991311</v>
      </c>
      <c r="V50" s="396">
        <f>R50+P50</f>
        <v>776.75</v>
      </c>
      <c r="W50" s="423">
        <f>V50*6.97/1000</f>
        <v>5.4139475</v>
      </c>
      <c r="X50" s="426">
        <f t="shared" si="84"/>
        <v>1954.9761713</v>
      </c>
      <c r="Y50" s="10" t="s">
        <v>82</v>
      </c>
      <c r="Z50" s="396">
        <v>120.86</v>
      </c>
      <c r="AA50" s="449">
        <f>Z50*4477.45/1000</f>
        <v>541.144607</v>
      </c>
      <c r="AB50" s="396">
        <v>438.04</v>
      </c>
      <c r="AC50" s="423">
        <f>AB50*332.25/1000</f>
        <v>145.53879</v>
      </c>
      <c r="AD50" s="396">
        <v>292.94</v>
      </c>
      <c r="AE50" s="423">
        <f>AD50*47.03/1000</f>
        <v>13.776968199999999</v>
      </c>
      <c r="AF50" s="427">
        <v>17266</v>
      </c>
      <c r="AG50" s="423">
        <f t="shared" si="85"/>
        <v>86.796182</v>
      </c>
      <c r="AH50" s="396">
        <f>AD50+AB50</f>
        <v>730.98</v>
      </c>
      <c r="AI50" s="423">
        <f>AH50*6.97/1000</f>
        <v>5.0949306</v>
      </c>
      <c r="AJ50" s="426">
        <f t="shared" si="86"/>
        <v>792.3514778000001</v>
      </c>
      <c r="AK50" s="10" t="s">
        <v>82</v>
      </c>
      <c r="AL50" s="396">
        <v>10.12</v>
      </c>
      <c r="AM50" s="449">
        <f>AL50*5110.403/1000</f>
        <v>51.717278359999995</v>
      </c>
      <c r="AN50" s="396">
        <v>226.25</v>
      </c>
      <c r="AO50" s="449">
        <f>AN50*380.4263/1000</f>
        <v>86.071450375</v>
      </c>
      <c r="AP50" s="396">
        <v>500.71</v>
      </c>
      <c r="AQ50" s="449">
        <f>AP50*54.89/1000</f>
        <v>27.4839719</v>
      </c>
      <c r="AR50" s="427">
        <v>20459</v>
      </c>
      <c r="AS50" s="449">
        <f t="shared" si="87"/>
        <v>112.72909</v>
      </c>
      <c r="AT50" s="396">
        <f>AP50+AN50</f>
        <v>726.96</v>
      </c>
      <c r="AU50" s="449">
        <f>AT50*7.58/1000</f>
        <v>5.5103568</v>
      </c>
      <c r="AV50" s="426">
        <f t="shared" si="88"/>
        <v>283.51214743500003</v>
      </c>
      <c r="AW50" s="10" t="s">
        <v>82</v>
      </c>
      <c r="AX50" s="396">
        <v>332.5</v>
      </c>
      <c r="AY50" s="449">
        <f>AX50*5110.403/1000</f>
        <v>1699.2089975000001</v>
      </c>
      <c r="AZ50" s="396">
        <v>385.4</v>
      </c>
      <c r="BA50" s="449">
        <f>AZ50*380.4263/1000</f>
        <v>146.61629602000002</v>
      </c>
      <c r="BB50" s="396">
        <v>297.7</v>
      </c>
      <c r="BC50" s="449">
        <f>BB50*54.89/1000</f>
        <v>16.340753</v>
      </c>
      <c r="BD50" s="427">
        <v>25451</v>
      </c>
      <c r="BE50" s="449">
        <f t="shared" si="89"/>
        <v>140.23501</v>
      </c>
      <c r="BF50" s="396">
        <f>BB50+AZ50</f>
        <v>683.0999999999999</v>
      </c>
      <c r="BG50" s="449">
        <f>BF50*7.58/1000</f>
        <v>5.177897999999999</v>
      </c>
      <c r="BH50" s="426">
        <f>AY50+BA50+BC50+BE50+BG50</f>
        <v>2007.57895452</v>
      </c>
    </row>
    <row r="51" spans="1:63" s="4" customFormat="1" ht="16.5" customHeight="1">
      <c r="A51" s="408" t="s">
        <v>28</v>
      </c>
      <c r="B51" s="394">
        <f t="shared" si="81"/>
        <v>1258.95</v>
      </c>
      <c r="C51" s="395">
        <f t="shared" si="81"/>
        <v>3196.9467914999996</v>
      </c>
      <c r="D51" s="396">
        <f t="shared" si="81"/>
        <v>106.03999999999999</v>
      </c>
      <c r="E51" s="397">
        <f t="shared" si="81"/>
        <v>264.0428648</v>
      </c>
      <c r="F51" s="384">
        <f t="shared" si="81"/>
        <v>3546.36</v>
      </c>
      <c r="G51" s="398">
        <f t="shared" si="81"/>
        <v>92.9261917</v>
      </c>
      <c r="H51" s="396">
        <f>T51+AF51+AR51+BD51</f>
        <v>102852.06999999999</v>
      </c>
      <c r="I51" s="395">
        <f t="shared" si="81"/>
        <v>543.56598599</v>
      </c>
      <c r="J51" s="384">
        <f t="shared" si="81"/>
        <v>3546.36</v>
      </c>
      <c r="K51" s="395">
        <f t="shared" si="81"/>
        <v>36.267607600000005</v>
      </c>
      <c r="L51" s="165">
        <f t="shared" si="82"/>
        <v>4133.749441589999</v>
      </c>
      <c r="M51" s="313" t="s">
        <v>28</v>
      </c>
      <c r="N51" s="427">
        <v>561.79</v>
      </c>
      <c r="O51" s="423">
        <f>N51*2295.37/1000</f>
        <v>1289.5159122999999</v>
      </c>
      <c r="P51" s="394">
        <f>44.36+0.04</f>
        <v>44.4</v>
      </c>
      <c r="Q51" s="423">
        <f>P51*2295.37/1000</f>
        <v>101.91442799999999</v>
      </c>
      <c r="R51" s="394">
        <v>1674.91</v>
      </c>
      <c r="S51" s="423">
        <f>R51*24.72/1000</f>
        <v>41.403775200000005</v>
      </c>
      <c r="T51" s="427">
        <v>27834.43</v>
      </c>
      <c r="U51" s="423">
        <f t="shared" si="83"/>
        <v>139.92367961</v>
      </c>
      <c r="V51" s="396">
        <f>R51</f>
        <v>1674.91</v>
      </c>
      <c r="W51" s="449">
        <f>V51*10.06/1000</f>
        <v>16.8495946</v>
      </c>
      <c r="X51" s="426">
        <f t="shared" si="84"/>
        <v>1589.6073897099998</v>
      </c>
      <c r="Y51" s="285" t="s">
        <v>28</v>
      </c>
      <c r="Z51" s="396">
        <v>172.72</v>
      </c>
      <c r="AA51" s="423">
        <f>Z51*2295.37/1000</f>
        <v>396.4563064</v>
      </c>
      <c r="AB51" s="394">
        <v>26.4</v>
      </c>
      <c r="AC51" s="423">
        <f>AB51*2295.37/1000</f>
        <v>60.597767999999995</v>
      </c>
      <c r="AD51" s="394">
        <v>1002</v>
      </c>
      <c r="AE51" s="423">
        <f>AD51*24.72/1000</f>
        <v>24.76944</v>
      </c>
      <c r="AF51" s="427">
        <v>20092.94</v>
      </c>
      <c r="AG51" s="423">
        <f t="shared" si="85"/>
        <v>101.00720938</v>
      </c>
      <c r="AH51" s="396">
        <f>AD51</f>
        <v>1002</v>
      </c>
      <c r="AI51" s="449">
        <f>AH51*10.06/1000</f>
        <v>10.08012</v>
      </c>
      <c r="AJ51" s="426">
        <f t="shared" si="86"/>
        <v>592.9108437799999</v>
      </c>
      <c r="AK51" s="285" t="s">
        <v>28</v>
      </c>
      <c r="AL51" s="396">
        <v>17.84</v>
      </c>
      <c r="AM51" s="449">
        <f>AL51*2881.12/1000</f>
        <v>51.399180799999996</v>
      </c>
      <c r="AN51" s="396">
        <v>3.14</v>
      </c>
      <c r="AO51" s="449">
        <f>AN51*2881.12/1000</f>
        <v>9.0467168</v>
      </c>
      <c r="AP51" s="396">
        <v>106.65</v>
      </c>
      <c r="AQ51" s="466">
        <f>AP51*30.77/1000</f>
        <v>3.2816205</v>
      </c>
      <c r="AR51" s="427">
        <v>21584.7</v>
      </c>
      <c r="AS51" s="449">
        <f t="shared" si="87"/>
        <v>118.931697</v>
      </c>
      <c r="AT51" s="396">
        <f>AP51</f>
        <v>106.65</v>
      </c>
      <c r="AU51" s="449">
        <f>AT51*10.74/1000</f>
        <v>1.145421</v>
      </c>
      <c r="AV51" s="426">
        <f t="shared" si="88"/>
        <v>183.80463609999998</v>
      </c>
      <c r="AW51" s="285" t="s">
        <v>28</v>
      </c>
      <c r="AX51" s="396">
        <v>506.6</v>
      </c>
      <c r="AY51" s="449">
        <f>AX51*2881.12/1000</f>
        <v>1459.575392</v>
      </c>
      <c r="AZ51" s="396">
        <v>32.1</v>
      </c>
      <c r="BA51" s="449">
        <f>AZ51*2881.12/1000</f>
        <v>92.483952</v>
      </c>
      <c r="BB51" s="396">
        <f>762.82-0.02</f>
        <v>762.8000000000001</v>
      </c>
      <c r="BC51" s="466">
        <f>BB51*30.77/1000</f>
        <v>23.471356000000004</v>
      </c>
      <c r="BD51" s="427">
        <f>33339.68+0.32</f>
        <v>33340</v>
      </c>
      <c r="BE51" s="449">
        <f t="shared" si="89"/>
        <v>183.7034</v>
      </c>
      <c r="BF51" s="396">
        <f t="shared" si="90"/>
        <v>762.8000000000001</v>
      </c>
      <c r="BG51" s="449">
        <f>BF51*10.74/1000</f>
        <v>8.192472000000002</v>
      </c>
      <c r="BH51" s="426">
        <f t="shared" si="91"/>
        <v>1767.426572</v>
      </c>
      <c r="BI51" s="4" t="s">
        <v>35</v>
      </c>
      <c r="BK51" s="4" t="s">
        <v>35</v>
      </c>
    </row>
    <row r="52" spans="1:62" ht="16.5" thickBot="1">
      <c r="A52" s="409" t="s">
        <v>26</v>
      </c>
      <c r="B52" s="394">
        <f t="shared" si="81"/>
        <v>576.27</v>
      </c>
      <c r="C52" s="395">
        <f t="shared" si="81"/>
        <v>1424.1551163999998</v>
      </c>
      <c r="D52" s="396">
        <f t="shared" si="81"/>
        <v>0</v>
      </c>
      <c r="E52" s="397">
        <f t="shared" si="81"/>
        <v>0</v>
      </c>
      <c r="F52" s="384">
        <f t="shared" si="81"/>
        <v>393.7</v>
      </c>
      <c r="G52" s="398">
        <f t="shared" si="81"/>
        <v>12.95122</v>
      </c>
      <c r="H52" s="396">
        <f t="shared" si="81"/>
        <v>59686.8</v>
      </c>
      <c r="I52" s="395">
        <f t="shared" si="81"/>
        <v>316.2318396</v>
      </c>
      <c r="J52" s="384">
        <f t="shared" si="81"/>
        <v>188.7</v>
      </c>
      <c r="K52" s="395">
        <f t="shared" si="81"/>
        <v>0</v>
      </c>
      <c r="L52" s="165">
        <f t="shared" si="82"/>
        <v>1753.3381759999997</v>
      </c>
      <c r="M52" s="145" t="s">
        <v>26</v>
      </c>
      <c r="N52" s="427">
        <v>281.03</v>
      </c>
      <c r="O52" s="449">
        <f>2328.09*N52/1000</f>
        <v>654.2631326999999</v>
      </c>
      <c r="P52" s="396">
        <v>0</v>
      </c>
      <c r="Q52" s="449">
        <f>2328.09*P52/1000</f>
        <v>0</v>
      </c>
      <c r="R52" s="396">
        <v>44</v>
      </c>
      <c r="S52" s="395">
        <f>R52*31.12/1000</f>
        <v>1.36928</v>
      </c>
      <c r="T52" s="427">
        <v>16325.8</v>
      </c>
      <c r="U52" s="423">
        <f t="shared" si="83"/>
        <v>82.0697966</v>
      </c>
      <c r="V52" s="396">
        <v>0</v>
      </c>
      <c r="W52" s="395">
        <v>0</v>
      </c>
      <c r="X52" s="426">
        <f t="shared" si="84"/>
        <v>737.7022092999999</v>
      </c>
      <c r="Y52" s="126" t="s">
        <v>26</v>
      </c>
      <c r="Z52" s="396">
        <v>113.07</v>
      </c>
      <c r="AA52" s="449">
        <f>2328.09*Z52/1000</f>
        <v>263.23713630000003</v>
      </c>
      <c r="AB52" s="396">
        <v>0</v>
      </c>
      <c r="AC52" s="449">
        <f>2328.09*AB52/1000</f>
        <v>0</v>
      </c>
      <c r="AD52" s="396">
        <v>43</v>
      </c>
      <c r="AE52" s="395">
        <f>AD52*31.12/1000</f>
        <v>1.33816</v>
      </c>
      <c r="AF52" s="427">
        <v>9849</v>
      </c>
      <c r="AG52" s="423">
        <f t="shared" si="85"/>
        <v>49.510923000000005</v>
      </c>
      <c r="AH52" s="396">
        <v>0</v>
      </c>
      <c r="AI52" s="395">
        <v>0</v>
      </c>
      <c r="AJ52" s="426">
        <f t="shared" si="86"/>
        <v>314.08621930000004</v>
      </c>
      <c r="AK52" s="96" t="s">
        <v>26</v>
      </c>
      <c r="AL52" s="396">
        <v>10.16</v>
      </c>
      <c r="AM52" s="484">
        <f>AL52*2781.22/1000</f>
        <v>28.257195199999998</v>
      </c>
      <c r="AN52" s="396">
        <v>0</v>
      </c>
      <c r="AO52" s="484">
        <f>AN52*2781.22/1000</f>
        <v>0</v>
      </c>
      <c r="AP52" s="396">
        <v>118</v>
      </c>
      <c r="AQ52" s="395">
        <f>AP52*33.4/1000</f>
        <v>3.9412</v>
      </c>
      <c r="AR52" s="427">
        <v>14385</v>
      </c>
      <c r="AS52" s="449">
        <f t="shared" si="87"/>
        <v>79.26135</v>
      </c>
      <c r="AT52" s="396">
        <v>0</v>
      </c>
      <c r="AU52" s="395">
        <v>0</v>
      </c>
      <c r="AV52" s="426">
        <f t="shared" si="88"/>
        <v>111.45974519999999</v>
      </c>
      <c r="AW52" s="96" t="s">
        <v>26</v>
      </c>
      <c r="AX52" s="396">
        <v>172.01</v>
      </c>
      <c r="AY52" s="484">
        <f>AX52*2781.22/1000</f>
        <v>478.3976521999999</v>
      </c>
      <c r="AZ52" s="396">
        <v>0</v>
      </c>
      <c r="BA52" s="484">
        <f>AZ52*2781.22/1000</f>
        <v>0</v>
      </c>
      <c r="BB52" s="396">
        <v>188.7</v>
      </c>
      <c r="BC52" s="395">
        <f>BB52*33.4/1000</f>
        <v>6.302579999999999</v>
      </c>
      <c r="BD52" s="427">
        <v>19127</v>
      </c>
      <c r="BE52" s="449">
        <f t="shared" si="89"/>
        <v>105.38976999999998</v>
      </c>
      <c r="BF52" s="396">
        <f t="shared" si="90"/>
        <v>188.7</v>
      </c>
      <c r="BG52" s="395">
        <v>0</v>
      </c>
      <c r="BH52" s="426">
        <f t="shared" si="91"/>
        <v>590.0900021999998</v>
      </c>
      <c r="BJ52" s="1" t="s">
        <v>35</v>
      </c>
    </row>
    <row r="53" spans="1:61" s="9" customFormat="1" ht="15.75" customHeight="1" thickBot="1">
      <c r="A53" s="28" t="s">
        <v>24</v>
      </c>
      <c r="B53" s="399">
        <f>SUM(B42:B52)</f>
        <v>9369.62</v>
      </c>
      <c r="C53" s="400">
        <f>SUM(C42:C52)</f>
        <v>26421.936143159997</v>
      </c>
      <c r="D53" s="399">
        <f>SUM(D42:D52)</f>
        <v>2481.9300000000003</v>
      </c>
      <c r="E53" s="401">
        <f>SUM(E42:E52)</f>
        <v>1568.118687144</v>
      </c>
      <c r="F53" s="402">
        <f t="shared" si="81"/>
        <v>25387.920000000002</v>
      </c>
      <c r="G53" s="400">
        <f t="shared" si="81"/>
        <v>998.3318548</v>
      </c>
      <c r="H53" s="399">
        <f t="shared" si="81"/>
        <v>717277.79</v>
      </c>
      <c r="I53" s="401">
        <f t="shared" si="81"/>
        <v>3778.96872679</v>
      </c>
      <c r="J53" s="402">
        <f t="shared" si="81"/>
        <v>23725.6</v>
      </c>
      <c r="K53" s="403">
        <f t="shared" si="81"/>
        <v>358.46375589999997</v>
      </c>
      <c r="L53" s="404">
        <f t="shared" si="82"/>
        <v>33125.819167794</v>
      </c>
      <c r="M53" s="28" t="s">
        <v>24</v>
      </c>
      <c r="N53" s="434">
        <f aca="true" t="shared" si="92" ref="N53:W53">SUM(N42:N52)</f>
        <v>4293.139999999999</v>
      </c>
      <c r="O53" s="435">
        <f t="shared" si="92"/>
        <v>11342.494127799999</v>
      </c>
      <c r="P53" s="434">
        <f t="shared" si="92"/>
        <v>735.58</v>
      </c>
      <c r="Q53" s="435">
        <f t="shared" si="92"/>
        <v>458.1718232</v>
      </c>
      <c r="R53" s="434">
        <f t="shared" si="92"/>
        <v>8615.58</v>
      </c>
      <c r="S53" s="435">
        <f t="shared" si="92"/>
        <v>316.9082997</v>
      </c>
      <c r="T53" s="434">
        <f t="shared" si="92"/>
        <v>212524.16999999998</v>
      </c>
      <c r="U53" s="435">
        <f t="shared" si="92"/>
        <v>1068.35900259</v>
      </c>
      <c r="V53" s="434">
        <f t="shared" si="92"/>
        <v>7587.85</v>
      </c>
      <c r="W53" s="435">
        <f t="shared" si="92"/>
        <v>109.9074628</v>
      </c>
      <c r="X53" s="421">
        <f>O53+Q53+S53+U53+W53</f>
        <v>13295.840716089999</v>
      </c>
      <c r="Y53" s="51" t="s">
        <v>24</v>
      </c>
      <c r="Z53" s="434">
        <f aca="true" t="shared" si="93" ref="Z53:AI53">SUM(Z42:Z52)</f>
        <v>1327.54</v>
      </c>
      <c r="AA53" s="435">
        <f t="shared" si="93"/>
        <v>3523.1813274</v>
      </c>
      <c r="AB53" s="434">
        <f t="shared" si="93"/>
        <v>699.37</v>
      </c>
      <c r="AC53" s="435">
        <f t="shared" si="93"/>
        <v>365.6996613</v>
      </c>
      <c r="AD53" s="434">
        <f t="shared" si="93"/>
        <v>6698.209999999999</v>
      </c>
      <c r="AE53" s="435">
        <f t="shared" si="93"/>
        <v>249.3999456</v>
      </c>
      <c r="AF53" s="434">
        <f t="shared" si="93"/>
        <v>146134</v>
      </c>
      <c r="AG53" s="435">
        <f t="shared" si="93"/>
        <v>734.615618</v>
      </c>
      <c r="AH53" s="434">
        <f t="shared" si="93"/>
        <v>6410.74</v>
      </c>
      <c r="AI53" s="435">
        <f t="shared" si="93"/>
        <v>95.52156009999999</v>
      </c>
      <c r="AJ53" s="421">
        <f>AA53+AC53+AE53+AG53+AI53</f>
        <v>4968.4181124</v>
      </c>
      <c r="AK53" s="28" t="s">
        <v>24</v>
      </c>
      <c r="AL53" s="434">
        <f aca="true" t="shared" si="94" ref="AL53:AU53">SUM(AL42:AL52)</f>
        <v>137.47</v>
      </c>
      <c r="AM53" s="435">
        <f t="shared" si="94"/>
        <v>430.2636952600001</v>
      </c>
      <c r="AN53" s="434">
        <f t="shared" si="94"/>
        <v>334.46999999999997</v>
      </c>
      <c r="AO53" s="435">
        <f t="shared" si="94"/>
        <v>233.351066274</v>
      </c>
      <c r="AP53" s="434">
        <f t="shared" si="94"/>
        <v>3639.9300000000003</v>
      </c>
      <c r="AQ53" s="435">
        <f t="shared" si="94"/>
        <v>161.1132785</v>
      </c>
      <c r="AR53" s="434">
        <f t="shared" si="94"/>
        <v>144536.62</v>
      </c>
      <c r="AS53" s="435">
        <f t="shared" si="94"/>
        <v>796.3967762</v>
      </c>
      <c r="AT53" s="434">
        <f t="shared" si="94"/>
        <v>3396.4100000000003</v>
      </c>
      <c r="AU53" s="435">
        <f t="shared" si="94"/>
        <v>54.033535</v>
      </c>
      <c r="AV53" s="421">
        <f>AM53+AO53+AQ53+AS53+AU53</f>
        <v>1675.158351234</v>
      </c>
      <c r="AW53" s="64" t="s">
        <v>24</v>
      </c>
      <c r="AX53" s="434">
        <f aca="true" t="shared" si="95" ref="AX53:BG53">SUM(AX42:AX52)</f>
        <v>3611.4700000000003</v>
      </c>
      <c r="AY53" s="435">
        <f t="shared" si="95"/>
        <v>11125.9969927</v>
      </c>
      <c r="AZ53" s="434">
        <f t="shared" si="95"/>
        <v>712.51</v>
      </c>
      <c r="BA53" s="435">
        <f t="shared" si="95"/>
        <v>510.8961363700001</v>
      </c>
      <c r="BB53" s="434">
        <f t="shared" si="95"/>
        <v>6434.2</v>
      </c>
      <c r="BC53" s="435">
        <f t="shared" si="95"/>
        <v>270.910331</v>
      </c>
      <c r="BD53" s="434">
        <f t="shared" si="95"/>
        <v>214083</v>
      </c>
      <c r="BE53" s="435">
        <f t="shared" si="95"/>
        <v>1179.5973299999998</v>
      </c>
      <c r="BF53" s="434">
        <f t="shared" si="95"/>
        <v>6330.6</v>
      </c>
      <c r="BG53" s="435">
        <f t="shared" si="95"/>
        <v>99.00119799999999</v>
      </c>
      <c r="BH53" s="421">
        <f>AY53+BA53+BC53+BE53+BG53</f>
        <v>13186.40198807</v>
      </c>
      <c r="BI53" s="8"/>
    </row>
    <row r="54" spans="1:61" ht="16.5" thickBot="1">
      <c r="A54" s="410" t="s">
        <v>49</v>
      </c>
      <c r="B54" s="417">
        <f aca="true" t="shared" si="96" ref="B54:K54">B17+B19+B28+B40+B53</f>
        <v>14954.52</v>
      </c>
      <c r="C54" s="418">
        <f t="shared" si="96"/>
        <v>41149.38606629</v>
      </c>
      <c r="D54" s="417">
        <f t="shared" si="96"/>
        <v>3995.6000000000004</v>
      </c>
      <c r="E54" s="419">
        <f t="shared" si="96"/>
        <v>2379.587305864</v>
      </c>
      <c r="F54" s="420">
        <f t="shared" si="96"/>
        <v>34787.56</v>
      </c>
      <c r="G54" s="418">
        <f t="shared" si="96"/>
        <v>1407.5347669</v>
      </c>
      <c r="H54" s="35">
        <f t="shared" si="96"/>
        <v>2019514.8</v>
      </c>
      <c r="I54" s="419">
        <f t="shared" si="96"/>
        <v>10624.584332909999</v>
      </c>
      <c r="J54" s="420">
        <f t="shared" si="96"/>
        <v>34433.08</v>
      </c>
      <c r="K54" s="418">
        <f t="shared" si="96"/>
        <v>504.19238879999995</v>
      </c>
      <c r="L54" s="421">
        <f>L17+L19+L28+L40+L53</f>
        <v>56065.284860764</v>
      </c>
      <c r="M54" s="182" t="s">
        <v>7</v>
      </c>
      <c r="N54" s="451">
        <f aca="true" t="shared" si="97" ref="N54:W54">N17+N19+N28+N40+N53</f>
        <v>6689.549999999999</v>
      </c>
      <c r="O54" s="452">
        <f t="shared" si="97"/>
        <v>17346.4079909</v>
      </c>
      <c r="P54" s="451">
        <f t="shared" si="97"/>
        <v>1384.69</v>
      </c>
      <c r="Q54" s="452">
        <f t="shared" si="97"/>
        <v>748.3147167</v>
      </c>
      <c r="R54" s="451">
        <f t="shared" si="97"/>
        <v>11713.2</v>
      </c>
      <c r="S54" s="452">
        <f t="shared" si="97"/>
        <v>446.59761319999996</v>
      </c>
      <c r="T54" s="451">
        <f t="shared" si="97"/>
        <v>588692.47</v>
      </c>
      <c r="U54" s="452">
        <f t="shared" si="97"/>
        <v>2959.35704669</v>
      </c>
      <c r="V54" s="451">
        <f t="shared" si="97"/>
        <v>11278.33</v>
      </c>
      <c r="W54" s="452">
        <f t="shared" si="97"/>
        <v>154.7511673</v>
      </c>
      <c r="X54" s="421">
        <f>O54+Q54+S54+U54+W54</f>
        <v>21655.428534789997</v>
      </c>
      <c r="Y54" s="119" t="s">
        <v>7</v>
      </c>
      <c r="Z54" s="451">
        <f aca="true" t="shared" si="98" ref="Z54:AI54">Z17+Z19+Z28+Z40+Z53</f>
        <v>2105.33</v>
      </c>
      <c r="AA54" s="452">
        <f t="shared" si="98"/>
        <v>5434.6704007</v>
      </c>
      <c r="AB54" s="451">
        <f t="shared" si="98"/>
        <v>1130.32</v>
      </c>
      <c r="AC54" s="452">
        <f t="shared" si="98"/>
        <v>568.6907462</v>
      </c>
      <c r="AD54" s="451">
        <f t="shared" si="98"/>
        <v>8657.99</v>
      </c>
      <c r="AE54" s="452">
        <f t="shared" si="98"/>
        <v>328.1518826</v>
      </c>
      <c r="AF54" s="451">
        <f t="shared" si="98"/>
        <v>452595.76</v>
      </c>
      <c r="AG54" s="452">
        <f t="shared" si="98"/>
        <v>2275.1988855199997</v>
      </c>
      <c r="AH54" s="451">
        <f t="shared" si="98"/>
        <v>8758.1</v>
      </c>
      <c r="AI54" s="452">
        <f t="shared" si="98"/>
        <v>127.87515889999999</v>
      </c>
      <c r="AJ54" s="421">
        <f>AA54+AC54+AE54+AG54+AI54</f>
        <v>8734.58707392</v>
      </c>
      <c r="AK54" s="116"/>
      <c r="AL54" s="451">
        <f aca="true" t="shared" si="99" ref="AL54:AU54">AL17+AL19+AL28+AL40+AL53</f>
        <v>297.41999999999996</v>
      </c>
      <c r="AM54" s="452">
        <f t="shared" si="99"/>
        <v>817.6889651900001</v>
      </c>
      <c r="AN54" s="451">
        <f t="shared" si="99"/>
        <v>450.99</v>
      </c>
      <c r="AO54" s="452">
        <f t="shared" si="99"/>
        <v>340.092123214</v>
      </c>
      <c r="AP54" s="451">
        <f t="shared" si="99"/>
        <v>5339.54</v>
      </c>
      <c r="AQ54" s="452">
        <f t="shared" si="99"/>
        <v>239.43669020000002</v>
      </c>
      <c r="AR54" s="451">
        <f t="shared" si="99"/>
        <v>415006.55</v>
      </c>
      <c r="AS54" s="452">
        <f t="shared" si="99"/>
        <v>2286.6860905000003</v>
      </c>
      <c r="AT54" s="451">
        <f t="shared" si="99"/>
        <v>5168.82</v>
      </c>
      <c r="AU54" s="452">
        <f t="shared" si="99"/>
        <v>80.9394184</v>
      </c>
      <c r="AV54" s="421">
        <f>AM54+AO54+AQ54+AS54+AU54</f>
        <v>3764.8432875040003</v>
      </c>
      <c r="AW54" s="105" t="s">
        <v>7</v>
      </c>
      <c r="AX54" s="451">
        <f aca="true" t="shared" si="100" ref="AX54:BG54">AX17+AX19+AX28+AX40+AX53</f>
        <v>5862.22</v>
      </c>
      <c r="AY54" s="452">
        <f t="shared" si="100"/>
        <v>17550.6087095</v>
      </c>
      <c r="AZ54" s="451">
        <f t="shared" si="100"/>
        <v>1029.6</v>
      </c>
      <c r="BA54" s="452">
        <f t="shared" si="100"/>
        <v>722.4897197500001</v>
      </c>
      <c r="BB54" s="451">
        <f t="shared" si="100"/>
        <v>9076.83</v>
      </c>
      <c r="BC54" s="452">
        <f t="shared" si="100"/>
        <v>393.3485809</v>
      </c>
      <c r="BD54" s="451">
        <f t="shared" si="100"/>
        <v>563220.02</v>
      </c>
      <c r="BE54" s="452">
        <f t="shared" si="100"/>
        <v>3103.3423101999997</v>
      </c>
      <c r="BF54" s="451">
        <f t="shared" si="100"/>
        <v>9227.83</v>
      </c>
      <c r="BG54" s="452">
        <f t="shared" si="100"/>
        <v>140.6266442</v>
      </c>
      <c r="BH54" s="421">
        <f>AY54+BA54+BC54+BE54+BG54</f>
        <v>21910.41596455</v>
      </c>
      <c r="BI54" s="1" t="s">
        <v>35</v>
      </c>
    </row>
    <row r="55" spans="1:60" ht="15.75">
      <c r="A55" s="326"/>
      <c r="B55" s="324"/>
      <c r="C55" s="324"/>
      <c r="D55" s="324"/>
      <c r="E55" s="324"/>
      <c r="F55" s="324"/>
      <c r="G55" s="324"/>
      <c r="H55" s="325"/>
      <c r="I55" s="324"/>
      <c r="J55" s="324"/>
      <c r="K55" s="324"/>
      <c r="L55" s="324">
        <f>C54+E54+G54+I54+K54</f>
        <v>56065.28486076399</v>
      </c>
      <c r="M55" s="11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6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7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11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</row>
    <row r="56" spans="1:60" ht="15.75">
      <c r="A56" s="496" t="s">
        <v>16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6" t="s">
        <v>16</v>
      </c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6" t="s">
        <v>43</v>
      </c>
      <c r="Z56" s="497"/>
      <c r="AA56" s="497"/>
      <c r="AB56" s="497"/>
      <c r="AC56" s="497"/>
      <c r="AD56" s="497"/>
      <c r="AE56" s="497"/>
      <c r="AF56" s="497"/>
      <c r="AG56" s="497"/>
      <c r="AH56" s="497"/>
      <c r="AI56" s="497"/>
      <c r="AJ56" s="497"/>
      <c r="AK56" s="496" t="s">
        <v>43</v>
      </c>
      <c r="AL56" s="497"/>
      <c r="AM56" s="497"/>
      <c r="AN56" s="497"/>
      <c r="AO56" s="497"/>
      <c r="AP56" s="497"/>
      <c r="AQ56" s="497"/>
      <c r="AR56" s="497"/>
      <c r="AS56" s="497"/>
      <c r="AT56" s="497"/>
      <c r="AU56" s="497"/>
      <c r="AV56" s="497"/>
      <c r="AW56" s="496" t="s">
        <v>43</v>
      </c>
      <c r="AX56" s="497"/>
      <c r="AY56" s="497"/>
      <c r="AZ56" s="497"/>
      <c r="BA56" s="497"/>
      <c r="BB56" s="497"/>
      <c r="BC56" s="497"/>
      <c r="BD56" s="497"/>
      <c r="BE56" s="497"/>
      <c r="BF56" s="497"/>
      <c r="BG56" s="497"/>
      <c r="BH56" s="497"/>
    </row>
    <row r="57" spans="1:60" ht="15.75" customHeight="1">
      <c r="A57" s="496" t="s">
        <v>0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6" t="s">
        <v>0</v>
      </c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6" t="s">
        <v>0</v>
      </c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6" t="s">
        <v>0</v>
      </c>
      <c r="AL57" s="497"/>
      <c r="AM57" s="497"/>
      <c r="AN57" s="497"/>
      <c r="AO57" s="497"/>
      <c r="AP57" s="497"/>
      <c r="AQ57" s="497"/>
      <c r="AR57" s="497"/>
      <c r="AS57" s="497"/>
      <c r="AT57" s="497"/>
      <c r="AU57" s="497"/>
      <c r="AV57" s="497"/>
      <c r="AW57" s="496" t="s">
        <v>0</v>
      </c>
      <c r="AX57" s="497"/>
      <c r="AY57" s="497"/>
      <c r="AZ57" s="497"/>
      <c r="BA57" s="497"/>
      <c r="BB57" s="497"/>
      <c r="BC57" s="497"/>
      <c r="BD57" s="497"/>
      <c r="BE57" s="497"/>
      <c r="BF57" s="497"/>
      <c r="BG57" s="497"/>
      <c r="BH57" s="497"/>
    </row>
    <row r="58" spans="1:60" ht="16.5" customHeight="1" thickBot="1">
      <c r="A58" s="498" t="s">
        <v>78</v>
      </c>
      <c r="B58" s="499"/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8" t="s">
        <v>79</v>
      </c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8" t="s">
        <v>80</v>
      </c>
      <c r="Z58" s="499"/>
      <c r="AA58" s="499"/>
      <c r="AB58" s="499"/>
      <c r="AC58" s="499"/>
      <c r="AD58" s="499"/>
      <c r="AE58" s="499"/>
      <c r="AF58" s="499"/>
      <c r="AG58" s="499"/>
      <c r="AH58" s="499"/>
      <c r="AI58" s="499"/>
      <c r="AJ58" s="499"/>
      <c r="AK58" s="498" t="s">
        <v>81</v>
      </c>
      <c r="AL58" s="499"/>
      <c r="AM58" s="499"/>
      <c r="AN58" s="499"/>
      <c r="AO58" s="499"/>
      <c r="AP58" s="499"/>
      <c r="AQ58" s="499"/>
      <c r="AR58" s="499"/>
      <c r="AS58" s="499"/>
      <c r="AT58" s="499"/>
      <c r="AU58" s="499"/>
      <c r="AV58" s="499"/>
      <c r="AW58" s="498" t="s">
        <v>85</v>
      </c>
      <c r="AX58" s="500"/>
      <c r="AY58" s="500"/>
      <c r="AZ58" s="500"/>
      <c r="BA58" s="500"/>
      <c r="BB58" s="500"/>
      <c r="BC58" s="500"/>
      <c r="BD58" s="500"/>
      <c r="BE58" s="500"/>
      <c r="BF58" s="500"/>
      <c r="BG58" s="500"/>
      <c r="BH58" s="500"/>
    </row>
    <row r="59" spans="1:60" ht="16.5" customHeight="1" thickBot="1">
      <c r="A59" s="43"/>
      <c r="B59" s="186"/>
      <c r="C59" s="186"/>
      <c r="D59" s="42"/>
      <c r="E59" s="42"/>
      <c r="F59" s="42"/>
      <c r="G59" s="42"/>
      <c r="H59" s="42"/>
      <c r="I59" s="42"/>
      <c r="J59" s="42"/>
      <c r="K59" s="42"/>
      <c r="L59" s="41"/>
      <c r="M59" s="43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1"/>
      <c r="Y59" s="43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1"/>
      <c r="AK59" s="43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1"/>
      <c r="AW59" s="87"/>
      <c r="AX59" s="41"/>
      <c r="AY59" s="42"/>
      <c r="AZ59" s="41"/>
      <c r="BA59" s="42"/>
      <c r="BB59" s="41"/>
      <c r="BC59" s="42"/>
      <c r="BD59" s="41"/>
      <c r="BE59" s="42"/>
      <c r="BF59" s="41"/>
      <c r="BG59" s="42"/>
      <c r="BH59" s="41"/>
    </row>
    <row r="60" spans="1:62" ht="32.25" customHeight="1" thickBot="1">
      <c r="A60" s="383" t="s">
        <v>1</v>
      </c>
      <c r="B60" s="489" t="s">
        <v>2</v>
      </c>
      <c r="C60" s="495"/>
      <c r="D60" s="489" t="s">
        <v>3</v>
      </c>
      <c r="E60" s="490"/>
      <c r="F60" s="489" t="s">
        <v>4</v>
      </c>
      <c r="G60" s="490"/>
      <c r="H60" s="489" t="s">
        <v>5</v>
      </c>
      <c r="I60" s="490"/>
      <c r="J60" s="489" t="s">
        <v>6</v>
      </c>
      <c r="K60" s="490"/>
      <c r="L60" s="22" t="s">
        <v>7</v>
      </c>
      <c r="M60" s="493" t="s">
        <v>1</v>
      </c>
      <c r="N60" s="489" t="s">
        <v>2</v>
      </c>
      <c r="O60" s="490"/>
      <c r="P60" s="489" t="s">
        <v>3</v>
      </c>
      <c r="Q60" s="490"/>
      <c r="R60" s="489" t="s">
        <v>4</v>
      </c>
      <c r="S60" s="490"/>
      <c r="T60" s="489" t="s">
        <v>5</v>
      </c>
      <c r="U60" s="490"/>
      <c r="V60" s="489" t="s">
        <v>6</v>
      </c>
      <c r="W60" s="490"/>
      <c r="X60" s="22" t="s">
        <v>7</v>
      </c>
      <c r="Y60" s="493" t="s">
        <v>1</v>
      </c>
      <c r="Z60" s="489" t="s">
        <v>2</v>
      </c>
      <c r="AA60" s="490"/>
      <c r="AB60" s="489" t="s">
        <v>3</v>
      </c>
      <c r="AC60" s="490"/>
      <c r="AD60" s="489" t="s">
        <v>4</v>
      </c>
      <c r="AE60" s="490"/>
      <c r="AF60" s="489" t="s">
        <v>5</v>
      </c>
      <c r="AG60" s="490"/>
      <c r="AH60" s="489" t="s">
        <v>6</v>
      </c>
      <c r="AI60" s="490"/>
      <c r="AJ60" s="22" t="s">
        <v>7</v>
      </c>
      <c r="AK60" s="21" t="s">
        <v>1</v>
      </c>
      <c r="AL60" s="489" t="s">
        <v>2</v>
      </c>
      <c r="AM60" s="490"/>
      <c r="AN60" s="489" t="s">
        <v>3</v>
      </c>
      <c r="AO60" s="490"/>
      <c r="AP60" s="489" t="s">
        <v>4</v>
      </c>
      <c r="AQ60" s="490"/>
      <c r="AR60" s="489" t="s">
        <v>5</v>
      </c>
      <c r="AS60" s="490"/>
      <c r="AT60" s="489" t="s">
        <v>6</v>
      </c>
      <c r="AU60" s="491"/>
      <c r="AV60" s="22" t="s">
        <v>7</v>
      </c>
      <c r="AW60" s="21" t="s">
        <v>1</v>
      </c>
      <c r="AX60" s="489" t="s">
        <v>2</v>
      </c>
      <c r="AY60" s="490"/>
      <c r="AZ60" s="489" t="s">
        <v>3</v>
      </c>
      <c r="BA60" s="490"/>
      <c r="BB60" s="489" t="s">
        <v>4</v>
      </c>
      <c r="BC60" s="490"/>
      <c r="BD60" s="489" t="s">
        <v>5</v>
      </c>
      <c r="BE60" s="490"/>
      <c r="BF60" s="489" t="s">
        <v>6</v>
      </c>
      <c r="BG60" s="491"/>
      <c r="BH60" s="22" t="s">
        <v>7</v>
      </c>
      <c r="BI60" s="492"/>
      <c r="BJ60" s="492"/>
    </row>
    <row r="61" spans="1:60" ht="29.25" customHeight="1" thickBot="1">
      <c r="A61" s="326" t="s">
        <v>89</v>
      </c>
      <c r="B61" s="129" t="s">
        <v>8</v>
      </c>
      <c r="C61" s="48" t="s">
        <v>9</v>
      </c>
      <c r="D61" s="131" t="s">
        <v>8</v>
      </c>
      <c r="E61" s="48" t="s">
        <v>9</v>
      </c>
      <c r="F61" s="129" t="s">
        <v>10</v>
      </c>
      <c r="G61" s="48" t="s">
        <v>9</v>
      </c>
      <c r="H61" s="131" t="s">
        <v>11</v>
      </c>
      <c r="I61" s="130" t="s">
        <v>9</v>
      </c>
      <c r="J61" s="129" t="s">
        <v>10</v>
      </c>
      <c r="K61" s="48" t="s">
        <v>9</v>
      </c>
      <c r="L61" s="132" t="s">
        <v>9</v>
      </c>
      <c r="M61" s="494"/>
      <c r="N61" s="129" t="s">
        <v>8</v>
      </c>
      <c r="O61" s="130" t="s">
        <v>9</v>
      </c>
      <c r="P61" s="131" t="s">
        <v>8</v>
      </c>
      <c r="Q61" s="130" t="s">
        <v>9</v>
      </c>
      <c r="R61" s="129" t="s">
        <v>10</v>
      </c>
      <c r="S61" s="130" t="s">
        <v>9</v>
      </c>
      <c r="T61" s="131" t="s">
        <v>11</v>
      </c>
      <c r="U61" s="130" t="s">
        <v>9</v>
      </c>
      <c r="V61" s="129" t="s">
        <v>10</v>
      </c>
      <c r="W61" s="130" t="s">
        <v>9</v>
      </c>
      <c r="X61" s="132" t="s">
        <v>9</v>
      </c>
      <c r="Y61" s="494"/>
      <c r="Z61" s="129" t="s">
        <v>8</v>
      </c>
      <c r="AA61" s="130" t="s">
        <v>9</v>
      </c>
      <c r="AB61" s="131" t="s">
        <v>8</v>
      </c>
      <c r="AC61" s="130" t="s">
        <v>9</v>
      </c>
      <c r="AD61" s="129" t="s">
        <v>10</v>
      </c>
      <c r="AE61" s="130" t="s">
        <v>9</v>
      </c>
      <c r="AF61" s="131" t="s">
        <v>11</v>
      </c>
      <c r="AG61" s="130" t="s">
        <v>9</v>
      </c>
      <c r="AH61" s="129" t="s">
        <v>10</v>
      </c>
      <c r="AI61" s="130" t="s">
        <v>9</v>
      </c>
      <c r="AJ61" s="132" t="s">
        <v>9</v>
      </c>
      <c r="AK61" s="329"/>
      <c r="AL61" s="129" t="s">
        <v>8</v>
      </c>
      <c r="AM61" s="330" t="s">
        <v>9</v>
      </c>
      <c r="AN61" s="331" t="s">
        <v>8</v>
      </c>
      <c r="AO61" s="130" t="s">
        <v>9</v>
      </c>
      <c r="AP61" s="129" t="s">
        <v>10</v>
      </c>
      <c r="AQ61" s="130" t="s">
        <v>9</v>
      </c>
      <c r="AR61" s="131" t="s">
        <v>11</v>
      </c>
      <c r="AS61" s="130" t="s">
        <v>9</v>
      </c>
      <c r="AT61" s="129" t="s">
        <v>10</v>
      </c>
      <c r="AU61" s="130" t="s">
        <v>9</v>
      </c>
      <c r="AV61" s="132" t="s">
        <v>9</v>
      </c>
      <c r="AW61" s="329"/>
      <c r="AX61" s="129" t="s">
        <v>8</v>
      </c>
      <c r="AY61" s="330" t="s">
        <v>9</v>
      </c>
      <c r="AZ61" s="331" t="s">
        <v>8</v>
      </c>
      <c r="BA61" s="130" t="s">
        <v>9</v>
      </c>
      <c r="BB61" s="129" t="s">
        <v>10</v>
      </c>
      <c r="BC61" s="130" t="s">
        <v>9</v>
      </c>
      <c r="BD61" s="131" t="s">
        <v>11</v>
      </c>
      <c r="BE61" s="130" t="s">
        <v>9</v>
      </c>
      <c r="BF61" s="129" t="s">
        <v>10</v>
      </c>
      <c r="BG61" s="130" t="s">
        <v>9</v>
      </c>
      <c r="BH61" s="132" t="s">
        <v>9</v>
      </c>
    </row>
    <row r="62" spans="1:60" s="86" customFormat="1" ht="15">
      <c r="A62" s="339" t="s">
        <v>66</v>
      </c>
      <c r="B62" s="65">
        <f>B17+B19+B28+B30+B31+B32+B33+B34+B35+B36+B37+B42+B43+B44+B45+B46</f>
        <v>7747.019999999999</v>
      </c>
      <c r="C62" s="151">
        <f>C17+C19+C28+C30+C31+C32+C33+C34+C35+C36+C37+C42+C43+C44+C45+C46</f>
        <v>14582.0377996</v>
      </c>
      <c r="D62" s="67">
        <f aca="true" t="shared" si="101" ref="D62:L62">D17+D19+D28+D30+D31+D32+D33+D34+D35+D36+D37+D42+D43+D44+D45+D46</f>
        <v>481.46000000000004</v>
      </c>
      <c r="E62" s="164">
        <f t="shared" si="101"/>
        <v>915.4809026</v>
      </c>
      <c r="F62" s="65">
        <f t="shared" si="101"/>
        <v>22055.03</v>
      </c>
      <c r="G62" s="151">
        <f t="shared" si="101"/>
        <v>892.0913390999999</v>
      </c>
      <c r="H62" s="67">
        <f t="shared" si="101"/>
        <v>837865.54</v>
      </c>
      <c r="I62" s="164">
        <f t="shared" si="101"/>
        <v>4401.14437187</v>
      </c>
      <c r="J62" s="65">
        <f t="shared" si="101"/>
        <v>21913.730000000003</v>
      </c>
      <c r="K62" s="151">
        <f t="shared" si="101"/>
        <v>403.6318258</v>
      </c>
      <c r="L62" s="340">
        <f t="shared" si="101"/>
        <v>21194.386238969997</v>
      </c>
      <c r="M62" s="103" t="s">
        <v>66</v>
      </c>
      <c r="N62" s="65">
        <f>N17+N19+N28+N30+N31+N32+N33+N34+N35+N36+N37+N42+N43+N44+N45+N46</f>
        <v>3334.8700000000003</v>
      </c>
      <c r="O62" s="151">
        <f>O17+O19+O28+O30+O31+O32+O33+O34+O35+O36+O37+O42+O43+O44+O45+O46</f>
        <v>5642.8334809</v>
      </c>
      <c r="P62" s="67">
        <f aca="true" t="shared" si="102" ref="P62:X62">P17+P19+P28+P30+P31+P32+P33+P34+P35+P36+P37+P42+P43+P44+P45+P46</f>
        <v>146.19</v>
      </c>
      <c r="Q62" s="164">
        <f t="shared" si="102"/>
        <v>247.3637133</v>
      </c>
      <c r="R62" s="65">
        <f t="shared" si="102"/>
        <v>6544.67</v>
      </c>
      <c r="S62" s="151">
        <f t="shared" si="102"/>
        <v>252.10068840000002</v>
      </c>
      <c r="T62" s="67">
        <f t="shared" si="102"/>
        <v>261718.93999999997</v>
      </c>
      <c r="U62" s="164">
        <f t="shared" si="102"/>
        <v>1315.6611113800002</v>
      </c>
      <c r="V62" s="65">
        <f t="shared" si="102"/>
        <v>6501.87</v>
      </c>
      <c r="W62" s="151">
        <f t="shared" si="102"/>
        <v>116.1233982</v>
      </c>
      <c r="X62" s="340">
        <f t="shared" si="102"/>
        <v>7574.082392179999</v>
      </c>
      <c r="Y62" s="103" t="s">
        <v>66</v>
      </c>
      <c r="Z62" s="65">
        <f>Z17+Z19+Z28+Z30+Z31+Z32+Z33+Z34+Z35+Z36+Z37+Z42+Z43+Z44+Z45+Z46</f>
        <v>1001.6800000000001</v>
      </c>
      <c r="AA62" s="151">
        <f>AA17+AA19+AA28+AA30+AA31+AA32+AA33+AA34+AA35+AA36+AA37+AA42+AA43+AA44+AA45+AA46</f>
        <v>1694.9126775999998</v>
      </c>
      <c r="AB62" s="67">
        <f aca="true" t="shared" si="103" ref="AB62:AJ62">AB17+AB19+AB28+AB30+AB31+AB32+AB33+AB34+AB35+AB36+AB37+AB42+AB43+AB44+AB45+AB46</f>
        <v>101.92999999999999</v>
      </c>
      <c r="AC62" s="164">
        <f t="shared" si="103"/>
        <v>172.4726951</v>
      </c>
      <c r="AD62" s="65">
        <f t="shared" si="103"/>
        <v>5866.01</v>
      </c>
      <c r="AE62" s="151">
        <f t="shared" si="103"/>
        <v>225.95870520000005</v>
      </c>
      <c r="AF62" s="67">
        <f t="shared" si="103"/>
        <v>184439.96999999997</v>
      </c>
      <c r="AG62" s="164">
        <f t="shared" si="103"/>
        <v>927.1797291899999</v>
      </c>
      <c r="AH62" s="65">
        <f t="shared" si="103"/>
        <v>5839.51</v>
      </c>
      <c r="AI62" s="151">
        <f t="shared" si="103"/>
        <v>104.2936486</v>
      </c>
      <c r="AJ62" s="340">
        <f t="shared" si="103"/>
        <v>3124.8174556899994</v>
      </c>
      <c r="AK62" s="103" t="s">
        <v>66</v>
      </c>
      <c r="AL62" s="65">
        <f>AL17+AL19+AL28+AL30+AL31+AL32+AL33+AL34+AL35+AL36+AL37+AL42+AL43+AL44+AL45+AL46</f>
        <v>187.58999999999995</v>
      </c>
      <c r="AM62" s="151">
        <f>AM17+AM19+AM28+AM30+AM31+AM32+AM33+AM34+AM35+AM36+AM37+AM42+AM43+AM44+AM45+AM46</f>
        <v>398.4655467</v>
      </c>
      <c r="AN62" s="67">
        <f aca="true" t="shared" si="104" ref="AN62:AV62">AN17+AN19+AN28+AN30+AN31+AN32+AN33+AN34+AN35+AN36+AN37+AN42+AN43+AN44+AN45+AN46</f>
        <v>91.90000000000002</v>
      </c>
      <c r="AO62" s="164">
        <f t="shared" si="104"/>
        <v>195.207547</v>
      </c>
      <c r="AP62" s="65">
        <f t="shared" si="104"/>
        <v>3605.52</v>
      </c>
      <c r="AQ62" s="151">
        <f t="shared" si="104"/>
        <v>154.78497359999997</v>
      </c>
      <c r="AR62" s="67">
        <f t="shared" si="104"/>
        <v>160234.40999999997</v>
      </c>
      <c r="AS62" s="164">
        <f t="shared" si="104"/>
        <v>882.8915990999998</v>
      </c>
      <c r="AT62" s="65">
        <f t="shared" si="104"/>
        <v>3571.02</v>
      </c>
      <c r="AU62" s="151">
        <f t="shared" si="104"/>
        <v>68.3493228</v>
      </c>
      <c r="AV62" s="340">
        <f t="shared" si="104"/>
        <v>1699.6989892000001</v>
      </c>
      <c r="AW62" s="103" t="s">
        <v>66</v>
      </c>
      <c r="AX62" s="65">
        <f>AX17+AX19+AX28+AX30+AX31+AX32+AX33+AX34+AX35+AX36+AX37+AX42+AX43+AX44+AX45+AX46</f>
        <v>3222.8799999999997</v>
      </c>
      <c r="AY62" s="151">
        <f>AY17+AY19+AY28+AY30+AY31+AY32+AY33+AY34+AY35+AY36+AY37+AY42+AY43+AY44+AY45+AY46</f>
        <v>6845.8160944</v>
      </c>
      <c r="AZ62" s="67">
        <f aca="true" t="shared" si="105" ref="AZ62:BH62">AZ17+AZ19+AZ28+AZ30+AZ31+AZ32+AZ33+AZ34+AZ35+AZ36+AZ37+AZ42+AZ43+AZ44+AZ45+AZ46</f>
        <v>141.43999999999997</v>
      </c>
      <c r="BA62" s="164">
        <f t="shared" si="105"/>
        <v>300.4369472</v>
      </c>
      <c r="BB62" s="65">
        <f t="shared" si="105"/>
        <v>6038.83</v>
      </c>
      <c r="BC62" s="151">
        <f t="shared" si="105"/>
        <v>259.24697189999995</v>
      </c>
      <c r="BD62" s="67">
        <f t="shared" si="105"/>
        <v>231472.22</v>
      </c>
      <c r="BE62" s="164">
        <f t="shared" si="105"/>
        <v>1275.4119322</v>
      </c>
      <c r="BF62" s="65">
        <f t="shared" si="105"/>
        <v>6001.33</v>
      </c>
      <c r="BG62" s="151">
        <f t="shared" si="105"/>
        <v>114.86545620000001</v>
      </c>
      <c r="BH62" s="340">
        <f t="shared" si="105"/>
        <v>8795.777401899999</v>
      </c>
    </row>
    <row r="63" spans="1:60" s="86" customFormat="1" ht="15">
      <c r="A63" s="339" t="s">
        <v>87</v>
      </c>
      <c r="B63" s="60">
        <f>B47+B48</f>
        <v>1204.4</v>
      </c>
      <c r="C63" s="79">
        <f>C47+C48</f>
        <v>2863.839679</v>
      </c>
      <c r="D63" s="69">
        <f aca="true" t="shared" si="106" ref="D63:L63">D47+D48</f>
        <v>0</v>
      </c>
      <c r="E63" s="153">
        <f t="shared" si="106"/>
        <v>0</v>
      </c>
      <c r="F63" s="60">
        <f t="shared" si="106"/>
        <v>3412</v>
      </c>
      <c r="G63" s="79">
        <f t="shared" si="106"/>
        <v>142.17872</v>
      </c>
      <c r="H63" s="69">
        <f t="shared" si="106"/>
        <v>82600.06</v>
      </c>
      <c r="I63" s="153">
        <f t="shared" si="106"/>
        <v>435.26600816</v>
      </c>
      <c r="J63" s="60">
        <f t="shared" si="106"/>
        <v>0</v>
      </c>
      <c r="K63" s="79">
        <f t="shared" si="106"/>
        <v>0</v>
      </c>
      <c r="L63" s="341">
        <f t="shared" si="106"/>
        <v>3441.2844071600002</v>
      </c>
      <c r="M63" s="96" t="s">
        <v>87</v>
      </c>
      <c r="N63" s="60">
        <f>N47+N48</f>
        <v>542.8</v>
      </c>
      <c r="O63" s="79">
        <f>O47+O48</f>
        <v>1229.06204</v>
      </c>
      <c r="P63" s="69">
        <f aca="true" t="shared" si="107" ref="P63:X63">P47+P48</f>
        <v>0</v>
      </c>
      <c r="Q63" s="153">
        <f t="shared" si="107"/>
        <v>0</v>
      </c>
      <c r="R63" s="60">
        <f t="shared" si="107"/>
        <v>1541</v>
      </c>
      <c r="S63" s="79">
        <f t="shared" si="107"/>
        <v>63.11936</v>
      </c>
      <c r="T63" s="69">
        <f t="shared" si="107"/>
        <v>23673.54</v>
      </c>
      <c r="U63" s="153">
        <f t="shared" si="107"/>
        <v>119.00688558</v>
      </c>
      <c r="V63" s="60">
        <f t="shared" si="107"/>
        <v>0</v>
      </c>
      <c r="W63" s="79">
        <f t="shared" si="107"/>
        <v>0</v>
      </c>
      <c r="X63" s="341">
        <f t="shared" si="107"/>
        <v>1411.18828558</v>
      </c>
      <c r="Y63" s="96" t="s">
        <v>87</v>
      </c>
      <c r="Z63" s="60">
        <f>Z47+Z48</f>
        <v>223.7</v>
      </c>
      <c r="AA63" s="79">
        <f>AA47+AA48</f>
        <v>506.52391000000006</v>
      </c>
      <c r="AB63" s="69">
        <f aca="true" t="shared" si="108" ref="AB63:AJ63">AB47+AB48</f>
        <v>0</v>
      </c>
      <c r="AC63" s="153">
        <f t="shared" si="108"/>
        <v>0</v>
      </c>
      <c r="AD63" s="60">
        <f t="shared" si="108"/>
        <v>831</v>
      </c>
      <c r="AE63" s="79">
        <f t="shared" si="108"/>
        <v>34.03776</v>
      </c>
      <c r="AF63" s="69">
        <f t="shared" si="108"/>
        <v>17445.14</v>
      </c>
      <c r="AG63" s="153">
        <f t="shared" si="108"/>
        <v>87.69671878</v>
      </c>
      <c r="AH63" s="60">
        <f t="shared" si="108"/>
        <v>0</v>
      </c>
      <c r="AI63" s="79">
        <f t="shared" si="108"/>
        <v>0</v>
      </c>
      <c r="AJ63" s="341">
        <f t="shared" si="108"/>
        <v>628.25838878</v>
      </c>
      <c r="AK63" s="96" t="s">
        <v>87</v>
      </c>
      <c r="AL63" s="60">
        <f>AL47+AL48</f>
        <v>23.9</v>
      </c>
      <c r="AM63" s="79">
        <f>AM47+AM48</f>
        <v>61.578589</v>
      </c>
      <c r="AN63" s="69">
        <f aca="true" t="shared" si="109" ref="AN63:AV63">AN47+AN48</f>
        <v>0</v>
      </c>
      <c r="AO63" s="153">
        <f t="shared" si="109"/>
        <v>0</v>
      </c>
      <c r="AP63" s="60">
        <f t="shared" si="109"/>
        <v>374</v>
      </c>
      <c r="AQ63" s="79">
        <f t="shared" si="109"/>
        <v>16.190459999999998</v>
      </c>
      <c r="AR63" s="69">
        <f t="shared" si="109"/>
        <v>20026.38</v>
      </c>
      <c r="AS63" s="153">
        <f t="shared" si="109"/>
        <v>110.34535379999998</v>
      </c>
      <c r="AT63" s="60">
        <f t="shared" si="109"/>
        <v>0</v>
      </c>
      <c r="AU63" s="79">
        <f t="shared" si="109"/>
        <v>0</v>
      </c>
      <c r="AV63" s="341">
        <f t="shared" si="109"/>
        <v>188.1144028</v>
      </c>
      <c r="AW63" s="96" t="s">
        <v>87</v>
      </c>
      <c r="AX63" s="60">
        <f>AX47+AX48</f>
        <v>414</v>
      </c>
      <c r="AY63" s="79">
        <f>AY47+AY48</f>
        <v>1066.67514</v>
      </c>
      <c r="AZ63" s="69">
        <f aca="true" t="shared" si="110" ref="AZ63:BH63">AZ47+AZ48</f>
        <v>0</v>
      </c>
      <c r="BA63" s="153">
        <f t="shared" si="110"/>
        <v>0</v>
      </c>
      <c r="BB63" s="60">
        <f t="shared" si="110"/>
        <v>666</v>
      </c>
      <c r="BC63" s="79">
        <f t="shared" si="110"/>
        <v>28.831139999999998</v>
      </c>
      <c r="BD63" s="69">
        <f t="shared" si="110"/>
        <v>21455</v>
      </c>
      <c r="BE63" s="153">
        <f t="shared" si="110"/>
        <v>118.21704999999999</v>
      </c>
      <c r="BF63" s="60">
        <f t="shared" si="110"/>
        <v>0</v>
      </c>
      <c r="BG63" s="79">
        <f t="shared" si="110"/>
        <v>0</v>
      </c>
      <c r="BH63" s="341">
        <f t="shared" si="110"/>
        <v>1213.72333</v>
      </c>
    </row>
    <row r="64" spans="1:60" s="86" customFormat="1" ht="15">
      <c r="A64" s="339" t="s">
        <v>68</v>
      </c>
      <c r="B64" s="60">
        <f>B39+B51</f>
        <v>1529.35</v>
      </c>
      <c r="C64" s="79">
        <f>C39+C51</f>
        <v>3876.0316869999997</v>
      </c>
      <c r="D64" s="69">
        <f aca="true" t="shared" si="111" ref="D64:L64">D39+D51</f>
        <v>110.32</v>
      </c>
      <c r="E64" s="153">
        <f t="shared" si="111"/>
        <v>274.8803959</v>
      </c>
      <c r="F64" s="60">
        <f t="shared" si="111"/>
        <v>3791.92</v>
      </c>
      <c r="G64" s="79">
        <f t="shared" si="111"/>
        <v>99.8885679</v>
      </c>
      <c r="H64" s="69">
        <f t="shared" si="111"/>
        <v>113142.4</v>
      </c>
      <c r="I64" s="153">
        <f t="shared" si="111"/>
        <v>597.70461128</v>
      </c>
      <c r="J64" s="60">
        <f t="shared" si="111"/>
        <v>3791.92</v>
      </c>
      <c r="K64" s="79">
        <f t="shared" si="111"/>
        <v>38.83821400000001</v>
      </c>
      <c r="L64" s="341">
        <f t="shared" si="111"/>
        <v>4887.343476079999</v>
      </c>
      <c r="M64" s="96" t="s">
        <v>68</v>
      </c>
      <c r="N64" s="60">
        <f>N39+N51</f>
        <v>692.6899999999999</v>
      </c>
      <c r="O64" s="79">
        <f>O39+O51</f>
        <v>1589.9798452999999</v>
      </c>
      <c r="P64" s="69">
        <f aca="true" t="shared" si="112" ref="P64:X64">P39+P51</f>
        <v>45.57</v>
      </c>
      <c r="Q64" s="153">
        <f t="shared" si="112"/>
        <v>104.60001089999999</v>
      </c>
      <c r="R64" s="60">
        <f t="shared" si="112"/>
        <v>1726.8100000000002</v>
      </c>
      <c r="S64" s="79">
        <f t="shared" si="112"/>
        <v>42.6867432</v>
      </c>
      <c r="T64" s="69">
        <f t="shared" si="112"/>
        <v>30915.190000000002</v>
      </c>
      <c r="U64" s="153">
        <f t="shared" si="112"/>
        <v>155.41066013</v>
      </c>
      <c r="V64" s="60">
        <f t="shared" si="112"/>
        <v>1726.8100000000002</v>
      </c>
      <c r="W64" s="79">
        <f t="shared" si="112"/>
        <v>17.371708599999998</v>
      </c>
      <c r="X64" s="341">
        <f t="shared" si="112"/>
        <v>1910.0489681299996</v>
      </c>
      <c r="Y64" s="96" t="s">
        <v>68</v>
      </c>
      <c r="Z64" s="60">
        <f>Z39+Z51</f>
        <v>212.49</v>
      </c>
      <c r="AA64" s="79">
        <f>AA39+AA51</f>
        <v>487.74317130000003</v>
      </c>
      <c r="AB64" s="69">
        <f aca="true" t="shared" si="113" ref="AB64:AJ64">AB39+AB51</f>
        <v>27.779999999999998</v>
      </c>
      <c r="AC64" s="153">
        <f t="shared" si="113"/>
        <v>63.76537859999999</v>
      </c>
      <c r="AD64" s="60">
        <f t="shared" si="113"/>
        <v>1048.2</v>
      </c>
      <c r="AE64" s="79">
        <f t="shared" si="113"/>
        <v>25.911504</v>
      </c>
      <c r="AF64" s="69">
        <f t="shared" si="113"/>
        <v>22314.649999999998</v>
      </c>
      <c r="AG64" s="153">
        <f t="shared" si="113"/>
        <v>112.17574555</v>
      </c>
      <c r="AH64" s="60">
        <f t="shared" si="113"/>
        <v>1048.2</v>
      </c>
      <c r="AI64" s="79">
        <f t="shared" si="113"/>
        <v>10.544892</v>
      </c>
      <c r="AJ64" s="341">
        <f t="shared" si="113"/>
        <v>700.14069145</v>
      </c>
      <c r="AK64" s="96" t="s">
        <v>68</v>
      </c>
      <c r="AL64" s="60">
        <f>AL39+AL51</f>
        <v>25.939999999999998</v>
      </c>
      <c r="AM64" s="79">
        <f>AM39+AM51</f>
        <v>74.73625279999999</v>
      </c>
      <c r="AN64" s="69">
        <f aca="true" t="shared" si="114" ref="AN64:AV64">AN39+AN51</f>
        <v>3.31</v>
      </c>
      <c r="AO64" s="153">
        <f t="shared" si="114"/>
        <v>9.5365072</v>
      </c>
      <c r="AP64" s="60">
        <f t="shared" si="114"/>
        <v>151.51</v>
      </c>
      <c r="AQ64" s="79">
        <f t="shared" si="114"/>
        <v>4.6619627</v>
      </c>
      <c r="AR64" s="69">
        <f t="shared" si="114"/>
        <v>24230.760000000002</v>
      </c>
      <c r="AS64" s="153">
        <f t="shared" si="114"/>
        <v>133.5114876</v>
      </c>
      <c r="AT64" s="60">
        <f t="shared" si="114"/>
        <v>151.51</v>
      </c>
      <c r="AU64" s="79">
        <f t="shared" si="114"/>
        <v>1.6272174000000001</v>
      </c>
      <c r="AV64" s="341">
        <f t="shared" si="114"/>
        <v>224.07342769999997</v>
      </c>
      <c r="AW64" s="96" t="s">
        <v>68</v>
      </c>
      <c r="AX64" s="60">
        <f>AX39+AX51</f>
        <v>598.23</v>
      </c>
      <c r="AY64" s="79">
        <f>AY39+AY51</f>
        <v>1723.5724175999999</v>
      </c>
      <c r="AZ64" s="69">
        <f aca="true" t="shared" si="115" ref="AZ64:BH64">AZ39+AZ51</f>
        <v>33.660000000000004</v>
      </c>
      <c r="BA64" s="153">
        <f t="shared" si="115"/>
        <v>96.9784992</v>
      </c>
      <c r="BB64" s="60">
        <f t="shared" si="115"/>
        <v>865.4000000000001</v>
      </c>
      <c r="BC64" s="79">
        <f t="shared" si="115"/>
        <v>26.628358000000002</v>
      </c>
      <c r="BD64" s="69">
        <f t="shared" si="115"/>
        <v>35681.8</v>
      </c>
      <c r="BE64" s="153">
        <f t="shared" si="115"/>
        <v>196.606718</v>
      </c>
      <c r="BF64" s="60">
        <f t="shared" si="115"/>
        <v>865.4000000000001</v>
      </c>
      <c r="BG64" s="79">
        <f t="shared" si="115"/>
        <v>9.294396000000003</v>
      </c>
      <c r="BH64" s="341">
        <f t="shared" si="115"/>
        <v>2053.0803888</v>
      </c>
    </row>
    <row r="65" spans="1:60" s="86" customFormat="1" ht="15.75" thickBot="1">
      <c r="A65" s="368" t="s">
        <v>69</v>
      </c>
      <c r="B65" s="76">
        <f>B52</f>
        <v>576.27</v>
      </c>
      <c r="C65" s="158">
        <f>C52</f>
        <v>1424.1551163999998</v>
      </c>
      <c r="D65" s="70">
        <f aca="true" t="shared" si="116" ref="D65:L65">D52</f>
        <v>0</v>
      </c>
      <c r="E65" s="188">
        <f t="shared" si="116"/>
        <v>0</v>
      </c>
      <c r="F65" s="76">
        <f t="shared" si="116"/>
        <v>393.7</v>
      </c>
      <c r="G65" s="158">
        <f t="shared" si="116"/>
        <v>12.95122</v>
      </c>
      <c r="H65" s="70">
        <f t="shared" si="116"/>
        <v>59686.8</v>
      </c>
      <c r="I65" s="188">
        <f t="shared" si="116"/>
        <v>316.2318396</v>
      </c>
      <c r="J65" s="76">
        <f t="shared" si="116"/>
        <v>188.7</v>
      </c>
      <c r="K65" s="158">
        <f t="shared" si="116"/>
        <v>0</v>
      </c>
      <c r="L65" s="369">
        <f t="shared" si="116"/>
        <v>1753.3381759999997</v>
      </c>
      <c r="M65" s="104" t="s">
        <v>69</v>
      </c>
      <c r="N65" s="76">
        <f>N52</f>
        <v>281.03</v>
      </c>
      <c r="O65" s="158">
        <f>O52</f>
        <v>654.2631326999999</v>
      </c>
      <c r="P65" s="70">
        <f aca="true" t="shared" si="117" ref="P65:X65">P52</f>
        <v>0</v>
      </c>
      <c r="Q65" s="188">
        <f t="shared" si="117"/>
        <v>0</v>
      </c>
      <c r="R65" s="76">
        <f t="shared" si="117"/>
        <v>44</v>
      </c>
      <c r="S65" s="158">
        <f t="shared" si="117"/>
        <v>1.36928</v>
      </c>
      <c r="T65" s="70">
        <f t="shared" si="117"/>
        <v>16325.8</v>
      </c>
      <c r="U65" s="188">
        <f t="shared" si="117"/>
        <v>82.0697966</v>
      </c>
      <c r="V65" s="76">
        <f t="shared" si="117"/>
        <v>0</v>
      </c>
      <c r="W65" s="158">
        <f t="shared" si="117"/>
        <v>0</v>
      </c>
      <c r="X65" s="369">
        <f t="shared" si="117"/>
        <v>737.7022092999999</v>
      </c>
      <c r="Y65" s="104" t="s">
        <v>69</v>
      </c>
      <c r="Z65" s="76">
        <f>Z52</f>
        <v>113.07</v>
      </c>
      <c r="AA65" s="158">
        <f>AA52</f>
        <v>263.23713630000003</v>
      </c>
      <c r="AB65" s="70">
        <f aca="true" t="shared" si="118" ref="AB65:AJ65">AB52</f>
        <v>0</v>
      </c>
      <c r="AC65" s="188">
        <f t="shared" si="118"/>
        <v>0</v>
      </c>
      <c r="AD65" s="76">
        <f t="shared" si="118"/>
        <v>43</v>
      </c>
      <c r="AE65" s="158">
        <f t="shared" si="118"/>
        <v>1.33816</v>
      </c>
      <c r="AF65" s="70">
        <f t="shared" si="118"/>
        <v>9849</v>
      </c>
      <c r="AG65" s="188">
        <f t="shared" si="118"/>
        <v>49.510923000000005</v>
      </c>
      <c r="AH65" s="76">
        <f t="shared" si="118"/>
        <v>0</v>
      </c>
      <c r="AI65" s="158">
        <f t="shared" si="118"/>
        <v>0</v>
      </c>
      <c r="AJ65" s="369">
        <f t="shared" si="118"/>
        <v>314.08621930000004</v>
      </c>
      <c r="AK65" s="104" t="s">
        <v>69</v>
      </c>
      <c r="AL65" s="76">
        <f>AL52</f>
        <v>10.16</v>
      </c>
      <c r="AM65" s="158">
        <f>AM52</f>
        <v>28.257195199999998</v>
      </c>
      <c r="AN65" s="70">
        <f aca="true" t="shared" si="119" ref="AN65:AV65">AN52</f>
        <v>0</v>
      </c>
      <c r="AO65" s="188">
        <f t="shared" si="119"/>
        <v>0</v>
      </c>
      <c r="AP65" s="76">
        <f t="shared" si="119"/>
        <v>118</v>
      </c>
      <c r="AQ65" s="158">
        <f t="shared" si="119"/>
        <v>3.9412</v>
      </c>
      <c r="AR65" s="70">
        <f t="shared" si="119"/>
        <v>14385</v>
      </c>
      <c r="AS65" s="188">
        <f t="shared" si="119"/>
        <v>79.26135</v>
      </c>
      <c r="AT65" s="76">
        <f t="shared" si="119"/>
        <v>0</v>
      </c>
      <c r="AU65" s="158">
        <f t="shared" si="119"/>
        <v>0</v>
      </c>
      <c r="AV65" s="369">
        <f t="shared" si="119"/>
        <v>111.45974519999999</v>
      </c>
      <c r="AW65" s="104" t="s">
        <v>69</v>
      </c>
      <c r="AX65" s="76">
        <f>AX52</f>
        <v>172.01</v>
      </c>
      <c r="AY65" s="158">
        <f>AY52</f>
        <v>478.3976521999999</v>
      </c>
      <c r="AZ65" s="70">
        <f aca="true" t="shared" si="120" ref="AZ65:BH65">AZ52</f>
        <v>0</v>
      </c>
      <c r="BA65" s="188">
        <f t="shared" si="120"/>
        <v>0</v>
      </c>
      <c r="BB65" s="76">
        <f t="shared" si="120"/>
        <v>188.7</v>
      </c>
      <c r="BC65" s="158">
        <f t="shared" si="120"/>
        <v>6.302579999999999</v>
      </c>
      <c r="BD65" s="70">
        <f t="shared" si="120"/>
        <v>19127</v>
      </c>
      <c r="BE65" s="188">
        <f t="shared" si="120"/>
        <v>105.38976999999998</v>
      </c>
      <c r="BF65" s="76">
        <f t="shared" si="120"/>
        <v>188.7</v>
      </c>
      <c r="BG65" s="158">
        <f t="shared" si="120"/>
        <v>0</v>
      </c>
      <c r="BH65" s="369">
        <f t="shared" si="120"/>
        <v>590.0900021999998</v>
      </c>
    </row>
    <row r="66" spans="1:60" s="86" customFormat="1" ht="15.75" thickBot="1">
      <c r="A66" s="376" t="s">
        <v>7</v>
      </c>
      <c r="B66" s="35">
        <f aca="true" t="shared" si="121" ref="B66:L66">SUM(B62:B65)</f>
        <v>11057.039999999999</v>
      </c>
      <c r="C66" s="44">
        <f t="shared" si="121"/>
        <v>22746.064282</v>
      </c>
      <c r="D66" s="34">
        <f t="shared" si="121"/>
        <v>591.78</v>
      </c>
      <c r="E66" s="50">
        <f t="shared" si="121"/>
        <v>1190.3612985</v>
      </c>
      <c r="F66" s="35">
        <f t="shared" si="121"/>
        <v>29652.649999999998</v>
      </c>
      <c r="G66" s="44">
        <f t="shared" si="121"/>
        <v>1147.1098469999997</v>
      </c>
      <c r="H66" s="34">
        <f t="shared" si="121"/>
        <v>1093294.8</v>
      </c>
      <c r="I66" s="50">
        <f t="shared" si="121"/>
        <v>5750.34683091</v>
      </c>
      <c r="J66" s="35">
        <f t="shared" si="121"/>
        <v>25894.350000000002</v>
      </c>
      <c r="K66" s="44">
        <f t="shared" si="121"/>
        <v>442.4700398</v>
      </c>
      <c r="L66" s="53">
        <f t="shared" si="121"/>
        <v>31276.35229821</v>
      </c>
      <c r="M66" s="377" t="s">
        <v>7</v>
      </c>
      <c r="N66" s="35">
        <f aca="true" t="shared" si="122" ref="N66:X66">SUM(N62:N65)</f>
        <v>4851.389999999999</v>
      </c>
      <c r="O66" s="44">
        <f t="shared" si="122"/>
        <v>9116.1384989</v>
      </c>
      <c r="P66" s="34">
        <f t="shared" si="122"/>
        <v>191.76</v>
      </c>
      <c r="Q66" s="50">
        <f t="shared" si="122"/>
        <v>351.9637242</v>
      </c>
      <c r="R66" s="35">
        <f t="shared" si="122"/>
        <v>9856.48</v>
      </c>
      <c r="S66" s="44">
        <f t="shared" si="122"/>
        <v>359.2760716</v>
      </c>
      <c r="T66" s="34">
        <f t="shared" si="122"/>
        <v>332633.47</v>
      </c>
      <c r="U66" s="50">
        <f t="shared" si="122"/>
        <v>1672.1484536900002</v>
      </c>
      <c r="V66" s="35">
        <f t="shared" si="122"/>
        <v>8228.68</v>
      </c>
      <c r="W66" s="44">
        <f t="shared" si="122"/>
        <v>133.4951068</v>
      </c>
      <c r="X66" s="53">
        <f t="shared" si="122"/>
        <v>11633.021855189998</v>
      </c>
      <c r="Y66" s="377" t="s">
        <v>7</v>
      </c>
      <c r="Z66" s="35">
        <f aca="true" t="shared" si="123" ref="Z66:AJ66">SUM(Z62:Z65)</f>
        <v>1550.94</v>
      </c>
      <c r="AA66" s="44">
        <f t="shared" si="123"/>
        <v>2952.4168952</v>
      </c>
      <c r="AB66" s="34">
        <f t="shared" si="123"/>
        <v>129.70999999999998</v>
      </c>
      <c r="AC66" s="50">
        <f t="shared" si="123"/>
        <v>236.2380737</v>
      </c>
      <c r="AD66" s="35">
        <f t="shared" si="123"/>
        <v>7788.21</v>
      </c>
      <c r="AE66" s="44">
        <f t="shared" si="123"/>
        <v>287.24612920000004</v>
      </c>
      <c r="AF66" s="34">
        <f t="shared" si="123"/>
        <v>234048.75999999998</v>
      </c>
      <c r="AG66" s="50">
        <f t="shared" si="123"/>
        <v>1176.56311652</v>
      </c>
      <c r="AH66" s="35">
        <f t="shared" si="123"/>
        <v>6887.71</v>
      </c>
      <c r="AI66" s="44">
        <f t="shared" si="123"/>
        <v>114.8385406</v>
      </c>
      <c r="AJ66" s="53">
        <f t="shared" si="123"/>
        <v>4767.30275522</v>
      </c>
      <c r="AK66" s="377" t="s">
        <v>7</v>
      </c>
      <c r="AL66" s="35">
        <f aca="true" t="shared" si="124" ref="AL66:AV66">SUM(AL62:AL65)</f>
        <v>247.58999999999995</v>
      </c>
      <c r="AM66" s="44">
        <f t="shared" si="124"/>
        <v>563.0375837</v>
      </c>
      <c r="AN66" s="34">
        <f t="shared" si="124"/>
        <v>95.21000000000002</v>
      </c>
      <c r="AO66" s="50">
        <f t="shared" si="124"/>
        <v>204.7440542</v>
      </c>
      <c r="AP66" s="35">
        <f t="shared" si="124"/>
        <v>4249.03</v>
      </c>
      <c r="AQ66" s="44">
        <f t="shared" si="124"/>
        <v>179.5785963</v>
      </c>
      <c r="AR66" s="34">
        <f t="shared" si="124"/>
        <v>218876.55</v>
      </c>
      <c r="AS66" s="50">
        <f t="shared" si="124"/>
        <v>1206.0097904999998</v>
      </c>
      <c r="AT66" s="35">
        <f t="shared" si="124"/>
        <v>3722.5299999999997</v>
      </c>
      <c r="AU66" s="44">
        <f t="shared" si="124"/>
        <v>69.9765402</v>
      </c>
      <c r="AV66" s="53">
        <f t="shared" si="124"/>
        <v>2223.3465649</v>
      </c>
      <c r="AW66" s="377" t="s">
        <v>7</v>
      </c>
      <c r="AX66" s="35">
        <f aca="true" t="shared" si="125" ref="AX66:BH66">SUM(AX62:AX65)</f>
        <v>4407.12</v>
      </c>
      <c r="AY66" s="44">
        <f t="shared" si="125"/>
        <v>10114.4613042</v>
      </c>
      <c r="AZ66" s="34">
        <f t="shared" si="125"/>
        <v>175.09999999999997</v>
      </c>
      <c r="BA66" s="50">
        <f t="shared" si="125"/>
        <v>397.4154464</v>
      </c>
      <c r="BB66" s="35">
        <f t="shared" si="125"/>
        <v>7758.929999999999</v>
      </c>
      <c r="BC66" s="44">
        <f t="shared" si="125"/>
        <v>321.0090498999999</v>
      </c>
      <c r="BD66" s="34">
        <f t="shared" si="125"/>
        <v>307736.02</v>
      </c>
      <c r="BE66" s="50">
        <f t="shared" si="125"/>
        <v>1695.6254701999999</v>
      </c>
      <c r="BF66" s="35">
        <f t="shared" si="125"/>
        <v>7055.429999999999</v>
      </c>
      <c r="BG66" s="44">
        <f t="shared" si="125"/>
        <v>124.15985220000002</v>
      </c>
      <c r="BH66" s="53">
        <f t="shared" si="125"/>
        <v>12652.671122900001</v>
      </c>
    </row>
    <row r="67" spans="1:60" s="86" customFormat="1" ht="15">
      <c r="A67" s="370"/>
      <c r="B67" s="371"/>
      <c r="C67" s="372"/>
      <c r="D67" s="373"/>
      <c r="E67" s="374"/>
      <c r="F67" s="371"/>
      <c r="G67" s="372"/>
      <c r="H67" s="373"/>
      <c r="I67" s="374"/>
      <c r="J67" s="371"/>
      <c r="K67" s="372"/>
      <c r="L67" s="297"/>
      <c r="M67" s="375"/>
      <c r="N67" s="371"/>
      <c r="O67" s="372"/>
      <c r="P67" s="373"/>
      <c r="Q67" s="374"/>
      <c r="R67" s="371"/>
      <c r="S67" s="372"/>
      <c r="T67" s="373"/>
      <c r="U67" s="374"/>
      <c r="V67" s="371"/>
      <c r="W67" s="372"/>
      <c r="X67" s="297"/>
      <c r="Y67" s="375"/>
      <c r="Z67" s="371"/>
      <c r="AA67" s="372"/>
      <c r="AB67" s="373"/>
      <c r="AC67" s="374"/>
      <c r="AD67" s="371"/>
      <c r="AE67" s="372"/>
      <c r="AF67" s="373"/>
      <c r="AG67" s="374"/>
      <c r="AH67" s="371"/>
      <c r="AI67" s="372"/>
      <c r="AJ67" s="297"/>
      <c r="AK67" s="375"/>
      <c r="AL67" s="371"/>
      <c r="AM67" s="372"/>
      <c r="AN67" s="373"/>
      <c r="AO67" s="374"/>
      <c r="AP67" s="371"/>
      <c r="AQ67" s="372"/>
      <c r="AR67" s="373"/>
      <c r="AS67" s="374"/>
      <c r="AT67" s="371"/>
      <c r="AU67" s="372"/>
      <c r="AV67" s="297"/>
      <c r="AW67" s="375"/>
      <c r="AX67" s="371"/>
      <c r="AY67" s="372"/>
      <c r="AZ67" s="373"/>
      <c r="BA67" s="374"/>
      <c r="BB67" s="371"/>
      <c r="BC67" s="372"/>
      <c r="BD67" s="373"/>
      <c r="BE67" s="374"/>
      <c r="BF67" s="371"/>
      <c r="BG67" s="372"/>
      <c r="BH67" s="297"/>
    </row>
    <row r="68" spans="1:60" s="86" customFormat="1" ht="15">
      <c r="A68" s="339" t="s">
        <v>65</v>
      </c>
      <c r="B68" s="60">
        <f>B38+B49+B50</f>
        <v>3897.4799999999996</v>
      </c>
      <c r="C68" s="79">
        <f>C38+C49+C50</f>
        <v>18403.32178429</v>
      </c>
      <c r="D68" s="69">
        <f aca="true" t="shared" si="126" ref="D68:L68">D38+D49+D50</f>
        <v>3403.82</v>
      </c>
      <c r="E68" s="153">
        <f t="shared" si="126"/>
        <v>1189.226007364</v>
      </c>
      <c r="F68" s="60">
        <f t="shared" si="126"/>
        <v>5134.91</v>
      </c>
      <c r="G68" s="79">
        <f t="shared" si="126"/>
        <v>260.4249199</v>
      </c>
      <c r="H68" s="69">
        <f t="shared" si="126"/>
        <v>926220</v>
      </c>
      <c r="I68" s="153">
        <f t="shared" si="126"/>
        <v>4874.237502</v>
      </c>
      <c r="J68" s="60">
        <f t="shared" si="126"/>
        <v>8538.73</v>
      </c>
      <c r="K68" s="79">
        <f t="shared" si="126"/>
        <v>61.722348999999994</v>
      </c>
      <c r="L68" s="341">
        <f t="shared" si="126"/>
        <v>24788.932562554004</v>
      </c>
      <c r="M68" s="96" t="s">
        <v>65</v>
      </c>
      <c r="N68" s="60">
        <f>N38+N49+N50</f>
        <v>1838.16</v>
      </c>
      <c r="O68" s="79">
        <f>O38+O49+O50</f>
        <v>8230.269492</v>
      </c>
      <c r="P68" s="69">
        <f aca="true" t="shared" si="127" ref="P68:X68">P38+P49+P50</f>
        <v>1192.93</v>
      </c>
      <c r="Q68" s="153">
        <f t="shared" si="127"/>
        <v>396.3509925000001</v>
      </c>
      <c r="R68" s="60">
        <f t="shared" si="127"/>
        <v>1856.7199999999998</v>
      </c>
      <c r="S68" s="79">
        <f t="shared" si="127"/>
        <v>87.32154159999999</v>
      </c>
      <c r="T68" s="69">
        <f t="shared" si="127"/>
        <v>256059</v>
      </c>
      <c r="U68" s="153">
        <f t="shared" si="127"/>
        <v>1287.208593</v>
      </c>
      <c r="V68" s="60">
        <f t="shared" si="127"/>
        <v>3049.6499999999996</v>
      </c>
      <c r="W68" s="79">
        <f t="shared" si="127"/>
        <v>21.256060499999997</v>
      </c>
      <c r="X68" s="341">
        <f t="shared" si="127"/>
        <v>10022.406679599999</v>
      </c>
      <c r="Y68" s="96" t="s">
        <v>65</v>
      </c>
      <c r="Z68" s="60">
        <f aca="true" t="shared" si="128" ref="Z68:AJ68">Z38+Z49+Z50</f>
        <v>554.39</v>
      </c>
      <c r="AA68" s="79">
        <f t="shared" si="128"/>
        <v>2482.2535055</v>
      </c>
      <c r="AB68" s="69">
        <f t="shared" si="128"/>
        <v>1000.6099999999999</v>
      </c>
      <c r="AC68" s="153">
        <f t="shared" si="128"/>
        <v>332.45267250000006</v>
      </c>
      <c r="AD68" s="60">
        <f t="shared" si="128"/>
        <v>869.78</v>
      </c>
      <c r="AE68" s="79">
        <f t="shared" si="128"/>
        <v>40.9057534</v>
      </c>
      <c r="AF68" s="69">
        <f t="shared" si="128"/>
        <v>218547</v>
      </c>
      <c r="AG68" s="153">
        <f t="shared" si="128"/>
        <v>1098.635769</v>
      </c>
      <c r="AH68" s="60">
        <f t="shared" si="128"/>
        <v>1870.39</v>
      </c>
      <c r="AI68" s="79">
        <f t="shared" si="128"/>
        <v>13.036618299999999</v>
      </c>
      <c r="AJ68" s="341">
        <f t="shared" si="128"/>
        <v>3967.2843187</v>
      </c>
      <c r="AK68" s="96" t="s">
        <v>65</v>
      </c>
      <c r="AL68" s="60">
        <f>AL38+AL49+AL50</f>
        <v>49.83</v>
      </c>
      <c r="AM68" s="79">
        <f>AM38+AM49+AM50</f>
        <v>254.65138149</v>
      </c>
      <c r="AN68" s="69">
        <f aca="true" t="shared" si="129" ref="AN68:AV68">AN38+AN49+AN50</f>
        <v>355.78</v>
      </c>
      <c r="AO68" s="153">
        <f t="shared" si="129"/>
        <v>135.348069014</v>
      </c>
      <c r="AP68" s="60">
        <f t="shared" si="129"/>
        <v>1090.51</v>
      </c>
      <c r="AQ68" s="79">
        <f t="shared" si="129"/>
        <v>59.8580939</v>
      </c>
      <c r="AR68" s="69">
        <f t="shared" si="129"/>
        <v>196130</v>
      </c>
      <c r="AS68" s="153">
        <f t="shared" si="129"/>
        <v>1080.6762999999999</v>
      </c>
      <c r="AT68" s="60">
        <f t="shared" si="129"/>
        <v>1446.29</v>
      </c>
      <c r="AU68" s="79">
        <f t="shared" si="129"/>
        <v>10.9628782</v>
      </c>
      <c r="AV68" s="341">
        <f t="shared" si="129"/>
        <v>1541.496722604</v>
      </c>
      <c r="AW68" s="96" t="s">
        <v>65</v>
      </c>
      <c r="AX68" s="60">
        <f>AX38+AX49+AX50</f>
        <v>1455.1</v>
      </c>
      <c r="AY68" s="79">
        <f>AY38+AY49+AY50</f>
        <v>7436.1474053</v>
      </c>
      <c r="AZ68" s="69">
        <f aca="true" t="shared" si="130" ref="AZ68:BH68">AZ38+AZ49+AZ50</f>
        <v>854.5</v>
      </c>
      <c r="BA68" s="153">
        <f t="shared" si="130"/>
        <v>325.07427335000006</v>
      </c>
      <c r="BB68" s="60">
        <f t="shared" si="130"/>
        <v>1317.9</v>
      </c>
      <c r="BC68" s="79">
        <f t="shared" si="130"/>
        <v>72.339531</v>
      </c>
      <c r="BD68" s="69">
        <f t="shared" si="130"/>
        <v>255484</v>
      </c>
      <c r="BE68" s="153">
        <f t="shared" si="130"/>
        <v>1407.71684</v>
      </c>
      <c r="BF68" s="60">
        <f t="shared" si="130"/>
        <v>2172.3999999999996</v>
      </c>
      <c r="BG68" s="79">
        <f t="shared" si="130"/>
        <v>16.466791999999998</v>
      </c>
      <c r="BH68" s="341">
        <f t="shared" si="130"/>
        <v>9257.744841650001</v>
      </c>
    </row>
    <row r="69" spans="1:60" s="86" customFormat="1" ht="15.75" thickBot="1">
      <c r="A69" s="368"/>
      <c r="B69" s="378"/>
      <c r="C69" s="379"/>
      <c r="D69" s="380"/>
      <c r="E69" s="381"/>
      <c r="F69" s="378"/>
      <c r="G69" s="379"/>
      <c r="H69" s="380"/>
      <c r="I69" s="381"/>
      <c r="J69" s="378"/>
      <c r="K69" s="379"/>
      <c r="L69" s="367"/>
      <c r="M69" s="104"/>
      <c r="N69" s="378"/>
      <c r="O69" s="379"/>
      <c r="P69" s="380"/>
      <c r="Q69" s="381"/>
      <c r="R69" s="378"/>
      <c r="S69" s="379"/>
      <c r="T69" s="380"/>
      <c r="U69" s="381"/>
      <c r="V69" s="378"/>
      <c r="W69" s="379"/>
      <c r="X69" s="367"/>
      <c r="Y69" s="104"/>
      <c r="Z69" s="378"/>
      <c r="AA69" s="379"/>
      <c r="AB69" s="380"/>
      <c r="AC69" s="381"/>
      <c r="AD69" s="378"/>
      <c r="AE69" s="379"/>
      <c r="AF69" s="380"/>
      <c r="AG69" s="381"/>
      <c r="AH69" s="378"/>
      <c r="AI69" s="379"/>
      <c r="AJ69" s="367"/>
      <c r="AK69" s="104"/>
      <c r="AL69" s="378"/>
      <c r="AM69" s="379"/>
      <c r="AN69" s="380"/>
      <c r="AO69" s="381"/>
      <c r="AP69" s="378"/>
      <c r="AQ69" s="379"/>
      <c r="AR69" s="380"/>
      <c r="AS69" s="381"/>
      <c r="AT69" s="378"/>
      <c r="AU69" s="379"/>
      <c r="AV69" s="367"/>
      <c r="AW69" s="104"/>
      <c r="AX69" s="378"/>
      <c r="AY69" s="379"/>
      <c r="AZ69" s="380"/>
      <c r="BA69" s="381"/>
      <c r="BB69" s="378"/>
      <c r="BC69" s="379"/>
      <c r="BD69" s="380"/>
      <c r="BE69" s="381"/>
      <c r="BF69" s="378"/>
      <c r="BG69" s="379"/>
      <c r="BH69" s="367"/>
    </row>
    <row r="70" spans="1:60" s="86" customFormat="1" ht="15.75" thickBot="1">
      <c r="A70" s="376" t="s">
        <v>88</v>
      </c>
      <c r="B70" s="37">
        <f aca="true" t="shared" si="131" ref="B70:L70">B66+B68</f>
        <v>14954.519999999999</v>
      </c>
      <c r="C70" s="46">
        <f t="shared" si="131"/>
        <v>41149.38606629</v>
      </c>
      <c r="D70" s="37">
        <f t="shared" si="131"/>
        <v>3995.6000000000004</v>
      </c>
      <c r="E70" s="46">
        <f t="shared" si="131"/>
        <v>2379.587305864</v>
      </c>
      <c r="F70" s="37">
        <f t="shared" si="131"/>
        <v>34787.56</v>
      </c>
      <c r="G70" s="46">
        <f t="shared" si="131"/>
        <v>1407.5347668999998</v>
      </c>
      <c r="H70" s="37">
        <f t="shared" si="131"/>
        <v>2019514.8</v>
      </c>
      <c r="I70" s="46">
        <f t="shared" si="131"/>
        <v>10624.584332909999</v>
      </c>
      <c r="J70" s="37">
        <f t="shared" si="131"/>
        <v>34433.08</v>
      </c>
      <c r="K70" s="50">
        <f t="shared" si="131"/>
        <v>504.1923888</v>
      </c>
      <c r="L70" s="38">
        <f t="shared" si="131"/>
        <v>56065.284860764004</v>
      </c>
      <c r="M70" s="376" t="s">
        <v>88</v>
      </c>
      <c r="N70" s="37">
        <f aca="true" t="shared" si="132" ref="N70:X70">N66+N68</f>
        <v>6689.549999999999</v>
      </c>
      <c r="O70" s="46">
        <f t="shared" si="132"/>
        <v>17346.4079909</v>
      </c>
      <c r="P70" s="37">
        <f t="shared" si="132"/>
        <v>1384.69</v>
      </c>
      <c r="Q70" s="46">
        <f t="shared" si="132"/>
        <v>748.3147167000001</v>
      </c>
      <c r="R70" s="37">
        <f t="shared" si="132"/>
        <v>11713.199999999999</v>
      </c>
      <c r="S70" s="46">
        <f t="shared" si="132"/>
        <v>446.5976132</v>
      </c>
      <c r="T70" s="37">
        <f t="shared" si="132"/>
        <v>588692.47</v>
      </c>
      <c r="U70" s="46">
        <f t="shared" si="132"/>
        <v>2959.35704669</v>
      </c>
      <c r="V70" s="37">
        <f t="shared" si="132"/>
        <v>11278.33</v>
      </c>
      <c r="W70" s="50">
        <f t="shared" si="132"/>
        <v>154.7511673</v>
      </c>
      <c r="X70" s="38">
        <f t="shared" si="132"/>
        <v>21655.428534789997</v>
      </c>
      <c r="Y70" s="376" t="s">
        <v>88</v>
      </c>
      <c r="Z70" s="37">
        <f aca="true" t="shared" si="133" ref="Z70:AJ70">Z66+Z68</f>
        <v>2105.33</v>
      </c>
      <c r="AA70" s="46">
        <f t="shared" si="133"/>
        <v>5434.6704007</v>
      </c>
      <c r="AB70" s="37">
        <f t="shared" si="133"/>
        <v>1130.32</v>
      </c>
      <c r="AC70" s="46">
        <f t="shared" si="133"/>
        <v>568.6907462</v>
      </c>
      <c r="AD70" s="37">
        <f t="shared" si="133"/>
        <v>8657.99</v>
      </c>
      <c r="AE70" s="46">
        <f t="shared" si="133"/>
        <v>328.1518826</v>
      </c>
      <c r="AF70" s="37">
        <f t="shared" si="133"/>
        <v>452595.76</v>
      </c>
      <c r="AG70" s="46">
        <f t="shared" si="133"/>
        <v>2275.1988855199997</v>
      </c>
      <c r="AH70" s="37">
        <f t="shared" si="133"/>
        <v>8758.1</v>
      </c>
      <c r="AI70" s="50">
        <f t="shared" si="133"/>
        <v>127.8751589</v>
      </c>
      <c r="AJ70" s="38">
        <f t="shared" si="133"/>
        <v>8734.58707392</v>
      </c>
      <c r="AK70" s="376" t="s">
        <v>88</v>
      </c>
      <c r="AL70" s="37">
        <f aca="true" t="shared" si="134" ref="AL70:AV70">AL66+AL68</f>
        <v>297.41999999999996</v>
      </c>
      <c r="AM70" s="46">
        <f t="shared" si="134"/>
        <v>817.6889651900001</v>
      </c>
      <c r="AN70" s="37">
        <f t="shared" si="134"/>
        <v>450.99</v>
      </c>
      <c r="AO70" s="46">
        <f t="shared" si="134"/>
        <v>340.092123214</v>
      </c>
      <c r="AP70" s="37">
        <f t="shared" si="134"/>
        <v>5339.54</v>
      </c>
      <c r="AQ70" s="46">
        <f t="shared" si="134"/>
        <v>239.4366902</v>
      </c>
      <c r="AR70" s="37">
        <f t="shared" si="134"/>
        <v>415006.55</v>
      </c>
      <c r="AS70" s="46">
        <f t="shared" si="134"/>
        <v>2286.6860904999994</v>
      </c>
      <c r="AT70" s="37">
        <f t="shared" si="134"/>
        <v>5168.82</v>
      </c>
      <c r="AU70" s="50">
        <f t="shared" si="134"/>
        <v>80.93941840000001</v>
      </c>
      <c r="AV70" s="38">
        <f t="shared" si="134"/>
        <v>3764.843287504</v>
      </c>
      <c r="AW70" s="376" t="s">
        <v>88</v>
      </c>
      <c r="AX70" s="37">
        <f aca="true" t="shared" si="135" ref="AX70:BH70">AX66+AX68</f>
        <v>5862.219999999999</v>
      </c>
      <c r="AY70" s="46">
        <f t="shared" si="135"/>
        <v>17550.6087095</v>
      </c>
      <c r="AZ70" s="37">
        <f t="shared" si="135"/>
        <v>1029.6</v>
      </c>
      <c r="BA70" s="46">
        <f t="shared" si="135"/>
        <v>722.4897197500001</v>
      </c>
      <c r="BB70" s="37">
        <f t="shared" si="135"/>
        <v>9076.83</v>
      </c>
      <c r="BC70" s="46">
        <f t="shared" si="135"/>
        <v>393.3485808999999</v>
      </c>
      <c r="BD70" s="37">
        <f t="shared" si="135"/>
        <v>563220.02</v>
      </c>
      <c r="BE70" s="46">
        <f t="shared" si="135"/>
        <v>3103.3423101999997</v>
      </c>
      <c r="BF70" s="37">
        <f t="shared" si="135"/>
        <v>9227.829999999998</v>
      </c>
      <c r="BG70" s="50">
        <f t="shared" si="135"/>
        <v>140.62664420000002</v>
      </c>
      <c r="BH70" s="38">
        <f t="shared" si="135"/>
        <v>21910.415964550004</v>
      </c>
    </row>
    <row r="71" spans="1:49" ht="15.75">
      <c r="A71" s="1"/>
      <c r="L71" s="4"/>
      <c r="T71" s="1"/>
      <c r="Y71" s="1"/>
      <c r="AF71" s="1"/>
      <c r="AW71" s="1"/>
    </row>
    <row r="72" spans="1:49" ht="16.5" thickBot="1">
      <c r="A72" s="3" t="s">
        <v>90</v>
      </c>
      <c r="L72" s="4"/>
      <c r="T72" s="1"/>
      <c r="Y72" s="1"/>
      <c r="AF72" s="1"/>
      <c r="AW72" s="1"/>
    </row>
    <row r="73" spans="1:60" ht="15.75">
      <c r="A73" s="103" t="s">
        <v>66</v>
      </c>
      <c r="B73" s="334">
        <f>ЭОТ!B62</f>
        <v>7747.57</v>
      </c>
      <c r="C73" s="356">
        <f>ЭОТ!C62</f>
        <v>27348.3298228</v>
      </c>
      <c r="D73" s="357">
        <f>ЭОТ!D62</f>
        <v>481.47</v>
      </c>
      <c r="E73" s="358">
        <f>ЭОТ!E62</f>
        <v>1712.0595132</v>
      </c>
      <c r="F73" s="334">
        <f>ЭОТ!F62</f>
        <v>22017.260000000002</v>
      </c>
      <c r="G73" s="356">
        <f>ЭОТ!G62</f>
        <v>890.5568381999999</v>
      </c>
      <c r="H73" s="357">
        <f>ЭОТ!H62</f>
        <v>837865.54</v>
      </c>
      <c r="I73" s="358">
        <f>ЭОТ!I62</f>
        <v>4401.14437187</v>
      </c>
      <c r="J73" s="334">
        <f>ЭОТ!J62</f>
        <v>22017.260000000002</v>
      </c>
      <c r="K73" s="356">
        <f>ЭОТ!K62</f>
        <v>405.5499276</v>
      </c>
      <c r="L73" s="359">
        <f>ЭОТ!L62</f>
        <v>34757.640473670006</v>
      </c>
      <c r="M73" s="103" t="s">
        <v>66</v>
      </c>
      <c r="N73" s="334">
        <f>ЭОТ!N62</f>
        <v>3334.8700000000003</v>
      </c>
      <c r="O73" s="356">
        <f>ЭОТ!O62</f>
        <v>11255.5864344</v>
      </c>
      <c r="P73" s="357">
        <f>ЭОТ!P62</f>
        <v>146.20000000000002</v>
      </c>
      <c r="Q73" s="358">
        <f>ЭОТ!Q62</f>
        <v>493.442544</v>
      </c>
      <c r="R73" s="334">
        <f>ЭОТ!R62</f>
        <v>6534.83</v>
      </c>
      <c r="S73" s="356">
        <f>ЭОТ!S62</f>
        <v>251.72165160000003</v>
      </c>
      <c r="T73" s="357">
        <f>ЭОТ!T62</f>
        <v>261718.93999999997</v>
      </c>
      <c r="U73" s="358">
        <f>ЭОТ!U62</f>
        <v>1315.6611113800002</v>
      </c>
      <c r="V73" s="334">
        <f>ЭОТ!V62</f>
        <v>6534.83</v>
      </c>
      <c r="W73" s="356">
        <f>ЭОТ!W62</f>
        <v>116.71206379999998</v>
      </c>
      <c r="X73" s="359">
        <f>ЭОТ!X62</f>
        <v>13433.123805179997</v>
      </c>
      <c r="Y73" s="103" t="s">
        <v>66</v>
      </c>
      <c r="Z73" s="334">
        <f>ЭОТ!Z62</f>
        <v>1001.6800000000001</v>
      </c>
      <c r="AA73" s="356">
        <f>ЭОТ!AA62</f>
        <v>3380.7902016000003</v>
      </c>
      <c r="AB73" s="357">
        <f>ЭОТ!AB62</f>
        <v>101.92999999999999</v>
      </c>
      <c r="AC73" s="358">
        <f>ЭОТ!AC62</f>
        <v>344.02598159999997</v>
      </c>
      <c r="AD73" s="334">
        <f>ЭОТ!AD62</f>
        <v>5856.13</v>
      </c>
      <c r="AE73" s="356">
        <f>ЭОТ!AE62</f>
        <v>225.57812760000002</v>
      </c>
      <c r="AF73" s="357">
        <f>ЭОТ!AF62</f>
        <v>184439.96999999997</v>
      </c>
      <c r="AG73" s="358">
        <f>ЭОТ!AG62</f>
        <v>927.1797291899999</v>
      </c>
      <c r="AH73" s="334">
        <f>ЭОТ!AH62</f>
        <v>5856.13</v>
      </c>
      <c r="AI73" s="356">
        <f>ЭОТ!AI62</f>
        <v>104.5904818</v>
      </c>
      <c r="AJ73" s="359">
        <f>ЭОТ!AJ62</f>
        <v>4982.1645217899995</v>
      </c>
      <c r="AK73" s="103" t="s">
        <v>66</v>
      </c>
      <c r="AL73" s="334">
        <f>ЭОТ!AL62</f>
        <v>188.08999999999995</v>
      </c>
      <c r="AM73" s="356">
        <f>ЭОТ!AM62</f>
        <v>697.8256686</v>
      </c>
      <c r="AN73" s="357">
        <f>ЭОТ!AN62</f>
        <v>91.90000000000002</v>
      </c>
      <c r="AO73" s="358">
        <f>ЭОТ!AO62</f>
        <v>344.45406599999995</v>
      </c>
      <c r="AP73" s="334">
        <f>ЭОТ!AP62</f>
        <v>3627.0299999999997</v>
      </c>
      <c r="AQ73" s="356">
        <f>ЭОТ!AQ62</f>
        <v>155.7083979</v>
      </c>
      <c r="AR73" s="357">
        <f>ЭОТ!AR62</f>
        <v>160234.40999999997</v>
      </c>
      <c r="AS73" s="358">
        <f>ЭОТ!AS62</f>
        <v>882.8915990999998</v>
      </c>
      <c r="AT73" s="334">
        <f>ЭОТ!AT62</f>
        <v>3627.0299999999997</v>
      </c>
      <c r="AU73" s="356">
        <f>ЭОТ!AU62</f>
        <v>69.4213542</v>
      </c>
      <c r="AV73" s="359">
        <f>ЭОТ!AV62</f>
        <v>2150.3010858000002</v>
      </c>
      <c r="AW73" s="103" t="s">
        <v>66</v>
      </c>
      <c r="AX73" s="334">
        <f>ЭОТ!AX62</f>
        <v>3222.93</v>
      </c>
      <c r="AY73" s="356">
        <f>ЭОТ!AY62</f>
        <v>12014.1175182</v>
      </c>
      <c r="AZ73" s="357">
        <f>ЭОТ!AZ62</f>
        <v>141.43999999999997</v>
      </c>
      <c r="BA73" s="358">
        <f>ЭОТ!BA62</f>
        <v>530.1369215999999</v>
      </c>
      <c r="BB73" s="334">
        <f>ЭОТ!BB62</f>
        <v>5999.27</v>
      </c>
      <c r="BC73" s="356">
        <f>ЭОТ!BC62</f>
        <v>257.5486611</v>
      </c>
      <c r="BD73" s="357">
        <f>ЭОТ!BD62</f>
        <v>231472.22</v>
      </c>
      <c r="BE73" s="358">
        <f>ЭОТ!BE62</f>
        <v>1275.4119322</v>
      </c>
      <c r="BF73" s="334">
        <f>ЭОТ!BF62</f>
        <v>5999.27</v>
      </c>
      <c r="BG73" s="356">
        <f>ЭОТ!BG62</f>
        <v>114.82602780000002</v>
      </c>
      <c r="BH73" s="359">
        <f>ЭОТ!BH62</f>
        <v>14192.0410609</v>
      </c>
    </row>
    <row r="74" spans="1:60" ht="15.75">
      <c r="A74" s="96" t="s">
        <v>87</v>
      </c>
      <c r="B74" s="335">
        <f>ЭОТ!B63</f>
        <v>1204.4</v>
      </c>
      <c r="C74" s="336">
        <f>ЭОТ!C63</f>
        <v>4666.702987</v>
      </c>
      <c r="D74" s="333">
        <f>ЭОТ!D63</f>
        <v>0</v>
      </c>
      <c r="E74" s="337">
        <f>ЭОТ!E63</f>
        <v>0</v>
      </c>
      <c r="F74" s="335">
        <f>ЭОТ!F63</f>
        <v>3412</v>
      </c>
      <c r="G74" s="336">
        <f>ЭОТ!G63</f>
        <v>142.17872</v>
      </c>
      <c r="H74" s="333">
        <f>ЭОТ!H63</f>
        <v>82600.06</v>
      </c>
      <c r="I74" s="337">
        <f>ЭОТ!I63</f>
        <v>435.26600816</v>
      </c>
      <c r="J74" s="335">
        <f>ЭОТ!J63</f>
        <v>666</v>
      </c>
      <c r="K74" s="336">
        <f>ЭОТ!K63</f>
        <v>0</v>
      </c>
      <c r="L74" s="338">
        <f>ЭОТ!L63</f>
        <v>5244.147715159999</v>
      </c>
      <c r="M74" s="96" t="s">
        <v>87</v>
      </c>
      <c r="N74" s="335">
        <f>ЭОТ!N63</f>
        <v>542.8</v>
      </c>
      <c r="O74" s="336">
        <f>ЭОТ!O63</f>
        <v>2079.651352</v>
      </c>
      <c r="P74" s="333">
        <f>ЭОТ!P63</f>
        <v>0</v>
      </c>
      <c r="Q74" s="337">
        <f>ЭОТ!Q63</f>
        <v>0</v>
      </c>
      <c r="R74" s="335">
        <f>ЭОТ!R63</f>
        <v>1541</v>
      </c>
      <c r="S74" s="336">
        <f>ЭОТ!S63</f>
        <v>63.11936</v>
      </c>
      <c r="T74" s="333">
        <f>ЭОТ!T63</f>
        <v>23673.54</v>
      </c>
      <c r="U74" s="337">
        <f>ЭОТ!U63</f>
        <v>119.00688558</v>
      </c>
      <c r="V74" s="335">
        <f>ЭОТ!V63</f>
        <v>0</v>
      </c>
      <c r="W74" s="336">
        <f>ЭОТ!W63</f>
        <v>0</v>
      </c>
      <c r="X74" s="338">
        <f>ЭОТ!X63</f>
        <v>2261.77759758</v>
      </c>
      <c r="Y74" s="96" t="s">
        <v>87</v>
      </c>
      <c r="Z74" s="335">
        <f>ЭОТ!Z63</f>
        <v>223.7</v>
      </c>
      <c r="AA74" s="336">
        <f>ЭОТ!AA63</f>
        <v>857.0707580000001</v>
      </c>
      <c r="AB74" s="333">
        <f>ЭОТ!AB63</f>
        <v>0</v>
      </c>
      <c r="AC74" s="337">
        <f>ЭОТ!AC63</f>
        <v>0</v>
      </c>
      <c r="AD74" s="335">
        <f>ЭОТ!AD63</f>
        <v>831</v>
      </c>
      <c r="AE74" s="336">
        <f>ЭОТ!AE63</f>
        <v>34.03776</v>
      </c>
      <c r="AF74" s="333">
        <f>ЭОТ!AF63</f>
        <v>17445.14</v>
      </c>
      <c r="AG74" s="337">
        <f>ЭОТ!AG63</f>
        <v>87.69671878</v>
      </c>
      <c r="AH74" s="335">
        <f>ЭОТ!AH63</f>
        <v>0</v>
      </c>
      <c r="AI74" s="336">
        <f>ЭОТ!AI63</f>
        <v>0</v>
      </c>
      <c r="AJ74" s="338">
        <f>ЭОТ!AJ63</f>
        <v>978.8052367800001</v>
      </c>
      <c r="AK74" s="96" t="s">
        <v>87</v>
      </c>
      <c r="AL74" s="335">
        <f>ЭОТ!AL63</f>
        <v>23.9</v>
      </c>
      <c r="AM74" s="336">
        <f>ЭОТ!AM63</f>
        <v>94.420057</v>
      </c>
      <c r="AN74" s="333">
        <f>ЭОТ!AN63</f>
        <v>0</v>
      </c>
      <c r="AO74" s="337">
        <f>ЭОТ!AO63</f>
        <v>0</v>
      </c>
      <c r="AP74" s="335">
        <f>ЭОТ!AP63</f>
        <v>374</v>
      </c>
      <c r="AQ74" s="336">
        <f>ЭОТ!AQ63</f>
        <v>16.190459999999998</v>
      </c>
      <c r="AR74" s="333">
        <f>ЭОТ!AR63</f>
        <v>20026.38</v>
      </c>
      <c r="AS74" s="337">
        <f>ЭОТ!AS63</f>
        <v>110.34535379999998</v>
      </c>
      <c r="AT74" s="335">
        <f>ЭОТ!AT63</f>
        <v>0</v>
      </c>
      <c r="AU74" s="336">
        <f>ЭОТ!AU63</f>
        <v>0</v>
      </c>
      <c r="AV74" s="338">
        <f>ЭОТ!AV63</f>
        <v>220.95587079999999</v>
      </c>
      <c r="AW74" s="96" t="s">
        <v>87</v>
      </c>
      <c r="AX74" s="335">
        <f>ЭОТ!AX63</f>
        <v>414</v>
      </c>
      <c r="AY74" s="336">
        <f>ЭОТ!AY63</f>
        <v>1635.5608200000001</v>
      </c>
      <c r="AZ74" s="333">
        <f>ЭОТ!AZ63</f>
        <v>0</v>
      </c>
      <c r="BA74" s="337">
        <f>ЭОТ!BA63</f>
        <v>0</v>
      </c>
      <c r="BB74" s="335">
        <f>ЭОТ!BB63</f>
        <v>666</v>
      </c>
      <c r="BC74" s="336">
        <f>ЭОТ!BC63</f>
        <v>28.831139999999998</v>
      </c>
      <c r="BD74" s="333">
        <f>ЭОТ!BD63</f>
        <v>21455</v>
      </c>
      <c r="BE74" s="337">
        <f>ЭОТ!BE63</f>
        <v>118.21704999999999</v>
      </c>
      <c r="BF74" s="335">
        <f>ЭОТ!BF63</f>
        <v>666</v>
      </c>
      <c r="BG74" s="336">
        <f>ЭОТ!BG63</f>
        <v>0</v>
      </c>
      <c r="BH74" s="338">
        <f>ЭОТ!BH63</f>
        <v>1782.6090100000001</v>
      </c>
    </row>
    <row r="75" spans="1:60" ht="15.75">
      <c r="A75" s="96" t="s">
        <v>68</v>
      </c>
      <c r="B75" s="335">
        <f>ЭОТ!B64</f>
        <v>1405.45</v>
      </c>
      <c r="C75" s="336">
        <f>ЭОТ!C64</f>
        <v>7474.5949444</v>
      </c>
      <c r="D75" s="333">
        <f>ЭОТ!D64</f>
        <v>110.28</v>
      </c>
      <c r="E75" s="337">
        <f>ЭОТ!E64</f>
        <v>581.7881189</v>
      </c>
      <c r="F75" s="335">
        <f>ЭОТ!F64</f>
        <v>3776.54</v>
      </c>
      <c r="G75" s="336">
        <f>ЭОТ!G64</f>
        <v>99.5084953</v>
      </c>
      <c r="H75" s="333">
        <f>ЭОТ!H64</f>
        <v>113142.08</v>
      </c>
      <c r="I75" s="337">
        <f>ЭОТ!I64</f>
        <v>597.7028480800001</v>
      </c>
      <c r="J75" s="335">
        <f>ЭОТ!J64</f>
        <v>3776.54</v>
      </c>
      <c r="K75" s="336">
        <f>ЭОТ!K64</f>
        <v>38.6835048</v>
      </c>
      <c r="L75" s="338">
        <f>ЭОТ!L64</f>
        <v>8792.27791148</v>
      </c>
      <c r="M75" s="96" t="s">
        <v>68</v>
      </c>
      <c r="N75" s="335">
        <f>ЭОТ!N64</f>
        <v>568.79</v>
      </c>
      <c r="O75" s="336">
        <f>ЭОТ!O64</f>
        <v>2925.8273204999996</v>
      </c>
      <c r="P75" s="333">
        <f>ЭОТ!P64</f>
        <v>45.53</v>
      </c>
      <c r="Q75" s="337">
        <f>ЭОТ!Q64</f>
        <v>234.20404349999998</v>
      </c>
      <c r="R75" s="335">
        <f>ЭОТ!R64</f>
        <v>1711.41</v>
      </c>
      <c r="S75" s="336">
        <f>ЭОТ!S64</f>
        <v>42.3060552</v>
      </c>
      <c r="T75" s="333">
        <f>ЭОТ!T64</f>
        <v>30915.190000000002</v>
      </c>
      <c r="U75" s="337">
        <f>ЭОТ!U64</f>
        <v>155.41066013</v>
      </c>
      <c r="V75" s="335">
        <f>ЭОТ!V64</f>
        <v>1711.41</v>
      </c>
      <c r="W75" s="336">
        <f>ЭОТ!W64</f>
        <v>17.2167846</v>
      </c>
      <c r="X75" s="338">
        <f>ЭОТ!X64</f>
        <v>3374.9648639299994</v>
      </c>
      <c r="Y75" s="96" t="s">
        <v>68</v>
      </c>
      <c r="Z75" s="335">
        <f>ЭОТ!Z64</f>
        <v>212.49</v>
      </c>
      <c r="AA75" s="336">
        <f>ЭОТ!AA64</f>
        <v>1093.0379355</v>
      </c>
      <c r="AB75" s="333">
        <f>ЭОТ!AB64</f>
        <v>27.779999999999998</v>
      </c>
      <c r="AC75" s="337">
        <f>ЭОТ!AC64</f>
        <v>142.89893099999998</v>
      </c>
      <c r="AD75" s="335">
        <f>ЭОТ!AD64</f>
        <v>1048.2</v>
      </c>
      <c r="AE75" s="336">
        <f>ЭОТ!AE64</f>
        <v>25.911504</v>
      </c>
      <c r="AF75" s="333">
        <f>ЭОТ!AF64</f>
        <v>22314.649999999998</v>
      </c>
      <c r="AG75" s="337">
        <f>ЭОТ!AG64</f>
        <v>112.17574555</v>
      </c>
      <c r="AH75" s="335">
        <f>ЭОТ!AH64</f>
        <v>1048.2</v>
      </c>
      <c r="AI75" s="336">
        <f>ЭОТ!AI64</f>
        <v>10.544892</v>
      </c>
      <c r="AJ75" s="338">
        <f>ЭОТ!AJ64</f>
        <v>1384.56900805</v>
      </c>
      <c r="AK75" s="96" t="s">
        <v>68</v>
      </c>
      <c r="AL75" s="335">
        <f>ЭОТ!AL64</f>
        <v>25.939999999999998</v>
      </c>
      <c r="AM75" s="336">
        <f>ЭОТ!AM64</f>
        <v>143.6173288</v>
      </c>
      <c r="AN75" s="333">
        <f>ЭОТ!AN64</f>
        <v>3.31</v>
      </c>
      <c r="AO75" s="337">
        <f>ЭОТ!AO64</f>
        <v>18.3258812</v>
      </c>
      <c r="AP75" s="335">
        <f>ЭОТ!AP64</f>
        <v>151.51</v>
      </c>
      <c r="AQ75" s="336">
        <f>ЭОТ!AQ64</f>
        <v>4.6619627</v>
      </c>
      <c r="AR75" s="333">
        <f>ЭОТ!AR64</f>
        <v>24230.760000000002</v>
      </c>
      <c r="AS75" s="337">
        <f>ЭОТ!AS64</f>
        <v>133.5114876</v>
      </c>
      <c r="AT75" s="335">
        <f>ЭОТ!AT64</f>
        <v>151.51</v>
      </c>
      <c r="AU75" s="336">
        <f>ЭОТ!AU64</f>
        <v>1.6272174000000001</v>
      </c>
      <c r="AV75" s="338">
        <f>ЭОТ!AV64</f>
        <v>301.74387770000004</v>
      </c>
      <c r="AW75" s="96" t="s">
        <v>68</v>
      </c>
      <c r="AX75" s="335">
        <f>ЭОТ!AX64</f>
        <v>598.23</v>
      </c>
      <c r="AY75" s="336">
        <f>ЭОТ!AY64</f>
        <v>3312.1123596</v>
      </c>
      <c r="AZ75" s="333">
        <f>ЭОТ!AZ64</f>
        <v>33.660000000000004</v>
      </c>
      <c r="BA75" s="337">
        <f>ЭОТ!BA64</f>
        <v>186.35926320000002</v>
      </c>
      <c r="BB75" s="335">
        <f>ЭОТ!BB64</f>
        <v>865.4200000000001</v>
      </c>
      <c r="BC75" s="336">
        <f>ЭОТ!BC64</f>
        <v>26.6289734</v>
      </c>
      <c r="BD75" s="333">
        <f>ЭОТ!BD64</f>
        <v>35681.48</v>
      </c>
      <c r="BE75" s="337">
        <f>ЭОТ!BE64</f>
        <v>196.60495480000003</v>
      </c>
      <c r="BF75" s="335">
        <f>ЭОТ!BF64</f>
        <v>865.4200000000001</v>
      </c>
      <c r="BG75" s="336">
        <f>ЭОТ!BG64</f>
        <v>9.294610800000001</v>
      </c>
      <c r="BH75" s="338">
        <f>ЭОТ!BH64</f>
        <v>3731.0001618</v>
      </c>
    </row>
    <row r="76" spans="1:60" ht="15.75">
      <c r="A76" s="96" t="s">
        <v>69</v>
      </c>
      <c r="B76" s="335">
        <f>ЭОТ!B65</f>
        <v>576.27</v>
      </c>
      <c r="C76" s="336">
        <f>ЭОТ!C65</f>
        <v>2618.4210497999993</v>
      </c>
      <c r="D76" s="333">
        <f>ЭОТ!D65</f>
        <v>0</v>
      </c>
      <c r="E76" s="337">
        <f>ЭОТ!E65</f>
        <v>0</v>
      </c>
      <c r="F76" s="335">
        <f>ЭОТ!F65</f>
        <v>393.7</v>
      </c>
      <c r="G76" s="336">
        <f>ЭОТ!G65</f>
        <v>12.95122</v>
      </c>
      <c r="H76" s="333">
        <f>ЭОТ!H65</f>
        <v>59686.8</v>
      </c>
      <c r="I76" s="337">
        <f>ЭОТ!I65</f>
        <v>316.2318396</v>
      </c>
      <c r="J76" s="335">
        <f>ЭОТ!J65</f>
        <v>188.7</v>
      </c>
      <c r="K76" s="336">
        <f>ЭОТ!K65</f>
        <v>0</v>
      </c>
      <c r="L76" s="338">
        <f>ЭОТ!L65</f>
        <v>2947.6041093999993</v>
      </c>
      <c r="M76" s="96" t="s">
        <v>69</v>
      </c>
      <c r="N76" s="335">
        <f>ЭОТ!N65</f>
        <v>281.03</v>
      </c>
      <c r="O76" s="336">
        <f>ЭОТ!O65</f>
        <v>1276.9272521999997</v>
      </c>
      <c r="P76" s="333">
        <f>ЭОТ!P65</f>
        <v>0</v>
      </c>
      <c r="Q76" s="337">
        <f>ЭОТ!Q65</f>
        <v>0</v>
      </c>
      <c r="R76" s="335">
        <f>ЭОТ!R65</f>
        <v>44</v>
      </c>
      <c r="S76" s="336">
        <f>ЭОТ!S65</f>
        <v>1.36928</v>
      </c>
      <c r="T76" s="333">
        <f>ЭОТ!T65</f>
        <v>16325.8</v>
      </c>
      <c r="U76" s="337">
        <f>ЭОТ!U65</f>
        <v>82.0697966</v>
      </c>
      <c r="V76" s="335">
        <f>ЭОТ!V65</f>
        <v>0</v>
      </c>
      <c r="W76" s="336">
        <f>ЭОТ!W65</f>
        <v>0</v>
      </c>
      <c r="X76" s="338">
        <f>ЭОТ!X65</f>
        <v>1360.3663287999996</v>
      </c>
      <c r="Y76" s="96" t="s">
        <v>69</v>
      </c>
      <c r="Z76" s="335">
        <f>ЭОТ!Z65</f>
        <v>113.07</v>
      </c>
      <c r="AA76" s="336">
        <f>ЭОТ!AA65</f>
        <v>513.7606817999999</v>
      </c>
      <c r="AB76" s="333">
        <f>ЭОТ!AB65</f>
        <v>0</v>
      </c>
      <c r="AC76" s="337">
        <f>ЭОТ!AC65</f>
        <v>0</v>
      </c>
      <c r="AD76" s="335">
        <f>ЭОТ!AD65</f>
        <v>43</v>
      </c>
      <c r="AE76" s="336">
        <f>ЭОТ!AE65</f>
        <v>1.33816</v>
      </c>
      <c r="AF76" s="333">
        <f>ЭОТ!AF65</f>
        <v>9849</v>
      </c>
      <c r="AG76" s="337">
        <f>ЭОТ!AG65</f>
        <v>49.510923000000005</v>
      </c>
      <c r="AH76" s="335">
        <f>ЭОТ!AH65</f>
        <v>0</v>
      </c>
      <c r="AI76" s="336">
        <f>ЭОТ!AI65</f>
        <v>0</v>
      </c>
      <c r="AJ76" s="338">
        <f>ЭОТ!AJ65</f>
        <v>564.6097648</v>
      </c>
      <c r="AK76" s="96" t="s">
        <v>69</v>
      </c>
      <c r="AL76" s="335">
        <f>ЭОТ!AL65</f>
        <v>10.16</v>
      </c>
      <c r="AM76" s="336">
        <f>ЭОТ!AM65</f>
        <v>46.164398399999996</v>
      </c>
      <c r="AN76" s="333">
        <f>ЭОТ!AN65</f>
        <v>0</v>
      </c>
      <c r="AO76" s="337">
        <f>ЭОТ!AO65</f>
        <v>0</v>
      </c>
      <c r="AP76" s="335">
        <f>ЭОТ!AP65</f>
        <v>118</v>
      </c>
      <c r="AQ76" s="336">
        <f>ЭОТ!AQ65</f>
        <v>3.9412</v>
      </c>
      <c r="AR76" s="333">
        <f>ЭОТ!AR65</f>
        <v>14385</v>
      </c>
      <c r="AS76" s="337">
        <f>ЭОТ!AS65</f>
        <v>79.26135</v>
      </c>
      <c r="AT76" s="335">
        <f>ЭОТ!AT65</f>
        <v>0</v>
      </c>
      <c r="AU76" s="336">
        <f>ЭОТ!AU65</f>
        <v>0</v>
      </c>
      <c r="AV76" s="338">
        <f>ЭОТ!AV65</f>
        <v>129.36694839999998</v>
      </c>
      <c r="AW76" s="96" t="s">
        <v>69</v>
      </c>
      <c r="AX76" s="335">
        <f>ЭОТ!AX65</f>
        <v>172.01</v>
      </c>
      <c r="AY76" s="336">
        <f>ЭОТ!AY65</f>
        <v>781.5687174</v>
      </c>
      <c r="AZ76" s="333">
        <f>ЭОТ!AZ65</f>
        <v>0</v>
      </c>
      <c r="BA76" s="337">
        <f>ЭОТ!BA65</f>
        <v>0</v>
      </c>
      <c r="BB76" s="335">
        <f>ЭОТ!BB65</f>
        <v>188.7</v>
      </c>
      <c r="BC76" s="336">
        <f>ЭОТ!BC65</f>
        <v>6.302579999999999</v>
      </c>
      <c r="BD76" s="333">
        <f>ЭОТ!BD65</f>
        <v>19127</v>
      </c>
      <c r="BE76" s="337">
        <f>ЭОТ!BE65</f>
        <v>105.38976999999998</v>
      </c>
      <c r="BF76" s="335">
        <f>ЭОТ!BF65</f>
        <v>188.7</v>
      </c>
      <c r="BG76" s="336">
        <f>ЭОТ!BG65</f>
        <v>0</v>
      </c>
      <c r="BH76" s="338">
        <f>ЭОТ!BH65</f>
        <v>893.2610674</v>
      </c>
    </row>
    <row r="77" spans="1:60" ht="15.75">
      <c r="A77" s="360" t="s">
        <v>7</v>
      </c>
      <c r="B77" s="361">
        <f aca="true" t="shared" si="136" ref="B77:L77">SUM(B73:B76)</f>
        <v>10933.69</v>
      </c>
      <c r="C77" s="362">
        <f t="shared" si="136"/>
        <v>42108.048804000005</v>
      </c>
      <c r="D77" s="363">
        <f t="shared" si="136"/>
        <v>591.75</v>
      </c>
      <c r="E77" s="364">
        <f t="shared" si="136"/>
        <v>2293.8476321</v>
      </c>
      <c r="F77" s="361">
        <f t="shared" si="136"/>
        <v>29599.500000000004</v>
      </c>
      <c r="G77" s="362">
        <f t="shared" si="136"/>
        <v>1145.1952735</v>
      </c>
      <c r="H77" s="363">
        <f t="shared" si="136"/>
        <v>1093294.48</v>
      </c>
      <c r="I77" s="364">
        <f t="shared" si="136"/>
        <v>5750.34506771</v>
      </c>
      <c r="J77" s="361">
        <f t="shared" si="136"/>
        <v>26648.500000000004</v>
      </c>
      <c r="K77" s="362">
        <f t="shared" si="136"/>
        <v>444.23343239999997</v>
      </c>
      <c r="L77" s="365">
        <f t="shared" si="136"/>
        <v>51741.670209710006</v>
      </c>
      <c r="M77" s="360" t="s">
        <v>7</v>
      </c>
      <c r="N77" s="361">
        <f aca="true" t="shared" si="137" ref="N77:X77">SUM(N73:N76)</f>
        <v>4727.49</v>
      </c>
      <c r="O77" s="362">
        <f t="shared" si="137"/>
        <v>17537.9923591</v>
      </c>
      <c r="P77" s="363">
        <f t="shared" si="137"/>
        <v>191.73000000000002</v>
      </c>
      <c r="Q77" s="364">
        <f t="shared" si="137"/>
        <v>727.6465875</v>
      </c>
      <c r="R77" s="361">
        <f t="shared" si="137"/>
        <v>9831.24</v>
      </c>
      <c r="S77" s="362">
        <f t="shared" si="137"/>
        <v>358.5163468</v>
      </c>
      <c r="T77" s="363">
        <f t="shared" si="137"/>
        <v>332633.47</v>
      </c>
      <c r="U77" s="364">
        <f t="shared" si="137"/>
        <v>1672.1484536900002</v>
      </c>
      <c r="V77" s="361">
        <f t="shared" si="137"/>
        <v>8246.24</v>
      </c>
      <c r="W77" s="362">
        <f t="shared" si="137"/>
        <v>133.9288484</v>
      </c>
      <c r="X77" s="365">
        <f t="shared" si="137"/>
        <v>20430.232595489997</v>
      </c>
      <c r="Y77" s="360" t="s">
        <v>7</v>
      </c>
      <c r="Z77" s="361">
        <f aca="true" t="shared" si="138" ref="Z77:AJ77">SUM(Z73:Z76)</f>
        <v>1550.94</v>
      </c>
      <c r="AA77" s="362">
        <f t="shared" si="138"/>
        <v>5844.659576900001</v>
      </c>
      <c r="AB77" s="363">
        <f t="shared" si="138"/>
        <v>129.70999999999998</v>
      </c>
      <c r="AC77" s="364">
        <f t="shared" si="138"/>
        <v>486.92491259999997</v>
      </c>
      <c r="AD77" s="361">
        <f t="shared" si="138"/>
        <v>7778.33</v>
      </c>
      <c r="AE77" s="362">
        <f t="shared" si="138"/>
        <v>286.8655516</v>
      </c>
      <c r="AF77" s="363">
        <f t="shared" si="138"/>
        <v>234048.75999999998</v>
      </c>
      <c r="AG77" s="364">
        <f t="shared" si="138"/>
        <v>1176.56311652</v>
      </c>
      <c r="AH77" s="361">
        <f t="shared" si="138"/>
        <v>6904.33</v>
      </c>
      <c r="AI77" s="362">
        <f t="shared" si="138"/>
        <v>115.13537380000001</v>
      </c>
      <c r="AJ77" s="365">
        <f t="shared" si="138"/>
        <v>7910.14853142</v>
      </c>
      <c r="AK77" s="360" t="s">
        <v>7</v>
      </c>
      <c r="AL77" s="361">
        <f aca="true" t="shared" si="139" ref="AL77:AV77">SUM(AL73:AL76)</f>
        <v>248.08999999999995</v>
      </c>
      <c r="AM77" s="362">
        <f t="shared" si="139"/>
        <v>982.0274528</v>
      </c>
      <c r="AN77" s="363">
        <f t="shared" si="139"/>
        <v>95.21000000000002</v>
      </c>
      <c r="AO77" s="364">
        <f t="shared" si="139"/>
        <v>362.7799472</v>
      </c>
      <c r="AP77" s="361">
        <f t="shared" si="139"/>
        <v>4270.54</v>
      </c>
      <c r="AQ77" s="362">
        <f t="shared" si="139"/>
        <v>180.5020206</v>
      </c>
      <c r="AR77" s="363">
        <f t="shared" si="139"/>
        <v>218876.55</v>
      </c>
      <c r="AS77" s="364">
        <f t="shared" si="139"/>
        <v>1206.0097904999998</v>
      </c>
      <c r="AT77" s="361">
        <f t="shared" si="139"/>
        <v>3778.54</v>
      </c>
      <c r="AU77" s="362">
        <f t="shared" si="139"/>
        <v>71.0485716</v>
      </c>
      <c r="AV77" s="365">
        <f t="shared" si="139"/>
        <v>2802.3677827000006</v>
      </c>
      <c r="AW77" s="360" t="s">
        <v>7</v>
      </c>
      <c r="AX77" s="361">
        <f aca="true" t="shared" si="140" ref="AX77:BH77">SUM(AX73:AX76)</f>
        <v>4407.17</v>
      </c>
      <c r="AY77" s="362">
        <f t="shared" si="140"/>
        <v>17743.359415200004</v>
      </c>
      <c r="AZ77" s="363">
        <f t="shared" si="140"/>
        <v>175.09999999999997</v>
      </c>
      <c r="BA77" s="364">
        <f t="shared" si="140"/>
        <v>716.4961847999999</v>
      </c>
      <c r="BB77" s="361">
        <f t="shared" si="140"/>
        <v>7719.39</v>
      </c>
      <c r="BC77" s="362">
        <f t="shared" si="140"/>
        <v>319.3113545</v>
      </c>
      <c r="BD77" s="363">
        <f t="shared" si="140"/>
        <v>307735.7</v>
      </c>
      <c r="BE77" s="364">
        <f t="shared" si="140"/>
        <v>1695.623707</v>
      </c>
      <c r="BF77" s="361">
        <f t="shared" si="140"/>
        <v>7719.39</v>
      </c>
      <c r="BG77" s="362">
        <f t="shared" si="140"/>
        <v>124.12063860000002</v>
      </c>
      <c r="BH77" s="365">
        <f t="shared" si="140"/>
        <v>20598.911300099997</v>
      </c>
    </row>
    <row r="78" spans="1:60" ht="15.75">
      <c r="A78" s="366"/>
      <c r="B78" s="361"/>
      <c r="C78" s="362"/>
      <c r="D78" s="363"/>
      <c r="E78" s="364"/>
      <c r="F78" s="361"/>
      <c r="G78" s="362"/>
      <c r="H78" s="363"/>
      <c r="I78" s="364"/>
      <c r="J78" s="361"/>
      <c r="K78" s="362"/>
      <c r="L78" s="365"/>
      <c r="M78" s="366"/>
      <c r="N78" s="361"/>
      <c r="O78" s="362"/>
      <c r="P78" s="363"/>
      <c r="Q78" s="364"/>
      <c r="R78" s="361"/>
      <c r="S78" s="362"/>
      <c r="T78" s="363"/>
      <c r="U78" s="364"/>
      <c r="V78" s="361"/>
      <c r="W78" s="362"/>
      <c r="X78" s="365"/>
      <c r="Y78" s="366"/>
      <c r="Z78" s="361"/>
      <c r="AA78" s="362"/>
      <c r="AB78" s="363"/>
      <c r="AC78" s="364"/>
      <c r="AD78" s="361"/>
      <c r="AE78" s="362"/>
      <c r="AF78" s="363"/>
      <c r="AG78" s="364"/>
      <c r="AH78" s="361"/>
      <c r="AI78" s="362"/>
      <c r="AJ78" s="365"/>
      <c r="AK78" s="366"/>
      <c r="AL78" s="361"/>
      <c r="AM78" s="362"/>
      <c r="AN78" s="363"/>
      <c r="AO78" s="364"/>
      <c r="AP78" s="361"/>
      <c r="AQ78" s="362"/>
      <c r="AR78" s="363"/>
      <c r="AS78" s="364"/>
      <c r="AT78" s="361"/>
      <c r="AU78" s="362"/>
      <c r="AV78" s="365"/>
      <c r="AW78" s="366"/>
      <c r="AX78" s="361"/>
      <c r="AY78" s="362"/>
      <c r="AZ78" s="363"/>
      <c r="BA78" s="364"/>
      <c r="BB78" s="361"/>
      <c r="BC78" s="362"/>
      <c r="BD78" s="363"/>
      <c r="BE78" s="364"/>
      <c r="BF78" s="361"/>
      <c r="BG78" s="362"/>
      <c r="BH78" s="365"/>
    </row>
    <row r="79" spans="1:60" ht="15.75">
      <c r="A79" s="96" t="s">
        <v>65</v>
      </c>
      <c r="B79" s="335">
        <f>ЭОТ!B67</f>
        <v>3897.4799999999996</v>
      </c>
      <c r="C79" s="336">
        <f>ЭОТ!C67</f>
        <v>18403.32178429</v>
      </c>
      <c r="D79" s="333">
        <f>ЭОТ!D67</f>
        <v>3403.78</v>
      </c>
      <c r="E79" s="337">
        <f>ЭОТ!E67</f>
        <v>1189.2127173640001</v>
      </c>
      <c r="F79" s="335">
        <f>ЭОТ!F67</f>
        <v>5134.91</v>
      </c>
      <c r="G79" s="336">
        <f>ЭОТ!G67</f>
        <v>260.4249199</v>
      </c>
      <c r="H79" s="333">
        <f>ЭОТ!H67</f>
        <v>926220</v>
      </c>
      <c r="I79" s="337">
        <f>ЭОТ!I67</f>
        <v>4874.237502</v>
      </c>
      <c r="J79" s="335">
        <f>ЭОТ!J67</f>
        <v>8538.689999999999</v>
      </c>
      <c r="K79" s="336">
        <f>ЭОТ!K67</f>
        <v>61.72207019999999</v>
      </c>
      <c r="L79" s="338">
        <f>ЭОТ!L67</f>
        <v>24788.918993754003</v>
      </c>
      <c r="M79" s="96" t="s">
        <v>65</v>
      </c>
      <c r="N79" s="335">
        <f>ЭОТ!N67</f>
        <v>1838.16</v>
      </c>
      <c r="O79" s="336">
        <f>ЭОТ!O67</f>
        <v>8230.269492</v>
      </c>
      <c r="P79" s="333">
        <f>ЭОТ!P67</f>
        <v>1192.8899999999999</v>
      </c>
      <c r="Q79" s="337">
        <f>ЭОТ!Q67</f>
        <v>396.3377025000001</v>
      </c>
      <c r="R79" s="335">
        <f>ЭОТ!R67</f>
        <v>1856.7199999999998</v>
      </c>
      <c r="S79" s="336">
        <f>ЭОТ!S67</f>
        <v>87.32154159999999</v>
      </c>
      <c r="T79" s="333">
        <f>ЭОТ!T67</f>
        <v>256059</v>
      </c>
      <c r="U79" s="337">
        <f>ЭОТ!U67</f>
        <v>1287.208593</v>
      </c>
      <c r="V79" s="335">
        <f>ЭОТ!V67</f>
        <v>3049.6099999999997</v>
      </c>
      <c r="W79" s="336">
        <f>ЭОТ!W67</f>
        <v>21.2557817</v>
      </c>
      <c r="X79" s="338">
        <f>ЭОТ!X67</f>
        <v>10022.393110799998</v>
      </c>
      <c r="Y79" s="96" t="s">
        <v>65</v>
      </c>
      <c r="Z79" s="335">
        <f>ЭОТ!Z67</f>
        <v>554.39</v>
      </c>
      <c r="AA79" s="336">
        <f>ЭОТ!AA67</f>
        <v>2482.2535055</v>
      </c>
      <c r="AB79" s="333">
        <f>ЭОТ!AB67</f>
        <v>1000.6099999999999</v>
      </c>
      <c r="AC79" s="337">
        <f>ЭОТ!AC67</f>
        <v>332.45267250000006</v>
      </c>
      <c r="AD79" s="335">
        <f>ЭОТ!AD67</f>
        <v>869.78</v>
      </c>
      <c r="AE79" s="336">
        <f>ЭОТ!AE67</f>
        <v>40.9057534</v>
      </c>
      <c r="AF79" s="333">
        <f>ЭОТ!AF67</f>
        <v>218547</v>
      </c>
      <c r="AG79" s="337">
        <f>ЭОТ!AG67</f>
        <v>1098.635769</v>
      </c>
      <c r="AH79" s="335">
        <f>ЭОТ!AH67</f>
        <v>1870.39</v>
      </c>
      <c r="AI79" s="336">
        <f>ЭОТ!AI67</f>
        <v>13.036618299999999</v>
      </c>
      <c r="AJ79" s="338">
        <f>ЭОТ!AJ67</f>
        <v>3967.2843187</v>
      </c>
      <c r="AK79" s="96" t="s">
        <v>65</v>
      </c>
      <c r="AL79" s="335">
        <f>ЭОТ!AL67</f>
        <v>49.83</v>
      </c>
      <c r="AM79" s="336">
        <f>ЭОТ!AM67</f>
        <v>254.65138149</v>
      </c>
      <c r="AN79" s="333">
        <f>ЭОТ!AN67</f>
        <v>355.78</v>
      </c>
      <c r="AO79" s="337">
        <f>ЭОТ!AO67</f>
        <v>135.348069014</v>
      </c>
      <c r="AP79" s="335">
        <f>ЭОТ!AP67</f>
        <v>1090.51</v>
      </c>
      <c r="AQ79" s="336">
        <f>ЭОТ!AQ67</f>
        <v>59.8580939</v>
      </c>
      <c r="AR79" s="333">
        <f>ЭОТ!AR67</f>
        <v>196130</v>
      </c>
      <c r="AS79" s="337">
        <f>ЭОТ!AS67</f>
        <v>1080.6762999999999</v>
      </c>
      <c r="AT79" s="335">
        <f>ЭОТ!AT67</f>
        <v>1446.29</v>
      </c>
      <c r="AU79" s="336">
        <f>ЭОТ!AU67</f>
        <v>10.9628782</v>
      </c>
      <c r="AV79" s="338">
        <f>ЭОТ!AV67</f>
        <v>1541.496722604</v>
      </c>
      <c r="AW79" s="96" t="s">
        <v>65</v>
      </c>
      <c r="AX79" s="335">
        <f>ЭОТ!AX67</f>
        <v>1455.1</v>
      </c>
      <c r="AY79" s="336">
        <f>ЭОТ!AY67</f>
        <v>7436.1474053</v>
      </c>
      <c r="AZ79" s="333">
        <f>ЭОТ!AZ67</f>
        <v>854.5</v>
      </c>
      <c r="BA79" s="337">
        <f>ЭОТ!BA67</f>
        <v>325.07427335000006</v>
      </c>
      <c r="BB79" s="335">
        <f>ЭОТ!BB67</f>
        <v>1317.9</v>
      </c>
      <c r="BC79" s="336">
        <f>ЭОТ!BC67</f>
        <v>72.339531</v>
      </c>
      <c r="BD79" s="333">
        <f>ЭОТ!BD67</f>
        <v>255484</v>
      </c>
      <c r="BE79" s="337">
        <f>ЭОТ!BE67</f>
        <v>1407.71684</v>
      </c>
      <c r="BF79" s="335">
        <f>ЭОТ!BF67</f>
        <v>2172.3999999999996</v>
      </c>
      <c r="BG79" s="336">
        <f>ЭОТ!BG67</f>
        <v>16.466791999999998</v>
      </c>
      <c r="BH79" s="338">
        <f>ЭОТ!BH67</f>
        <v>9257.744841650001</v>
      </c>
    </row>
    <row r="80" spans="1:60" ht="16.5" thickBot="1">
      <c r="A80" s="96"/>
      <c r="B80" s="335"/>
      <c r="C80" s="336"/>
      <c r="D80" s="333"/>
      <c r="E80" s="337"/>
      <c r="F80" s="335"/>
      <c r="G80" s="336"/>
      <c r="H80" s="333"/>
      <c r="I80" s="337"/>
      <c r="J80" s="335"/>
      <c r="K80" s="336"/>
      <c r="L80" s="338"/>
      <c r="M80" s="96"/>
      <c r="N80" s="335"/>
      <c r="O80" s="336"/>
      <c r="P80" s="333"/>
      <c r="Q80" s="337"/>
      <c r="R80" s="335"/>
      <c r="S80" s="336"/>
      <c r="T80" s="333"/>
      <c r="U80" s="337"/>
      <c r="V80" s="335"/>
      <c r="W80" s="336"/>
      <c r="X80" s="338"/>
      <c r="Y80" s="96"/>
      <c r="Z80" s="335"/>
      <c r="AA80" s="336"/>
      <c r="AB80" s="333"/>
      <c r="AC80" s="337"/>
      <c r="AD80" s="335"/>
      <c r="AE80" s="336"/>
      <c r="AF80" s="333"/>
      <c r="AG80" s="337"/>
      <c r="AH80" s="335"/>
      <c r="AI80" s="336"/>
      <c r="AJ80" s="338"/>
      <c r="AK80" s="96"/>
      <c r="AL80" s="335"/>
      <c r="AM80" s="336"/>
      <c r="AN80" s="333"/>
      <c r="AO80" s="337"/>
      <c r="AP80" s="335"/>
      <c r="AQ80" s="336"/>
      <c r="AR80" s="333"/>
      <c r="AS80" s="337"/>
      <c r="AT80" s="335"/>
      <c r="AU80" s="336"/>
      <c r="AV80" s="338"/>
      <c r="AW80" s="96"/>
      <c r="AX80" s="335"/>
      <c r="AY80" s="336"/>
      <c r="AZ80" s="333"/>
      <c r="BA80" s="337"/>
      <c r="BB80" s="335"/>
      <c r="BC80" s="336"/>
      <c r="BD80" s="333"/>
      <c r="BE80" s="337"/>
      <c r="BF80" s="335"/>
      <c r="BG80" s="336"/>
      <c r="BH80" s="338"/>
    </row>
    <row r="81" spans="1:60" ht="16.5" thickBot="1">
      <c r="A81" s="376" t="s">
        <v>88</v>
      </c>
      <c r="B81" s="37">
        <f aca="true" t="shared" si="141" ref="B81:L81">B77+B79</f>
        <v>14831.17</v>
      </c>
      <c r="C81" s="46">
        <f t="shared" si="141"/>
        <v>60511.37058829001</v>
      </c>
      <c r="D81" s="37">
        <f t="shared" si="141"/>
        <v>3995.53</v>
      </c>
      <c r="E81" s="46">
        <f t="shared" si="141"/>
        <v>3483.060349464</v>
      </c>
      <c r="F81" s="37">
        <f t="shared" si="141"/>
        <v>34734.41</v>
      </c>
      <c r="G81" s="46">
        <f t="shared" si="141"/>
        <v>1405.6201934</v>
      </c>
      <c r="H81" s="37">
        <f t="shared" si="141"/>
        <v>2019514.48</v>
      </c>
      <c r="I81" s="46">
        <f t="shared" si="141"/>
        <v>10624.58256971</v>
      </c>
      <c r="J81" s="37">
        <f t="shared" si="141"/>
        <v>35187.19</v>
      </c>
      <c r="K81" s="50">
        <f t="shared" si="141"/>
        <v>505.95550259999993</v>
      </c>
      <c r="L81" s="38">
        <f t="shared" si="141"/>
        <v>76530.58920346401</v>
      </c>
      <c r="M81" s="376" t="s">
        <v>88</v>
      </c>
      <c r="N81" s="37">
        <f aca="true" t="shared" si="142" ref="N81:X81">N77+N79</f>
        <v>6565.65</v>
      </c>
      <c r="O81" s="46">
        <f t="shared" si="142"/>
        <v>25768.2618511</v>
      </c>
      <c r="P81" s="37">
        <f t="shared" si="142"/>
        <v>1384.62</v>
      </c>
      <c r="Q81" s="46">
        <f t="shared" si="142"/>
        <v>1123.98429</v>
      </c>
      <c r="R81" s="37">
        <f t="shared" si="142"/>
        <v>11687.96</v>
      </c>
      <c r="S81" s="46">
        <f t="shared" si="142"/>
        <v>445.8378884</v>
      </c>
      <c r="T81" s="37">
        <f t="shared" si="142"/>
        <v>588692.47</v>
      </c>
      <c r="U81" s="46">
        <f t="shared" si="142"/>
        <v>2959.35704669</v>
      </c>
      <c r="V81" s="37">
        <f t="shared" si="142"/>
        <v>11295.849999999999</v>
      </c>
      <c r="W81" s="50">
        <f t="shared" si="142"/>
        <v>155.1846301</v>
      </c>
      <c r="X81" s="38">
        <f t="shared" si="142"/>
        <v>30452.625706289997</v>
      </c>
      <c r="Y81" s="376" t="s">
        <v>88</v>
      </c>
      <c r="Z81" s="37">
        <f aca="true" t="shared" si="143" ref="Z81:AJ81">Z77+Z79</f>
        <v>2105.33</v>
      </c>
      <c r="AA81" s="46">
        <f t="shared" si="143"/>
        <v>8326.913082400002</v>
      </c>
      <c r="AB81" s="37">
        <f t="shared" si="143"/>
        <v>1130.32</v>
      </c>
      <c r="AC81" s="46">
        <f t="shared" si="143"/>
        <v>819.3775851</v>
      </c>
      <c r="AD81" s="37">
        <f t="shared" si="143"/>
        <v>8648.11</v>
      </c>
      <c r="AE81" s="46">
        <f t="shared" si="143"/>
        <v>327.771305</v>
      </c>
      <c r="AF81" s="37">
        <f t="shared" si="143"/>
        <v>452595.76</v>
      </c>
      <c r="AG81" s="46">
        <f t="shared" si="143"/>
        <v>2275.1988855199997</v>
      </c>
      <c r="AH81" s="37">
        <f t="shared" si="143"/>
        <v>8774.72</v>
      </c>
      <c r="AI81" s="50">
        <f t="shared" si="143"/>
        <v>128.1719921</v>
      </c>
      <c r="AJ81" s="38">
        <f t="shared" si="143"/>
        <v>11877.43285012</v>
      </c>
      <c r="AK81" s="376" t="s">
        <v>88</v>
      </c>
      <c r="AL81" s="37">
        <f aca="true" t="shared" si="144" ref="AL81:AV81">AL77+AL79</f>
        <v>297.91999999999996</v>
      </c>
      <c r="AM81" s="46">
        <f t="shared" si="144"/>
        <v>1236.67883429</v>
      </c>
      <c r="AN81" s="37">
        <f t="shared" si="144"/>
        <v>450.99</v>
      </c>
      <c r="AO81" s="46">
        <f t="shared" si="144"/>
        <v>498.128016214</v>
      </c>
      <c r="AP81" s="37">
        <f t="shared" si="144"/>
        <v>5361.05</v>
      </c>
      <c r="AQ81" s="46">
        <f t="shared" si="144"/>
        <v>240.3601145</v>
      </c>
      <c r="AR81" s="37">
        <f t="shared" si="144"/>
        <v>415006.55</v>
      </c>
      <c r="AS81" s="46">
        <f t="shared" si="144"/>
        <v>2286.6860904999994</v>
      </c>
      <c r="AT81" s="37">
        <f t="shared" si="144"/>
        <v>5224.83</v>
      </c>
      <c r="AU81" s="50">
        <f t="shared" si="144"/>
        <v>82.01144980000001</v>
      </c>
      <c r="AV81" s="38">
        <f t="shared" si="144"/>
        <v>4343.864505304001</v>
      </c>
      <c r="AW81" s="376" t="s">
        <v>88</v>
      </c>
      <c r="AX81" s="37">
        <f aca="true" t="shared" si="145" ref="AX81:BH81">AX77+AX79</f>
        <v>5862.27</v>
      </c>
      <c r="AY81" s="46">
        <f t="shared" si="145"/>
        <v>25179.506820500006</v>
      </c>
      <c r="AZ81" s="37">
        <f t="shared" si="145"/>
        <v>1029.6</v>
      </c>
      <c r="BA81" s="46">
        <f t="shared" si="145"/>
        <v>1041.57045815</v>
      </c>
      <c r="BB81" s="37">
        <f t="shared" si="145"/>
        <v>9037.29</v>
      </c>
      <c r="BC81" s="46">
        <f t="shared" si="145"/>
        <v>391.65088549999996</v>
      </c>
      <c r="BD81" s="37">
        <f t="shared" si="145"/>
        <v>563219.7</v>
      </c>
      <c r="BE81" s="46">
        <f t="shared" si="145"/>
        <v>3103.340547</v>
      </c>
      <c r="BF81" s="37">
        <f t="shared" si="145"/>
        <v>9891.79</v>
      </c>
      <c r="BG81" s="50">
        <f t="shared" si="145"/>
        <v>140.5874306</v>
      </c>
      <c r="BH81" s="38">
        <f t="shared" si="145"/>
        <v>29856.656141749998</v>
      </c>
    </row>
    <row r="82" spans="1:49" ht="15.75">
      <c r="A82" s="1"/>
      <c r="L82" s="4"/>
      <c r="T82" s="1"/>
      <c r="Y82" s="1"/>
      <c r="AF82" s="1"/>
      <c r="AW82" s="1"/>
    </row>
    <row r="83" spans="1:49" ht="16.5" thickBot="1">
      <c r="A83" s="3" t="s">
        <v>91</v>
      </c>
      <c r="B83" s="3"/>
      <c r="C83" s="382">
        <f>C77-C66</f>
        <v>19361.984522000006</v>
      </c>
      <c r="D83" s="3"/>
      <c r="E83" s="382">
        <f>E77-E66</f>
        <v>1103.4863335999999</v>
      </c>
      <c r="F83" s="3"/>
      <c r="L83" s="4"/>
      <c r="T83" s="1"/>
      <c r="Y83" s="1"/>
      <c r="AF83" s="1"/>
      <c r="AW83" s="1"/>
    </row>
    <row r="84" spans="1:49" ht="16.5" thickBot="1">
      <c r="A84" s="1"/>
      <c r="E84" s="416">
        <f>C83+E83</f>
        <v>20465.470855600004</v>
      </c>
      <c r="L84" s="4"/>
      <c r="T84" s="1"/>
      <c r="Y84" s="1"/>
      <c r="AF84" s="1"/>
      <c r="AW84" s="1"/>
    </row>
    <row r="85" spans="1:49" ht="15.75">
      <c r="A85" s="1"/>
      <c r="L85" s="4"/>
      <c r="T85" s="1"/>
      <c r="Y85" s="1"/>
      <c r="AF85" s="1"/>
      <c r="AW85" s="1"/>
    </row>
    <row r="86" spans="1:49" ht="15.75">
      <c r="A86" s="1"/>
      <c r="L86" s="4"/>
      <c r="T86" s="1"/>
      <c r="Y86" s="1"/>
      <c r="AF86" s="1"/>
      <c r="AW86" s="1"/>
    </row>
    <row r="87" spans="1:49" ht="15.75">
      <c r="A87" s="1"/>
      <c r="L87" s="4"/>
      <c r="T87" s="1"/>
      <c r="Y87" s="1"/>
      <c r="AF87" s="1"/>
      <c r="AW87" s="1"/>
    </row>
    <row r="88" spans="1:49" ht="15.75">
      <c r="A88" s="1"/>
      <c r="L88" s="4"/>
      <c r="T88" s="1"/>
      <c r="Y88" s="1"/>
      <c r="AF88" s="1"/>
      <c r="AW88" s="1"/>
    </row>
    <row r="89" spans="1:49" ht="15.75">
      <c r="A89" s="1"/>
      <c r="L89" s="4"/>
      <c r="T89" s="1"/>
      <c r="Y89" s="1"/>
      <c r="AF89" s="1"/>
      <c r="AW89" s="1"/>
    </row>
    <row r="90" spans="1:49" ht="15.75">
      <c r="A90" s="1"/>
      <c r="L90" s="4"/>
      <c r="T90" s="1"/>
      <c r="Y90" s="1"/>
      <c r="AF90" s="1"/>
      <c r="AW90" s="1"/>
    </row>
    <row r="91" spans="1:49" ht="15.75">
      <c r="A91" s="1"/>
      <c r="L91" s="4"/>
      <c r="T91" s="1"/>
      <c r="Y91" s="1"/>
      <c r="AF91" s="1"/>
      <c r="AW91" s="1"/>
    </row>
    <row r="92" spans="1:49" ht="15.75">
      <c r="A92" s="1"/>
      <c r="L92" s="4"/>
      <c r="T92" s="1"/>
      <c r="Y92" s="1"/>
      <c r="AF92" s="1"/>
      <c r="AW92" s="1"/>
    </row>
    <row r="93" spans="1:49" ht="15.75">
      <c r="A93" s="1"/>
      <c r="L93" s="4"/>
      <c r="T93" s="1"/>
      <c r="Y93" s="1"/>
      <c r="AF93" s="1"/>
      <c r="AW93" s="1"/>
    </row>
    <row r="94" spans="1:49" ht="15.75">
      <c r="A94" s="1"/>
      <c r="L94" s="4"/>
      <c r="T94" s="1"/>
      <c r="Y94" s="1"/>
      <c r="AF94" s="1"/>
      <c r="AW94" s="1"/>
    </row>
    <row r="95" spans="1:49" ht="15.75">
      <c r="A95" s="1"/>
      <c r="L95" s="4"/>
      <c r="T95" s="1"/>
      <c r="Y95" s="1"/>
      <c r="AF95" s="1"/>
      <c r="AW95" s="1"/>
    </row>
    <row r="96" spans="1:49" ht="15.75">
      <c r="A96" s="1"/>
      <c r="L96" s="4"/>
      <c r="T96" s="1"/>
      <c r="Y96" s="1"/>
      <c r="AF96" s="1"/>
      <c r="AW96" s="1"/>
    </row>
    <row r="97" spans="1:49" ht="15.75">
      <c r="A97" s="1"/>
      <c r="L97" s="4"/>
      <c r="T97" s="1"/>
      <c r="Y97" s="1"/>
      <c r="AF97" s="1"/>
      <c r="AW97" s="1"/>
    </row>
    <row r="98" spans="1:49" ht="15.75">
      <c r="A98" s="1"/>
      <c r="L98" s="4"/>
      <c r="T98" s="1"/>
      <c r="Y98" s="1"/>
      <c r="AF98" s="1"/>
      <c r="AW98" s="1"/>
    </row>
    <row r="99" spans="1:49" ht="15.75">
      <c r="A99" s="1"/>
      <c r="L99" s="4"/>
      <c r="T99" s="1"/>
      <c r="Y99" s="1"/>
      <c r="AF99" s="1"/>
      <c r="AW99" s="1"/>
    </row>
    <row r="100" spans="1:49" ht="15.75">
      <c r="A100" s="1"/>
      <c r="L100" s="4"/>
      <c r="T100" s="1"/>
      <c r="Y100" s="1"/>
      <c r="AF100" s="1"/>
      <c r="AW100" s="1"/>
    </row>
    <row r="101" spans="1:49" ht="15.75">
      <c r="A101" s="1"/>
      <c r="L101" s="4"/>
      <c r="T101" s="1"/>
      <c r="Y101" s="1"/>
      <c r="AF101" s="1"/>
      <c r="AW101" s="1"/>
    </row>
    <row r="102" spans="1:49" ht="15.75">
      <c r="A102" s="1"/>
      <c r="L102" s="4"/>
      <c r="T102" s="1"/>
      <c r="Y102" s="1"/>
      <c r="AF102" s="1"/>
      <c r="AW102" s="1"/>
    </row>
    <row r="103" spans="1:49" ht="15.75">
      <c r="A103" s="1"/>
      <c r="L103" s="4"/>
      <c r="T103" s="1"/>
      <c r="Y103" s="1"/>
      <c r="AF103" s="1"/>
      <c r="AW103" s="1"/>
    </row>
    <row r="104" spans="1:49" ht="15.75">
      <c r="A104" s="1"/>
      <c r="L104" s="4"/>
      <c r="T104" s="1"/>
      <c r="Y104" s="1"/>
      <c r="AF104" s="1"/>
      <c r="AW104" s="1"/>
    </row>
    <row r="105" spans="1:49" ht="15.75">
      <c r="A105" s="1"/>
      <c r="L105" s="4"/>
      <c r="T105" s="1"/>
      <c r="Y105" s="1"/>
      <c r="AF105" s="1"/>
      <c r="AW105" s="1"/>
    </row>
    <row r="106" spans="1:49" ht="15.75">
      <c r="A106" s="1"/>
      <c r="L106" s="4"/>
      <c r="T106" s="1"/>
      <c r="Y106" s="1"/>
      <c r="AF106" s="1"/>
      <c r="AW106" s="1"/>
    </row>
    <row r="107" spans="1:49" ht="15.75">
      <c r="A107" s="1"/>
      <c r="L107" s="4"/>
      <c r="T107" s="1"/>
      <c r="Y107" s="1"/>
      <c r="AF107" s="1"/>
      <c r="AW107" s="1"/>
    </row>
    <row r="108" spans="1:49" ht="15.75">
      <c r="A108" s="1"/>
      <c r="L108" s="4"/>
      <c r="T108" s="1"/>
      <c r="Y108" s="1"/>
      <c r="AF108" s="1"/>
      <c r="AW108" s="1"/>
    </row>
    <row r="109" spans="1:49" ht="15.75">
      <c r="A109" s="1"/>
      <c r="L109" s="4"/>
      <c r="T109" s="1"/>
      <c r="Y109" s="1"/>
      <c r="AF109" s="1"/>
      <c r="AW109" s="1"/>
    </row>
    <row r="110" spans="1:49" ht="15.75">
      <c r="A110" s="1"/>
      <c r="L110" s="4"/>
      <c r="T110" s="1"/>
      <c r="Y110" s="1"/>
      <c r="AF110" s="1"/>
      <c r="AW110" s="1"/>
    </row>
    <row r="111" spans="1:49" ht="15.75">
      <c r="A111" s="1"/>
      <c r="L111" s="4"/>
      <c r="T111" s="1"/>
      <c r="Y111" s="1"/>
      <c r="AF111" s="1"/>
      <c r="AW111" s="1"/>
    </row>
    <row r="112" spans="1:49" ht="15.75">
      <c r="A112" s="1"/>
      <c r="L112" s="4"/>
      <c r="T112" s="1"/>
      <c r="Y112" s="1"/>
      <c r="AF112" s="1"/>
      <c r="AW112" s="1"/>
    </row>
    <row r="113" spans="1:49" ht="15.75">
      <c r="A113" s="1"/>
      <c r="L113" s="4"/>
      <c r="T113" s="1"/>
      <c r="Y113" s="1"/>
      <c r="AF113" s="1"/>
      <c r="AW113" s="1"/>
    </row>
    <row r="114" spans="1:49" ht="15.75">
      <c r="A114" s="1"/>
      <c r="L114" s="4"/>
      <c r="T114" s="1"/>
      <c r="Y114" s="1"/>
      <c r="AF114" s="1"/>
      <c r="AW114" s="1"/>
    </row>
    <row r="115" spans="1:49" ht="15.75">
      <c r="A115" s="1"/>
      <c r="L115" s="4"/>
      <c r="T115" s="1"/>
      <c r="Y115" s="1"/>
      <c r="AF115" s="1"/>
      <c r="AW115" s="1"/>
    </row>
    <row r="116" spans="1:49" ht="15.75">
      <c r="A116" s="1"/>
      <c r="L116" s="4"/>
      <c r="T116" s="1"/>
      <c r="Y116" s="1"/>
      <c r="AF116" s="1"/>
      <c r="AW116" s="1"/>
    </row>
    <row r="117" spans="1:49" ht="15.75">
      <c r="A117" s="1"/>
      <c r="L117" s="4"/>
      <c r="T117" s="1"/>
      <c r="Y117" s="1"/>
      <c r="AF117" s="1"/>
      <c r="AW117" s="1"/>
    </row>
    <row r="118" spans="1:49" ht="15.75">
      <c r="A118" s="1"/>
      <c r="L118" s="4"/>
      <c r="T118" s="1"/>
      <c r="Y118" s="1"/>
      <c r="AF118" s="1"/>
      <c r="AW118" s="1"/>
    </row>
    <row r="119" spans="1:49" ht="15.75">
      <c r="A119" s="1"/>
      <c r="L119" s="4"/>
      <c r="T119" s="1"/>
      <c r="Y119" s="1"/>
      <c r="AF119" s="1"/>
      <c r="AW119" s="1"/>
    </row>
    <row r="120" spans="1:49" ht="15.75">
      <c r="A120" s="1"/>
      <c r="L120" s="4"/>
      <c r="T120" s="1"/>
      <c r="Y120" s="1"/>
      <c r="AF120" s="1"/>
      <c r="AW120" s="1"/>
    </row>
    <row r="121" spans="1:49" ht="15.75">
      <c r="A121" s="1"/>
      <c r="L121" s="4"/>
      <c r="T121" s="1"/>
      <c r="Y121" s="1"/>
      <c r="AF121" s="1"/>
      <c r="AW121" s="1"/>
    </row>
    <row r="122" spans="1:49" ht="15.75">
      <c r="A122" s="1"/>
      <c r="L122" s="4"/>
      <c r="T122" s="1"/>
      <c r="Y122" s="1"/>
      <c r="AF122" s="1"/>
      <c r="AW122" s="1"/>
    </row>
    <row r="123" spans="1:49" ht="15.75">
      <c r="A123" s="1"/>
      <c r="L123" s="4"/>
      <c r="T123" s="1"/>
      <c r="Y123" s="1"/>
      <c r="AF123" s="1"/>
      <c r="AW123" s="1"/>
    </row>
    <row r="124" spans="1:49" ht="15.75">
      <c r="A124" s="1"/>
      <c r="L124" s="4"/>
      <c r="T124" s="1"/>
      <c r="Y124" s="1"/>
      <c r="AF124" s="1"/>
      <c r="AW124" s="1"/>
    </row>
    <row r="125" spans="1:49" ht="15.75">
      <c r="A125" s="1"/>
      <c r="L125" s="4"/>
      <c r="T125" s="1"/>
      <c r="Y125" s="1"/>
      <c r="AF125" s="1"/>
      <c r="AW125" s="1"/>
    </row>
    <row r="126" spans="1:49" ht="15.75">
      <c r="A126" s="1"/>
      <c r="L126" s="4"/>
      <c r="T126" s="1"/>
      <c r="Y126" s="1"/>
      <c r="AF126" s="1"/>
      <c r="AW126" s="1"/>
    </row>
    <row r="127" spans="1:49" ht="15.75">
      <c r="A127" s="1"/>
      <c r="L127" s="4"/>
      <c r="T127" s="1"/>
      <c r="Y127" s="1"/>
      <c r="AF127" s="1"/>
      <c r="AW127" s="1"/>
    </row>
    <row r="128" spans="1:49" ht="15.75">
      <c r="A128" s="1"/>
      <c r="L128" s="4"/>
      <c r="T128" s="1"/>
      <c r="Y128" s="1"/>
      <c r="AF128" s="1"/>
      <c r="AW128" s="1"/>
    </row>
    <row r="129" spans="1:49" ht="15.75">
      <c r="A129" s="1"/>
      <c r="L129" s="4"/>
      <c r="T129" s="1"/>
      <c r="Y129" s="1"/>
      <c r="AF129" s="1"/>
      <c r="AW129" s="1"/>
    </row>
    <row r="130" spans="1:49" ht="15.75">
      <c r="A130" s="1"/>
      <c r="L130" s="4"/>
      <c r="T130" s="1"/>
      <c r="Y130" s="1"/>
      <c r="AF130" s="1"/>
      <c r="AW130" s="1"/>
    </row>
    <row r="131" spans="1:49" ht="15.75">
      <c r="A131" s="1"/>
      <c r="L131" s="4"/>
      <c r="T131" s="1"/>
      <c r="Y131" s="1"/>
      <c r="AF131" s="1"/>
      <c r="AW131" s="1"/>
    </row>
    <row r="132" spans="1:49" ht="15.75">
      <c r="A132" s="1"/>
      <c r="L132" s="4"/>
      <c r="T132" s="1"/>
      <c r="Y132" s="1"/>
      <c r="AF132" s="1"/>
      <c r="AW132" s="1"/>
    </row>
    <row r="133" spans="1:49" ht="15.75">
      <c r="A133" s="1"/>
      <c r="L133" s="4"/>
      <c r="T133" s="1"/>
      <c r="Y133" s="1"/>
      <c r="AF133" s="1"/>
      <c r="AW133" s="1"/>
    </row>
    <row r="134" spans="1:49" ht="15.75">
      <c r="A134" s="1"/>
      <c r="L134" s="4"/>
      <c r="T134" s="1"/>
      <c r="Y134" s="1"/>
      <c r="AF134" s="1"/>
      <c r="AW134" s="1"/>
    </row>
    <row r="135" spans="1:49" ht="15.75">
      <c r="A135" s="1"/>
      <c r="L135" s="4"/>
      <c r="T135" s="1"/>
      <c r="Y135" s="1"/>
      <c r="AF135" s="1"/>
      <c r="AW135" s="1"/>
    </row>
    <row r="136" spans="1:49" ht="15.75">
      <c r="A136" s="1"/>
      <c r="L136" s="4"/>
      <c r="T136" s="1"/>
      <c r="Y136" s="1"/>
      <c r="AF136" s="1"/>
      <c r="AW136" s="1"/>
    </row>
    <row r="137" spans="1:49" ht="15.75">
      <c r="A137" s="1"/>
      <c r="L137" s="4"/>
      <c r="T137" s="1"/>
      <c r="Y137" s="1"/>
      <c r="AF137" s="1"/>
      <c r="AW137" s="1"/>
    </row>
    <row r="138" spans="1:49" ht="15.75">
      <c r="A138" s="1"/>
      <c r="L138" s="4"/>
      <c r="T138" s="1"/>
      <c r="Y138" s="1"/>
      <c r="AF138" s="1"/>
      <c r="AW138" s="1"/>
    </row>
    <row r="139" spans="1:49" ht="15.75">
      <c r="A139" s="1"/>
      <c r="L139" s="4"/>
      <c r="T139" s="1"/>
      <c r="Y139" s="1"/>
      <c r="AF139" s="1"/>
      <c r="AW139" s="1"/>
    </row>
    <row r="140" spans="1:49" ht="15.75">
      <c r="A140" s="1"/>
      <c r="L140" s="4"/>
      <c r="T140" s="1"/>
      <c r="Y140" s="1"/>
      <c r="AF140" s="1"/>
      <c r="AW140" s="1"/>
    </row>
    <row r="141" spans="1:49" ht="15.75">
      <c r="A141" s="1"/>
      <c r="L141" s="4"/>
      <c r="T141" s="1"/>
      <c r="Y141" s="1"/>
      <c r="AF141" s="1"/>
      <c r="AW141" s="1"/>
    </row>
    <row r="142" spans="1:49" ht="15.75">
      <c r="A142" s="1"/>
      <c r="L142" s="4"/>
      <c r="T142" s="1"/>
      <c r="Y142" s="1"/>
      <c r="AF142" s="1"/>
      <c r="AW142" s="1"/>
    </row>
    <row r="143" spans="1:49" ht="15.75">
      <c r="A143" s="1"/>
      <c r="L143" s="4"/>
      <c r="T143" s="1"/>
      <c r="Y143" s="1"/>
      <c r="AF143" s="1"/>
      <c r="AW143" s="1"/>
    </row>
    <row r="144" spans="1:49" ht="15.75">
      <c r="A144" s="1"/>
      <c r="L144" s="4"/>
      <c r="T144" s="1"/>
      <c r="Y144" s="1"/>
      <c r="AF144" s="1"/>
      <c r="AW144" s="1"/>
    </row>
    <row r="145" spans="1:49" ht="15.75">
      <c r="A145" s="1"/>
      <c r="L145" s="4"/>
      <c r="T145" s="1"/>
      <c r="Y145" s="1"/>
      <c r="AF145" s="1"/>
      <c r="AW145" s="1"/>
    </row>
    <row r="146" spans="1:49" ht="15.75">
      <c r="A146" s="1"/>
      <c r="L146" s="4"/>
      <c r="T146" s="1"/>
      <c r="Y146" s="1"/>
      <c r="AF146" s="1"/>
      <c r="AW146" s="1"/>
    </row>
    <row r="147" spans="1:49" ht="15.75">
      <c r="A147" s="1"/>
      <c r="L147" s="4"/>
      <c r="T147" s="1"/>
      <c r="Y147" s="1"/>
      <c r="AF147" s="1"/>
      <c r="AW147" s="1"/>
    </row>
    <row r="148" spans="1:49" ht="15.75">
      <c r="A148" s="1"/>
      <c r="L148" s="4"/>
      <c r="T148" s="1"/>
      <c r="Y148" s="1"/>
      <c r="AF148" s="1"/>
      <c r="AW148" s="1"/>
    </row>
    <row r="149" spans="1:49" ht="15.75">
      <c r="A149" s="1"/>
      <c r="L149" s="4"/>
      <c r="T149" s="1"/>
      <c r="Y149" s="1"/>
      <c r="AF149" s="1"/>
      <c r="AW149" s="1"/>
    </row>
    <row r="150" spans="1:49" ht="15.75">
      <c r="A150" s="1"/>
      <c r="L150" s="4"/>
      <c r="T150" s="1"/>
      <c r="Y150" s="1"/>
      <c r="AF150" s="1"/>
      <c r="AW150" s="1"/>
    </row>
    <row r="151" spans="1:49" ht="15.75">
      <c r="A151" s="1"/>
      <c r="L151" s="4"/>
      <c r="T151" s="1"/>
      <c r="Y151" s="1"/>
      <c r="AF151" s="1"/>
      <c r="AW151" s="1"/>
    </row>
    <row r="152" spans="1:49" ht="15.75">
      <c r="A152" s="1"/>
      <c r="L152" s="4"/>
      <c r="T152" s="1"/>
      <c r="Y152" s="1"/>
      <c r="AF152" s="1"/>
      <c r="AW152" s="1"/>
    </row>
    <row r="153" spans="1:49" ht="15.75">
      <c r="A153" s="1"/>
      <c r="L153" s="4"/>
      <c r="T153" s="1"/>
      <c r="Y153" s="1"/>
      <c r="AF153" s="1"/>
      <c r="AW153" s="1"/>
    </row>
    <row r="154" spans="1:49" ht="15.75">
      <c r="A154" s="1"/>
      <c r="L154" s="4"/>
      <c r="T154" s="1"/>
      <c r="Y154" s="1"/>
      <c r="AF154" s="1"/>
      <c r="AW154" s="1"/>
    </row>
    <row r="155" spans="1:49" ht="15.75">
      <c r="A155" s="1"/>
      <c r="L155" s="4"/>
      <c r="T155" s="1"/>
      <c r="Y155" s="1"/>
      <c r="AF155" s="1"/>
      <c r="AW155" s="1"/>
    </row>
    <row r="156" spans="1:49" ht="15.75">
      <c r="A156" s="1"/>
      <c r="L156" s="4"/>
      <c r="T156" s="1"/>
      <c r="Y156" s="1"/>
      <c r="AF156" s="1"/>
      <c r="AW156" s="1"/>
    </row>
    <row r="157" spans="1:49" ht="15.75">
      <c r="A157" s="1"/>
      <c r="L157" s="4"/>
      <c r="T157" s="1"/>
      <c r="Y157" s="1"/>
      <c r="AF157" s="1"/>
      <c r="AW157" s="1"/>
    </row>
    <row r="158" spans="1:49" ht="15.75">
      <c r="A158" s="1"/>
      <c r="L158" s="4"/>
      <c r="T158" s="1"/>
      <c r="Y158" s="1"/>
      <c r="AF158" s="1"/>
      <c r="AW158" s="1"/>
    </row>
    <row r="159" spans="1:49" ht="15.75">
      <c r="A159" s="1"/>
      <c r="L159" s="4"/>
      <c r="T159" s="1"/>
      <c r="Y159" s="1"/>
      <c r="AF159" s="1"/>
      <c r="AW159" s="1"/>
    </row>
    <row r="160" spans="1:49" ht="15.75">
      <c r="A160" s="1"/>
      <c r="L160" s="4"/>
      <c r="T160" s="1"/>
      <c r="Y160" s="1"/>
      <c r="AF160" s="1"/>
      <c r="AW160" s="1"/>
    </row>
    <row r="161" spans="1:49" ht="15.75">
      <c r="A161" s="1"/>
      <c r="L161" s="4"/>
      <c r="T161" s="1"/>
      <c r="Y161" s="1"/>
      <c r="AF161" s="1"/>
      <c r="AW161" s="1"/>
    </row>
    <row r="162" spans="1:49" ht="15.75">
      <c r="A162" s="1"/>
      <c r="L162" s="4"/>
      <c r="T162" s="1"/>
      <c r="Y162" s="1"/>
      <c r="AF162" s="1"/>
      <c r="AW162" s="1"/>
    </row>
    <row r="163" spans="1:49" ht="15.75">
      <c r="A163" s="1"/>
      <c r="L163" s="4"/>
      <c r="T163" s="1"/>
      <c r="Y163" s="1"/>
      <c r="AF163" s="1"/>
      <c r="AW163" s="1"/>
    </row>
    <row r="164" spans="1:49" ht="15.75">
      <c r="A164" s="1"/>
      <c r="L164" s="4"/>
      <c r="T164" s="1"/>
      <c r="Y164" s="1"/>
      <c r="AF164" s="1"/>
      <c r="AW164" s="1"/>
    </row>
    <row r="165" spans="1:49" ht="15.75">
      <c r="A165" s="1"/>
      <c r="L165" s="4"/>
      <c r="T165" s="1"/>
      <c r="Y165" s="1"/>
      <c r="AF165" s="1"/>
      <c r="AW165" s="1"/>
    </row>
    <row r="166" spans="1:49" ht="15.75">
      <c r="A166" s="1"/>
      <c r="L166" s="4"/>
      <c r="T166" s="1"/>
      <c r="Y166" s="1"/>
      <c r="AF166" s="1"/>
      <c r="AW166" s="1"/>
    </row>
    <row r="167" spans="1:49" ht="15.75">
      <c r="A167" s="1"/>
      <c r="L167" s="4"/>
      <c r="T167" s="1"/>
      <c r="Y167" s="1"/>
      <c r="AF167" s="1"/>
      <c r="AW167" s="1"/>
    </row>
    <row r="168" spans="1:49" ht="15.75">
      <c r="A168" s="1"/>
      <c r="L168" s="4"/>
      <c r="T168" s="1"/>
      <c r="Y168" s="1"/>
      <c r="AF168" s="1"/>
      <c r="AW168" s="1"/>
    </row>
    <row r="169" spans="1:49" ht="15.75">
      <c r="A169" s="1"/>
      <c r="L169" s="4"/>
      <c r="T169" s="1"/>
      <c r="Y169" s="1"/>
      <c r="AF169" s="1"/>
      <c r="AW169" s="1"/>
    </row>
    <row r="170" spans="1:49" ht="15.75">
      <c r="A170" s="1"/>
      <c r="L170" s="4"/>
      <c r="T170" s="1"/>
      <c r="Y170" s="1"/>
      <c r="AF170" s="1"/>
      <c r="AW170" s="1"/>
    </row>
    <row r="171" spans="1:49" ht="15.75">
      <c r="A171" s="1"/>
      <c r="L171" s="4"/>
      <c r="T171" s="1"/>
      <c r="Y171" s="1"/>
      <c r="AF171" s="1"/>
      <c r="AW171" s="1"/>
    </row>
    <row r="172" spans="1:49" ht="15.75">
      <c r="A172" s="1"/>
      <c r="L172" s="4"/>
      <c r="T172" s="1"/>
      <c r="Y172" s="1"/>
      <c r="AF172" s="1"/>
      <c r="AW172" s="1"/>
    </row>
    <row r="173" spans="1:49" ht="15.75">
      <c r="A173" s="1"/>
      <c r="L173" s="4"/>
      <c r="T173" s="1"/>
      <c r="Y173" s="1"/>
      <c r="AF173" s="1"/>
      <c r="AW173" s="1"/>
    </row>
    <row r="174" spans="1:49" ht="15.75">
      <c r="A174" s="1"/>
      <c r="L174" s="4"/>
      <c r="T174" s="1"/>
      <c r="Y174" s="1"/>
      <c r="AF174" s="1"/>
      <c r="AW174" s="1"/>
    </row>
    <row r="175" spans="1:49" ht="15.75">
      <c r="A175" s="1"/>
      <c r="L175" s="4"/>
      <c r="T175" s="1"/>
      <c r="Y175" s="1"/>
      <c r="AF175" s="1"/>
      <c r="AW175" s="1"/>
    </row>
    <row r="176" spans="1:49" ht="15.75">
      <c r="A176" s="1"/>
      <c r="L176" s="4"/>
      <c r="T176" s="1"/>
      <c r="Y176" s="1"/>
      <c r="AF176" s="1"/>
      <c r="AW176" s="1"/>
    </row>
    <row r="177" spans="1:49" ht="15.75">
      <c r="A177" s="1"/>
      <c r="L177" s="4"/>
      <c r="T177" s="1"/>
      <c r="Y177" s="1"/>
      <c r="AF177" s="1"/>
      <c r="AW177" s="1"/>
    </row>
    <row r="178" spans="1:49" ht="15.75">
      <c r="A178" s="1"/>
      <c r="L178" s="4"/>
      <c r="T178" s="1"/>
      <c r="Y178" s="1"/>
      <c r="AF178" s="1"/>
      <c r="AW178" s="1"/>
    </row>
    <row r="179" spans="1:49" ht="15.75">
      <c r="A179" s="1"/>
      <c r="L179" s="4"/>
      <c r="T179" s="1"/>
      <c r="Y179" s="1"/>
      <c r="AF179" s="1"/>
      <c r="AW179" s="1"/>
    </row>
    <row r="180" spans="1:49" ht="15.75">
      <c r="A180" s="1"/>
      <c r="L180" s="4"/>
      <c r="T180" s="1"/>
      <c r="Y180" s="1"/>
      <c r="AF180" s="1"/>
      <c r="AW180" s="1"/>
    </row>
    <row r="181" spans="1:49" ht="15.75">
      <c r="A181" s="1"/>
      <c r="L181" s="4"/>
      <c r="T181" s="1"/>
      <c r="Y181" s="1"/>
      <c r="AF181" s="1"/>
      <c r="AW181" s="1"/>
    </row>
    <row r="182" spans="1:49" ht="15.75">
      <c r="A182" s="1"/>
      <c r="L182" s="4"/>
      <c r="T182" s="1"/>
      <c r="Y182" s="1"/>
      <c r="AF182" s="1"/>
      <c r="AW182" s="1"/>
    </row>
    <row r="183" spans="1:49" ht="15.75">
      <c r="A183" s="1"/>
      <c r="L183" s="4"/>
      <c r="T183" s="1"/>
      <c r="Y183" s="1"/>
      <c r="AF183" s="1"/>
      <c r="AW183" s="1"/>
    </row>
    <row r="184" spans="1:49" ht="15.75">
      <c r="A184" s="1"/>
      <c r="L184" s="4"/>
      <c r="T184" s="1"/>
      <c r="Y184" s="1"/>
      <c r="AF184" s="1"/>
      <c r="AW184" s="1"/>
    </row>
    <row r="185" spans="1:49" ht="15.75">
      <c r="A185" s="1"/>
      <c r="L185" s="4"/>
      <c r="T185" s="1"/>
      <c r="Y185" s="1"/>
      <c r="AF185" s="1"/>
      <c r="AW185" s="1"/>
    </row>
    <row r="186" spans="1:49" ht="15.75">
      <c r="A186" s="1"/>
      <c r="L186" s="4"/>
      <c r="T186" s="1"/>
      <c r="Y186" s="1"/>
      <c r="AF186" s="1"/>
      <c r="AW186" s="1"/>
    </row>
    <row r="187" spans="1:49" ht="15.75">
      <c r="A187" s="1"/>
      <c r="L187" s="4"/>
      <c r="T187" s="1"/>
      <c r="Y187" s="1"/>
      <c r="AF187" s="1"/>
      <c r="AW187" s="1"/>
    </row>
    <row r="188" spans="1:49" ht="15.75">
      <c r="A188" s="1"/>
      <c r="L188" s="4"/>
      <c r="T188" s="1"/>
      <c r="Y188" s="1"/>
      <c r="AF188" s="1"/>
      <c r="AW188" s="1"/>
    </row>
    <row r="189" spans="1:49" ht="15.75">
      <c r="A189" s="1"/>
      <c r="L189" s="4"/>
      <c r="T189" s="1"/>
      <c r="Y189" s="1"/>
      <c r="AF189" s="1"/>
      <c r="AW189" s="1"/>
    </row>
    <row r="190" spans="1:49" ht="15.75">
      <c r="A190" s="1"/>
      <c r="L190" s="4"/>
      <c r="T190" s="1"/>
      <c r="Y190" s="1"/>
      <c r="AF190" s="1"/>
      <c r="AW190" s="1"/>
    </row>
    <row r="191" spans="1:49" ht="15.75">
      <c r="A191" s="1"/>
      <c r="L191" s="4"/>
      <c r="T191" s="1"/>
      <c r="Y191" s="1"/>
      <c r="AF191" s="1"/>
      <c r="AW191" s="1"/>
    </row>
    <row r="192" spans="1:49" ht="15.75">
      <c r="A192" s="1"/>
      <c r="L192" s="4"/>
      <c r="T192" s="1"/>
      <c r="Y192" s="1"/>
      <c r="AF192" s="1"/>
      <c r="AW192" s="1"/>
    </row>
    <row r="193" spans="1:49" ht="15.75">
      <c r="A193" s="1"/>
      <c r="L193" s="4"/>
      <c r="T193" s="1"/>
      <c r="Y193" s="1"/>
      <c r="AF193" s="1"/>
      <c r="AW193" s="1"/>
    </row>
    <row r="194" spans="1:49" ht="15.75">
      <c r="A194" s="1"/>
      <c r="L194" s="4"/>
      <c r="T194" s="1"/>
      <c r="Y194" s="1"/>
      <c r="AF194" s="1"/>
      <c r="AW194" s="1"/>
    </row>
    <row r="195" spans="1:49" ht="15.75">
      <c r="A195" s="1"/>
      <c r="L195" s="4"/>
      <c r="T195" s="1"/>
      <c r="Y195" s="1"/>
      <c r="AF195" s="1"/>
      <c r="AW195" s="1"/>
    </row>
    <row r="196" spans="1:49" ht="15.75">
      <c r="A196" s="1"/>
      <c r="L196" s="4"/>
      <c r="T196" s="1"/>
      <c r="Y196" s="1"/>
      <c r="AF196" s="1"/>
      <c r="AW196" s="1"/>
    </row>
    <row r="197" spans="1:49" ht="15.75">
      <c r="A197" s="1"/>
      <c r="L197" s="4"/>
      <c r="T197" s="1"/>
      <c r="Y197" s="1"/>
      <c r="AF197" s="1"/>
      <c r="AW197" s="1"/>
    </row>
    <row r="198" spans="1:49" ht="15.75">
      <c r="A198" s="1"/>
      <c r="L198" s="4"/>
      <c r="T198" s="1"/>
      <c r="Y198" s="1"/>
      <c r="AF198" s="1"/>
      <c r="AW198" s="1"/>
    </row>
    <row r="199" spans="1:49" ht="15.75">
      <c r="A199" s="1"/>
      <c r="L199" s="4"/>
      <c r="T199" s="1"/>
      <c r="Y199" s="1"/>
      <c r="AF199" s="1"/>
      <c r="AW199" s="1"/>
    </row>
    <row r="200" spans="1:49" ht="15.75">
      <c r="A200" s="1"/>
      <c r="L200" s="4"/>
      <c r="T200" s="1"/>
      <c r="Y200" s="1"/>
      <c r="AF200" s="1"/>
      <c r="AW200" s="1"/>
    </row>
    <row r="201" spans="1:49" ht="15.75">
      <c r="A201" s="1"/>
      <c r="L201" s="4"/>
      <c r="T201" s="1"/>
      <c r="Y201" s="1"/>
      <c r="AF201" s="1"/>
      <c r="AW201" s="1"/>
    </row>
    <row r="202" spans="1:49" ht="15.75">
      <c r="A202" s="1"/>
      <c r="L202" s="4"/>
      <c r="T202" s="1"/>
      <c r="Y202" s="1"/>
      <c r="AF202" s="1"/>
      <c r="AW202" s="1"/>
    </row>
    <row r="203" spans="1:49" ht="15.75">
      <c r="A203" s="1"/>
      <c r="L203" s="4"/>
      <c r="T203" s="1"/>
      <c r="Y203" s="1"/>
      <c r="AF203" s="1"/>
      <c r="AW203" s="1"/>
    </row>
    <row r="204" spans="1:49" ht="15.75">
      <c r="A204" s="1"/>
      <c r="L204" s="4"/>
      <c r="T204" s="1"/>
      <c r="Y204" s="1"/>
      <c r="AF204" s="1"/>
      <c r="AW204" s="1"/>
    </row>
    <row r="205" spans="1:49" ht="15.75">
      <c r="A205" s="1"/>
      <c r="L205" s="4"/>
      <c r="T205" s="1"/>
      <c r="Y205" s="1"/>
      <c r="AF205" s="1"/>
      <c r="AW205" s="1"/>
    </row>
    <row r="206" spans="1:49" ht="15.75">
      <c r="A206" s="1"/>
      <c r="L206" s="4"/>
      <c r="T206" s="1"/>
      <c r="Y206" s="1"/>
      <c r="AF206" s="1"/>
      <c r="AW206" s="1"/>
    </row>
    <row r="207" spans="1:49" ht="15.75">
      <c r="A207" s="1"/>
      <c r="L207" s="4"/>
      <c r="T207" s="1"/>
      <c r="Y207" s="1"/>
      <c r="AF207" s="1"/>
      <c r="AW207" s="1"/>
    </row>
    <row r="208" spans="1:49" ht="15.75">
      <c r="A208" s="1"/>
      <c r="L208" s="4"/>
      <c r="T208" s="1"/>
      <c r="Y208" s="1"/>
      <c r="AF208" s="1"/>
      <c r="AW208" s="1"/>
    </row>
    <row r="209" spans="1:49" ht="15.75">
      <c r="A209" s="1"/>
      <c r="L209" s="4"/>
      <c r="T209" s="1"/>
      <c r="Y209" s="1"/>
      <c r="AF209" s="1"/>
      <c r="AW209" s="1"/>
    </row>
    <row r="210" spans="1:49" ht="15.75">
      <c r="A210" s="1"/>
      <c r="L210" s="4"/>
      <c r="T210" s="1"/>
      <c r="Y210" s="1"/>
      <c r="AF210" s="1"/>
      <c r="AW210" s="1"/>
    </row>
    <row r="211" spans="1:49" ht="15.75">
      <c r="A211" s="1"/>
      <c r="L211" s="4"/>
      <c r="T211" s="1"/>
      <c r="Y211" s="1"/>
      <c r="AF211" s="1"/>
      <c r="AW211" s="1"/>
    </row>
    <row r="212" spans="1:49" ht="15.75">
      <c r="A212" s="1"/>
      <c r="L212" s="4"/>
      <c r="T212" s="1"/>
      <c r="Y212" s="1"/>
      <c r="AF212" s="1"/>
      <c r="AW212" s="1"/>
    </row>
    <row r="213" spans="1:49" ht="15.75">
      <c r="A213" s="1"/>
      <c r="L213" s="4"/>
      <c r="T213" s="1"/>
      <c r="Y213" s="1"/>
      <c r="AF213" s="1"/>
      <c r="AW213" s="1"/>
    </row>
    <row r="214" spans="1:49" ht="15.75">
      <c r="A214" s="1"/>
      <c r="L214" s="4"/>
      <c r="T214" s="1"/>
      <c r="Y214" s="1"/>
      <c r="AF214" s="1"/>
      <c r="AW214" s="1"/>
    </row>
    <row r="215" spans="1:49" ht="15.75">
      <c r="A215" s="1"/>
      <c r="L215" s="4"/>
      <c r="T215" s="1"/>
      <c r="Y215" s="1"/>
      <c r="AF215" s="1"/>
      <c r="AW215" s="1"/>
    </row>
    <row r="216" spans="1:49" ht="15.75">
      <c r="A216" s="1"/>
      <c r="L216" s="4"/>
      <c r="T216" s="1"/>
      <c r="Y216" s="1"/>
      <c r="AF216" s="1"/>
      <c r="AW216" s="1"/>
    </row>
    <row r="217" spans="1:49" ht="15.75">
      <c r="A217" s="1"/>
      <c r="L217" s="4"/>
      <c r="T217" s="1"/>
      <c r="Y217" s="1"/>
      <c r="AF217" s="1"/>
      <c r="AW217" s="1"/>
    </row>
    <row r="218" spans="1:49" ht="15.75">
      <c r="A218" s="1"/>
      <c r="L218" s="4"/>
      <c r="T218" s="1"/>
      <c r="Y218" s="1"/>
      <c r="AF218" s="1"/>
      <c r="AW218" s="1"/>
    </row>
    <row r="219" spans="1:49" ht="15.75">
      <c r="A219" s="1"/>
      <c r="L219" s="4"/>
      <c r="T219" s="1"/>
      <c r="Y219" s="1"/>
      <c r="AF219" s="1"/>
      <c r="AW219" s="1"/>
    </row>
    <row r="220" spans="1:49" ht="15.75">
      <c r="A220" s="1"/>
      <c r="L220" s="4"/>
      <c r="T220" s="1"/>
      <c r="Y220" s="1"/>
      <c r="AF220" s="1"/>
      <c r="AW220" s="1"/>
    </row>
    <row r="221" spans="1:49" ht="15.75">
      <c r="A221" s="1"/>
      <c r="L221" s="4"/>
      <c r="T221" s="1"/>
      <c r="Y221" s="1"/>
      <c r="AF221" s="1"/>
      <c r="AW221" s="1"/>
    </row>
    <row r="222" spans="1:49" ht="15.75">
      <c r="A222" s="1"/>
      <c r="L222" s="4"/>
      <c r="T222" s="1"/>
      <c r="Y222" s="1"/>
      <c r="AF222" s="1"/>
      <c r="AW222" s="1"/>
    </row>
    <row r="223" spans="1:49" ht="15.75">
      <c r="A223" s="1"/>
      <c r="L223" s="4"/>
      <c r="T223" s="1"/>
      <c r="Y223" s="1"/>
      <c r="AF223" s="1"/>
      <c r="AW223" s="1"/>
    </row>
    <row r="224" spans="1:49" ht="15.75">
      <c r="A224" s="1"/>
      <c r="L224" s="4"/>
      <c r="T224" s="1"/>
      <c r="Y224" s="1"/>
      <c r="AF224" s="1"/>
      <c r="AW224" s="1"/>
    </row>
    <row r="225" spans="1:49" ht="15.75">
      <c r="A225" s="1"/>
      <c r="L225" s="4"/>
      <c r="T225" s="1"/>
      <c r="Y225" s="1"/>
      <c r="AF225" s="1"/>
      <c r="AW225" s="1"/>
    </row>
    <row r="226" spans="1:49" ht="15.75">
      <c r="A226" s="1"/>
      <c r="L226" s="4"/>
      <c r="T226" s="1"/>
      <c r="Y226" s="1"/>
      <c r="AF226" s="1"/>
      <c r="AW226" s="1"/>
    </row>
    <row r="227" spans="1:49" ht="15.75">
      <c r="A227" s="1"/>
      <c r="L227" s="4"/>
      <c r="T227" s="1"/>
      <c r="Y227" s="1"/>
      <c r="AF227" s="1"/>
      <c r="AW227" s="1"/>
    </row>
    <row r="228" spans="1:49" ht="15.75">
      <c r="A228" s="1"/>
      <c r="L228" s="4"/>
      <c r="T228" s="1"/>
      <c r="Y228" s="1"/>
      <c r="AF228" s="1"/>
      <c r="AW228" s="1"/>
    </row>
    <row r="229" spans="1:49" ht="15.75">
      <c r="A229" s="1"/>
      <c r="L229" s="4"/>
      <c r="T229" s="1"/>
      <c r="Y229" s="1"/>
      <c r="AF229" s="1"/>
      <c r="AW229" s="1"/>
    </row>
    <row r="230" spans="1:49" ht="15.75">
      <c r="A230" s="1"/>
      <c r="L230" s="4"/>
      <c r="T230" s="1"/>
      <c r="Y230" s="1"/>
      <c r="AF230" s="1"/>
      <c r="AW230" s="1"/>
    </row>
    <row r="231" spans="1:49" ht="15.75">
      <c r="A231" s="1"/>
      <c r="L231" s="4"/>
      <c r="T231" s="1"/>
      <c r="Y231" s="1"/>
      <c r="AF231" s="1"/>
      <c r="AW231" s="1"/>
    </row>
    <row r="232" spans="1:49" ht="15.75">
      <c r="A232" s="1"/>
      <c r="L232" s="4"/>
      <c r="T232" s="1"/>
      <c r="Y232" s="1"/>
      <c r="AF232" s="1"/>
      <c r="AW232" s="1"/>
    </row>
    <row r="233" spans="1:49" ht="15.75">
      <c r="A233" s="1"/>
      <c r="L233" s="4"/>
      <c r="T233" s="1"/>
      <c r="Y233" s="1"/>
      <c r="AF233" s="1"/>
      <c r="AW233" s="1"/>
    </row>
    <row r="234" spans="1:49" ht="15.75">
      <c r="A234" s="1"/>
      <c r="L234" s="4"/>
      <c r="T234" s="1"/>
      <c r="Y234" s="1"/>
      <c r="AF234" s="1"/>
      <c r="AW234" s="1"/>
    </row>
    <row r="235" spans="1:49" ht="15.75">
      <c r="A235" s="1"/>
      <c r="L235" s="4"/>
      <c r="T235" s="1"/>
      <c r="Y235" s="1"/>
      <c r="AF235" s="1"/>
      <c r="AW235" s="1"/>
    </row>
    <row r="236" spans="1:49" ht="15.75">
      <c r="A236" s="1"/>
      <c r="L236" s="4"/>
      <c r="T236" s="1"/>
      <c r="Y236" s="1"/>
      <c r="AF236" s="1"/>
      <c r="AW236" s="1"/>
    </row>
    <row r="237" spans="1:49" ht="15.75">
      <c r="A237" s="1"/>
      <c r="L237" s="4"/>
      <c r="T237" s="1"/>
      <c r="Y237" s="1"/>
      <c r="AF237" s="1"/>
      <c r="AW237" s="1"/>
    </row>
    <row r="238" spans="1:49" ht="15.75">
      <c r="A238" s="1"/>
      <c r="L238" s="4"/>
      <c r="T238" s="1"/>
      <c r="Y238" s="1"/>
      <c r="AF238" s="1"/>
      <c r="AW238" s="1"/>
    </row>
    <row r="239" spans="1:49" ht="15.75">
      <c r="A239" s="1"/>
      <c r="L239" s="4"/>
      <c r="T239" s="1"/>
      <c r="Y239" s="1"/>
      <c r="AF239" s="1"/>
      <c r="AW239" s="1"/>
    </row>
    <row r="240" spans="1:49" ht="15.75">
      <c r="A240" s="1"/>
      <c r="L240" s="4"/>
      <c r="T240" s="1"/>
      <c r="Y240" s="1"/>
      <c r="AF240" s="1"/>
      <c r="AW240" s="1"/>
    </row>
    <row r="241" spans="1:49" ht="15.75">
      <c r="A241" s="1"/>
      <c r="L241" s="4"/>
      <c r="T241" s="1"/>
      <c r="Y241" s="1"/>
      <c r="AF241" s="1"/>
      <c r="AW241" s="1"/>
    </row>
    <row r="242" spans="1:49" ht="15.75">
      <c r="A242" s="1"/>
      <c r="L242" s="4"/>
      <c r="T242" s="1"/>
      <c r="Y242" s="1"/>
      <c r="AF242" s="1"/>
      <c r="AW242" s="1"/>
    </row>
    <row r="243" spans="1:49" ht="15.75">
      <c r="A243" s="1"/>
      <c r="L243" s="4"/>
      <c r="T243" s="1"/>
      <c r="Y243" s="1"/>
      <c r="AF243" s="1"/>
      <c r="AW243" s="1"/>
    </row>
    <row r="244" spans="1:49" ht="15.75">
      <c r="A244" s="1"/>
      <c r="L244" s="4"/>
      <c r="T244" s="1"/>
      <c r="Y244" s="1"/>
      <c r="AF244" s="1"/>
      <c r="AW244" s="1"/>
    </row>
    <row r="245" spans="1:49" ht="15.75">
      <c r="A245" s="1"/>
      <c r="L245" s="4"/>
      <c r="T245" s="1"/>
      <c r="Y245" s="1"/>
      <c r="AF245" s="1"/>
      <c r="AW245" s="1"/>
    </row>
    <row r="246" spans="1:49" ht="15.75">
      <c r="A246" s="1"/>
      <c r="L246" s="4"/>
      <c r="T246" s="1"/>
      <c r="Y246" s="1"/>
      <c r="AF246" s="1"/>
      <c r="AW246" s="1"/>
    </row>
    <row r="247" spans="1:49" ht="15.75">
      <c r="A247" s="1"/>
      <c r="L247" s="4"/>
      <c r="T247" s="1"/>
      <c r="Y247" s="1"/>
      <c r="AF247" s="1"/>
      <c r="AW247" s="1"/>
    </row>
    <row r="248" spans="1:49" ht="15.75">
      <c r="A248" s="1"/>
      <c r="L248" s="4"/>
      <c r="T248" s="1"/>
      <c r="Y248" s="1"/>
      <c r="AF248" s="1"/>
      <c r="AW248" s="1"/>
    </row>
    <row r="249" spans="1:49" ht="15.75">
      <c r="A249" s="1"/>
      <c r="L249" s="4"/>
      <c r="T249" s="1"/>
      <c r="Y249" s="1"/>
      <c r="AF249" s="1"/>
      <c r="AW249" s="1"/>
    </row>
    <row r="250" spans="1:49" ht="15.75">
      <c r="A250" s="1"/>
      <c r="L250" s="4"/>
      <c r="T250" s="1"/>
      <c r="Y250" s="1"/>
      <c r="AF250" s="1"/>
      <c r="AW250" s="1"/>
    </row>
    <row r="251" spans="1:49" ht="15.75">
      <c r="A251" s="1"/>
      <c r="L251" s="4"/>
      <c r="T251" s="1"/>
      <c r="Y251" s="1"/>
      <c r="AF251" s="1"/>
      <c r="AW251" s="1"/>
    </row>
    <row r="252" spans="1:49" ht="15.75">
      <c r="A252" s="1"/>
      <c r="L252" s="4"/>
      <c r="T252" s="1"/>
      <c r="Y252" s="1"/>
      <c r="AF252" s="1"/>
      <c r="AW252" s="1"/>
    </row>
    <row r="253" spans="1:49" ht="15.75">
      <c r="A253" s="1"/>
      <c r="L253" s="4"/>
      <c r="T253" s="1"/>
      <c r="Y253" s="1"/>
      <c r="AF253" s="1"/>
      <c r="AW253" s="1"/>
    </row>
    <row r="254" spans="1:49" ht="15.75">
      <c r="A254" s="1"/>
      <c r="L254" s="4"/>
      <c r="T254" s="1"/>
      <c r="Y254" s="1"/>
      <c r="AF254" s="1"/>
      <c r="AW254" s="1"/>
    </row>
    <row r="255" spans="1:49" ht="15.75">
      <c r="A255" s="1"/>
      <c r="L255" s="4"/>
      <c r="T255" s="1"/>
      <c r="Y255" s="1"/>
      <c r="AF255" s="1"/>
      <c r="AW255" s="1"/>
    </row>
    <row r="256" spans="1:49" ht="15.75">
      <c r="A256" s="1"/>
      <c r="L256" s="4"/>
      <c r="T256" s="1"/>
      <c r="Y256" s="1"/>
      <c r="AF256" s="1"/>
      <c r="AW256" s="1"/>
    </row>
    <row r="257" spans="1:49" ht="15.75">
      <c r="A257" s="1"/>
      <c r="L257" s="4"/>
      <c r="T257" s="1"/>
      <c r="Y257" s="1"/>
      <c r="AF257" s="1"/>
      <c r="AW257" s="1"/>
    </row>
    <row r="258" spans="1:49" ht="15.75">
      <c r="A258" s="1"/>
      <c r="L258" s="4"/>
      <c r="T258" s="1"/>
      <c r="Y258" s="1"/>
      <c r="AF258" s="1"/>
      <c r="AW258" s="1"/>
    </row>
    <row r="259" spans="1:49" ht="15.75">
      <c r="A259" s="1"/>
      <c r="L259" s="4"/>
      <c r="T259" s="1"/>
      <c r="Y259" s="1"/>
      <c r="AF259" s="1"/>
      <c r="AW259" s="1"/>
    </row>
    <row r="260" spans="1:49" ht="15.75">
      <c r="A260" s="1"/>
      <c r="L260" s="4"/>
      <c r="T260" s="1"/>
      <c r="Y260" s="1"/>
      <c r="AF260" s="1"/>
      <c r="AW260" s="1"/>
    </row>
    <row r="261" spans="1:49" ht="15.75">
      <c r="A261" s="1"/>
      <c r="L261" s="4"/>
      <c r="T261" s="1"/>
      <c r="Y261" s="1"/>
      <c r="AF261" s="1"/>
      <c r="AW261" s="1"/>
    </row>
    <row r="262" spans="1:49" ht="15.75">
      <c r="A262" s="1"/>
      <c r="L262" s="4"/>
      <c r="T262" s="1"/>
      <c r="Y262" s="1"/>
      <c r="AF262" s="1"/>
      <c r="AW262" s="1"/>
    </row>
    <row r="263" spans="1:49" ht="15.75">
      <c r="A263" s="1"/>
      <c r="L263" s="4"/>
      <c r="T263" s="1"/>
      <c r="Y263" s="1"/>
      <c r="AF263" s="1"/>
      <c r="AW263" s="1"/>
    </row>
    <row r="264" spans="1:49" ht="15.75">
      <c r="A264" s="1"/>
      <c r="L264" s="4"/>
      <c r="T264" s="1"/>
      <c r="Y264" s="1"/>
      <c r="AF264" s="1"/>
      <c r="AW264" s="1"/>
    </row>
    <row r="265" spans="1:49" ht="15.75">
      <c r="A265" s="1"/>
      <c r="L265" s="4"/>
      <c r="T265" s="1"/>
      <c r="Y265" s="1"/>
      <c r="AF265" s="1"/>
      <c r="AW265" s="1"/>
    </row>
    <row r="266" spans="1:49" ht="15.75">
      <c r="A266" s="1"/>
      <c r="L266" s="4"/>
      <c r="T266" s="1"/>
      <c r="Y266" s="1"/>
      <c r="AF266" s="1"/>
      <c r="AW266" s="1"/>
    </row>
    <row r="267" spans="1:49" ht="15.75">
      <c r="A267" s="1"/>
      <c r="L267" s="4"/>
      <c r="T267" s="1"/>
      <c r="Y267" s="1"/>
      <c r="AF267" s="1"/>
      <c r="AW267" s="1"/>
    </row>
    <row r="268" spans="1:49" ht="15.75">
      <c r="A268" s="1"/>
      <c r="L268" s="4"/>
      <c r="T268" s="1"/>
      <c r="Y268" s="1"/>
      <c r="AF268" s="1"/>
      <c r="AW268" s="1"/>
    </row>
    <row r="269" spans="1:49" ht="15.75">
      <c r="A269" s="1"/>
      <c r="L269" s="4"/>
      <c r="T269" s="1"/>
      <c r="Y269" s="1"/>
      <c r="AF269" s="1"/>
      <c r="AW269" s="1"/>
    </row>
    <row r="270" spans="1:49" ht="15.75">
      <c r="A270" s="1"/>
      <c r="L270" s="4"/>
      <c r="T270" s="1"/>
      <c r="Y270" s="1"/>
      <c r="AF270" s="1"/>
      <c r="AW270" s="1"/>
    </row>
    <row r="271" spans="1:49" ht="15.75">
      <c r="A271" s="1"/>
      <c r="L271" s="4"/>
      <c r="T271" s="1"/>
      <c r="Y271" s="1"/>
      <c r="AF271" s="1"/>
      <c r="AW271" s="1"/>
    </row>
    <row r="272" spans="1:49" ht="15.75">
      <c r="A272" s="1"/>
      <c r="L272" s="4"/>
      <c r="T272" s="1"/>
      <c r="Y272" s="1"/>
      <c r="AF272" s="1"/>
      <c r="AW272" s="1"/>
    </row>
    <row r="273" spans="1:49" ht="15.75">
      <c r="A273" s="1"/>
      <c r="L273" s="4"/>
      <c r="T273" s="1"/>
      <c r="Y273" s="1"/>
      <c r="AF273" s="1"/>
      <c r="AW273" s="1"/>
    </row>
    <row r="274" spans="1:49" ht="15.75">
      <c r="A274" s="1"/>
      <c r="L274" s="4"/>
      <c r="T274" s="1"/>
      <c r="Y274" s="1"/>
      <c r="AF274" s="1"/>
      <c r="AW274" s="1"/>
    </row>
    <row r="275" spans="1:49" ht="15.75">
      <c r="A275" s="1"/>
      <c r="L275" s="4"/>
      <c r="T275" s="1"/>
      <c r="Y275" s="1"/>
      <c r="AF275" s="1"/>
      <c r="AW275" s="1"/>
    </row>
    <row r="276" spans="1:49" ht="15.75">
      <c r="A276" s="1"/>
      <c r="L276" s="4"/>
      <c r="T276" s="1"/>
      <c r="Y276" s="1"/>
      <c r="AF276" s="1"/>
      <c r="AW276" s="1"/>
    </row>
    <row r="277" spans="1:49" ht="15.75">
      <c r="A277" s="1"/>
      <c r="L277" s="4"/>
      <c r="T277" s="1"/>
      <c r="Y277" s="1"/>
      <c r="AF277" s="1"/>
      <c r="AW277" s="1"/>
    </row>
    <row r="278" spans="1:49" ht="15.75">
      <c r="A278" s="1"/>
      <c r="L278" s="4"/>
      <c r="T278" s="1"/>
      <c r="Y278" s="1"/>
      <c r="AF278" s="1"/>
      <c r="AW278" s="1"/>
    </row>
    <row r="279" spans="1:49" ht="15.75">
      <c r="A279" s="1"/>
      <c r="L279" s="4"/>
      <c r="T279" s="1"/>
      <c r="Y279" s="1"/>
      <c r="AF279" s="1"/>
      <c r="AW279" s="1"/>
    </row>
    <row r="280" spans="1:49" ht="15.75">
      <c r="A280" s="1"/>
      <c r="L280" s="4"/>
      <c r="T280" s="1"/>
      <c r="Y280" s="1"/>
      <c r="AF280" s="1"/>
      <c r="AW280" s="1"/>
    </row>
    <row r="281" spans="1:49" ht="15.75">
      <c r="A281" s="1"/>
      <c r="L281" s="4"/>
      <c r="T281" s="1"/>
      <c r="Y281" s="1"/>
      <c r="AF281" s="1"/>
      <c r="AW281" s="1"/>
    </row>
    <row r="282" spans="1:49" ht="15.75">
      <c r="A282" s="1"/>
      <c r="L282" s="4"/>
      <c r="T282" s="1"/>
      <c r="Y282" s="1"/>
      <c r="AF282" s="1"/>
      <c r="AW282" s="1"/>
    </row>
    <row r="283" spans="1:49" ht="15.75">
      <c r="A283" s="1"/>
      <c r="L283" s="4"/>
      <c r="T283" s="1"/>
      <c r="Y283" s="1"/>
      <c r="AF283" s="1"/>
      <c r="AW283" s="1"/>
    </row>
    <row r="284" spans="1:49" ht="15.75">
      <c r="A284" s="1"/>
      <c r="L284" s="4"/>
      <c r="T284" s="1"/>
      <c r="Y284" s="1"/>
      <c r="AF284" s="1"/>
      <c r="AW284" s="1"/>
    </row>
    <row r="285" spans="1:49" ht="15.75">
      <c r="A285" s="1"/>
      <c r="L285" s="4"/>
      <c r="T285" s="1"/>
      <c r="Y285" s="1"/>
      <c r="AF285" s="1"/>
      <c r="AW285" s="1"/>
    </row>
    <row r="286" spans="1:49" ht="15.75">
      <c r="A286" s="1"/>
      <c r="L286" s="4"/>
      <c r="T286" s="1"/>
      <c r="Y286" s="1"/>
      <c r="AF286" s="1"/>
      <c r="AW286" s="1"/>
    </row>
    <row r="287" spans="1:49" ht="15.75">
      <c r="A287" s="1"/>
      <c r="L287" s="4"/>
      <c r="T287" s="1"/>
      <c r="Y287" s="1"/>
      <c r="AF287" s="1"/>
      <c r="AW287" s="1"/>
    </row>
    <row r="288" spans="1:49" ht="15.75">
      <c r="A288" s="1"/>
      <c r="L288" s="4"/>
      <c r="T288" s="1"/>
      <c r="Y288" s="1"/>
      <c r="AF288" s="1"/>
      <c r="AW288" s="1"/>
    </row>
    <row r="289" spans="1:49" ht="15.75">
      <c r="A289" s="1"/>
      <c r="L289" s="4"/>
      <c r="T289" s="1"/>
      <c r="Y289" s="1"/>
      <c r="AF289" s="1"/>
      <c r="AW289" s="1"/>
    </row>
    <row r="290" spans="1:49" ht="15.75">
      <c r="A290" s="1"/>
      <c r="L290" s="4"/>
      <c r="T290" s="1"/>
      <c r="Y290" s="1"/>
      <c r="AF290" s="1"/>
      <c r="AW290" s="1"/>
    </row>
    <row r="291" spans="1:49" ht="15.75">
      <c r="A291" s="1"/>
      <c r="L291" s="4"/>
      <c r="T291" s="1"/>
      <c r="Y291" s="1"/>
      <c r="AF291" s="1"/>
      <c r="AW291" s="1"/>
    </row>
    <row r="292" spans="1:49" ht="15.75">
      <c r="A292" s="1"/>
      <c r="L292" s="4"/>
      <c r="T292" s="1"/>
      <c r="Y292" s="1"/>
      <c r="AF292" s="1"/>
      <c r="AW292" s="1"/>
    </row>
    <row r="293" spans="1:49" ht="15.75">
      <c r="A293" s="1"/>
      <c r="L293" s="4"/>
      <c r="T293" s="1"/>
      <c r="Y293" s="1"/>
      <c r="AF293" s="1"/>
      <c r="AW293" s="1"/>
    </row>
    <row r="294" spans="1:49" ht="15.75">
      <c r="A294" s="1"/>
      <c r="L294" s="4"/>
      <c r="T294" s="1"/>
      <c r="Y294" s="1"/>
      <c r="AF294" s="1"/>
      <c r="AW294" s="1"/>
    </row>
    <row r="295" spans="1:49" ht="15.75">
      <c r="A295" s="1"/>
      <c r="L295" s="4"/>
      <c r="T295" s="1"/>
      <c r="Y295" s="1"/>
      <c r="AF295" s="1"/>
      <c r="AW295" s="1"/>
    </row>
    <row r="296" spans="1:49" ht="15.75">
      <c r="A296" s="1"/>
      <c r="L296" s="4"/>
      <c r="T296" s="1"/>
      <c r="Y296" s="1"/>
      <c r="AF296" s="1"/>
      <c r="AW296" s="1"/>
    </row>
    <row r="297" spans="1:49" ht="15.75">
      <c r="A297" s="1"/>
      <c r="L297" s="4"/>
      <c r="T297" s="1"/>
      <c r="Y297" s="1"/>
      <c r="AF297" s="1"/>
      <c r="AW297" s="1"/>
    </row>
    <row r="298" spans="1:49" ht="15.75">
      <c r="A298" s="1"/>
      <c r="L298" s="4"/>
      <c r="T298" s="1"/>
      <c r="Y298" s="1"/>
      <c r="AF298" s="1"/>
      <c r="AW298" s="1"/>
    </row>
    <row r="299" spans="1:49" ht="15.75">
      <c r="A299" s="1"/>
      <c r="L299" s="4"/>
      <c r="T299" s="1"/>
      <c r="Y299" s="1"/>
      <c r="AF299" s="1"/>
      <c r="AW299" s="1"/>
    </row>
    <row r="300" spans="1:49" ht="15.75">
      <c r="A300" s="1"/>
      <c r="L300" s="4"/>
      <c r="T300" s="1"/>
      <c r="Y300" s="1"/>
      <c r="AF300" s="1"/>
      <c r="AW300" s="1"/>
    </row>
    <row r="301" spans="1:49" ht="15.75">
      <c r="A301" s="1"/>
      <c r="L301" s="4"/>
      <c r="T301" s="1"/>
      <c r="Y301" s="1"/>
      <c r="AF301" s="1"/>
      <c r="AW301" s="1"/>
    </row>
    <row r="302" spans="1:49" ht="15.75">
      <c r="A302" s="1"/>
      <c r="L302" s="4"/>
      <c r="T302" s="1"/>
      <c r="Y302" s="1"/>
      <c r="AF302" s="1"/>
      <c r="AW302" s="1"/>
    </row>
    <row r="303" spans="1:49" ht="15.75">
      <c r="A303" s="1"/>
      <c r="L303" s="4"/>
      <c r="T303" s="1"/>
      <c r="Y303" s="1"/>
      <c r="AF303" s="1"/>
      <c r="AW303" s="1"/>
    </row>
    <row r="304" spans="1:49" ht="15.75">
      <c r="A304" s="1"/>
      <c r="L304" s="4"/>
      <c r="T304" s="1"/>
      <c r="Y304" s="1"/>
      <c r="AF304" s="1"/>
      <c r="AW304" s="1"/>
    </row>
    <row r="305" spans="1:49" ht="15.75">
      <c r="A305" s="1"/>
      <c r="L305" s="4"/>
      <c r="T305" s="1"/>
      <c r="Y305" s="1"/>
      <c r="AF305" s="1"/>
      <c r="AW305" s="1"/>
    </row>
    <row r="306" spans="1:49" ht="15.75">
      <c r="A306" s="1"/>
      <c r="L306" s="4"/>
      <c r="T306" s="1"/>
      <c r="Y306" s="1"/>
      <c r="AF306" s="1"/>
      <c r="AW306" s="1"/>
    </row>
    <row r="307" spans="1:49" ht="15.75">
      <c r="A307" s="1"/>
      <c r="L307" s="4"/>
      <c r="T307" s="1"/>
      <c r="Y307" s="1"/>
      <c r="AF307" s="1"/>
      <c r="AW307" s="1"/>
    </row>
    <row r="308" spans="1:49" ht="15.75">
      <c r="A308" s="1"/>
      <c r="L308" s="4"/>
      <c r="T308" s="1"/>
      <c r="Y308" s="1"/>
      <c r="AF308" s="1"/>
      <c r="AW308" s="1"/>
    </row>
    <row r="309" spans="1:49" ht="15.75">
      <c r="A309" s="1"/>
      <c r="L309" s="4"/>
      <c r="T309" s="1"/>
      <c r="Y309" s="1"/>
      <c r="AF309" s="1"/>
      <c r="AW309" s="1"/>
    </row>
    <row r="310" spans="1:49" ht="15.75">
      <c r="A310" s="1"/>
      <c r="L310" s="4"/>
      <c r="T310" s="1"/>
      <c r="Y310" s="1"/>
      <c r="AF310" s="1"/>
      <c r="AW310" s="1"/>
    </row>
    <row r="311" spans="1:49" ht="15.75">
      <c r="A311" s="1"/>
      <c r="L311" s="4"/>
      <c r="T311" s="1"/>
      <c r="Y311" s="1"/>
      <c r="AF311" s="1"/>
      <c r="AW311" s="1"/>
    </row>
    <row r="312" spans="1:49" ht="15.75">
      <c r="A312" s="1"/>
      <c r="L312" s="4"/>
      <c r="T312" s="1"/>
      <c r="Y312" s="1"/>
      <c r="AF312" s="1"/>
      <c r="AW312" s="1"/>
    </row>
    <row r="313" spans="1:49" ht="15.75">
      <c r="A313" s="1"/>
      <c r="L313" s="4"/>
      <c r="T313" s="1"/>
      <c r="Y313" s="1"/>
      <c r="AF313" s="1"/>
      <c r="AW313" s="1"/>
    </row>
    <row r="314" spans="1:49" ht="15.75">
      <c r="A314" s="1"/>
      <c r="L314" s="4"/>
      <c r="T314" s="1"/>
      <c r="Y314" s="1"/>
      <c r="AF314" s="1"/>
      <c r="AW314" s="1"/>
    </row>
    <row r="315" spans="1:49" ht="15.75">
      <c r="A315" s="1"/>
      <c r="L315" s="4"/>
      <c r="T315" s="1"/>
      <c r="Y315" s="1"/>
      <c r="AF315" s="1"/>
      <c r="AW315" s="1"/>
    </row>
    <row r="316" spans="1:49" ht="15.75">
      <c r="A316" s="1"/>
      <c r="L316" s="4"/>
      <c r="T316" s="1"/>
      <c r="Y316" s="1"/>
      <c r="AF316" s="1"/>
      <c r="AW316" s="1"/>
    </row>
    <row r="317" spans="1:49" ht="15.75">
      <c r="A317" s="1"/>
      <c r="L317" s="4"/>
      <c r="T317" s="1"/>
      <c r="Y317" s="1"/>
      <c r="AF317" s="1"/>
      <c r="AW317" s="1"/>
    </row>
    <row r="318" spans="1:49" ht="15.75">
      <c r="A318" s="1"/>
      <c r="L318" s="4"/>
      <c r="T318" s="1"/>
      <c r="Y318" s="1"/>
      <c r="AF318" s="1"/>
      <c r="AW318" s="1"/>
    </row>
    <row r="319" spans="1:49" ht="15.75">
      <c r="A319" s="1"/>
      <c r="L319" s="4"/>
      <c r="T319" s="1"/>
      <c r="Y319" s="1"/>
      <c r="AF319" s="1"/>
      <c r="AW319" s="1"/>
    </row>
    <row r="320" spans="1:49" ht="15.75">
      <c r="A320" s="1"/>
      <c r="L320" s="4"/>
      <c r="T320" s="1"/>
      <c r="Y320" s="1"/>
      <c r="AF320" s="1"/>
      <c r="AW320" s="1"/>
    </row>
    <row r="321" spans="1:49" ht="15.75">
      <c r="A321" s="1"/>
      <c r="L321" s="4"/>
      <c r="T321" s="1"/>
      <c r="Y321" s="1"/>
      <c r="AF321" s="1"/>
      <c r="AW321" s="1"/>
    </row>
    <row r="322" spans="1:49" ht="15.75">
      <c r="A322" s="1"/>
      <c r="L322" s="4"/>
      <c r="T322" s="1"/>
      <c r="Y322" s="1"/>
      <c r="AF322" s="1"/>
      <c r="AW322" s="1"/>
    </row>
    <row r="323" spans="1:49" ht="15.75">
      <c r="A323" s="1"/>
      <c r="L323" s="4"/>
      <c r="T323" s="1"/>
      <c r="Y323" s="1"/>
      <c r="AF323" s="1"/>
      <c r="AW323" s="1"/>
    </row>
    <row r="324" spans="1:49" ht="15.75">
      <c r="A324" s="1"/>
      <c r="L324" s="4"/>
      <c r="T324" s="1"/>
      <c r="Y324" s="1"/>
      <c r="AF324" s="1"/>
      <c r="AW324" s="1"/>
    </row>
    <row r="325" spans="1:49" ht="15.75">
      <c r="A325" s="1"/>
      <c r="L325" s="4"/>
      <c r="T325" s="1"/>
      <c r="Y325" s="1"/>
      <c r="AF325" s="1"/>
      <c r="AW325" s="1"/>
    </row>
    <row r="326" spans="1:49" ht="15.75">
      <c r="A326" s="1"/>
      <c r="L326" s="4"/>
      <c r="T326" s="1"/>
      <c r="Y326" s="1"/>
      <c r="AF326" s="1"/>
      <c r="AW326" s="1"/>
    </row>
    <row r="327" spans="1:49" ht="15.75">
      <c r="A327" s="1"/>
      <c r="L327" s="4"/>
      <c r="T327" s="1"/>
      <c r="Y327" s="1"/>
      <c r="AF327" s="1"/>
      <c r="AW327" s="1"/>
    </row>
    <row r="328" spans="1:49" ht="15.75">
      <c r="A328" s="1"/>
      <c r="L328" s="4"/>
      <c r="T328" s="1"/>
      <c r="Y328" s="1"/>
      <c r="AF328" s="1"/>
      <c r="AW328" s="1"/>
    </row>
    <row r="329" spans="1:49" ht="15.75">
      <c r="A329" s="1"/>
      <c r="L329" s="4"/>
      <c r="T329" s="1"/>
      <c r="Y329" s="1"/>
      <c r="AF329" s="1"/>
      <c r="AW329" s="1"/>
    </row>
    <row r="330" spans="1:49" ht="15.75">
      <c r="A330" s="1"/>
      <c r="L330" s="4"/>
      <c r="T330" s="1"/>
      <c r="Y330" s="1"/>
      <c r="AF330" s="1"/>
      <c r="AW330" s="1"/>
    </row>
    <row r="331" spans="1:49" ht="15.75">
      <c r="A331" s="1"/>
      <c r="L331" s="4"/>
      <c r="T331" s="1"/>
      <c r="Y331" s="1"/>
      <c r="AF331" s="1"/>
      <c r="AW331" s="1"/>
    </row>
    <row r="332" spans="1:49" ht="15.75">
      <c r="A332" s="1"/>
      <c r="L332" s="4"/>
      <c r="T332" s="1"/>
      <c r="Y332" s="1"/>
      <c r="AF332" s="1"/>
      <c r="AW332" s="1"/>
    </row>
    <row r="333" spans="1:49" ht="15.75">
      <c r="A333" s="1"/>
      <c r="L333" s="4"/>
      <c r="T333" s="1"/>
      <c r="Y333" s="1"/>
      <c r="AF333" s="1"/>
      <c r="AW333" s="1"/>
    </row>
    <row r="334" spans="1:49" ht="15.75">
      <c r="A334" s="1"/>
      <c r="L334" s="4"/>
      <c r="T334" s="1"/>
      <c r="Y334" s="1"/>
      <c r="AF334" s="1"/>
      <c r="AW334" s="1"/>
    </row>
    <row r="335" spans="1:49" ht="15.75">
      <c r="A335" s="1"/>
      <c r="L335" s="4"/>
      <c r="T335" s="1"/>
      <c r="Y335" s="1"/>
      <c r="AF335" s="1"/>
      <c r="AW335" s="1"/>
    </row>
    <row r="336" spans="1:49" ht="15.75">
      <c r="A336" s="1"/>
      <c r="L336" s="4"/>
      <c r="T336" s="1"/>
      <c r="Y336" s="1"/>
      <c r="AF336" s="1"/>
      <c r="AW336" s="1"/>
    </row>
    <row r="337" spans="1:49" ht="15.75">
      <c r="A337" s="1"/>
      <c r="L337" s="4"/>
      <c r="T337" s="1"/>
      <c r="Y337" s="1"/>
      <c r="AF337" s="1"/>
      <c r="AW337" s="1"/>
    </row>
    <row r="338" spans="1:49" ht="15.75">
      <c r="A338" s="1"/>
      <c r="L338" s="4"/>
      <c r="T338" s="1"/>
      <c r="Y338" s="1"/>
      <c r="AF338" s="1"/>
      <c r="AW338" s="1"/>
    </row>
    <row r="339" spans="1:49" ht="15.75">
      <c r="A339" s="1"/>
      <c r="L339" s="4"/>
      <c r="T339" s="1"/>
      <c r="Y339" s="1"/>
      <c r="AF339" s="1"/>
      <c r="AW339" s="1"/>
    </row>
    <row r="340" spans="1:49" ht="15.75">
      <c r="A340" s="1"/>
      <c r="L340" s="4"/>
      <c r="T340" s="1"/>
      <c r="Y340" s="1"/>
      <c r="AF340" s="1"/>
      <c r="AW340" s="1"/>
    </row>
    <row r="341" spans="1:49" ht="15.75">
      <c r="A341" s="1"/>
      <c r="L341" s="4"/>
      <c r="T341" s="1"/>
      <c r="Y341" s="1"/>
      <c r="AF341" s="1"/>
      <c r="AW341" s="1"/>
    </row>
    <row r="342" spans="1:49" ht="15.75">
      <c r="A342" s="1"/>
      <c r="L342" s="4"/>
      <c r="T342" s="1"/>
      <c r="Y342" s="1"/>
      <c r="AF342" s="1"/>
      <c r="AW342" s="1"/>
    </row>
    <row r="343" spans="1:49" ht="15.75">
      <c r="A343" s="1"/>
      <c r="L343" s="4"/>
      <c r="T343" s="1"/>
      <c r="Y343" s="1"/>
      <c r="AF343" s="1"/>
      <c r="AW343" s="1"/>
    </row>
    <row r="344" spans="1:49" ht="15.75">
      <c r="A344" s="1"/>
      <c r="L344" s="4"/>
      <c r="T344" s="1"/>
      <c r="Y344" s="1"/>
      <c r="AF344" s="1"/>
      <c r="AW344" s="1"/>
    </row>
    <row r="345" spans="1:49" ht="15.75">
      <c r="A345" s="1"/>
      <c r="L345" s="4"/>
      <c r="T345" s="1"/>
      <c r="Y345" s="1"/>
      <c r="AF345" s="1"/>
      <c r="AW345" s="1"/>
    </row>
    <row r="346" spans="1:49" ht="15.75">
      <c r="A346" s="1"/>
      <c r="L346" s="4"/>
      <c r="T346" s="1"/>
      <c r="Y346" s="1"/>
      <c r="AF346" s="1"/>
      <c r="AW346" s="1"/>
    </row>
    <row r="347" spans="1:49" ht="15.75">
      <c r="A347" s="1"/>
      <c r="L347" s="4"/>
      <c r="T347" s="1"/>
      <c r="Y347" s="1"/>
      <c r="AF347" s="1"/>
      <c r="AW347" s="1"/>
    </row>
    <row r="348" spans="1:49" ht="15.75">
      <c r="A348" s="1"/>
      <c r="L348" s="4"/>
      <c r="T348" s="1"/>
      <c r="Y348" s="1"/>
      <c r="AF348" s="1"/>
      <c r="AW348" s="1"/>
    </row>
    <row r="349" spans="1:49" ht="15.75">
      <c r="A349" s="1"/>
      <c r="L349" s="4"/>
      <c r="T349" s="1"/>
      <c r="Y349" s="1"/>
      <c r="AF349" s="1"/>
      <c r="AW349" s="1"/>
    </row>
    <row r="350" spans="1:49" ht="15.75">
      <c r="A350" s="1"/>
      <c r="L350" s="4"/>
      <c r="T350" s="1"/>
      <c r="Y350" s="1"/>
      <c r="AF350" s="1"/>
      <c r="AW350" s="1"/>
    </row>
    <row r="351" spans="1:49" ht="15.75">
      <c r="A351" s="1"/>
      <c r="L351" s="4"/>
      <c r="T351" s="1"/>
      <c r="Y351" s="1"/>
      <c r="AF351" s="1"/>
      <c r="AW351" s="1"/>
    </row>
    <row r="352" spans="1:49" ht="15.75">
      <c r="A352" s="1"/>
      <c r="L352" s="4"/>
      <c r="T352" s="1"/>
      <c r="Y352" s="1"/>
      <c r="AF352" s="1"/>
      <c r="AW352" s="1"/>
    </row>
    <row r="353" spans="1:49" ht="15.75">
      <c r="A353" s="1"/>
      <c r="L353" s="4"/>
      <c r="T353" s="1"/>
      <c r="Y353" s="1"/>
      <c r="AF353" s="1"/>
      <c r="AW353" s="1"/>
    </row>
    <row r="354" spans="1:49" ht="15.75">
      <c r="A354" s="1"/>
      <c r="L354" s="4"/>
      <c r="T354" s="1"/>
      <c r="Y354" s="1"/>
      <c r="AF354" s="1"/>
      <c r="AW354" s="1"/>
    </row>
    <row r="355" spans="1:49" ht="15.75">
      <c r="A355" s="1"/>
      <c r="L355" s="4"/>
      <c r="T355" s="1"/>
      <c r="Y355" s="1"/>
      <c r="AF355" s="1"/>
      <c r="AW355" s="1"/>
    </row>
    <row r="356" spans="1:49" ht="15.75">
      <c r="A356" s="1"/>
      <c r="L356" s="4"/>
      <c r="T356" s="1"/>
      <c r="Y356" s="1"/>
      <c r="AF356" s="1"/>
      <c r="AW356" s="1"/>
    </row>
    <row r="357" spans="1:49" ht="15.75">
      <c r="A357" s="1"/>
      <c r="L357" s="4"/>
      <c r="T357" s="1"/>
      <c r="Y357" s="1"/>
      <c r="AF357" s="1"/>
      <c r="AW357" s="1"/>
    </row>
    <row r="358" spans="1:49" ht="15.75">
      <c r="A358" s="1"/>
      <c r="L358" s="4"/>
      <c r="T358" s="1"/>
      <c r="Y358" s="1"/>
      <c r="AF358" s="1"/>
      <c r="AW358" s="1"/>
    </row>
    <row r="359" spans="1:49" ht="15.75">
      <c r="A359" s="1"/>
      <c r="L359" s="4"/>
      <c r="T359" s="1"/>
      <c r="Y359" s="1"/>
      <c r="AF359" s="1"/>
      <c r="AW359" s="1"/>
    </row>
    <row r="360" spans="1:49" ht="15.75">
      <c r="A360" s="1"/>
      <c r="L360" s="4"/>
      <c r="T360" s="1"/>
      <c r="Y360" s="1"/>
      <c r="AF360" s="1"/>
      <c r="AW360" s="1"/>
    </row>
    <row r="361" spans="1:49" ht="15.75">
      <c r="A361" s="1"/>
      <c r="L361" s="4"/>
      <c r="T361" s="1"/>
      <c r="Y361" s="1"/>
      <c r="AF361" s="1"/>
      <c r="AW361" s="1"/>
    </row>
    <row r="362" spans="1:49" ht="15.75">
      <c r="A362" s="1"/>
      <c r="L362" s="4"/>
      <c r="T362" s="1"/>
      <c r="Y362" s="1"/>
      <c r="AF362" s="1"/>
      <c r="AW362" s="1"/>
    </row>
    <row r="363" spans="1:49" ht="15.75">
      <c r="A363" s="1"/>
      <c r="L363" s="4"/>
      <c r="T363" s="1"/>
      <c r="Y363" s="1"/>
      <c r="AF363" s="1"/>
      <c r="AW363" s="1"/>
    </row>
    <row r="364" spans="1:49" ht="15.75">
      <c r="A364" s="1"/>
      <c r="L364" s="4"/>
      <c r="T364" s="1"/>
      <c r="Y364" s="1"/>
      <c r="AF364" s="1"/>
      <c r="AW364" s="1"/>
    </row>
    <row r="365" spans="1:49" ht="15.75">
      <c r="A365" s="1"/>
      <c r="L365" s="4"/>
      <c r="T365" s="1"/>
      <c r="Y365" s="1"/>
      <c r="AF365" s="1"/>
      <c r="AW365" s="1"/>
    </row>
    <row r="366" spans="1:49" ht="15.75">
      <c r="A366" s="1"/>
      <c r="L366" s="4"/>
      <c r="T366" s="1"/>
      <c r="Y366" s="1"/>
      <c r="AF366" s="1"/>
      <c r="AW366" s="1"/>
    </row>
    <row r="367" spans="1:49" ht="15.75">
      <c r="A367" s="1"/>
      <c r="L367" s="4"/>
      <c r="T367" s="1"/>
      <c r="Y367" s="1"/>
      <c r="AF367" s="1"/>
      <c r="AW367" s="1"/>
    </row>
    <row r="368" spans="1:49" ht="15.75">
      <c r="A368" s="1"/>
      <c r="L368" s="4"/>
      <c r="T368" s="1"/>
      <c r="Y368" s="1"/>
      <c r="AF368" s="1"/>
      <c r="AW368" s="1"/>
    </row>
    <row r="369" spans="1:49" ht="15.75">
      <c r="A369" s="1"/>
      <c r="L369" s="4"/>
      <c r="T369" s="1"/>
      <c r="Y369" s="1"/>
      <c r="AF369" s="1"/>
      <c r="AW369" s="1"/>
    </row>
    <row r="370" spans="1:49" ht="15.75">
      <c r="A370" s="1"/>
      <c r="L370" s="4"/>
      <c r="T370" s="1"/>
      <c r="Y370" s="1"/>
      <c r="AF370" s="1"/>
      <c r="AW370" s="1"/>
    </row>
    <row r="371" spans="1:49" ht="15.75">
      <c r="A371" s="1"/>
      <c r="L371" s="4"/>
      <c r="T371" s="1"/>
      <c r="Y371" s="1"/>
      <c r="AF371" s="1"/>
      <c r="AW371" s="1"/>
    </row>
    <row r="372" spans="1:49" ht="15.75">
      <c r="A372" s="1"/>
      <c r="L372" s="4"/>
      <c r="T372" s="1"/>
      <c r="Y372" s="1"/>
      <c r="AF372" s="1"/>
      <c r="AW372" s="1"/>
    </row>
    <row r="373" spans="1:49" ht="15.75">
      <c r="A373" s="1"/>
      <c r="L373" s="4"/>
      <c r="T373" s="1"/>
      <c r="Y373" s="1"/>
      <c r="AF373" s="1"/>
      <c r="AW373" s="1"/>
    </row>
    <row r="374" spans="1:49" ht="15.75">
      <c r="A374" s="1"/>
      <c r="L374" s="4"/>
      <c r="T374" s="1"/>
      <c r="Y374" s="1"/>
      <c r="AF374" s="1"/>
      <c r="AW374" s="1"/>
    </row>
    <row r="375" spans="1:49" ht="15.75">
      <c r="A375" s="1"/>
      <c r="L375" s="4"/>
      <c r="T375" s="1"/>
      <c r="Y375" s="1"/>
      <c r="AF375" s="1"/>
      <c r="AW375" s="1"/>
    </row>
    <row r="376" spans="1:49" ht="15.75">
      <c r="A376" s="1"/>
      <c r="L376" s="4"/>
      <c r="T376" s="1"/>
      <c r="Y376" s="1"/>
      <c r="AF376" s="1"/>
      <c r="AW376" s="1"/>
    </row>
    <row r="377" spans="1:49" ht="15.75">
      <c r="A377" s="1"/>
      <c r="L377" s="4"/>
      <c r="T377" s="1"/>
      <c r="Y377" s="1"/>
      <c r="AF377" s="1"/>
      <c r="AW377" s="1"/>
    </row>
    <row r="378" spans="1:49" ht="15.75">
      <c r="A378" s="1"/>
      <c r="L378" s="4"/>
      <c r="T378" s="1"/>
      <c r="Y378" s="1"/>
      <c r="AF378" s="1"/>
      <c r="AW378" s="1"/>
    </row>
    <row r="379" spans="1:49" ht="15.75">
      <c r="A379" s="1"/>
      <c r="L379" s="4"/>
      <c r="T379" s="1"/>
      <c r="Y379" s="1"/>
      <c r="AF379" s="1"/>
      <c r="AW379" s="1"/>
    </row>
    <row r="380" spans="1:49" ht="15.75">
      <c r="A380" s="1"/>
      <c r="L380" s="4"/>
      <c r="T380" s="1"/>
      <c r="Y380" s="1"/>
      <c r="AF380" s="1"/>
      <c r="AW380" s="1"/>
    </row>
    <row r="381" spans="1:49" ht="15.75">
      <c r="A381" s="1"/>
      <c r="L381" s="4"/>
      <c r="T381" s="1"/>
      <c r="Y381" s="1"/>
      <c r="AF381" s="1"/>
      <c r="AW381" s="1"/>
    </row>
    <row r="382" spans="1:49" ht="15.75">
      <c r="A382" s="1"/>
      <c r="L382" s="4"/>
      <c r="T382" s="1"/>
      <c r="Y382" s="1"/>
      <c r="AF382" s="1"/>
      <c r="AW382" s="1"/>
    </row>
    <row r="383" spans="1:49" ht="15.75">
      <c r="A383" s="1"/>
      <c r="L383" s="4"/>
      <c r="T383" s="1"/>
      <c r="Y383" s="1"/>
      <c r="AF383" s="1"/>
      <c r="AW383" s="1"/>
    </row>
    <row r="384" spans="1:49" ht="15.75">
      <c r="A384" s="1"/>
      <c r="L384" s="4"/>
      <c r="T384" s="1"/>
      <c r="Y384" s="1"/>
      <c r="AF384" s="1"/>
      <c r="AW384" s="1"/>
    </row>
    <row r="385" spans="1:49" ht="15.75">
      <c r="A385" s="1"/>
      <c r="L385" s="4"/>
      <c r="T385" s="1"/>
      <c r="Y385" s="1"/>
      <c r="AF385" s="1"/>
      <c r="AW385" s="1"/>
    </row>
    <row r="386" spans="1:49" ht="15.75">
      <c r="A386" s="1"/>
      <c r="L386" s="4"/>
      <c r="T386" s="1"/>
      <c r="Y386" s="1"/>
      <c r="AF386" s="1"/>
      <c r="AW386" s="1"/>
    </row>
    <row r="387" spans="1:49" ht="15.75">
      <c r="A387" s="1"/>
      <c r="L387" s="4"/>
      <c r="T387" s="1"/>
      <c r="Y387" s="1"/>
      <c r="AF387" s="1"/>
      <c r="AW387" s="1"/>
    </row>
    <row r="388" spans="1:49" ht="15.75">
      <c r="A388" s="1"/>
      <c r="L388" s="4"/>
      <c r="T388" s="1"/>
      <c r="Y388" s="1"/>
      <c r="AF388" s="1"/>
      <c r="AW388" s="1"/>
    </row>
    <row r="389" spans="1:49" ht="15.75">
      <c r="A389" s="1"/>
      <c r="L389" s="4"/>
      <c r="T389" s="1"/>
      <c r="Y389" s="1"/>
      <c r="AF389" s="1"/>
      <c r="AW389" s="1"/>
    </row>
    <row r="390" spans="1:49" ht="15.75">
      <c r="A390" s="1"/>
      <c r="L390" s="4"/>
      <c r="T390" s="1"/>
      <c r="Y390" s="1"/>
      <c r="AF390" s="1"/>
      <c r="AW390" s="1"/>
    </row>
    <row r="391" spans="1:49" ht="15.75">
      <c r="A391" s="1"/>
      <c r="L391" s="4"/>
      <c r="T391" s="1"/>
      <c r="Y391" s="1"/>
      <c r="AF391" s="1"/>
      <c r="AW391" s="1"/>
    </row>
    <row r="392" spans="1:49" ht="15.75">
      <c r="A392" s="1"/>
      <c r="L392" s="4"/>
      <c r="T392" s="1"/>
      <c r="Y392" s="1"/>
      <c r="AF392" s="1"/>
      <c r="AW392" s="1"/>
    </row>
    <row r="393" spans="1:49" ht="15.75">
      <c r="A393" s="1"/>
      <c r="L393" s="4"/>
      <c r="T393" s="1"/>
      <c r="Y393" s="1"/>
      <c r="AF393" s="1"/>
      <c r="AW393" s="1"/>
    </row>
    <row r="394" spans="1:49" ht="15.75">
      <c r="A394" s="1"/>
      <c r="L394" s="4"/>
      <c r="T394" s="1"/>
      <c r="Y394" s="1"/>
      <c r="AF394" s="1"/>
      <c r="AW394" s="1"/>
    </row>
    <row r="395" spans="1:49" ht="15.75">
      <c r="A395" s="1"/>
      <c r="L395" s="4"/>
      <c r="T395" s="1"/>
      <c r="Y395" s="1"/>
      <c r="AF395" s="1"/>
      <c r="AW395" s="1"/>
    </row>
    <row r="396" spans="1:49" ht="15.75">
      <c r="A396" s="1"/>
      <c r="L396" s="4"/>
      <c r="T396" s="1"/>
      <c r="Y396" s="1"/>
      <c r="AF396" s="1"/>
      <c r="AW396" s="1"/>
    </row>
    <row r="397" spans="1:49" ht="15.75">
      <c r="A397" s="1"/>
      <c r="L397" s="4"/>
      <c r="T397" s="1"/>
      <c r="Y397" s="1"/>
      <c r="AF397" s="1"/>
      <c r="AW397" s="1"/>
    </row>
    <row r="398" spans="1:49" ht="15.75">
      <c r="A398" s="1"/>
      <c r="L398" s="4"/>
      <c r="T398" s="1"/>
      <c r="Y398" s="1"/>
      <c r="AF398" s="1"/>
      <c r="AW398" s="1"/>
    </row>
    <row r="399" spans="1:49" ht="15.75">
      <c r="A399" s="1"/>
      <c r="L399" s="4"/>
      <c r="T399" s="1"/>
      <c r="Y399" s="1"/>
      <c r="AF399" s="1"/>
      <c r="AW399" s="1"/>
    </row>
    <row r="400" spans="1:49" ht="15.75">
      <c r="A400" s="1"/>
      <c r="L400" s="4"/>
      <c r="T400" s="1"/>
      <c r="Y400" s="1"/>
      <c r="AF400" s="1"/>
      <c r="AW400" s="1"/>
    </row>
    <row r="401" spans="1:49" ht="15.75">
      <c r="A401" s="1"/>
      <c r="L401" s="4"/>
      <c r="T401" s="1"/>
      <c r="Y401" s="1"/>
      <c r="AF401" s="1"/>
      <c r="AW401" s="1"/>
    </row>
    <row r="402" spans="1:49" ht="15.75">
      <c r="A402" s="1"/>
      <c r="L402" s="4"/>
      <c r="T402" s="1"/>
      <c r="Y402" s="1"/>
      <c r="AF402" s="1"/>
      <c r="AW402" s="1"/>
    </row>
    <row r="403" spans="1:49" ht="15.75">
      <c r="A403" s="1"/>
      <c r="L403" s="4"/>
      <c r="T403" s="1"/>
      <c r="Y403" s="1"/>
      <c r="AF403" s="1"/>
      <c r="AW403" s="1"/>
    </row>
    <row r="404" spans="1:49" ht="15.75">
      <c r="A404" s="1"/>
      <c r="L404" s="4"/>
      <c r="T404" s="1"/>
      <c r="Y404" s="1"/>
      <c r="AF404" s="1"/>
      <c r="AW404" s="1"/>
    </row>
    <row r="405" spans="1:49" ht="15.75">
      <c r="A405" s="1"/>
      <c r="L405" s="4"/>
      <c r="T405" s="1"/>
      <c r="Y405" s="1"/>
      <c r="AF405" s="1"/>
      <c r="AW405" s="1"/>
    </row>
    <row r="406" spans="1:49" ht="15.75">
      <c r="A406" s="1"/>
      <c r="L406" s="4"/>
      <c r="T406" s="1"/>
      <c r="Y406" s="1"/>
      <c r="AF406" s="1"/>
      <c r="AW406" s="1"/>
    </row>
    <row r="407" spans="1:49" ht="15.75">
      <c r="A407" s="1"/>
      <c r="L407" s="4"/>
      <c r="T407" s="1"/>
      <c r="Y407" s="1"/>
      <c r="AF407" s="1"/>
      <c r="AW407" s="1"/>
    </row>
    <row r="408" spans="1:49" ht="15.75">
      <c r="A408" s="1"/>
      <c r="L408" s="4"/>
      <c r="T408" s="1"/>
      <c r="Y408" s="1"/>
      <c r="AF408" s="1"/>
      <c r="AW408" s="1"/>
    </row>
    <row r="409" spans="1:49" ht="15.75">
      <c r="A409" s="1"/>
      <c r="L409" s="4"/>
      <c r="T409" s="1"/>
      <c r="Y409" s="1"/>
      <c r="AF409" s="1"/>
      <c r="AW409" s="1"/>
    </row>
    <row r="410" spans="1:49" ht="15.75">
      <c r="A410" s="1"/>
      <c r="L410" s="4"/>
      <c r="T410" s="1"/>
      <c r="Y410" s="1"/>
      <c r="AF410" s="1"/>
      <c r="AW410" s="1"/>
    </row>
    <row r="411" spans="1:49" ht="15.75">
      <c r="A411" s="1"/>
      <c r="L411" s="4"/>
      <c r="T411" s="1"/>
      <c r="Y411" s="1"/>
      <c r="AF411" s="1"/>
      <c r="AW411" s="1"/>
    </row>
    <row r="412" spans="1:49" ht="15.75">
      <c r="A412" s="1"/>
      <c r="L412" s="4"/>
      <c r="T412" s="1"/>
      <c r="Y412" s="1"/>
      <c r="AF412" s="1"/>
      <c r="AW412" s="1"/>
    </row>
    <row r="413" spans="1:49" ht="15.75">
      <c r="A413" s="1"/>
      <c r="L413" s="4"/>
      <c r="T413" s="1"/>
      <c r="Y413" s="1"/>
      <c r="AF413" s="1"/>
      <c r="AW413" s="1"/>
    </row>
    <row r="414" spans="1:49" ht="15.75">
      <c r="A414" s="1"/>
      <c r="L414" s="4"/>
      <c r="T414" s="1"/>
      <c r="Y414" s="1"/>
      <c r="AF414" s="1"/>
      <c r="AW414" s="1"/>
    </row>
    <row r="415" spans="1:49" ht="15.75">
      <c r="A415" s="1"/>
      <c r="L415" s="4"/>
      <c r="T415" s="1"/>
      <c r="Y415" s="1"/>
      <c r="AF415" s="1"/>
      <c r="AW415" s="1"/>
    </row>
    <row r="416" spans="1:49" ht="15.75">
      <c r="A416" s="1"/>
      <c r="L416" s="4"/>
      <c r="T416" s="1"/>
      <c r="Y416" s="1"/>
      <c r="AF416" s="1"/>
      <c r="AW416" s="1"/>
    </row>
    <row r="417" spans="1:49" ht="15.75">
      <c r="A417" s="1"/>
      <c r="L417" s="4"/>
      <c r="T417" s="1"/>
      <c r="Y417" s="1"/>
      <c r="AF417" s="1"/>
      <c r="AW417" s="1"/>
    </row>
    <row r="418" spans="1:49" ht="15.75">
      <c r="A418" s="1"/>
      <c r="L418" s="4"/>
      <c r="T418" s="1"/>
      <c r="Y418" s="1"/>
      <c r="AF418" s="1"/>
      <c r="AW418" s="1"/>
    </row>
    <row r="419" spans="1:49" ht="15.75">
      <c r="A419" s="1"/>
      <c r="L419" s="4"/>
      <c r="T419" s="1"/>
      <c r="Y419" s="1"/>
      <c r="AF419" s="1"/>
      <c r="AW419" s="1"/>
    </row>
    <row r="420" spans="1:49" ht="15.75">
      <c r="A420" s="1"/>
      <c r="L420" s="4"/>
      <c r="T420" s="1"/>
      <c r="Y420" s="1"/>
      <c r="AF420" s="1"/>
      <c r="AW420" s="1"/>
    </row>
    <row r="421" spans="1:49" ht="15.75">
      <c r="A421" s="1"/>
      <c r="L421" s="4"/>
      <c r="T421" s="1"/>
      <c r="Y421" s="1"/>
      <c r="AF421" s="1"/>
      <c r="AW421" s="1"/>
    </row>
    <row r="422" spans="1:49" ht="15.75">
      <c r="A422" s="1"/>
      <c r="L422" s="4"/>
      <c r="T422" s="1"/>
      <c r="Y422" s="1"/>
      <c r="AF422" s="1"/>
      <c r="AW422" s="1"/>
    </row>
    <row r="423" spans="1:49" ht="15.75">
      <c r="A423" s="1"/>
      <c r="L423" s="4"/>
      <c r="T423" s="1"/>
      <c r="Y423" s="1"/>
      <c r="AF423" s="1"/>
      <c r="AW423" s="1"/>
    </row>
    <row r="424" spans="1:49" ht="15.75">
      <c r="A424" s="1"/>
      <c r="L424" s="4"/>
      <c r="T424" s="1"/>
      <c r="Y424" s="1"/>
      <c r="AF424" s="1"/>
      <c r="AW424" s="1"/>
    </row>
    <row r="425" spans="1:49" ht="15.75">
      <c r="A425" s="1"/>
      <c r="L425" s="4"/>
      <c r="T425" s="1"/>
      <c r="Y425" s="1"/>
      <c r="AF425" s="1"/>
      <c r="AW425" s="1"/>
    </row>
    <row r="426" spans="1:49" ht="15.75">
      <c r="A426" s="1"/>
      <c r="L426" s="4"/>
      <c r="T426" s="1"/>
      <c r="Y426" s="1"/>
      <c r="AF426" s="1"/>
      <c r="AW426" s="1"/>
    </row>
    <row r="427" spans="1:49" ht="15.75">
      <c r="A427" s="1"/>
      <c r="L427" s="4"/>
      <c r="T427" s="1"/>
      <c r="Y427" s="1"/>
      <c r="AF427" s="1"/>
      <c r="AW427" s="1"/>
    </row>
    <row r="428" spans="1:49" ht="15.75">
      <c r="A428" s="1"/>
      <c r="L428" s="4"/>
      <c r="T428" s="1"/>
      <c r="Y428" s="1"/>
      <c r="AF428" s="1"/>
      <c r="AW428" s="1"/>
    </row>
    <row r="429" spans="1:49" ht="15.75">
      <c r="A429" s="1"/>
      <c r="L429" s="4"/>
      <c r="T429" s="1"/>
      <c r="Y429" s="1"/>
      <c r="AF429" s="1"/>
      <c r="AW429" s="1"/>
    </row>
    <row r="430" spans="1:49" ht="15.75">
      <c r="A430" s="1"/>
      <c r="L430" s="4"/>
      <c r="T430" s="1"/>
      <c r="Y430" s="1"/>
      <c r="AF430" s="1"/>
      <c r="AW430" s="1"/>
    </row>
    <row r="431" spans="1:49" ht="15.75">
      <c r="A431" s="1"/>
      <c r="L431" s="4"/>
      <c r="T431" s="1"/>
      <c r="Y431" s="1"/>
      <c r="AF431" s="1"/>
      <c r="AW431" s="1"/>
    </row>
    <row r="432" spans="1:49" ht="15.75">
      <c r="A432" s="1"/>
      <c r="L432" s="4"/>
      <c r="T432" s="1"/>
      <c r="Y432" s="1"/>
      <c r="AF432" s="1"/>
      <c r="AW432" s="1"/>
    </row>
    <row r="433" spans="1:49" ht="15.75">
      <c r="A433" s="1"/>
      <c r="L433" s="4"/>
      <c r="T433" s="1"/>
      <c r="Y433" s="1"/>
      <c r="AF433" s="1"/>
      <c r="AW433" s="1"/>
    </row>
    <row r="434" spans="1:49" ht="15.75">
      <c r="A434" s="1"/>
      <c r="L434" s="4"/>
      <c r="T434" s="1"/>
      <c r="Y434" s="1"/>
      <c r="AF434" s="1"/>
      <c r="AW434" s="1"/>
    </row>
    <row r="435" spans="1:49" ht="15.75">
      <c r="A435" s="1"/>
      <c r="L435" s="4"/>
      <c r="T435" s="1"/>
      <c r="Y435" s="1"/>
      <c r="AF435" s="1"/>
      <c r="AW435" s="1"/>
    </row>
    <row r="436" spans="1:49" ht="15.75">
      <c r="A436" s="1"/>
      <c r="L436" s="4"/>
      <c r="T436" s="1"/>
      <c r="Y436" s="1"/>
      <c r="AF436" s="1"/>
      <c r="AW436" s="1"/>
    </row>
    <row r="437" spans="1:49" ht="15.75">
      <c r="A437" s="1"/>
      <c r="L437" s="4"/>
      <c r="T437" s="1"/>
      <c r="Y437" s="1"/>
      <c r="AF437" s="1"/>
      <c r="AW437" s="1"/>
    </row>
    <row r="438" spans="1:49" ht="15.75">
      <c r="A438" s="1"/>
      <c r="L438" s="4"/>
      <c r="T438" s="1"/>
      <c r="Y438" s="1"/>
      <c r="AF438" s="1"/>
      <c r="AW438" s="1"/>
    </row>
    <row r="439" spans="1:49" ht="15.75">
      <c r="A439" s="1"/>
      <c r="L439" s="4"/>
      <c r="T439" s="1"/>
      <c r="Y439" s="1"/>
      <c r="AF439" s="1"/>
      <c r="AW439" s="1"/>
    </row>
    <row r="440" spans="1:49" ht="15.75">
      <c r="A440" s="1"/>
      <c r="L440" s="4"/>
      <c r="T440" s="1"/>
      <c r="Y440" s="1"/>
      <c r="AF440" s="1"/>
      <c r="AW440" s="1"/>
    </row>
    <row r="441" spans="1:49" ht="15.75">
      <c r="A441" s="1"/>
      <c r="L441" s="4"/>
      <c r="T441" s="1"/>
      <c r="Y441" s="1"/>
      <c r="AF441" s="1"/>
      <c r="AW441" s="1"/>
    </row>
    <row r="442" spans="1:49" ht="15.75">
      <c r="A442" s="1"/>
      <c r="L442" s="4"/>
      <c r="T442" s="1"/>
      <c r="Y442" s="1"/>
      <c r="AF442" s="1"/>
      <c r="AW442" s="1"/>
    </row>
    <row r="443" spans="1:49" ht="15.75">
      <c r="A443" s="1"/>
      <c r="L443" s="4"/>
      <c r="T443" s="1"/>
      <c r="Y443" s="1"/>
      <c r="AF443" s="1"/>
      <c r="AW443" s="1"/>
    </row>
    <row r="444" spans="1:49" ht="15.75">
      <c r="A444" s="1"/>
      <c r="L444" s="4"/>
      <c r="T444" s="1"/>
      <c r="Y444" s="1"/>
      <c r="AF444" s="1"/>
      <c r="AW444" s="1"/>
    </row>
    <row r="445" spans="1:49" ht="15.75">
      <c r="A445" s="1"/>
      <c r="L445" s="4"/>
      <c r="T445" s="1"/>
      <c r="Y445" s="1"/>
      <c r="AF445" s="1"/>
      <c r="AW445" s="1"/>
    </row>
    <row r="446" spans="1:49" ht="15.75">
      <c r="A446" s="1"/>
      <c r="L446" s="4"/>
      <c r="T446" s="1"/>
      <c r="Y446" s="1"/>
      <c r="AF446" s="1"/>
      <c r="AW446" s="1"/>
    </row>
    <row r="447" spans="1:49" ht="15.75">
      <c r="A447" s="1"/>
      <c r="L447" s="4"/>
      <c r="T447" s="1"/>
      <c r="Y447" s="1"/>
      <c r="AF447" s="1"/>
      <c r="AW447" s="1"/>
    </row>
    <row r="448" spans="1:49" ht="15.75">
      <c r="A448" s="1"/>
      <c r="L448" s="4"/>
      <c r="T448" s="1"/>
      <c r="Y448" s="1"/>
      <c r="AF448" s="1"/>
      <c r="AW448" s="1"/>
    </row>
    <row r="449" spans="1:49" ht="15.75">
      <c r="A449" s="1"/>
      <c r="L449" s="4"/>
      <c r="T449" s="1"/>
      <c r="Y449" s="1"/>
      <c r="AF449" s="1"/>
      <c r="AW449" s="1"/>
    </row>
    <row r="450" spans="1:49" ht="15.75">
      <c r="A450" s="1"/>
      <c r="L450" s="4"/>
      <c r="T450" s="1"/>
      <c r="Y450" s="1"/>
      <c r="AF450" s="1"/>
      <c r="AW450" s="1"/>
    </row>
    <row r="451" spans="1:49" ht="15.75">
      <c r="A451" s="1"/>
      <c r="L451" s="4"/>
      <c r="T451" s="1"/>
      <c r="Y451" s="1"/>
      <c r="AF451" s="1"/>
      <c r="AW451" s="1"/>
    </row>
    <row r="452" spans="1:49" ht="15.75">
      <c r="A452" s="1"/>
      <c r="L452" s="4"/>
      <c r="T452" s="1"/>
      <c r="Y452" s="1"/>
      <c r="AF452" s="1"/>
      <c r="AW452" s="1"/>
    </row>
    <row r="453" spans="1:49" ht="15.75">
      <c r="A453" s="1"/>
      <c r="L453" s="4"/>
      <c r="T453" s="1"/>
      <c r="Y453" s="1"/>
      <c r="AF453" s="1"/>
      <c r="AW453" s="1"/>
    </row>
    <row r="454" spans="1:49" ht="15.75">
      <c r="A454" s="1"/>
      <c r="L454" s="4"/>
      <c r="T454" s="1"/>
      <c r="Y454" s="1"/>
      <c r="AF454" s="1"/>
      <c r="AW454" s="1"/>
    </row>
    <row r="455" spans="1:49" ht="15.75">
      <c r="A455" s="1"/>
      <c r="L455" s="4"/>
      <c r="T455" s="1"/>
      <c r="Y455" s="1"/>
      <c r="AF455" s="1"/>
      <c r="AW455" s="1"/>
    </row>
    <row r="456" spans="1:49" ht="15.75">
      <c r="A456" s="1"/>
      <c r="L456" s="4"/>
      <c r="T456" s="1"/>
      <c r="Y456" s="1"/>
      <c r="AF456" s="1"/>
      <c r="AW456" s="1"/>
    </row>
    <row r="457" spans="1:49" ht="15.75">
      <c r="A457" s="1"/>
      <c r="L457" s="4"/>
      <c r="T457" s="1"/>
      <c r="Y457" s="1"/>
      <c r="AF457" s="1"/>
      <c r="AW457" s="1"/>
    </row>
    <row r="458" spans="1:49" ht="15.75">
      <c r="A458" s="1"/>
      <c r="L458" s="4"/>
      <c r="T458" s="1"/>
      <c r="Y458" s="1"/>
      <c r="AF458" s="1"/>
      <c r="AW458" s="1"/>
    </row>
    <row r="459" spans="1:49" ht="15.75">
      <c r="A459" s="1"/>
      <c r="L459" s="4"/>
      <c r="T459" s="1"/>
      <c r="Y459" s="1"/>
      <c r="AF459" s="1"/>
      <c r="AW459" s="1"/>
    </row>
    <row r="460" spans="1:49" ht="15.75">
      <c r="A460" s="1"/>
      <c r="L460" s="4"/>
      <c r="T460" s="1"/>
      <c r="Y460" s="1"/>
      <c r="AF460" s="1"/>
      <c r="AW460" s="1"/>
    </row>
    <row r="461" spans="1:49" ht="15.75">
      <c r="A461" s="1"/>
      <c r="L461" s="4"/>
      <c r="T461" s="1"/>
      <c r="Y461" s="1"/>
      <c r="AF461" s="1"/>
      <c r="AW461" s="1"/>
    </row>
    <row r="462" spans="1:49" ht="15.75">
      <c r="A462" s="1"/>
      <c r="L462" s="4"/>
      <c r="T462" s="1"/>
      <c r="Y462" s="1"/>
      <c r="AF462" s="1"/>
      <c r="AW462" s="1"/>
    </row>
    <row r="463" spans="1:49" ht="15.75">
      <c r="A463" s="1"/>
      <c r="L463" s="4"/>
      <c r="T463" s="1"/>
      <c r="Y463" s="1"/>
      <c r="AF463" s="1"/>
      <c r="AW463" s="1"/>
    </row>
    <row r="464" spans="1:49" ht="15.75">
      <c r="A464" s="1"/>
      <c r="L464" s="4"/>
      <c r="T464" s="1"/>
      <c r="Y464" s="1"/>
      <c r="AF464" s="1"/>
      <c r="AW464" s="1"/>
    </row>
    <row r="465" spans="1:49" ht="15.75">
      <c r="A465" s="1"/>
      <c r="L465" s="4"/>
      <c r="T465" s="1"/>
      <c r="Y465" s="1"/>
      <c r="AF465" s="1"/>
      <c r="AW465" s="1"/>
    </row>
    <row r="466" spans="1:49" ht="15.75">
      <c r="A466" s="1"/>
      <c r="L466" s="4"/>
      <c r="T466" s="1"/>
      <c r="Y466" s="1"/>
      <c r="AF466" s="1"/>
      <c r="AW466" s="1"/>
    </row>
    <row r="467" spans="1:49" ht="15.75">
      <c r="A467" s="1"/>
      <c r="L467" s="4"/>
      <c r="T467" s="1"/>
      <c r="Y467" s="1"/>
      <c r="AF467" s="1"/>
      <c r="AW467" s="1"/>
    </row>
    <row r="468" spans="1:49" ht="15.75">
      <c r="A468" s="1"/>
      <c r="L468" s="4"/>
      <c r="T468" s="1"/>
      <c r="Y468" s="1"/>
      <c r="AF468" s="1"/>
      <c r="AW468" s="1"/>
    </row>
    <row r="469" spans="1:49" ht="15.75">
      <c r="A469" s="1"/>
      <c r="L469" s="4"/>
      <c r="T469" s="1"/>
      <c r="Y469" s="1"/>
      <c r="AF469" s="1"/>
      <c r="AW469" s="1"/>
    </row>
    <row r="470" spans="1:49" ht="15.75">
      <c r="A470" s="1"/>
      <c r="L470" s="4"/>
      <c r="T470" s="1"/>
      <c r="Y470" s="1"/>
      <c r="AF470" s="1"/>
      <c r="AW470" s="1"/>
    </row>
    <row r="471" spans="1:49" ht="15.75">
      <c r="A471" s="1"/>
      <c r="L471" s="4"/>
      <c r="T471" s="1"/>
      <c r="Y471" s="1"/>
      <c r="AF471" s="1"/>
      <c r="AW471" s="1"/>
    </row>
    <row r="472" spans="1:49" ht="15.75">
      <c r="A472" s="1"/>
      <c r="L472" s="4"/>
      <c r="T472" s="1"/>
      <c r="Y472" s="1"/>
      <c r="AF472" s="1"/>
      <c r="AW472" s="1"/>
    </row>
    <row r="473" spans="1:49" ht="15.75">
      <c r="A473" s="1"/>
      <c r="L473" s="4"/>
      <c r="T473" s="1"/>
      <c r="Y473" s="1"/>
      <c r="AF473" s="1"/>
      <c r="AW473" s="1"/>
    </row>
    <row r="474" spans="1:49" ht="15.75">
      <c r="A474" s="1"/>
      <c r="L474" s="4"/>
      <c r="T474" s="1"/>
      <c r="Y474" s="1"/>
      <c r="AF474" s="1"/>
      <c r="AW474" s="1"/>
    </row>
    <row r="475" spans="1:49" ht="15.75">
      <c r="A475" s="1"/>
      <c r="L475" s="4"/>
      <c r="T475" s="1"/>
      <c r="Y475" s="1"/>
      <c r="AF475" s="1"/>
      <c r="AW475" s="1"/>
    </row>
    <row r="476" spans="1:49" ht="15.75">
      <c r="A476" s="1"/>
      <c r="L476" s="4"/>
      <c r="T476" s="1"/>
      <c r="Y476" s="1"/>
      <c r="AF476" s="1"/>
      <c r="AW476" s="1"/>
    </row>
    <row r="477" spans="1:49" ht="15.75">
      <c r="A477" s="1"/>
      <c r="L477" s="4"/>
      <c r="T477" s="1"/>
      <c r="Y477" s="1"/>
      <c r="AF477" s="1"/>
      <c r="AW477" s="1"/>
    </row>
    <row r="478" spans="1:49" ht="15.75">
      <c r="A478" s="1"/>
      <c r="L478" s="4"/>
      <c r="T478" s="1"/>
      <c r="Y478" s="1"/>
      <c r="AF478" s="1"/>
      <c r="AW478" s="1"/>
    </row>
    <row r="479" spans="1:49" ht="15.75">
      <c r="A479" s="1"/>
      <c r="L479" s="4"/>
      <c r="T479" s="1"/>
      <c r="Y479" s="1"/>
      <c r="AF479" s="1"/>
      <c r="AW479" s="1"/>
    </row>
    <row r="480" spans="1:49" ht="15.75">
      <c r="A480" s="1"/>
      <c r="L480" s="4"/>
      <c r="T480" s="1"/>
      <c r="Y480" s="1"/>
      <c r="AF480" s="1"/>
      <c r="AW480" s="1"/>
    </row>
    <row r="481" spans="1:49" ht="15.75">
      <c r="A481" s="1"/>
      <c r="L481" s="4"/>
      <c r="T481" s="1"/>
      <c r="Y481" s="1"/>
      <c r="AF481" s="1"/>
      <c r="AW481" s="1"/>
    </row>
    <row r="482" spans="1:49" ht="15.75">
      <c r="A482" s="1"/>
      <c r="L482" s="4"/>
      <c r="T482" s="1"/>
      <c r="Y482" s="1"/>
      <c r="AF482" s="1"/>
      <c r="AW482" s="1"/>
    </row>
    <row r="483" spans="1:49" ht="15.75">
      <c r="A483" s="1"/>
      <c r="L483" s="4"/>
      <c r="T483" s="1"/>
      <c r="Y483" s="1"/>
      <c r="AF483" s="1"/>
      <c r="AW483" s="1"/>
    </row>
    <row r="484" spans="1:49" ht="15.75">
      <c r="A484" s="1"/>
      <c r="L484" s="4"/>
      <c r="T484" s="1"/>
      <c r="Y484" s="1"/>
      <c r="AF484" s="1"/>
      <c r="AW484" s="1"/>
    </row>
    <row r="485" spans="1:49" ht="15.75">
      <c r="A485" s="1"/>
      <c r="L485" s="4"/>
      <c r="T485" s="1"/>
      <c r="Y485" s="1"/>
      <c r="AF485" s="1"/>
      <c r="AW485" s="1"/>
    </row>
    <row r="486" spans="1:49" ht="15.75">
      <c r="A486" s="1"/>
      <c r="L486" s="4"/>
      <c r="T486" s="1"/>
      <c r="Y486" s="1"/>
      <c r="AF486" s="1"/>
      <c r="AW486" s="1"/>
    </row>
    <row r="487" spans="1:49" ht="15.75">
      <c r="A487" s="1"/>
      <c r="L487" s="4"/>
      <c r="T487" s="1"/>
      <c r="Y487" s="1"/>
      <c r="AF487" s="1"/>
      <c r="AW487" s="1"/>
    </row>
    <row r="488" spans="1:49" ht="15.75">
      <c r="A488" s="1"/>
      <c r="L488" s="4"/>
      <c r="T488" s="1"/>
      <c r="Y488" s="1"/>
      <c r="AF488" s="1"/>
      <c r="AW488" s="1"/>
    </row>
    <row r="489" spans="1:49" ht="15.75">
      <c r="A489" s="1"/>
      <c r="L489" s="4"/>
      <c r="T489" s="1"/>
      <c r="Y489" s="1"/>
      <c r="AF489" s="1"/>
      <c r="AW489" s="1"/>
    </row>
    <row r="490" spans="1:49" ht="15.75">
      <c r="A490" s="1"/>
      <c r="L490" s="4"/>
      <c r="T490" s="1"/>
      <c r="Y490" s="1"/>
      <c r="AF490" s="1"/>
      <c r="AW490" s="1"/>
    </row>
    <row r="491" spans="1:49" ht="15.75">
      <c r="A491" s="1"/>
      <c r="L491" s="4"/>
      <c r="T491" s="1"/>
      <c r="Y491" s="1"/>
      <c r="AF491" s="1"/>
      <c r="AW491" s="1"/>
    </row>
    <row r="492" spans="1:49" ht="15.75">
      <c r="A492" s="1"/>
      <c r="L492" s="4"/>
      <c r="T492" s="1"/>
      <c r="Y492" s="1"/>
      <c r="AF492" s="1"/>
      <c r="AW492" s="1"/>
    </row>
    <row r="493" spans="1:49" ht="15.75">
      <c r="A493" s="1"/>
      <c r="L493" s="4"/>
      <c r="T493" s="1"/>
      <c r="Y493" s="1"/>
      <c r="AF493" s="1"/>
      <c r="AW493" s="1"/>
    </row>
    <row r="494" spans="1:49" ht="15.75">
      <c r="A494" s="1"/>
      <c r="L494" s="4"/>
      <c r="T494" s="1"/>
      <c r="Y494" s="1"/>
      <c r="AF494" s="1"/>
      <c r="AW494" s="1"/>
    </row>
    <row r="495" spans="1:49" ht="15.75">
      <c r="A495" s="1"/>
      <c r="L495" s="4"/>
      <c r="T495" s="1"/>
      <c r="Y495" s="1"/>
      <c r="AF495" s="1"/>
      <c r="AW495" s="1"/>
    </row>
    <row r="496" spans="1:49" ht="15.75">
      <c r="A496" s="1"/>
      <c r="L496" s="4"/>
      <c r="T496" s="1"/>
      <c r="Y496" s="1"/>
      <c r="AF496" s="1"/>
      <c r="AW496" s="1"/>
    </row>
    <row r="497" spans="1:49" ht="15.75">
      <c r="A497" s="1"/>
      <c r="L497" s="4"/>
      <c r="T497" s="1"/>
      <c r="Y497" s="1"/>
      <c r="AF497" s="1"/>
      <c r="AW497" s="1"/>
    </row>
    <row r="498" spans="1:49" ht="15.75">
      <c r="A498" s="1"/>
      <c r="L498" s="4"/>
      <c r="T498" s="1"/>
      <c r="Y498" s="1"/>
      <c r="AF498" s="1"/>
      <c r="AW498" s="1"/>
    </row>
    <row r="499" spans="1:49" ht="15.75">
      <c r="A499" s="1"/>
      <c r="L499" s="4"/>
      <c r="T499" s="1"/>
      <c r="Y499" s="1"/>
      <c r="AF499" s="1"/>
      <c r="AW499" s="1"/>
    </row>
    <row r="500" spans="1:49" ht="15.75">
      <c r="A500" s="1"/>
      <c r="L500" s="4"/>
      <c r="T500" s="1"/>
      <c r="Y500" s="1"/>
      <c r="AF500" s="1"/>
      <c r="AW500" s="1"/>
    </row>
    <row r="501" spans="1:49" ht="15.75">
      <c r="A501" s="1"/>
      <c r="L501" s="4"/>
      <c r="T501" s="1"/>
      <c r="Y501" s="1"/>
      <c r="AF501" s="1"/>
      <c r="AW501" s="1"/>
    </row>
    <row r="502" spans="1:49" ht="15.75">
      <c r="A502" s="1"/>
      <c r="L502" s="4"/>
      <c r="T502" s="1"/>
      <c r="Y502" s="1"/>
      <c r="AF502" s="1"/>
      <c r="AW502" s="1"/>
    </row>
    <row r="503" spans="1:49" ht="15.75">
      <c r="A503" s="1"/>
      <c r="L503" s="4"/>
      <c r="T503" s="1"/>
      <c r="Y503" s="1"/>
      <c r="AF503" s="1"/>
      <c r="AW503" s="1"/>
    </row>
    <row r="504" spans="1:49" ht="15.75">
      <c r="A504" s="1"/>
      <c r="L504" s="4"/>
      <c r="T504" s="1"/>
      <c r="Y504" s="1"/>
      <c r="AF504" s="1"/>
      <c r="AW504" s="1"/>
    </row>
    <row r="505" spans="1:49" ht="15.75">
      <c r="A505" s="1"/>
      <c r="L505" s="4"/>
      <c r="T505" s="1"/>
      <c r="Y505" s="1"/>
      <c r="AF505" s="1"/>
      <c r="AW505" s="1"/>
    </row>
    <row r="506" spans="1:49" ht="15.75">
      <c r="A506" s="1"/>
      <c r="L506" s="4"/>
      <c r="T506" s="1"/>
      <c r="Y506" s="1"/>
      <c r="AF506" s="1"/>
      <c r="AW506" s="1"/>
    </row>
    <row r="507" spans="1:49" ht="15.75">
      <c r="A507" s="1"/>
      <c r="L507" s="4"/>
      <c r="T507" s="1"/>
      <c r="Y507" s="1"/>
      <c r="AF507" s="1"/>
      <c r="AW507" s="1"/>
    </row>
    <row r="508" spans="1:49" ht="15.75">
      <c r="A508" s="1"/>
      <c r="L508" s="4"/>
      <c r="T508" s="1"/>
      <c r="Y508" s="1"/>
      <c r="AF508" s="1"/>
      <c r="AW508" s="1"/>
    </row>
    <row r="509" spans="1:49" ht="15.75">
      <c r="A509" s="1"/>
      <c r="L509" s="4"/>
      <c r="T509" s="1"/>
      <c r="Y509" s="1"/>
      <c r="AF509" s="1"/>
      <c r="AW509" s="1"/>
    </row>
    <row r="510" spans="1:49" ht="15.75">
      <c r="A510" s="1"/>
      <c r="L510" s="4"/>
      <c r="T510" s="1"/>
      <c r="Y510" s="1"/>
      <c r="AF510" s="1"/>
      <c r="AW510" s="1"/>
    </row>
    <row r="511" spans="1:49" ht="15.75">
      <c r="A511" s="1"/>
      <c r="L511" s="4"/>
      <c r="T511" s="1"/>
      <c r="Y511" s="1"/>
      <c r="AF511" s="1"/>
      <c r="AW511" s="1"/>
    </row>
    <row r="512" spans="1:49" ht="15.75">
      <c r="A512" s="1"/>
      <c r="L512" s="4"/>
      <c r="T512" s="1"/>
      <c r="Y512" s="1"/>
      <c r="AF512" s="1"/>
      <c r="AW512" s="1"/>
    </row>
    <row r="513" spans="1:49" ht="15.75">
      <c r="A513" s="1"/>
      <c r="L513" s="4"/>
      <c r="T513" s="1"/>
      <c r="Y513" s="1"/>
      <c r="AF513" s="1"/>
      <c r="AW513" s="1"/>
    </row>
    <row r="514" spans="1:49" ht="15.75">
      <c r="A514" s="1"/>
      <c r="L514" s="4"/>
      <c r="T514" s="1"/>
      <c r="Y514" s="1"/>
      <c r="AF514" s="1"/>
      <c r="AW514" s="1"/>
    </row>
    <row r="515" spans="1:49" ht="15.75">
      <c r="A515" s="1"/>
      <c r="L515" s="4"/>
      <c r="T515" s="1"/>
      <c r="Y515" s="1"/>
      <c r="AF515" s="1"/>
      <c r="AW515" s="1"/>
    </row>
    <row r="516" spans="1:49" ht="15.75">
      <c r="A516" s="1"/>
      <c r="L516" s="4"/>
      <c r="T516" s="1"/>
      <c r="Y516" s="1"/>
      <c r="AF516" s="1"/>
      <c r="AW516" s="1"/>
    </row>
    <row r="517" spans="1:49" ht="15.75">
      <c r="A517" s="1"/>
      <c r="L517" s="4"/>
      <c r="T517" s="1"/>
      <c r="Y517" s="1"/>
      <c r="AF517" s="1"/>
      <c r="AW517" s="1"/>
    </row>
    <row r="518" spans="1:49" ht="15.75">
      <c r="A518" s="1"/>
      <c r="L518" s="4"/>
      <c r="T518" s="1"/>
      <c r="Y518" s="1"/>
      <c r="AF518" s="1"/>
      <c r="AW518" s="1"/>
    </row>
    <row r="519" spans="1:49" ht="15.75">
      <c r="A519" s="1"/>
      <c r="L519" s="4"/>
      <c r="T519" s="1"/>
      <c r="Y519" s="1"/>
      <c r="AF519" s="1"/>
      <c r="AW519" s="1"/>
    </row>
    <row r="520" spans="1:49" ht="15.75">
      <c r="A520" s="1"/>
      <c r="L520" s="4"/>
      <c r="T520" s="1"/>
      <c r="Y520" s="1"/>
      <c r="AF520" s="1"/>
      <c r="AW520" s="1"/>
    </row>
    <row r="521" spans="1:49" ht="15.75">
      <c r="A521" s="1"/>
      <c r="L521" s="4"/>
      <c r="T521" s="1"/>
      <c r="Y521" s="1"/>
      <c r="AF521" s="1"/>
      <c r="AW521" s="1"/>
    </row>
    <row r="522" spans="1:49" ht="15.75">
      <c r="A522" s="1"/>
      <c r="L522" s="4"/>
      <c r="T522" s="1"/>
      <c r="Y522" s="1"/>
      <c r="AF522" s="1"/>
      <c r="AW522" s="1"/>
    </row>
    <row r="523" spans="1:49" ht="15.75">
      <c r="A523" s="1"/>
      <c r="L523" s="4"/>
      <c r="T523" s="1"/>
      <c r="Y523" s="1"/>
      <c r="AF523" s="1"/>
      <c r="AW523" s="1"/>
    </row>
    <row r="524" spans="1:49" ht="15.75">
      <c r="A524" s="1"/>
      <c r="L524" s="4"/>
      <c r="T524" s="1"/>
      <c r="Y524" s="1"/>
      <c r="AF524" s="1"/>
      <c r="AW524" s="1"/>
    </row>
    <row r="525" spans="1:49" ht="15.75">
      <c r="A525" s="1"/>
      <c r="L525" s="4"/>
      <c r="T525" s="1"/>
      <c r="Y525" s="1"/>
      <c r="AF525" s="1"/>
      <c r="AW525" s="1"/>
    </row>
    <row r="526" spans="1:49" ht="15.75">
      <c r="A526" s="1"/>
      <c r="L526" s="4"/>
      <c r="T526" s="1"/>
      <c r="Y526" s="1"/>
      <c r="AF526" s="1"/>
      <c r="AW526" s="1"/>
    </row>
    <row r="527" spans="1:49" ht="15.75">
      <c r="A527" s="1"/>
      <c r="L527" s="4"/>
      <c r="T527" s="1"/>
      <c r="Y527" s="1"/>
      <c r="AF527" s="1"/>
      <c r="AW527" s="1"/>
    </row>
    <row r="528" spans="1:49" ht="15.75">
      <c r="A528" s="1"/>
      <c r="L528" s="4"/>
      <c r="T528" s="1"/>
      <c r="Y528" s="1"/>
      <c r="AF528" s="1"/>
      <c r="AW528" s="1"/>
    </row>
    <row r="529" spans="1:49" ht="15.75">
      <c r="A529" s="1"/>
      <c r="L529" s="4"/>
      <c r="T529" s="1"/>
      <c r="Y529" s="1"/>
      <c r="AF529" s="1"/>
      <c r="AW529" s="1"/>
    </row>
    <row r="530" spans="1:49" ht="15.75">
      <c r="A530" s="1"/>
      <c r="L530" s="4"/>
      <c r="T530" s="1"/>
      <c r="Y530" s="1"/>
      <c r="AF530" s="1"/>
      <c r="AW530" s="1"/>
    </row>
    <row r="531" spans="1:49" ht="15.75">
      <c r="A531" s="1"/>
      <c r="L531" s="4"/>
      <c r="T531" s="1"/>
      <c r="Y531" s="1"/>
      <c r="AF531" s="1"/>
      <c r="AW531" s="1"/>
    </row>
    <row r="532" spans="1:49" ht="15.75">
      <c r="A532" s="1"/>
      <c r="L532" s="4"/>
      <c r="T532" s="1"/>
      <c r="Y532" s="1"/>
      <c r="AF532" s="1"/>
      <c r="AW532" s="1"/>
    </row>
    <row r="533" spans="1:49" ht="15.75">
      <c r="A533" s="1"/>
      <c r="L533" s="4"/>
      <c r="T533" s="1"/>
      <c r="Y533" s="1"/>
      <c r="AF533" s="1"/>
      <c r="AW533" s="1"/>
    </row>
    <row r="534" spans="1:49" ht="15.75">
      <c r="A534" s="1"/>
      <c r="L534" s="4"/>
      <c r="T534" s="1"/>
      <c r="Y534" s="1"/>
      <c r="AF534" s="1"/>
      <c r="AW534" s="1"/>
    </row>
    <row r="535" spans="1:49" ht="15.75">
      <c r="A535" s="1"/>
      <c r="L535" s="4"/>
      <c r="T535" s="1"/>
      <c r="Y535" s="1"/>
      <c r="AF535" s="1"/>
      <c r="AW535" s="1"/>
    </row>
    <row r="536" spans="1:49" ht="15.75">
      <c r="A536" s="1"/>
      <c r="L536" s="4"/>
      <c r="T536" s="1"/>
      <c r="Y536" s="1"/>
      <c r="AF536" s="1"/>
      <c r="AW536" s="1"/>
    </row>
    <row r="537" spans="1:49" ht="15.75">
      <c r="A537" s="1"/>
      <c r="L537" s="4"/>
      <c r="T537" s="1"/>
      <c r="Y537" s="1"/>
      <c r="AF537" s="1"/>
      <c r="AW537" s="1"/>
    </row>
    <row r="538" spans="1:49" ht="15.75">
      <c r="A538" s="1"/>
      <c r="L538" s="4"/>
      <c r="T538" s="1"/>
      <c r="Y538" s="1"/>
      <c r="AF538" s="1"/>
      <c r="AW538" s="1"/>
    </row>
    <row r="539" spans="1:49" ht="15.75">
      <c r="A539" s="1"/>
      <c r="L539" s="4"/>
      <c r="T539" s="1"/>
      <c r="Y539" s="1"/>
      <c r="AF539" s="1"/>
      <c r="AW539" s="1"/>
    </row>
    <row r="540" spans="1:49" ht="15.75">
      <c r="A540" s="1"/>
      <c r="L540" s="4"/>
      <c r="T540" s="1"/>
      <c r="Y540" s="1"/>
      <c r="AF540" s="1"/>
      <c r="AW540" s="1"/>
    </row>
    <row r="541" spans="1:49" ht="15.75">
      <c r="A541" s="1"/>
      <c r="L541" s="4"/>
      <c r="T541" s="1"/>
      <c r="Y541" s="1"/>
      <c r="AF541" s="1"/>
      <c r="AW541" s="1"/>
    </row>
    <row r="542" spans="1:49" ht="15.75">
      <c r="A542" s="1"/>
      <c r="L542" s="4"/>
      <c r="T542" s="1"/>
      <c r="Y542" s="1"/>
      <c r="AF542" s="1"/>
      <c r="AW542" s="1"/>
    </row>
    <row r="543" spans="1:49" ht="15.75">
      <c r="A543" s="1"/>
      <c r="L543" s="4"/>
      <c r="T543" s="1"/>
      <c r="Y543" s="1"/>
      <c r="AF543" s="1"/>
      <c r="AW543" s="1"/>
    </row>
    <row r="544" spans="1:49" ht="15.75">
      <c r="A544" s="1"/>
      <c r="L544" s="4"/>
      <c r="T544" s="1"/>
      <c r="Y544" s="1"/>
      <c r="AF544" s="1"/>
      <c r="AW544" s="1"/>
    </row>
    <row r="545" spans="1:49" ht="15.75">
      <c r="A545" s="1"/>
      <c r="L545" s="4"/>
      <c r="T545" s="1"/>
      <c r="Y545" s="1"/>
      <c r="AF545" s="1"/>
      <c r="AW545" s="1"/>
    </row>
    <row r="546" spans="1:49" ht="15.75">
      <c r="A546" s="1"/>
      <c r="L546" s="4"/>
      <c r="T546" s="1"/>
      <c r="Y546" s="1"/>
      <c r="AF546" s="1"/>
      <c r="AW546" s="1"/>
    </row>
    <row r="547" spans="1:49" ht="15.75">
      <c r="A547" s="1"/>
      <c r="L547" s="4"/>
      <c r="T547" s="1"/>
      <c r="Y547" s="1"/>
      <c r="AF547" s="1"/>
      <c r="AW547" s="1"/>
    </row>
    <row r="548" spans="1:49" ht="15.75">
      <c r="A548" s="1"/>
      <c r="L548" s="4"/>
      <c r="T548" s="1"/>
      <c r="Y548" s="1"/>
      <c r="AF548" s="1"/>
      <c r="AW548" s="1"/>
    </row>
    <row r="549" spans="1:49" ht="15.75">
      <c r="A549" s="1"/>
      <c r="L549" s="4"/>
      <c r="T549" s="1"/>
      <c r="Y549" s="1"/>
      <c r="AF549" s="1"/>
      <c r="AW549" s="1"/>
    </row>
    <row r="550" spans="1:49" ht="15.75">
      <c r="A550" s="1"/>
      <c r="L550" s="4"/>
      <c r="T550" s="1"/>
      <c r="Y550" s="1"/>
      <c r="AF550" s="1"/>
      <c r="AW550" s="1"/>
    </row>
    <row r="551" spans="1:49" ht="15.75">
      <c r="A551" s="1"/>
      <c r="L551" s="4"/>
      <c r="T551" s="1"/>
      <c r="Y551" s="1"/>
      <c r="AF551" s="1"/>
      <c r="AW551" s="1"/>
    </row>
    <row r="552" spans="1:49" ht="15.75">
      <c r="A552" s="1"/>
      <c r="L552" s="4"/>
      <c r="T552" s="1"/>
      <c r="Y552" s="1"/>
      <c r="AF552" s="1"/>
      <c r="AW552" s="1"/>
    </row>
    <row r="553" spans="1:49" ht="15.75">
      <c r="A553" s="1"/>
      <c r="L553" s="4"/>
      <c r="T553" s="1"/>
      <c r="Y553" s="1"/>
      <c r="AF553" s="1"/>
      <c r="AW553" s="1"/>
    </row>
    <row r="554" spans="1:49" ht="15.75">
      <c r="A554" s="1"/>
      <c r="L554" s="4"/>
      <c r="T554" s="1"/>
      <c r="Y554" s="1"/>
      <c r="AF554" s="1"/>
      <c r="AW554" s="1"/>
    </row>
    <row r="555" spans="1:49" ht="15.75">
      <c r="A555" s="1"/>
      <c r="L555" s="4"/>
      <c r="T555" s="1"/>
      <c r="Y555" s="1"/>
      <c r="AF555" s="1"/>
      <c r="AW555" s="1"/>
    </row>
    <row r="556" spans="1:49" ht="15.75">
      <c r="A556" s="1"/>
      <c r="L556" s="4"/>
      <c r="T556" s="1"/>
      <c r="Y556" s="1"/>
      <c r="AF556" s="1"/>
      <c r="AW556" s="1"/>
    </row>
    <row r="557" spans="1:49" ht="15.75">
      <c r="A557" s="1"/>
      <c r="L557" s="4"/>
      <c r="T557" s="1"/>
      <c r="Y557" s="1"/>
      <c r="AF557" s="1"/>
      <c r="AW557" s="1"/>
    </row>
    <row r="558" spans="1:49" ht="15.75">
      <c r="A558" s="1"/>
      <c r="L558" s="4"/>
      <c r="T558" s="1"/>
      <c r="Y558" s="1"/>
      <c r="AF558" s="1"/>
      <c r="AW558" s="1"/>
    </row>
    <row r="559" spans="1:49" ht="15.75">
      <c r="A559" s="1"/>
      <c r="L559" s="4"/>
      <c r="T559" s="1"/>
      <c r="Y559" s="1"/>
      <c r="AF559" s="1"/>
      <c r="AW559" s="1"/>
    </row>
    <row r="560" spans="1:49" ht="15.75">
      <c r="A560" s="1"/>
      <c r="L560" s="4"/>
      <c r="T560" s="1"/>
      <c r="Y560" s="1"/>
      <c r="AF560" s="1"/>
      <c r="AW560" s="1"/>
    </row>
    <row r="561" spans="1:49" ht="15.75">
      <c r="A561" s="1"/>
      <c r="L561" s="4"/>
      <c r="T561" s="1"/>
      <c r="Y561" s="1"/>
      <c r="AF561" s="1"/>
      <c r="AW561" s="1"/>
    </row>
    <row r="562" spans="1:49" ht="15.75">
      <c r="A562" s="1"/>
      <c r="L562" s="4"/>
      <c r="T562" s="1"/>
      <c r="Y562" s="1"/>
      <c r="AF562" s="1"/>
      <c r="AW562" s="1"/>
    </row>
    <row r="563" spans="1:49" ht="15.75">
      <c r="A563" s="1"/>
      <c r="L563" s="4"/>
      <c r="T563" s="1"/>
      <c r="Y563" s="1"/>
      <c r="AF563" s="1"/>
      <c r="AW563" s="1"/>
    </row>
    <row r="564" spans="1:49" ht="15.75">
      <c r="A564" s="1"/>
      <c r="L564" s="4"/>
      <c r="T564" s="1"/>
      <c r="Y564" s="1"/>
      <c r="AF564" s="1"/>
      <c r="AW564" s="1"/>
    </row>
    <row r="565" spans="1:49" ht="15.75">
      <c r="A565" s="1"/>
      <c r="L565" s="4"/>
      <c r="T565" s="1"/>
      <c r="Y565" s="1"/>
      <c r="AF565" s="1"/>
      <c r="AW565" s="1"/>
    </row>
    <row r="566" spans="1:49" ht="15.75">
      <c r="A566" s="1"/>
      <c r="L566" s="4"/>
      <c r="T566" s="1"/>
      <c r="Y566" s="1"/>
      <c r="AF566" s="1"/>
      <c r="AW566" s="1"/>
    </row>
    <row r="567" spans="1:49" ht="15.75">
      <c r="A567" s="1"/>
      <c r="L567" s="4"/>
      <c r="T567" s="1"/>
      <c r="Y567" s="1"/>
      <c r="AF567" s="1"/>
      <c r="AW567" s="1"/>
    </row>
    <row r="568" spans="1:49" ht="15.75">
      <c r="A568" s="1"/>
      <c r="L568" s="4"/>
      <c r="T568" s="1"/>
      <c r="Y568" s="1"/>
      <c r="AF568" s="1"/>
      <c r="AW568" s="1"/>
    </row>
    <row r="569" spans="1:49" ht="15.75">
      <c r="A569" s="1"/>
      <c r="L569" s="4"/>
      <c r="T569" s="1"/>
      <c r="Y569" s="1"/>
      <c r="AF569" s="1"/>
      <c r="AW569" s="1"/>
    </row>
    <row r="570" spans="1:49" ht="15.75">
      <c r="A570" s="1"/>
      <c r="L570" s="4"/>
      <c r="T570" s="1"/>
      <c r="Y570" s="1"/>
      <c r="AF570" s="1"/>
      <c r="AW570" s="1"/>
    </row>
    <row r="571" spans="1:49" ht="15.75">
      <c r="A571" s="1"/>
      <c r="L571" s="4"/>
      <c r="T571" s="1"/>
      <c r="Y571" s="1"/>
      <c r="AF571" s="1"/>
      <c r="AW571" s="1"/>
    </row>
    <row r="572" spans="1:49" ht="15.75">
      <c r="A572" s="1"/>
      <c r="L572" s="4"/>
      <c r="T572" s="1"/>
      <c r="Y572" s="1"/>
      <c r="AF572" s="1"/>
      <c r="AW572" s="1"/>
    </row>
    <row r="573" spans="1:49" ht="15.75">
      <c r="A573" s="1"/>
      <c r="L573" s="4"/>
      <c r="T573" s="1"/>
      <c r="Y573" s="1"/>
      <c r="AF573" s="1"/>
      <c r="AW573" s="1"/>
    </row>
    <row r="574" spans="1:49" ht="15.75">
      <c r="A574" s="1"/>
      <c r="L574" s="4"/>
      <c r="T574" s="1"/>
      <c r="Y574" s="1"/>
      <c r="AF574" s="1"/>
      <c r="AW574" s="1"/>
    </row>
    <row r="575" spans="1:49" ht="15.75">
      <c r="A575" s="1"/>
      <c r="L575" s="4"/>
      <c r="T575" s="1"/>
      <c r="Y575" s="1"/>
      <c r="AF575" s="1"/>
      <c r="AW575" s="1"/>
    </row>
    <row r="576" spans="1:49" ht="15.75">
      <c r="A576" s="1"/>
      <c r="L576" s="4"/>
      <c r="T576" s="1"/>
      <c r="Y576" s="1"/>
      <c r="AF576" s="1"/>
      <c r="AW576" s="1"/>
    </row>
    <row r="577" spans="1:49" ht="15.75">
      <c r="A577" s="1"/>
      <c r="L577" s="4"/>
      <c r="T577" s="1"/>
      <c r="Y577" s="1"/>
      <c r="AF577" s="1"/>
      <c r="AW577" s="1"/>
    </row>
    <row r="578" spans="1:49" ht="15.75">
      <c r="A578" s="1"/>
      <c r="L578" s="4"/>
      <c r="T578" s="1"/>
      <c r="Y578" s="1"/>
      <c r="AF578" s="1"/>
      <c r="AW578" s="1"/>
    </row>
    <row r="579" spans="1:49" ht="15.75">
      <c r="A579" s="1"/>
      <c r="L579" s="4"/>
      <c r="T579" s="1"/>
      <c r="Y579" s="1"/>
      <c r="AF579" s="1"/>
      <c r="AW579" s="1"/>
    </row>
    <row r="580" spans="1:49" ht="15.75">
      <c r="A580" s="1"/>
      <c r="L580" s="4"/>
      <c r="T580" s="1"/>
      <c r="Y580" s="1"/>
      <c r="AF580" s="1"/>
      <c r="AW580" s="1"/>
    </row>
    <row r="581" spans="1:49" ht="15.75">
      <c r="A581" s="1"/>
      <c r="L581" s="4"/>
      <c r="T581" s="1"/>
      <c r="Y581" s="1"/>
      <c r="AF581" s="1"/>
      <c r="AW581" s="1"/>
    </row>
    <row r="582" spans="1:49" ht="15.75">
      <c r="A582" s="1"/>
      <c r="L582" s="4"/>
      <c r="T582" s="1"/>
      <c r="Y582" s="1"/>
      <c r="AF582" s="1"/>
      <c r="AW582" s="1"/>
    </row>
    <row r="583" spans="1:49" ht="15.75">
      <c r="A583" s="1"/>
      <c r="L583" s="4"/>
      <c r="T583" s="1"/>
      <c r="Y583" s="1"/>
      <c r="AF583" s="1"/>
      <c r="AW583" s="1"/>
    </row>
    <row r="584" spans="1:49" ht="15.75">
      <c r="A584" s="1"/>
      <c r="L584" s="4"/>
      <c r="T584" s="1"/>
      <c r="Y584" s="1"/>
      <c r="AF584" s="1"/>
      <c r="AW584" s="1"/>
    </row>
    <row r="585" spans="1:49" ht="15.75">
      <c r="A585" s="1"/>
      <c r="L585" s="4"/>
      <c r="T585" s="1"/>
      <c r="Y585" s="1"/>
      <c r="AF585" s="1"/>
      <c r="AW585" s="1"/>
    </row>
    <row r="586" spans="1:49" ht="15.75">
      <c r="A586" s="1"/>
      <c r="L586" s="4"/>
      <c r="T586" s="1"/>
      <c r="Y586" s="1"/>
      <c r="AF586" s="1"/>
      <c r="AW586" s="1"/>
    </row>
    <row r="587" spans="1:49" ht="15.75">
      <c r="A587" s="1"/>
      <c r="L587" s="4"/>
      <c r="T587" s="1"/>
      <c r="Y587" s="1"/>
      <c r="AF587" s="1"/>
      <c r="AW587" s="1"/>
    </row>
    <row r="588" spans="1:49" ht="15.75">
      <c r="A588" s="1"/>
      <c r="L588" s="4"/>
      <c r="T588" s="1"/>
      <c r="Y588" s="1"/>
      <c r="AF588" s="1"/>
      <c r="AW588" s="1"/>
    </row>
    <row r="589" spans="1:49" ht="15.75">
      <c r="A589" s="1"/>
      <c r="L589" s="4"/>
      <c r="T589" s="1"/>
      <c r="Y589" s="1"/>
      <c r="AF589" s="1"/>
      <c r="AW589" s="1"/>
    </row>
    <row r="590" spans="1:49" ht="15.75">
      <c r="A590" s="1"/>
      <c r="L590" s="4"/>
      <c r="T590" s="1"/>
      <c r="Y590" s="1"/>
      <c r="AF590" s="1"/>
      <c r="AW590" s="1"/>
    </row>
    <row r="591" spans="1:49" ht="15.75">
      <c r="A591" s="1"/>
      <c r="L591" s="4"/>
      <c r="T591" s="1"/>
      <c r="Y591" s="1"/>
      <c r="AF591" s="1"/>
      <c r="AW591" s="1"/>
    </row>
    <row r="592" spans="1:49" ht="15.75">
      <c r="A592" s="1"/>
      <c r="L592" s="4"/>
      <c r="T592" s="1"/>
      <c r="Y592" s="1"/>
      <c r="AF592" s="1"/>
      <c r="AW592" s="1"/>
    </row>
    <row r="593" spans="1:49" ht="15.75">
      <c r="A593" s="1"/>
      <c r="L593" s="4"/>
      <c r="T593" s="1"/>
      <c r="Y593" s="1"/>
      <c r="AF593" s="1"/>
      <c r="AW593" s="1"/>
    </row>
    <row r="594" spans="1:49" ht="15.75">
      <c r="A594" s="1"/>
      <c r="L594" s="4"/>
      <c r="T594" s="1"/>
      <c r="Y594" s="1"/>
      <c r="AF594" s="1"/>
      <c r="AW594" s="1"/>
    </row>
    <row r="595" spans="1:49" ht="15.75">
      <c r="A595" s="1"/>
      <c r="L595" s="4"/>
      <c r="T595" s="1"/>
      <c r="Y595" s="1"/>
      <c r="AF595" s="1"/>
      <c r="AW595" s="1"/>
    </row>
    <row r="596" spans="1:49" ht="15.75">
      <c r="A596" s="1"/>
      <c r="L596" s="4"/>
      <c r="T596" s="1"/>
      <c r="Y596" s="1"/>
      <c r="AF596" s="1"/>
      <c r="AW596" s="1"/>
    </row>
    <row r="597" spans="1:49" ht="15.75">
      <c r="A597" s="1"/>
      <c r="L597" s="4"/>
      <c r="T597" s="1"/>
      <c r="Y597" s="1"/>
      <c r="AF597" s="1"/>
      <c r="AW597" s="1"/>
    </row>
    <row r="598" spans="1:49" ht="15.75">
      <c r="A598" s="1"/>
      <c r="L598" s="4"/>
      <c r="T598" s="1"/>
      <c r="Y598" s="1"/>
      <c r="AF598" s="1"/>
      <c r="AW598" s="1"/>
    </row>
    <row r="599" spans="1:49" ht="15.75">
      <c r="A599" s="1"/>
      <c r="L599" s="4"/>
      <c r="T599" s="1"/>
      <c r="Y599" s="1"/>
      <c r="AF599" s="1"/>
      <c r="AW599" s="1"/>
    </row>
    <row r="600" spans="1:49" ht="15.75">
      <c r="A600" s="1"/>
      <c r="L600" s="4"/>
      <c r="T600" s="1"/>
      <c r="Y600" s="1"/>
      <c r="AF600" s="1"/>
      <c r="AW600" s="1"/>
    </row>
    <row r="601" spans="1:49" ht="15.75">
      <c r="A601" s="1"/>
      <c r="L601" s="4"/>
      <c r="T601" s="1"/>
      <c r="Y601" s="1"/>
      <c r="AF601" s="1"/>
      <c r="AW601" s="1"/>
    </row>
    <row r="602" spans="1:49" ht="15.75">
      <c r="A602" s="1"/>
      <c r="L602" s="4"/>
      <c r="T602" s="1"/>
      <c r="Y602" s="1"/>
      <c r="AF602" s="1"/>
      <c r="AW602" s="1"/>
    </row>
    <row r="603" spans="1:49" ht="15.75">
      <c r="A603" s="1"/>
      <c r="L603" s="4"/>
      <c r="T603" s="1"/>
      <c r="Y603" s="1"/>
      <c r="AF603" s="1"/>
      <c r="AW603" s="1"/>
    </row>
    <row r="604" spans="1:49" ht="15.75">
      <c r="A604" s="1"/>
      <c r="L604" s="4"/>
      <c r="T604" s="1"/>
      <c r="Y604" s="1"/>
      <c r="AF604" s="1"/>
      <c r="AW604" s="1"/>
    </row>
    <row r="605" spans="1:49" ht="15.75">
      <c r="A605" s="1"/>
      <c r="L605" s="4"/>
      <c r="T605" s="1"/>
      <c r="Y605" s="1"/>
      <c r="AF605" s="1"/>
      <c r="AW605" s="1"/>
    </row>
    <row r="606" spans="1:49" ht="15.75">
      <c r="A606" s="1"/>
      <c r="L606" s="4"/>
      <c r="T606" s="1"/>
      <c r="Y606" s="1"/>
      <c r="AF606" s="1"/>
      <c r="AW606" s="1"/>
    </row>
    <row r="607" spans="1:49" ht="15.75">
      <c r="A607" s="1"/>
      <c r="L607" s="4"/>
      <c r="T607" s="1"/>
      <c r="Y607" s="1"/>
      <c r="AF607" s="1"/>
      <c r="AW607" s="1"/>
    </row>
    <row r="608" spans="1:49" ht="15.75">
      <c r="A608" s="1"/>
      <c r="L608" s="4"/>
      <c r="T608" s="1"/>
      <c r="Y608" s="1"/>
      <c r="AF608" s="1"/>
      <c r="AW608" s="1"/>
    </row>
    <row r="609" spans="1:49" ht="15.75">
      <c r="A609" s="1"/>
      <c r="L609" s="4"/>
      <c r="T609" s="1"/>
      <c r="Y609" s="1"/>
      <c r="AF609" s="1"/>
      <c r="AW609" s="1"/>
    </row>
    <row r="610" spans="1:49" ht="15.75">
      <c r="A610" s="1"/>
      <c r="L610" s="4"/>
      <c r="T610" s="1"/>
      <c r="Y610" s="1"/>
      <c r="AF610" s="1"/>
      <c r="AW610" s="1"/>
    </row>
    <row r="611" spans="1:49" ht="15.75">
      <c r="A611" s="1"/>
      <c r="L611" s="4"/>
      <c r="T611" s="1"/>
      <c r="Y611" s="1"/>
      <c r="AF611" s="1"/>
      <c r="AW611" s="1"/>
    </row>
    <row r="612" spans="1:49" ht="15.75">
      <c r="A612" s="1"/>
      <c r="L612" s="4"/>
      <c r="T612" s="1"/>
      <c r="Y612" s="1"/>
      <c r="AF612" s="1"/>
      <c r="AW612" s="1"/>
    </row>
    <row r="613" spans="1:49" ht="15.75">
      <c r="A613" s="1"/>
      <c r="L613" s="4"/>
      <c r="T613" s="1"/>
      <c r="Y613" s="1"/>
      <c r="AF613" s="1"/>
      <c r="AW613" s="1"/>
    </row>
    <row r="614" spans="1:49" ht="15.75">
      <c r="A614" s="1"/>
      <c r="L614" s="4"/>
      <c r="T614" s="1"/>
      <c r="Y614" s="1"/>
      <c r="AF614" s="1"/>
      <c r="AW614" s="1"/>
    </row>
    <row r="615" spans="1:49" ht="15.75">
      <c r="A615" s="1"/>
      <c r="L615" s="4"/>
      <c r="T615" s="1"/>
      <c r="Y615" s="1"/>
      <c r="AF615" s="1"/>
      <c r="AW615" s="1"/>
    </row>
    <row r="616" spans="1:49" ht="15.75">
      <c r="A616" s="1"/>
      <c r="L616" s="4"/>
      <c r="T616" s="1"/>
      <c r="Y616" s="1"/>
      <c r="AF616" s="1"/>
      <c r="AW616" s="1"/>
    </row>
    <row r="617" spans="1:49" ht="15.75">
      <c r="A617" s="1"/>
      <c r="L617" s="4"/>
      <c r="T617" s="1"/>
      <c r="Y617" s="1"/>
      <c r="AF617" s="1"/>
      <c r="AW617" s="1"/>
    </row>
    <row r="618" spans="1:49" ht="15.75">
      <c r="A618" s="1"/>
      <c r="L618" s="4"/>
      <c r="T618" s="1"/>
      <c r="Y618" s="1"/>
      <c r="AF618" s="1"/>
      <c r="AW618" s="1"/>
    </row>
    <row r="619" spans="1:49" ht="15.75">
      <c r="A619" s="1"/>
      <c r="L619" s="4"/>
      <c r="T619" s="1"/>
      <c r="Y619" s="1"/>
      <c r="AF619" s="1"/>
      <c r="AW619" s="1"/>
    </row>
    <row r="620" spans="1:49" ht="15.75">
      <c r="A620" s="1"/>
      <c r="L620" s="4"/>
      <c r="T620" s="1"/>
      <c r="Y620" s="1"/>
      <c r="AF620" s="1"/>
      <c r="AW620" s="1"/>
    </row>
    <row r="621" spans="1:49" ht="15.75">
      <c r="A621" s="1"/>
      <c r="L621" s="4"/>
      <c r="T621" s="1"/>
      <c r="Y621" s="1"/>
      <c r="AF621" s="1"/>
      <c r="AW621" s="1"/>
    </row>
    <row r="622" spans="1:49" ht="15.75">
      <c r="A622" s="1"/>
      <c r="L622" s="4"/>
      <c r="T622" s="1"/>
      <c r="Y622" s="1"/>
      <c r="AF622" s="1"/>
      <c r="AW622" s="1"/>
    </row>
    <row r="623" spans="1:49" ht="15.75">
      <c r="A623" s="1"/>
      <c r="L623" s="4"/>
      <c r="T623" s="1"/>
      <c r="Y623" s="1"/>
      <c r="AF623" s="1"/>
      <c r="AW623" s="1"/>
    </row>
    <row r="624" spans="1:49" ht="15.75">
      <c r="A624" s="1"/>
      <c r="L624" s="4"/>
      <c r="T624" s="1"/>
      <c r="Y624" s="1"/>
      <c r="AF624" s="1"/>
      <c r="AW624" s="1"/>
    </row>
    <row r="625" spans="1:49" ht="15.75">
      <c r="A625" s="1"/>
      <c r="L625" s="4"/>
      <c r="T625" s="1"/>
      <c r="Y625" s="1"/>
      <c r="AF625" s="1"/>
      <c r="AW625" s="1"/>
    </row>
    <row r="626" spans="1:49" ht="15.75">
      <c r="A626" s="1"/>
      <c r="L626" s="4"/>
      <c r="T626" s="1"/>
      <c r="Y626" s="1"/>
      <c r="AF626" s="1"/>
      <c r="AW626" s="1"/>
    </row>
    <row r="627" spans="1:49" ht="15.75">
      <c r="A627" s="1"/>
      <c r="L627" s="4"/>
      <c r="T627" s="1"/>
      <c r="Y627" s="1"/>
      <c r="AF627" s="1"/>
      <c r="AW627" s="1"/>
    </row>
    <row r="628" spans="1:49" ht="15.75">
      <c r="A628" s="1"/>
      <c r="L628" s="4"/>
      <c r="T628" s="1"/>
      <c r="Y628" s="1"/>
      <c r="AF628" s="1"/>
      <c r="AW628" s="1"/>
    </row>
    <row r="629" spans="1:49" ht="15.75">
      <c r="A629" s="1"/>
      <c r="L629" s="4"/>
      <c r="T629" s="1"/>
      <c r="Y629" s="1"/>
      <c r="AF629" s="1"/>
      <c r="AW629" s="1"/>
    </row>
    <row r="630" spans="1:49" ht="15.75">
      <c r="A630" s="1"/>
      <c r="L630" s="4"/>
      <c r="T630" s="1"/>
      <c r="Y630" s="1"/>
      <c r="AF630" s="1"/>
      <c r="AW630" s="1"/>
    </row>
    <row r="631" spans="1:49" ht="15.75">
      <c r="A631" s="1"/>
      <c r="L631" s="4"/>
      <c r="T631" s="1"/>
      <c r="Y631" s="1"/>
      <c r="AF631" s="1"/>
      <c r="AW631" s="1"/>
    </row>
    <row r="632" spans="1:49" ht="15.75">
      <c r="A632" s="1"/>
      <c r="L632" s="4"/>
      <c r="T632" s="1"/>
      <c r="Y632" s="1"/>
      <c r="AF632" s="1"/>
      <c r="AW632" s="1"/>
    </row>
    <row r="633" spans="1:49" ht="15.75">
      <c r="A633" s="1"/>
      <c r="L633" s="4"/>
      <c r="T633" s="1"/>
      <c r="Y633" s="1"/>
      <c r="AF633" s="1"/>
      <c r="AW633" s="1"/>
    </row>
    <row r="634" spans="1:49" ht="15.75">
      <c r="A634" s="1"/>
      <c r="L634" s="4"/>
      <c r="T634" s="1"/>
      <c r="Y634" s="1"/>
      <c r="AF634" s="1"/>
      <c r="AW634" s="1"/>
    </row>
    <row r="635" spans="1:49" ht="15.75">
      <c r="A635" s="1"/>
      <c r="L635" s="4"/>
      <c r="T635" s="1"/>
      <c r="Y635" s="1"/>
      <c r="AF635" s="1"/>
      <c r="AW635" s="1"/>
    </row>
    <row r="636" spans="1:49" ht="15.75">
      <c r="A636" s="1"/>
      <c r="L636" s="4"/>
      <c r="T636" s="1"/>
      <c r="Y636" s="1"/>
      <c r="AF636" s="1"/>
      <c r="AW636" s="1"/>
    </row>
    <row r="637" spans="1:49" ht="15.75">
      <c r="A637" s="1"/>
      <c r="L637" s="4"/>
      <c r="T637" s="1"/>
      <c r="Y637" s="1"/>
      <c r="AF637" s="1"/>
      <c r="AW637" s="1"/>
    </row>
    <row r="638" spans="1:49" ht="15.75">
      <c r="A638" s="1"/>
      <c r="L638" s="4"/>
      <c r="T638" s="1"/>
      <c r="Y638" s="1"/>
      <c r="AF638" s="1"/>
      <c r="AW638" s="1"/>
    </row>
    <row r="639" spans="1:49" ht="15.75">
      <c r="A639" s="1"/>
      <c r="L639" s="4"/>
      <c r="T639" s="1"/>
      <c r="Y639" s="1"/>
      <c r="AF639" s="1"/>
      <c r="AW639" s="1"/>
    </row>
    <row r="640" spans="1:49" ht="15.75">
      <c r="A640" s="1"/>
      <c r="L640" s="4"/>
      <c r="T640" s="1"/>
      <c r="Y640" s="1"/>
      <c r="AF640" s="1"/>
      <c r="AW640" s="1"/>
    </row>
    <row r="641" spans="1:49" ht="15.75">
      <c r="A641" s="1"/>
      <c r="L641" s="4"/>
      <c r="T641" s="1"/>
      <c r="Y641" s="1"/>
      <c r="AF641" s="1"/>
      <c r="AW641" s="1"/>
    </row>
    <row r="642" spans="1:49" ht="15.75">
      <c r="A642" s="1"/>
      <c r="L642" s="4"/>
      <c r="T642" s="1"/>
      <c r="Y642" s="1"/>
      <c r="AF642" s="1"/>
      <c r="AW642" s="1"/>
    </row>
    <row r="643" spans="1:49" ht="15.75">
      <c r="A643" s="1"/>
      <c r="L643" s="4"/>
      <c r="T643" s="1"/>
      <c r="Y643" s="1"/>
      <c r="AF643" s="1"/>
      <c r="AW643" s="1"/>
    </row>
    <row r="644" spans="1:49" ht="15.75">
      <c r="A644" s="1"/>
      <c r="L644" s="4"/>
      <c r="T644" s="1"/>
      <c r="Y644" s="1"/>
      <c r="AF644" s="1"/>
      <c r="AW644" s="1"/>
    </row>
    <row r="645" spans="1:49" ht="15.75">
      <c r="A645" s="1"/>
      <c r="L645" s="4"/>
      <c r="T645" s="1"/>
      <c r="Y645" s="1"/>
      <c r="AF645" s="1"/>
      <c r="AW645" s="1"/>
    </row>
    <row r="646" spans="1:49" ht="15.75">
      <c r="A646" s="1"/>
      <c r="L646" s="4"/>
      <c r="T646" s="1"/>
      <c r="Y646" s="1"/>
      <c r="AF646" s="1"/>
      <c r="AW646" s="1"/>
    </row>
    <row r="647" spans="1:49" ht="15.75">
      <c r="A647" s="1"/>
      <c r="L647" s="4"/>
      <c r="T647" s="1"/>
      <c r="Y647" s="1"/>
      <c r="AF647" s="1"/>
      <c r="AW647" s="1"/>
    </row>
    <row r="648" spans="1:49" ht="15.75">
      <c r="A648" s="1"/>
      <c r="L648" s="4"/>
      <c r="T648" s="1"/>
      <c r="Y648" s="1"/>
      <c r="AF648" s="1"/>
      <c r="AW648" s="1"/>
    </row>
    <row r="649" spans="1:49" ht="15.75">
      <c r="A649" s="1"/>
      <c r="L649" s="4"/>
      <c r="T649" s="1"/>
      <c r="Y649" s="1"/>
      <c r="AF649" s="1"/>
      <c r="AW649" s="1"/>
    </row>
    <row r="650" spans="1:49" ht="15.75">
      <c r="A650" s="1"/>
      <c r="L650" s="4"/>
      <c r="T650" s="1"/>
      <c r="Y650" s="1"/>
      <c r="AF650" s="1"/>
      <c r="AW650" s="1"/>
    </row>
    <row r="651" spans="1:49" ht="15.75">
      <c r="A651" s="1"/>
      <c r="L651" s="4"/>
      <c r="T651" s="1"/>
      <c r="Y651" s="1"/>
      <c r="AF651" s="1"/>
      <c r="AW651" s="1"/>
    </row>
    <row r="652" spans="1:49" ht="15.75">
      <c r="A652" s="1"/>
      <c r="L652" s="4"/>
      <c r="T652" s="1"/>
      <c r="Y652" s="1"/>
      <c r="AF652" s="1"/>
      <c r="AW652" s="1"/>
    </row>
    <row r="653" spans="1:49" ht="15.75">
      <c r="A653" s="1"/>
      <c r="L653" s="4"/>
      <c r="T653" s="1"/>
      <c r="Y653" s="1"/>
      <c r="AF653" s="1"/>
      <c r="AW653" s="1"/>
    </row>
    <row r="654" spans="1:49" ht="15.75">
      <c r="A654" s="1"/>
      <c r="L654" s="4"/>
      <c r="T654" s="1"/>
      <c r="Y654" s="1"/>
      <c r="AF654" s="1"/>
      <c r="AW654" s="1"/>
    </row>
    <row r="655" spans="1:49" ht="15.75">
      <c r="A655" s="1"/>
      <c r="L655" s="4"/>
      <c r="T655" s="1"/>
      <c r="Y655" s="1"/>
      <c r="AF655" s="1"/>
      <c r="AW655" s="1"/>
    </row>
    <row r="656" spans="1:49" ht="15.75">
      <c r="A656" s="1"/>
      <c r="L656" s="4"/>
      <c r="T656" s="1"/>
      <c r="Y656" s="1"/>
      <c r="AF656" s="1"/>
      <c r="AW656" s="1"/>
    </row>
    <row r="657" spans="1:49" ht="15.75">
      <c r="A657" s="1"/>
      <c r="L657" s="4"/>
      <c r="T657" s="1"/>
      <c r="Y657" s="1"/>
      <c r="AF657" s="1"/>
      <c r="AW657" s="1"/>
    </row>
    <row r="658" spans="1:49" ht="15.75">
      <c r="A658" s="1"/>
      <c r="L658" s="4"/>
      <c r="T658" s="1"/>
      <c r="Y658" s="1"/>
      <c r="AF658" s="1"/>
      <c r="AW658" s="1"/>
    </row>
    <row r="659" spans="1:49" ht="15.75">
      <c r="A659" s="1"/>
      <c r="L659" s="4"/>
      <c r="T659" s="1"/>
      <c r="Y659" s="1"/>
      <c r="AF659" s="1"/>
      <c r="AW659" s="1"/>
    </row>
    <row r="660" spans="1:49" ht="15.75">
      <c r="A660" s="1"/>
      <c r="L660" s="4"/>
      <c r="T660" s="1"/>
      <c r="Y660" s="1"/>
      <c r="AF660" s="1"/>
      <c r="AW660" s="1"/>
    </row>
    <row r="661" spans="1:49" ht="15.75">
      <c r="A661" s="1"/>
      <c r="L661" s="4"/>
      <c r="T661" s="1"/>
      <c r="Y661" s="1"/>
      <c r="AF661" s="1"/>
      <c r="AW661" s="1"/>
    </row>
    <row r="662" spans="1:49" ht="15.75">
      <c r="A662" s="1"/>
      <c r="L662" s="4"/>
      <c r="T662" s="1"/>
      <c r="Y662" s="1"/>
      <c r="AF662" s="1"/>
      <c r="AW662" s="1"/>
    </row>
    <row r="663" spans="1:49" ht="15.75">
      <c r="A663" s="1"/>
      <c r="L663" s="4"/>
      <c r="T663" s="1"/>
      <c r="Y663" s="1"/>
      <c r="AF663" s="1"/>
      <c r="AW663" s="1"/>
    </row>
    <row r="664" spans="1:49" ht="15.75">
      <c r="A664" s="1"/>
      <c r="L664" s="4"/>
      <c r="T664" s="1"/>
      <c r="Y664" s="1"/>
      <c r="AF664" s="1"/>
      <c r="AW664" s="1"/>
    </row>
    <row r="665" spans="1:49" ht="15.75">
      <c r="A665" s="1"/>
      <c r="L665" s="4"/>
      <c r="T665" s="1"/>
      <c r="Y665" s="1"/>
      <c r="AF665" s="1"/>
      <c r="AW665" s="1"/>
    </row>
    <row r="666" spans="1:49" ht="15.75">
      <c r="A666" s="1"/>
      <c r="L666" s="4"/>
      <c r="T666" s="1"/>
      <c r="Y666" s="1"/>
      <c r="AF666" s="1"/>
      <c r="AW666" s="1"/>
    </row>
    <row r="667" spans="1:49" ht="15.75">
      <c r="A667" s="1"/>
      <c r="L667" s="4"/>
      <c r="T667" s="1"/>
      <c r="Y667" s="1"/>
      <c r="AF667" s="1"/>
      <c r="AW667" s="1"/>
    </row>
    <row r="668" spans="1:49" ht="15.75">
      <c r="A668" s="1"/>
      <c r="L668" s="4"/>
      <c r="T668" s="1"/>
      <c r="Y668" s="1"/>
      <c r="AF668" s="1"/>
      <c r="AW668" s="1"/>
    </row>
    <row r="669" spans="1:49" ht="15.75">
      <c r="A669" s="1"/>
      <c r="L669" s="4"/>
      <c r="T669" s="1"/>
      <c r="Y669" s="1"/>
      <c r="AF669" s="1"/>
      <c r="AW669" s="1"/>
    </row>
    <row r="670" spans="1:49" ht="15.75">
      <c r="A670" s="1"/>
      <c r="L670" s="4"/>
      <c r="T670" s="1"/>
      <c r="Y670" s="1"/>
      <c r="AF670" s="1"/>
      <c r="AW670" s="1"/>
    </row>
    <row r="671" spans="1:49" ht="15.75">
      <c r="A671" s="1"/>
      <c r="L671" s="4"/>
      <c r="T671" s="1"/>
      <c r="Y671" s="1"/>
      <c r="AF671" s="1"/>
      <c r="AW671" s="1"/>
    </row>
    <row r="672" spans="1:49" ht="15.75">
      <c r="A672" s="1"/>
      <c r="L672" s="4"/>
      <c r="T672" s="1"/>
      <c r="Y672" s="1"/>
      <c r="AF672" s="1"/>
      <c r="AW672" s="1"/>
    </row>
    <row r="673" spans="1:49" ht="15.75">
      <c r="A673" s="1"/>
      <c r="L673" s="4"/>
      <c r="T673" s="1"/>
      <c r="Y673" s="1"/>
      <c r="AF673" s="1"/>
      <c r="AW673" s="1"/>
    </row>
    <row r="674" spans="1:49" ht="15.75">
      <c r="A674" s="1"/>
      <c r="L674" s="4"/>
      <c r="T674" s="1"/>
      <c r="Y674" s="1"/>
      <c r="AF674" s="1"/>
      <c r="AW674" s="1"/>
    </row>
    <row r="675" spans="1:49" ht="15.75">
      <c r="A675" s="1"/>
      <c r="L675" s="4"/>
      <c r="T675" s="1"/>
      <c r="Y675" s="1"/>
      <c r="AF675" s="1"/>
      <c r="AW675" s="1"/>
    </row>
    <row r="676" spans="1:49" ht="15.75">
      <c r="A676" s="1"/>
      <c r="L676" s="4"/>
      <c r="T676" s="1"/>
      <c r="Y676" s="1"/>
      <c r="AF676" s="1"/>
      <c r="AW676" s="1"/>
    </row>
    <row r="677" spans="1:49" ht="15.75">
      <c r="A677" s="1"/>
      <c r="L677" s="4"/>
      <c r="T677" s="1"/>
      <c r="Y677" s="1"/>
      <c r="AF677" s="1"/>
      <c r="AW677" s="1"/>
    </row>
    <row r="678" spans="1:49" ht="15.75">
      <c r="A678" s="1"/>
      <c r="L678" s="4"/>
      <c r="T678" s="1"/>
      <c r="Y678" s="1"/>
      <c r="AF678" s="1"/>
      <c r="AW678" s="1"/>
    </row>
    <row r="679" spans="1:49" ht="15.75">
      <c r="A679" s="1"/>
      <c r="L679" s="4"/>
      <c r="T679" s="1"/>
      <c r="Y679" s="1"/>
      <c r="AF679" s="1"/>
      <c r="AW679" s="1"/>
    </row>
    <row r="680" spans="1:49" ht="15.75">
      <c r="A680" s="1"/>
      <c r="L680" s="4"/>
      <c r="T680" s="1"/>
      <c r="Y680" s="1"/>
      <c r="AF680" s="1"/>
      <c r="AW680" s="1"/>
    </row>
    <row r="681" spans="1:49" ht="15.75">
      <c r="A681" s="1"/>
      <c r="L681" s="4"/>
      <c r="T681" s="1"/>
      <c r="Y681" s="1"/>
      <c r="AF681" s="1"/>
      <c r="AW681" s="1"/>
    </row>
    <row r="682" spans="1:49" ht="15.75">
      <c r="A682" s="1"/>
      <c r="L682" s="4"/>
      <c r="T682" s="1"/>
      <c r="Y682" s="1"/>
      <c r="AF682" s="1"/>
      <c r="AW682" s="1"/>
    </row>
    <row r="683" spans="1:49" ht="15.75">
      <c r="A683" s="1"/>
      <c r="L683" s="4"/>
      <c r="T683" s="1"/>
      <c r="Y683" s="1"/>
      <c r="AF683" s="1"/>
      <c r="AW683" s="1"/>
    </row>
    <row r="684" spans="1:49" ht="15.75">
      <c r="A684" s="1"/>
      <c r="L684" s="4"/>
      <c r="T684" s="1"/>
      <c r="Y684" s="1"/>
      <c r="AF684" s="1"/>
      <c r="AW684" s="1"/>
    </row>
    <row r="685" spans="1:49" ht="15.75">
      <c r="A685" s="1"/>
      <c r="L685" s="4"/>
      <c r="T685" s="1"/>
      <c r="Y685" s="1"/>
      <c r="AF685" s="1"/>
      <c r="AW685" s="1"/>
    </row>
    <row r="686" spans="1:49" ht="15.75">
      <c r="A686" s="1"/>
      <c r="L686" s="4"/>
      <c r="T686" s="1"/>
      <c r="Y686" s="1"/>
      <c r="AF686" s="1"/>
      <c r="AW686" s="1"/>
    </row>
    <row r="687" spans="1:49" ht="15.75">
      <c r="A687" s="1"/>
      <c r="L687" s="4"/>
      <c r="T687" s="1"/>
      <c r="Y687" s="1"/>
      <c r="AF687" s="1"/>
      <c r="AW687" s="1"/>
    </row>
    <row r="688" spans="1:49" ht="15.75">
      <c r="A688" s="1"/>
      <c r="L688" s="4"/>
      <c r="T688" s="1"/>
      <c r="Y688" s="1"/>
      <c r="AF688" s="1"/>
      <c r="AW688" s="1"/>
    </row>
    <row r="689" spans="1:49" ht="15.75">
      <c r="A689" s="1"/>
      <c r="L689" s="4"/>
      <c r="T689" s="1"/>
      <c r="Y689" s="1"/>
      <c r="AF689" s="1"/>
      <c r="AW689" s="1"/>
    </row>
    <row r="690" spans="1:49" ht="15.75">
      <c r="A690" s="1"/>
      <c r="L690" s="4"/>
      <c r="T690" s="1"/>
      <c r="Y690" s="1"/>
      <c r="AF690" s="1"/>
      <c r="AW690" s="1"/>
    </row>
    <row r="691" spans="1:49" ht="15.75">
      <c r="A691" s="1"/>
      <c r="L691" s="4"/>
      <c r="T691" s="1"/>
      <c r="Y691" s="1"/>
      <c r="AF691" s="1"/>
      <c r="AW691" s="1"/>
    </row>
    <row r="692" spans="1:49" ht="15.75">
      <c r="A692" s="1"/>
      <c r="L692" s="4"/>
      <c r="T692" s="1"/>
      <c r="Y692" s="1"/>
      <c r="AF692" s="1"/>
      <c r="AW692" s="1"/>
    </row>
    <row r="693" spans="1:49" ht="15.75">
      <c r="A693" s="1"/>
      <c r="L693" s="4"/>
      <c r="T693" s="1"/>
      <c r="Y693" s="1"/>
      <c r="AF693" s="1"/>
      <c r="AW693" s="1"/>
    </row>
    <row r="694" spans="1:49" ht="15.75">
      <c r="A694" s="1"/>
      <c r="L694" s="4"/>
      <c r="T694" s="1"/>
      <c r="Y694" s="1"/>
      <c r="AF694" s="1"/>
      <c r="AW694" s="1"/>
    </row>
    <row r="695" spans="1:49" ht="15.75">
      <c r="A695" s="1"/>
      <c r="L695" s="4"/>
      <c r="T695" s="1"/>
      <c r="Y695" s="1"/>
      <c r="AF695" s="1"/>
      <c r="AW695" s="1"/>
    </row>
    <row r="696" spans="1:49" ht="15.75">
      <c r="A696" s="1"/>
      <c r="L696" s="4"/>
      <c r="T696" s="1"/>
      <c r="Y696" s="1"/>
      <c r="AF696" s="1"/>
      <c r="AW696" s="1"/>
    </row>
    <row r="697" spans="1:49" ht="15.75">
      <c r="A697" s="1"/>
      <c r="L697" s="4"/>
      <c r="T697" s="1"/>
      <c r="Y697" s="1"/>
      <c r="AF697" s="1"/>
      <c r="AW697" s="1"/>
    </row>
    <row r="698" spans="1:49" ht="15.75">
      <c r="A698" s="1"/>
      <c r="L698" s="4"/>
      <c r="T698" s="1"/>
      <c r="Y698" s="1"/>
      <c r="AF698" s="1"/>
      <c r="AW698" s="1"/>
    </row>
    <row r="699" spans="1:49" ht="15.75">
      <c r="A699" s="1"/>
      <c r="L699" s="4"/>
      <c r="T699" s="1"/>
      <c r="Y699" s="1"/>
      <c r="AF699" s="1"/>
      <c r="AW699" s="1"/>
    </row>
    <row r="700" spans="1:49" ht="15.75">
      <c r="A700" s="1"/>
      <c r="L700" s="4"/>
      <c r="T700" s="1"/>
      <c r="Y700" s="1"/>
      <c r="AF700" s="1"/>
      <c r="AW700" s="1"/>
    </row>
    <row r="701" spans="1:49" ht="15.75">
      <c r="A701" s="1"/>
      <c r="L701" s="4"/>
      <c r="T701" s="1"/>
      <c r="Y701" s="1"/>
      <c r="AF701" s="1"/>
      <c r="AW701" s="1"/>
    </row>
    <row r="702" spans="1:49" ht="15.75">
      <c r="A702" s="1"/>
      <c r="L702" s="4"/>
      <c r="T702" s="1"/>
      <c r="Y702" s="1"/>
      <c r="AF702" s="1"/>
      <c r="AW702" s="1"/>
    </row>
    <row r="703" spans="1:49" ht="15.75">
      <c r="A703" s="1"/>
      <c r="L703" s="4"/>
      <c r="T703" s="1"/>
      <c r="Y703" s="1"/>
      <c r="AF703" s="1"/>
      <c r="AW703" s="1"/>
    </row>
    <row r="704" spans="1:49" ht="15.75">
      <c r="A704" s="1"/>
      <c r="L704" s="4"/>
      <c r="T704" s="1"/>
      <c r="Y704" s="1"/>
      <c r="AF704" s="1"/>
      <c r="AW704" s="1"/>
    </row>
    <row r="705" spans="1:49" ht="15.75">
      <c r="A705" s="1"/>
      <c r="L705" s="4"/>
      <c r="T705" s="1"/>
      <c r="Y705" s="1"/>
      <c r="AF705" s="1"/>
      <c r="AW705" s="1"/>
    </row>
    <row r="706" spans="1:49" ht="15.75">
      <c r="A706" s="1"/>
      <c r="L706" s="4"/>
      <c r="T706" s="1"/>
      <c r="Y706" s="1"/>
      <c r="AF706" s="1"/>
      <c r="AW706" s="1"/>
    </row>
    <row r="707" spans="1:49" ht="15.75">
      <c r="A707" s="1"/>
      <c r="L707" s="4"/>
      <c r="T707" s="1"/>
      <c r="Y707" s="1"/>
      <c r="AF707" s="1"/>
      <c r="AW707" s="1"/>
    </row>
    <row r="708" spans="1:49" ht="15.75">
      <c r="A708" s="1"/>
      <c r="L708" s="4"/>
      <c r="T708" s="1"/>
      <c r="Y708" s="1"/>
      <c r="AF708" s="1"/>
      <c r="AW708" s="1"/>
    </row>
    <row r="709" spans="1:49" ht="15.75">
      <c r="A709" s="1"/>
      <c r="L709" s="4"/>
      <c r="T709" s="1"/>
      <c r="Y709" s="1"/>
      <c r="AF709" s="1"/>
      <c r="AW709" s="1"/>
    </row>
    <row r="710" spans="1:49" ht="15.75">
      <c r="A710" s="1"/>
      <c r="L710" s="4"/>
      <c r="T710" s="1"/>
      <c r="Y710" s="1"/>
      <c r="AF710" s="1"/>
      <c r="AW710" s="1"/>
    </row>
    <row r="711" spans="1:49" ht="15.75">
      <c r="A711" s="1"/>
      <c r="L711" s="4"/>
      <c r="T711" s="1"/>
      <c r="Y711" s="1"/>
      <c r="AF711" s="1"/>
      <c r="AW711" s="1"/>
    </row>
    <row r="712" spans="1:49" ht="15.75">
      <c r="A712" s="1"/>
      <c r="L712" s="4"/>
      <c r="T712" s="1"/>
      <c r="Y712" s="1"/>
      <c r="AF712" s="1"/>
      <c r="AW712" s="1"/>
    </row>
    <row r="713" spans="1:49" ht="15.75">
      <c r="A713" s="1"/>
      <c r="L713" s="4"/>
      <c r="T713" s="1"/>
      <c r="Y713" s="1"/>
      <c r="AF713" s="1"/>
      <c r="AW713" s="1"/>
    </row>
    <row r="714" spans="1:49" ht="15.75">
      <c r="A714" s="1"/>
      <c r="L714" s="4"/>
      <c r="T714" s="1"/>
      <c r="Y714" s="1"/>
      <c r="AF714" s="1"/>
      <c r="AW714" s="1"/>
    </row>
    <row r="715" spans="1:49" ht="15.75">
      <c r="A715" s="1"/>
      <c r="L715" s="4"/>
      <c r="T715" s="1"/>
      <c r="Y715" s="1"/>
      <c r="AF715" s="1"/>
      <c r="AW715" s="1"/>
    </row>
    <row r="716" spans="1:49" ht="15.75">
      <c r="A716" s="1"/>
      <c r="L716" s="4"/>
      <c r="T716" s="1"/>
      <c r="Y716" s="1"/>
      <c r="AF716" s="1"/>
      <c r="AW716" s="1"/>
    </row>
    <row r="717" spans="1:49" ht="15.75">
      <c r="A717" s="1"/>
      <c r="L717" s="4"/>
      <c r="T717" s="1"/>
      <c r="Y717" s="1"/>
      <c r="AF717" s="1"/>
      <c r="AW717" s="1"/>
    </row>
    <row r="718" spans="1:49" ht="15.75">
      <c r="A718" s="1"/>
      <c r="L718" s="4"/>
      <c r="T718" s="1"/>
      <c r="Y718" s="1"/>
      <c r="AF718" s="1"/>
      <c r="AW718" s="1"/>
    </row>
    <row r="719" spans="1:49" ht="15.75">
      <c r="A719" s="1"/>
      <c r="L719" s="4"/>
      <c r="T719" s="1"/>
      <c r="Y719" s="1"/>
      <c r="AF719" s="1"/>
      <c r="AW719" s="1"/>
    </row>
    <row r="720" spans="1:49" ht="15.75">
      <c r="A720" s="1"/>
      <c r="L720" s="4"/>
      <c r="T720" s="1"/>
      <c r="Y720" s="1"/>
      <c r="AF720" s="1"/>
      <c r="AW720" s="1"/>
    </row>
    <row r="721" spans="1:49" ht="15.75">
      <c r="A721" s="1"/>
      <c r="L721" s="4"/>
      <c r="T721" s="1"/>
      <c r="Y721" s="1"/>
      <c r="AF721" s="1"/>
      <c r="AW721" s="1"/>
    </row>
    <row r="722" spans="1:49" ht="15.75">
      <c r="A722" s="1"/>
      <c r="L722" s="4"/>
      <c r="T722" s="1"/>
      <c r="Y722" s="1"/>
      <c r="AF722" s="1"/>
      <c r="AW722" s="1"/>
    </row>
    <row r="723" spans="1:49" ht="15.75">
      <c r="A723" s="1"/>
      <c r="L723" s="4"/>
      <c r="T723" s="1"/>
      <c r="Y723" s="1"/>
      <c r="AF723" s="1"/>
      <c r="AW723" s="1"/>
    </row>
    <row r="724" spans="1:49" ht="15.75">
      <c r="A724" s="1"/>
      <c r="L724" s="4"/>
      <c r="T724" s="1"/>
      <c r="Y724" s="1"/>
      <c r="AF724" s="1"/>
      <c r="AW724" s="1"/>
    </row>
    <row r="725" spans="1:49" ht="15.75">
      <c r="A725" s="1"/>
      <c r="L725" s="4"/>
      <c r="T725" s="1"/>
      <c r="Y725" s="1"/>
      <c r="AF725" s="1"/>
      <c r="AW725" s="1"/>
    </row>
    <row r="726" spans="1:49" ht="15.75">
      <c r="A726" s="1"/>
      <c r="L726" s="4"/>
      <c r="T726" s="1"/>
      <c r="Y726" s="1"/>
      <c r="AF726" s="1"/>
      <c r="AW726" s="1"/>
    </row>
    <row r="727" spans="1:49" ht="15.75">
      <c r="A727" s="1"/>
      <c r="L727" s="4"/>
      <c r="T727" s="1"/>
      <c r="Y727" s="1"/>
      <c r="AF727" s="1"/>
      <c r="AW727" s="1"/>
    </row>
    <row r="728" spans="1:49" ht="15.75">
      <c r="A728" s="1"/>
      <c r="L728" s="4"/>
      <c r="T728" s="1"/>
      <c r="Y728" s="1"/>
      <c r="AF728" s="1"/>
      <c r="AW728" s="1"/>
    </row>
    <row r="729" spans="1:49" ht="15.75">
      <c r="A729" s="1"/>
      <c r="L729" s="4"/>
      <c r="T729" s="1"/>
      <c r="Y729" s="1"/>
      <c r="AF729" s="1"/>
      <c r="AW729" s="1"/>
    </row>
    <row r="730" spans="1:49" ht="15.75">
      <c r="A730" s="1"/>
      <c r="L730" s="4"/>
      <c r="T730" s="1"/>
      <c r="Y730" s="1"/>
      <c r="AF730" s="1"/>
      <c r="AW730" s="1"/>
    </row>
    <row r="731" spans="1:49" ht="15.75">
      <c r="A731" s="1"/>
      <c r="L731" s="4"/>
      <c r="T731" s="1"/>
      <c r="Y731" s="1"/>
      <c r="AF731" s="1"/>
      <c r="AW731" s="1"/>
    </row>
    <row r="732" spans="1:49" ht="15.75">
      <c r="A732" s="1"/>
      <c r="L732" s="4"/>
      <c r="T732" s="1"/>
      <c r="Y732" s="1"/>
      <c r="AF732" s="1"/>
      <c r="AW732" s="1"/>
    </row>
    <row r="733" spans="1:49" ht="15.75">
      <c r="A733" s="1"/>
      <c r="L733" s="4"/>
      <c r="T733" s="1"/>
      <c r="Y733" s="1"/>
      <c r="AF733" s="1"/>
      <c r="AW733" s="1"/>
    </row>
    <row r="734" spans="1:49" ht="15.75">
      <c r="A734" s="1"/>
      <c r="L734" s="4"/>
      <c r="T734" s="1"/>
      <c r="Y734" s="1"/>
      <c r="AF734" s="1"/>
      <c r="AW734" s="1"/>
    </row>
    <row r="735" spans="1:49" ht="15.75">
      <c r="A735" s="1"/>
      <c r="L735" s="4"/>
      <c r="T735" s="1"/>
      <c r="Y735" s="1"/>
      <c r="AF735" s="1"/>
      <c r="AW735" s="1"/>
    </row>
    <row r="736" spans="1:49" ht="15.75">
      <c r="A736" s="1"/>
      <c r="L736" s="4"/>
      <c r="T736" s="1"/>
      <c r="Y736" s="1"/>
      <c r="AF736" s="1"/>
      <c r="AW736" s="1"/>
    </row>
    <row r="737" spans="1:49" ht="15.75">
      <c r="A737" s="1"/>
      <c r="L737" s="4"/>
      <c r="T737" s="1"/>
      <c r="Y737" s="1"/>
      <c r="AF737" s="1"/>
      <c r="AW737" s="1"/>
    </row>
    <row r="738" spans="1:49" ht="15.75">
      <c r="A738" s="1"/>
      <c r="L738" s="4"/>
      <c r="T738" s="1"/>
      <c r="Y738" s="1"/>
      <c r="AF738" s="1"/>
      <c r="AW738" s="1"/>
    </row>
    <row r="739" spans="1:49" ht="15.75">
      <c r="A739" s="1"/>
      <c r="L739" s="4"/>
      <c r="T739" s="1"/>
      <c r="Y739" s="1"/>
      <c r="AF739" s="1"/>
      <c r="AW739" s="1"/>
    </row>
    <row r="740" spans="1:49" ht="15.75">
      <c r="A740" s="1"/>
      <c r="L740" s="4"/>
      <c r="T740" s="1"/>
      <c r="Y740" s="1"/>
      <c r="AF740" s="1"/>
      <c r="AW740" s="1"/>
    </row>
    <row r="741" spans="1:49" ht="15.75">
      <c r="A741" s="1"/>
      <c r="L741" s="4"/>
      <c r="T741" s="1"/>
      <c r="Y741" s="1"/>
      <c r="AF741" s="1"/>
      <c r="AW741" s="1"/>
    </row>
    <row r="742" spans="1:49" ht="15.75">
      <c r="A742" s="1"/>
      <c r="L742" s="4"/>
      <c r="T742" s="1"/>
      <c r="Y742" s="1"/>
      <c r="AF742" s="1"/>
      <c r="AW742" s="1"/>
    </row>
    <row r="743" spans="1:49" ht="15.75">
      <c r="A743" s="1"/>
      <c r="L743" s="4"/>
      <c r="T743" s="1"/>
      <c r="Y743" s="1"/>
      <c r="AF743" s="1"/>
      <c r="AW743" s="1"/>
    </row>
    <row r="744" spans="1:49" ht="15.75">
      <c r="A744" s="1"/>
      <c r="L744" s="4"/>
      <c r="T744" s="1"/>
      <c r="Y744" s="1"/>
      <c r="AF744" s="1"/>
      <c r="AW744" s="1"/>
    </row>
    <row r="745" spans="1:49" ht="15.75">
      <c r="A745" s="1"/>
      <c r="L745" s="4"/>
      <c r="T745" s="1"/>
      <c r="Y745" s="1"/>
      <c r="AF745" s="1"/>
      <c r="AW745" s="1"/>
    </row>
    <row r="746" spans="1:49" ht="15.75">
      <c r="A746" s="1"/>
      <c r="L746" s="4"/>
      <c r="T746" s="1"/>
      <c r="Y746" s="1"/>
      <c r="AF746" s="1"/>
      <c r="AW746" s="1"/>
    </row>
    <row r="747" spans="1:49" ht="15.75">
      <c r="A747" s="1"/>
      <c r="L747" s="4"/>
      <c r="T747" s="1"/>
      <c r="Y747" s="1"/>
      <c r="AF747" s="1"/>
      <c r="AW747" s="1"/>
    </row>
    <row r="748" spans="1:49" ht="15.75">
      <c r="A748" s="1"/>
      <c r="L748" s="4"/>
      <c r="T748" s="1"/>
      <c r="Y748" s="1"/>
      <c r="AF748" s="1"/>
      <c r="AW748" s="1"/>
    </row>
    <row r="749" spans="1:49" ht="15.75">
      <c r="A749" s="1"/>
      <c r="L749" s="4"/>
      <c r="T749" s="1"/>
      <c r="Y749" s="1"/>
      <c r="AF749" s="1"/>
      <c r="AW749" s="1"/>
    </row>
    <row r="750" spans="1:49" ht="15.75">
      <c r="A750" s="1"/>
      <c r="L750" s="4"/>
      <c r="T750" s="1"/>
      <c r="Y750" s="1"/>
      <c r="AF750" s="1"/>
      <c r="AW750" s="1"/>
    </row>
    <row r="751" spans="1:49" ht="15.75">
      <c r="A751" s="1"/>
      <c r="L751" s="4"/>
      <c r="T751" s="1"/>
      <c r="Y751" s="1"/>
      <c r="AF751" s="1"/>
      <c r="AW751" s="1"/>
    </row>
    <row r="752" spans="1:49" ht="15.75">
      <c r="A752" s="1"/>
      <c r="L752" s="4"/>
      <c r="T752" s="1"/>
      <c r="Y752" s="1"/>
      <c r="AF752" s="1"/>
      <c r="AW752" s="1"/>
    </row>
    <row r="753" spans="1:49" ht="15.75">
      <c r="A753" s="1"/>
      <c r="L753" s="4"/>
      <c r="T753" s="1"/>
      <c r="Y753" s="1"/>
      <c r="AF753" s="1"/>
      <c r="AW753" s="1"/>
    </row>
    <row r="754" spans="1:49" ht="15.75">
      <c r="A754" s="1"/>
      <c r="L754" s="4"/>
      <c r="T754" s="1"/>
      <c r="Y754" s="1"/>
      <c r="AF754" s="1"/>
      <c r="AW754" s="1"/>
    </row>
    <row r="755" spans="1:49" ht="15.75">
      <c r="A755" s="1"/>
      <c r="L755" s="4"/>
      <c r="T755" s="1"/>
      <c r="Y755" s="1"/>
      <c r="AF755" s="1"/>
      <c r="AW755" s="1"/>
    </row>
    <row r="756" spans="1:49" ht="15.75">
      <c r="A756" s="1"/>
      <c r="L756" s="4"/>
      <c r="T756" s="1"/>
      <c r="Y756" s="1"/>
      <c r="AF756" s="1"/>
      <c r="AW756" s="1"/>
    </row>
    <row r="757" spans="1:49" ht="15.75">
      <c r="A757" s="1"/>
      <c r="L757" s="4"/>
      <c r="T757" s="1"/>
      <c r="Y757" s="1"/>
      <c r="AF757" s="1"/>
      <c r="AW757" s="1"/>
    </row>
    <row r="758" spans="1:49" ht="15.75">
      <c r="A758" s="1"/>
      <c r="L758" s="4"/>
      <c r="T758" s="1"/>
      <c r="Y758" s="1"/>
      <c r="AF758" s="1"/>
      <c r="AW758" s="1"/>
    </row>
    <row r="759" spans="1:49" ht="15.75">
      <c r="A759" s="1"/>
      <c r="L759" s="4"/>
      <c r="T759" s="1"/>
      <c r="Y759" s="1"/>
      <c r="AF759" s="1"/>
      <c r="AW759" s="1"/>
    </row>
    <row r="760" spans="1:49" ht="15.75">
      <c r="A760" s="1"/>
      <c r="L760" s="4"/>
      <c r="T760" s="1"/>
      <c r="Y760" s="1"/>
      <c r="AF760" s="1"/>
      <c r="AW760" s="1"/>
    </row>
    <row r="761" spans="1:49" ht="15.75">
      <c r="A761" s="1"/>
      <c r="L761" s="4"/>
      <c r="T761" s="1"/>
      <c r="Y761" s="1"/>
      <c r="AF761" s="1"/>
      <c r="AW761" s="1"/>
    </row>
    <row r="762" spans="1:49" ht="15.75">
      <c r="A762" s="1"/>
      <c r="L762" s="4"/>
      <c r="T762" s="1"/>
      <c r="Y762" s="1"/>
      <c r="AF762" s="1"/>
      <c r="AW762" s="1"/>
    </row>
    <row r="763" spans="1:49" ht="15.75">
      <c r="A763" s="1"/>
      <c r="L763" s="4"/>
      <c r="T763" s="1"/>
      <c r="Y763" s="1"/>
      <c r="AF763" s="1"/>
      <c r="AW763" s="1"/>
    </row>
    <row r="764" spans="1:49" ht="15.75">
      <c r="A764" s="1"/>
      <c r="L764" s="4"/>
      <c r="T764" s="1"/>
      <c r="Y764" s="1"/>
      <c r="AF764" s="1"/>
      <c r="AW764" s="1"/>
    </row>
    <row r="765" spans="1:49" ht="15.75">
      <c r="A765" s="1"/>
      <c r="L765" s="4"/>
      <c r="T765" s="1"/>
      <c r="Y765" s="1"/>
      <c r="AF765" s="1"/>
      <c r="AW765" s="1"/>
    </row>
    <row r="766" spans="1:49" ht="15.75">
      <c r="A766" s="1"/>
      <c r="L766" s="4"/>
      <c r="T766" s="1"/>
      <c r="Y766" s="1"/>
      <c r="AF766" s="1"/>
      <c r="AW766" s="1"/>
    </row>
    <row r="767" spans="1:49" ht="15.75">
      <c r="A767" s="1"/>
      <c r="L767" s="4"/>
      <c r="T767" s="1"/>
      <c r="Y767" s="1"/>
      <c r="AF767" s="1"/>
      <c r="AW767" s="1"/>
    </row>
    <row r="768" spans="1:49" ht="15.75">
      <c r="A768" s="1"/>
      <c r="L768" s="4"/>
      <c r="T768" s="1"/>
      <c r="Y768" s="1"/>
      <c r="AF768" s="1"/>
      <c r="AW768" s="1"/>
    </row>
    <row r="769" spans="1:49" ht="15.75">
      <c r="A769" s="1"/>
      <c r="L769" s="4"/>
      <c r="T769" s="1"/>
      <c r="Y769" s="1"/>
      <c r="AF769" s="1"/>
      <c r="AW769" s="1"/>
    </row>
    <row r="770" spans="1:49" ht="15.75">
      <c r="A770" s="1"/>
      <c r="L770" s="4"/>
      <c r="T770" s="1"/>
      <c r="Y770" s="1"/>
      <c r="AF770" s="1"/>
      <c r="AW770" s="1"/>
    </row>
    <row r="771" spans="1:49" ht="15.75">
      <c r="A771" s="1"/>
      <c r="L771" s="4"/>
      <c r="T771" s="1"/>
      <c r="Y771" s="1"/>
      <c r="AF771" s="1"/>
      <c r="AW771" s="1"/>
    </row>
    <row r="772" spans="1:49" ht="15.75">
      <c r="A772" s="1"/>
      <c r="L772" s="4"/>
      <c r="T772" s="1"/>
      <c r="Y772" s="1"/>
      <c r="AF772" s="1"/>
      <c r="AW772" s="1"/>
    </row>
    <row r="773" spans="1:49" ht="15.75">
      <c r="A773" s="1"/>
      <c r="L773" s="4"/>
      <c r="T773" s="1"/>
      <c r="Y773" s="1"/>
      <c r="AF773" s="1"/>
      <c r="AW773" s="1"/>
    </row>
    <row r="774" spans="1:49" ht="15.75">
      <c r="A774" s="1"/>
      <c r="L774" s="4"/>
      <c r="T774" s="1"/>
      <c r="Y774" s="1"/>
      <c r="AF774" s="1"/>
      <c r="AW774" s="1"/>
    </row>
    <row r="775" spans="1:49" ht="15.75">
      <c r="A775" s="1"/>
      <c r="L775" s="4"/>
      <c r="T775" s="1"/>
      <c r="Y775" s="1"/>
      <c r="AF775" s="1"/>
      <c r="AW775" s="1"/>
    </row>
    <row r="776" spans="1:49" ht="15.75">
      <c r="A776" s="1"/>
      <c r="L776" s="4"/>
      <c r="T776" s="1"/>
      <c r="Y776" s="1"/>
      <c r="AF776" s="1"/>
      <c r="AW776" s="1"/>
    </row>
    <row r="777" spans="1:49" ht="15.75">
      <c r="A777" s="1"/>
      <c r="L777" s="4"/>
      <c r="T777" s="1"/>
      <c r="Y777" s="1"/>
      <c r="AF777" s="1"/>
      <c r="AW777" s="1"/>
    </row>
    <row r="778" spans="1:49" ht="15.75">
      <c r="A778" s="1"/>
      <c r="L778" s="4"/>
      <c r="T778" s="1"/>
      <c r="Y778" s="1"/>
      <c r="AF778" s="1"/>
      <c r="AW778" s="1"/>
    </row>
    <row r="779" spans="1:49" ht="15.75">
      <c r="A779" s="1"/>
      <c r="L779" s="4"/>
      <c r="T779" s="1"/>
      <c r="Y779" s="1"/>
      <c r="AF779" s="1"/>
      <c r="AW779" s="1"/>
    </row>
    <row r="780" spans="1:49" ht="15.75">
      <c r="A780" s="1"/>
      <c r="L780" s="4"/>
      <c r="T780" s="1"/>
      <c r="Y780" s="1"/>
      <c r="AF780" s="1"/>
      <c r="AW780" s="1"/>
    </row>
    <row r="781" spans="1:49" ht="15.75">
      <c r="A781" s="1"/>
      <c r="L781" s="4"/>
      <c r="T781" s="1"/>
      <c r="Y781" s="1"/>
      <c r="AF781" s="1"/>
      <c r="AW781" s="1"/>
    </row>
    <row r="782" spans="1:49" ht="15.75">
      <c r="A782" s="1"/>
      <c r="L782" s="4"/>
      <c r="T782" s="1"/>
      <c r="Y782" s="1"/>
      <c r="AF782" s="1"/>
      <c r="AW782" s="1"/>
    </row>
    <row r="783" spans="1:49" ht="15.75">
      <c r="A783" s="1"/>
      <c r="L783" s="4"/>
      <c r="T783" s="1"/>
      <c r="Y783" s="1"/>
      <c r="AF783" s="1"/>
      <c r="AW783" s="1"/>
    </row>
    <row r="784" spans="1:49" ht="15.75">
      <c r="A784" s="1"/>
      <c r="L784" s="4"/>
      <c r="T784" s="1"/>
      <c r="Y784" s="1"/>
      <c r="AF784" s="1"/>
      <c r="AW784" s="1"/>
    </row>
    <row r="785" spans="1:49" ht="15.75">
      <c r="A785" s="1"/>
      <c r="L785" s="4"/>
      <c r="T785" s="1"/>
      <c r="Y785" s="1"/>
      <c r="AF785" s="1"/>
      <c r="AW785" s="1"/>
    </row>
    <row r="786" spans="1:49" ht="15.75">
      <c r="A786" s="1"/>
      <c r="L786" s="4"/>
      <c r="T786" s="1"/>
      <c r="Y786" s="1"/>
      <c r="AF786" s="1"/>
      <c r="AW786" s="1"/>
    </row>
    <row r="787" spans="1:49" ht="15.75">
      <c r="A787" s="1"/>
      <c r="L787" s="4"/>
      <c r="T787" s="1"/>
      <c r="Y787" s="1"/>
      <c r="AF787" s="1"/>
      <c r="AW787" s="1"/>
    </row>
    <row r="788" spans="1:49" ht="15.75">
      <c r="A788" s="1"/>
      <c r="L788" s="4"/>
      <c r="T788" s="1"/>
      <c r="Y788" s="1"/>
      <c r="AF788" s="1"/>
      <c r="AW788" s="1"/>
    </row>
    <row r="789" spans="1:49" ht="15.75">
      <c r="A789" s="1"/>
      <c r="L789" s="4"/>
      <c r="T789" s="1"/>
      <c r="Y789" s="1"/>
      <c r="AF789" s="1"/>
      <c r="AW789" s="1"/>
    </row>
    <row r="790" spans="1:49" ht="15.75">
      <c r="A790" s="1"/>
      <c r="L790" s="4"/>
      <c r="T790" s="1"/>
      <c r="Y790" s="1"/>
      <c r="AF790" s="1"/>
      <c r="AW790" s="1"/>
    </row>
    <row r="791" spans="1:49" ht="15.75">
      <c r="A791" s="1"/>
      <c r="L791" s="4"/>
      <c r="T791" s="1"/>
      <c r="Y791" s="1"/>
      <c r="AF791" s="1"/>
      <c r="AW791" s="1"/>
    </row>
    <row r="792" spans="1:49" ht="15.75">
      <c r="A792" s="1"/>
      <c r="L792" s="4"/>
      <c r="T792" s="1"/>
      <c r="Y792" s="1"/>
      <c r="AF792" s="1"/>
      <c r="AW792" s="1"/>
    </row>
    <row r="793" spans="1:49" ht="15.75">
      <c r="A793" s="1"/>
      <c r="L793" s="4"/>
      <c r="T793" s="1"/>
      <c r="Y793" s="1"/>
      <c r="AF793" s="1"/>
      <c r="AW793" s="1"/>
    </row>
    <row r="794" spans="1:49" ht="15.75">
      <c r="A794" s="1"/>
      <c r="L794" s="4"/>
      <c r="T794" s="1"/>
      <c r="Y794" s="1"/>
      <c r="AF794" s="1"/>
      <c r="AW794" s="1"/>
    </row>
    <row r="795" spans="1:49" ht="15.75">
      <c r="A795" s="1"/>
      <c r="L795" s="4"/>
      <c r="T795" s="1"/>
      <c r="Y795" s="1"/>
      <c r="AF795" s="1"/>
      <c r="AW795" s="1"/>
    </row>
    <row r="796" spans="1:49" ht="15.75">
      <c r="A796" s="1"/>
      <c r="L796" s="4"/>
      <c r="T796" s="1"/>
      <c r="Y796" s="1"/>
      <c r="AF796" s="1"/>
      <c r="AW796" s="1"/>
    </row>
    <row r="797" spans="1:49" ht="15.75">
      <c r="A797" s="1"/>
      <c r="L797" s="4"/>
      <c r="T797" s="1"/>
      <c r="Y797" s="1"/>
      <c r="AF797" s="1"/>
      <c r="AW797" s="1"/>
    </row>
    <row r="798" spans="1:49" ht="15.75">
      <c r="A798" s="1"/>
      <c r="L798" s="4"/>
      <c r="T798" s="1"/>
      <c r="Y798" s="1"/>
      <c r="AF798" s="1"/>
      <c r="AW798" s="1"/>
    </row>
    <row r="799" spans="1:49" ht="15.75">
      <c r="A799" s="1"/>
      <c r="L799" s="4"/>
      <c r="T799" s="1"/>
      <c r="Y799" s="1"/>
      <c r="AF799" s="1"/>
      <c r="AW799" s="1"/>
    </row>
    <row r="800" spans="1:49" ht="15.75">
      <c r="A800" s="1"/>
      <c r="L800" s="4"/>
      <c r="T800" s="1"/>
      <c r="Y800" s="1"/>
      <c r="AF800" s="1"/>
      <c r="AW800" s="1"/>
    </row>
    <row r="801" spans="1:49" ht="15.75">
      <c r="A801" s="1"/>
      <c r="L801" s="4"/>
      <c r="T801" s="1"/>
      <c r="Y801" s="1"/>
      <c r="AF801" s="1"/>
      <c r="AW801" s="1"/>
    </row>
    <row r="802" spans="1:49" ht="15.75">
      <c r="A802" s="1"/>
      <c r="L802" s="4"/>
      <c r="T802" s="1"/>
      <c r="Y802" s="1"/>
      <c r="AF802" s="1"/>
      <c r="AW802" s="1"/>
    </row>
    <row r="803" spans="1:49" ht="15.75">
      <c r="A803" s="1"/>
      <c r="L803" s="4"/>
      <c r="T803" s="1"/>
      <c r="Y803" s="1"/>
      <c r="AF803" s="1"/>
      <c r="AW803" s="1"/>
    </row>
    <row r="804" spans="1:49" ht="15.75">
      <c r="A804" s="1"/>
      <c r="L804" s="4"/>
      <c r="T804" s="1"/>
      <c r="Y804" s="1"/>
      <c r="AF804" s="1"/>
      <c r="AW804" s="1"/>
    </row>
    <row r="805" spans="1:49" ht="15.75">
      <c r="A805" s="1"/>
      <c r="L805" s="4"/>
      <c r="T805" s="1"/>
      <c r="Y805" s="1"/>
      <c r="AF805" s="1"/>
      <c r="AW805" s="1"/>
    </row>
    <row r="806" spans="1:49" ht="15.75">
      <c r="A806" s="1"/>
      <c r="L806" s="4"/>
      <c r="T806" s="1"/>
      <c r="Y806" s="1"/>
      <c r="AF806" s="1"/>
      <c r="AW806" s="1"/>
    </row>
    <row r="807" spans="1:49" ht="15.75">
      <c r="A807" s="1"/>
      <c r="L807" s="4"/>
      <c r="T807" s="1"/>
      <c r="Y807" s="1"/>
      <c r="AF807" s="1"/>
      <c r="AW807" s="1"/>
    </row>
    <row r="808" spans="1:49" ht="15.75">
      <c r="A808" s="1"/>
      <c r="L808" s="4"/>
      <c r="T808" s="1"/>
      <c r="Y808" s="1"/>
      <c r="AF808" s="1"/>
      <c r="AW808" s="1"/>
    </row>
    <row r="809" spans="1:49" ht="15.75">
      <c r="A809" s="1"/>
      <c r="L809" s="4"/>
      <c r="T809" s="1"/>
      <c r="Y809" s="1"/>
      <c r="AF809" s="1"/>
      <c r="AW809" s="1"/>
    </row>
    <row r="810" spans="1:49" ht="15.75">
      <c r="A810" s="1"/>
      <c r="L810" s="4"/>
      <c r="T810" s="1"/>
      <c r="Y810" s="1"/>
      <c r="AF810" s="1"/>
      <c r="AW810" s="1"/>
    </row>
    <row r="811" spans="1:49" ht="15.75">
      <c r="A811" s="1"/>
      <c r="L811" s="4"/>
      <c r="T811" s="1"/>
      <c r="Y811" s="1"/>
      <c r="AF811" s="1"/>
      <c r="AW811" s="1"/>
    </row>
    <row r="812" spans="1:49" ht="15.75">
      <c r="A812" s="1"/>
      <c r="L812" s="4"/>
      <c r="T812" s="1"/>
      <c r="Y812" s="1"/>
      <c r="AF812" s="1"/>
      <c r="AW812" s="1"/>
    </row>
    <row r="813" spans="1:49" ht="15.75">
      <c r="A813" s="1"/>
      <c r="L813" s="4"/>
      <c r="T813" s="1"/>
      <c r="Y813" s="1"/>
      <c r="AF813" s="1"/>
      <c r="AW813" s="1"/>
    </row>
    <row r="814" spans="1:49" ht="15.75">
      <c r="A814" s="1"/>
      <c r="L814" s="4"/>
      <c r="T814" s="1"/>
      <c r="Y814" s="1"/>
      <c r="AF814" s="1"/>
      <c r="AW814" s="1"/>
    </row>
    <row r="815" spans="1:49" ht="15.75">
      <c r="A815" s="1"/>
      <c r="L815" s="4"/>
      <c r="T815" s="1"/>
      <c r="Y815" s="1"/>
      <c r="AF815" s="1"/>
      <c r="AW815" s="1"/>
    </row>
    <row r="816" spans="1:49" ht="15.75">
      <c r="A816" s="1"/>
      <c r="L816" s="4"/>
      <c r="T816" s="1"/>
      <c r="Y816" s="1"/>
      <c r="AF816" s="1"/>
      <c r="AW816" s="1"/>
    </row>
    <row r="817" spans="1:49" ht="15.75">
      <c r="A817" s="1"/>
      <c r="L817" s="4"/>
      <c r="T817" s="1"/>
      <c r="Y817" s="1"/>
      <c r="AF817" s="1"/>
      <c r="AW817" s="1"/>
    </row>
    <row r="818" spans="1:49" ht="15.75">
      <c r="A818" s="1"/>
      <c r="L818" s="4"/>
      <c r="T818" s="1"/>
      <c r="Y818" s="1"/>
      <c r="AF818" s="1"/>
      <c r="AW818" s="1"/>
    </row>
    <row r="819" spans="1:49" ht="15.75">
      <c r="A819" s="1"/>
      <c r="L819" s="4"/>
      <c r="T819" s="1"/>
      <c r="Y819" s="1"/>
      <c r="AF819" s="1"/>
      <c r="AW819" s="1"/>
    </row>
    <row r="820" spans="1:49" ht="15.75">
      <c r="A820" s="1"/>
      <c r="L820" s="4"/>
      <c r="T820" s="1"/>
      <c r="Y820" s="1"/>
      <c r="AF820" s="1"/>
      <c r="AW820" s="1"/>
    </row>
    <row r="821" spans="1:49" ht="15.75">
      <c r="A821" s="1"/>
      <c r="L821" s="4"/>
      <c r="T821" s="1"/>
      <c r="Y821" s="1"/>
      <c r="AF821" s="1"/>
      <c r="AW821" s="1"/>
    </row>
    <row r="822" spans="1:49" ht="15.75">
      <c r="A822" s="1"/>
      <c r="L822" s="4"/>
      <c r="T822" s="1"/>
      <c r="Y822" s="1"/>
      <c r="AF822" s="1"/>
      <c r="AW822" s="1"/>
    </row>
    <row r="823" spans="1:49" ht="15.75">
      <c r="A823" s="1"/>
      <c r="L823" s="4"/>
      <c r="T823" s="1"/>
      <c r="Y823" s="1"/>
      <c r="AF823" s="1"/>
      <c r="AW823" s="1"/>
    </row>
    <row r="824" spans="1:49" ht="15.75">
      <c r="A824" s="1"/>
      <c r="L824" s="4"/>
      <c r="T824" s="1"/>
      <c r="Y824" s="1"/>
      <c r="AF824" s="1"/>
      <c r="AW824" s="1"/>
    </row>
    <row r="825" spans="1:49" ht="15.75">
      <c r="A825" s="1"/>
      <c r="L825" s="4"/>
      <c r="T825" s="1"/>
      <c r="Y825" s="1"/>
      <c r="AF825" s="1"/>
      <c r="AW825" s="1"/>
    </row>
    <row r="826" spans="1:49" ht="15.75">
      <c r="A826" s="1"/>
      <c r="L826" s="4"/>
      <c r="T826" s="1"/>
      <c r="Y826" s="1"/>
      <c r="AF826" s="1"/>
      <c r="AW826" s="1"/>
    </row>
    <row r="827" spans="1:49" ht="15.75">
      <c r="A827" s="1"/>
      <c r="L827" s="4"/>
      <c r="T827" s="1"/>
      <c r="Y827" s="1"/>
      <c r="AF827" s="1"/>
      <c r="AW827" s="1"/>
    </row>
    <row r="828" spans="1:49" ht="15.75">
      <c r="A828" s="1"/>
      <c r="L828" s="4"/>
      <c r="T828" s="1"/>
      <c r="Y828" s="1"/>
      <c r="AF828" s="1"/>
      <c r="AW828" s="1"/>
    </row>
    <row r="829" spans="1:49" ht="15.75">
      <c r="A829" s="1"/>
      <c r="L829" s="4"/>
      <c r="T829" s="1"/>
      <c r="Y829" s="1"/>
      <c r="AF829" s="1"/>
      <c r="AW829" s="1"/>
    </row>
    <row r="830" spans="1:49" ht="15.75">
      <c r="A830" s="1"/>
      <c r="L830" s="4"/>
      <c r="T830" s="1"/>
      <c r="Y830" s="1"/>
      <c r="AF830" s="1"/>
      <c r="AW830" s="1"/>
    </row>
    <row r="831" spans="1:49" ht="15.75">
      <c r="A831" s="1"/>
      <c r="L831" s="4"/>
      <c r="T831" s="1"/>
      <c r="Y831" s="1"/>
      <c r="AF831" s="1"/>
      <c r="AW831" s="1"/>
    </row>
    <row r="832" spans="1:49" ht="15.75">
      <c r="A832" s="1"/>
      <c r="L832" s="4"/>
      <c r="T832" s="1"/>
      <c r="Y832" s="1"/>
      <c r="AF832" s="1"/>
      <c r="AW832" s="1"/>
    </row>
    <row r="833" spans="1:49" ht="15.75">
      <c r="A833" s="1"/>
      <c r="L833" s="4"/>
      <c r="T833" s="1"/>
      <c r="Y833" s="1"/>
      <c r="AF833" s="1"/>
      <c r="AW833" s="1"/>
    </row>
    <row r="834" spans="1:49" ht="15.75">
      <c r="A834" s="1"/>
      <c r="L834" s="4"/>
      <c r="T834" s="1"/>
      <c r="Y834" s="1"/>
      <c r="AF834" s="1"/>
      <c r="AW834" s="1"/>
    </row>
    <row r="835" spans="1:49" ht="15.75">
      <c r="A835" s="1"/>
      <c r="L835" s="4"/>
      <c r="T835" s="1"/>
      <c r="Y835" s="1"/>
      <c r="AF835" s="1"/>
      <c r="AW835" s="1"/>
    </row>
    <row r="836" spans="1:49" ht="15.75">
      <c r="A836" s="1"/>
      <c r="L836" s="4"/>
      <c r="T836" s="1"/>
      <c r="Y836" s="1"/>
      <c r="AF836" s="1"/>
      <c r="AW836" s="1"/>
    </row>
    <row r="837" spans="1:49" ht="15.75">
      <c r="A837" s="1"/>
      <c r="L837" s="4"/>
      <c r="T837" s="1"/>
      <c r="Y837" s="1"/>
      <c r="AF837" s="1"/>
      <c r="AW837" s="1"/>
    </row>
    <row r="838" spans="1:49" ht="15.75">
      <c r="A838" s="1"/>
      <c r="L838" s="4"/>
      <c r="T838" s="1"/>
      <c r="Y838" s="1"/>
      <c r="AF838" s="1"/>
      <c r="AW838" s="1"/>
    </row>
    <row r="839" spans="1:49" ht="15.75">
      <c r="A839" s="1"/>
      <c r="L839" s="4"/>
      <c r="T839" s="1"/>
      <c r="Y839" s="1"/>
      <c r="AF839" s="1"/>
      <c r="AW839" s="1"/>
    </row>
    <row r="840" spans="1:49" ht="15.75">
      <c r="A840" s="1"/>
      <c r="L840" s="4"/>
      <c r="T840" s="1"/>
      <c r="Y840" s="1"/>
      <c r="AF840" s="1"/>
      <c r="AW840" s="1"/>
    </row>
    <row r="841" spans="1:49" ht="15.75">
      <c r="A841" s="1"/>
      <c r="L841" s="4"/>
      <c r="T841" s="1"/>
      <c r="Y841" s="1"/>
      <c r="AF841" s="1"/>
      <c r="AW841" s="1"/>
    </row>
    <row r="842" spans="1:49" ht="15.75">
      <c r="A842" s="1"/>
      <c r="L842" s="4"/>
      <c r="T842" s="1"/>
      <c r="Y842" s="1"/>
      <c r="AF842" s="1"/>
      <c r="AW842" s="1"/>
    </row>
    <row r="843" spans="1:49" ht="15.75">
      <c r="A843" s="1"/>
      <c r="L843" s="4"/>
      <c r="T843" s="1"/>
      <c r="Y843" s="1"/>
      <c r="AF843" s="1"/>
      <c r="AW843" s="1"/>
    </row>
    <row r="844" spans="1:49" ht="15.75">
      <c r="A844" s="1"/>
      <c r="L844" s="4"/>
      <c r="T844" s="1"/>
      <c r="Y844" s="1"/>
      <c r="AF844" s="1"/>
      <c r="AW844" s="1"/>
    </row>
    <row r="845" spans="1:49" ht="15.75">
      <c r="A845" s="1"/>
      <c r="L845" s="4"/>
      <c r="T845" s="1"/>
      <c r="Y845" s="1"/>
      <c r="AF845" s="1"/>
      <c r="AW845" s="1"/>
    </row>
    <row r="846" spans="1:49" ht="15.75">
      <c r="A846" s="1"/>
      <c r="L846" s="4"/>
      <c r="T846" s="1"/>
      <c r="Y846" s="1"/>
      <c r="AF846" s="1"/>
      <c r="AW846" s="1"/>
    </row>
    <row r="847" spans="1:49" ht="15.75">
      <c r="A847" s="1"/>
      <c r="L847" s="4"/>
      <c r="T847" s="1"/>
      <c r="Y847" s="1"/>
      <c r="AF847" s="1"/>
      <c r="AW847" s="1"/>
    </row>
    <row r="848" spans="1:49" ht="15.75">
      <c r="A848" s="1"/>
      <c r="L848" s="4"/>
      <c r="T848" s="1"/>
      <c r="Y848" s="1"/>
      <c r="AF848" s="1"/>
      <c r="AW848" s="1"/>
    </row>
    <row r="849" spans="1:49" ht="15.75">
      <c r="A849" s="1"/>
      <c r="L849" s="4"/>
      <c r="T849" s="1"/>
      <c r="Y849" s="1"/>
      <c r="AF849" s="1"/>
      <c r="AW849" s="1"/>
    </row>
    <row r="850" spans="1:49" ht="15.75">
      <c r="A850" s="1"/>
      <c r="L850" s="4"/>
      <c r="T850" s="1"/>
      <c r="Y850" s="1"/>
      <c r="AF850" s="1"/>
      <c r="AW850" s="1"/>
    </row>
    <row r="851" spans="1:49" ht="15.75">
      <c r="A851" s="1"/>
      <c r="L851" s="4"/>
      <c r="T851" s="1"/>
      <c r="Y851" s="1"/>
      <c r="AF851" s="1"/>
      <c r="AW851" s="1"/>
    </row>
    <row r="852" spans="1:49" ht="15.75">
      <c r="A852" s="1"/>
      <c r="L852" s="4"/>
      <c r="T852" s="1"/>
      <c r="Y852" s="1"/>
      <c r="AF852" s="1"/>
      <c r="AW852" s="1"/>
    </row>
    <row r="853" spans="1:49" ht="15.75">
      <c r="A853" s="1"/>
      <c r="L853" s="4"/>
      <c r="T853" s="1"/>
      <c r="Y853" s="1"/>
      <c r="AF853" s="1"/>
      <c r="AW853" s="1"/>
    </row>
    <row r="854" spans="1:49" ht="15.75">
      <c r="A854" s="1"/>
      <c r="L854" s="4"/>
      <c r="T854" s="1"/>
      <c r="Y854" s="1"/>
      <c r="AF854" s="1"/>
      <c r="AW854" s="1"/>
    </row>
    <row r="855" spans="1:49" ht="15.75">
      <c r="A855" s="1"/>
      <c r="L855" s="4"/>
      <c r="T855" s="1"/>
      <c r="Y855" s="1"/>
      <c r="AF855" s="1"/>
      <c r="AW855" s="1"/>
    </row>
    <row r="856" spans="1:49" ht="15.75">
      <c r="A856" s="1"/>
      <c r="L856" s="4"/>
      <c r="T856" s="1"/>
      <c r="Y856" s="1"/>
      <c r="AF856" s="1"/>
      <c r="AW856" s="1"/>
    </row>
    <row r="857" spans="1:49" ht="15.75">
      <c r="A857" s="1"/>
      <c r="L857" s="4"/>
      <c r="T857" s="1"/>
      <c r="Y857" s="1"/>
      <c r="AF857" s="1"/>
      <c r="AW857" s="1"/>
    </row>
    <row r="858" spans="1:49" ht="15.75">
      <c r="A858" s="1"/>
      <c r="L858" s="4"/>
      <c r="T858" s="1"/>
      <c r="Y858" s="1"/>
      <c r="AF858" s="1"/>
      <c r="AW858" s="1"/>
    </row>
    <row r="859" spans="1:49" ht="15.75">
      <c r="A859" s="1"/>
      <c r="L859" s="4"/>
      <c r="T859" s="1"/>
      <c r="Y859" s="1"/>
      <c r="AF859" s="1"/>
      <c r="AW859" s="1"/>
    </row>
    <row r="860" spans="1:49" ht="15.75">
      <c r="A860" s="1"/>
      <c r="L860" s="4"/>
      <c r="T860" s="1"/>
      <c r="Y860" s="1"/>
      <c r="AF860" s="1"/>
      <c r="AW860" s="1"/>
    </row>
    <row r="861" spans="1:49" ht="15.75">
      <c r="A861" s="1"/>
      <c r="L861" s="4"/>
      <c r="T861" s="1"/>
      <c r="Y861" s="1"/>
      <c r="AF861" s="1"/>
      <c r="AW861" s="1"/>
    </row>
    <row r="862" spans="1:49" ht="15.75">
      <c r="A862" s="1"/>
      <c r="L862" s="4"/>
      <c r="T862" s="1"/>
      <c r="Y862" s="1"/>
      <c r="AF862" s="1"/>
      <c r="AW862" s="1"/>
    </row>
    <row r="863" spans="1:49" ht="15.75">
      <c r="A863" s="1"/>
      <c r="L863" s="4"/>
      <c r="T863" s="1"/>
      <c r="Y863" s="1"/>
      <c r="AF863" s="1"/>
      <c r="AW863" s="1"/>
    </row>
    <row r="864" spans="1:49" ht="15.75">
      <c r="A864" s="1"/>
      <c r="L864" s="4"/>
      <c r="T864" s="1"/>
      <c r="Y864" s="1"/>
      <c r="AF864" s="1"/>
      <c r="AW864" s="1"/>
    </row>
    <row r="865" spans="1:49" ht="15.75">
      <c r="A865" s="1"/>
      <c r="L865" s="4"/>
      <c r="T865" s="1"/>
      <c r="Y865" s="1"/>
      <c r="AF865" s="1"/>
      <c r="AW865" s="1"/>
    </row>
    <row r="866" spans="1:49" ht="15.75">
      <c r="A866" s="1"/>
      <c r="L866" s="4"/>
      <c r="T866" s="1"/>
      <c r="Y866" s="1"/>
      <c r="AF866" s="1"/>
      <c r="AW866" s="1"/>
    </row>
    <row r="867" spans="1:49" ht="15.75">
      <c r="A867" s="1"/>
      <c r="L867" s="4"/>
      <c r="T867" s="1"/>
      <c r="Y867" s="1"/>
      <c r="AF867" s="1"/>
      <c r="AW867" s="1"/>
    </row>
    <row r="868" spans="1:49" ht="15.75">
      <c r="A868" s="1"/>
      <c r="L868" s="4"/>
      <c r="T868" s="1"/>
      <c r="Y868" s="1"/>
      <c r="AF868" s="1"/>
      <c r="AW868" s="1"/>
    </row>
    <row r="869" spans="1:49" ht="15.75">
      <c r="A869" s="1"/>
      <c r="L869" s="4"/>
      <c r="T869" s="1"/>
      <c r="Y869" s="1"/>
      <c r="AF869" s="1"/>
      <c r="AW869" s="1"/>
    </row>
    <row r="870" spans="1:49" ht="15.75">
      <c r="A870" s="1"/>
      <c r="L870" s="4"/>
      <c r="T870" s="1"/>
      <c r="Y870" s="1"/>
      <c r="AF870" s="1"/>
      <c r="AW870" s="1"/>
    </row>
    <row r="871" spans="1:49" ht="15.75">
      <c r="A871" s="1"/>
      <c r="L871" s="4"/>
      <c r="T871" s="1"/>
      <c r="Y871" s="1"/>
      <c r="AF871" s="1"/>
      <c r="AW871" s="1"/>
    </row>
    <row r="872" spans="1:49" ht="15.75">
      <c r="A872" s="1"/>
      <c r="L872" s="4"/>
      <c r="T872" s="1"/>
      <c r="Y872" s="1"/>
      <c r="AF872" s="1"/>
      <c r="AW872" s="1"/>
    </row>
    <row r="873" spans="1:49" ht="15.75">
      <c r="A873" s="1"/>
      <c r="L873" s="4"/>
      <c r="T873" s="1"/>
      <c r="Y873" s="1"/>
      <c r="AF873" s="1"/>
      <c r="AW873" s="1"/>
    </row>
    <row r="874" spans="1:49" ht="15.75">
      <c r="A874" s="1"/>
      <c r="L874" s="4"/>
      <c r="T874" s="1"/>
      <c r="Y874" s="1"/>
      <c r="AF874" s="1"/>
      <c r="AW874" s="1"/>
    </row>
    <row r="875" spans="1:49" ht="15.75">
      <c r="A875" s="1"/>
      <c r="L875" s="4"/>
      <c r="T875" s="1"/>
      <c r="Y875" s="1"/>
      <c r="AF875" s="1"/>
      <c r="AW875" s="1"/>
    </row>
    <row r="876" spans="1:49" ht="15.75">
      <c r="A876" s="1"/>
      <c r="L876" s="4"/>
      <c r="T876" s="1"/>
      <c r="Y876" s="1"/>
      <c r="AF876" s="1"/>
      <c r="AW876" s="1"/>
    </row>
    <row r="877" spans="1:49" ht="15.75">
      <c r="A877" s="1"/>
      <c r="L877" s="4"/>
      <c r="T877" s="1"/>
      <c r="Y877" s="1"/>
      <c r="AF877" s="1"/>
      <c r="AW877" s="1"/>
    </row>
    <row r="878" spans="1:49" ht="15.75">
      <c r="A878" s="1"/>
      <c r="L878" s="4"/>
      <c r="T878" s="1"/>
      <c r="Y878" s="1"/>
      <c r="AF878" s="1"/>
      <c r="AW878" s="1"/>
    </row>
    <row r="879" spans="1:49" ht="15.75">
      <c r="A879" s="1"/>
      <c r="L879" s="4"/>
      <c r="T879" s="1"/>
      <c r="Y879" s="1"/>
      <c r="AF879" s="1"/>
      <c r="AW879" s="1"/>
    </row>
    <row r="880" spans="1:49" ht="15.75">
      <c r="A880" s="1"/>
      <c r="L880" s="4"/>
      <c r="T880" s="1"/>
      <c r="Y880" s="1"/>
      <c r="AF880" s="1"/>
      <c r="AW880" s="1"/>
    </row>
    <row r="881" spans="1:49" ht="15.75">
      <c r="A881" s="1"/>
      <c r="L881" s="4"/>
      <c r="T881" s="1"/>
      <c r="Y881" s="1"/>
      <c r="AF881" s="1"/>
      <c r="AW881" s="1"/>
    </row>
    <row r="882" spans="1:49" ht="15.75">
      <c r="A882" s="1"/>
      <c r="L882" s="4"/>
      <c r="T882" s="1"/>
      <c r="Y882" s="1"/>
      <c r="AF882" s="1"/>
      <c r="AW882" s="1"/>
    </row>
    <row r="883" spans="1:49" ht="15.75">
      <c r="A883" s="1"/>
      <c r="L883" s="4"/>
      <c r="T883" s="1"/>
      <c r="Y883" s="1"/>
      <c r="AF883" s="1"/>
      <c r="AW883" s="1"/>
    </row>
    <row r="884" spans="1:49" ht="15.75">
      <c r="A884" s="1"/>
      <c r="L884" s="4"/>
      <c r="T884" s="1"/>
      <c r="Y884" s="1"/>
      <c r="AF884" s="1"/>
      <c r="AW884" s="1"/>
    </row>
    <row r="885" spans="1:49" ht="15.75">
      <c r="A885" s="1"/>
      <c r="L885" s="4"/>
      <c r="T885" s="1"/>
      <c r="Y885" s="1"/>
      <c r="AF885" s="1"/>
      <c r="AW885" s="1"/>
    </row>
    <row r="886" spans="1:49" ht="15.75">
      <c r="A886" s="1"/>
      <c r="L886" s="4"/>
      <c r="T886" s="1"/>
      <c r="Y886" s="1"/>
      <c r="AF886" s="1"/>
      <c r="AW886" s="1"/>
    </row>
    <row r="887" spans="1:49" ht="15.75">
      <c r="A887" s="1"/>
      <c r="L887" s="4"/>
      <c r="T887" s="1"/>
      <c r="Y887" s="1"/>
      <c r="AF887" s="1"/>
      <c r="AW887" s="1"/>
    </row>
    <row r="888" spans="1:49" ht="15.75">
      <c r="A888" s="1"/>
      <c r="L888" s="4"/>
      <c r="T888" s="1"/>
      <c r="Y888" s="1"/>
      <c r="AF888" s="1"/>
      <c r="AW888" s="1"/>
    </row>
    <row r="889" spans="1:49" ht="15.75">
      <c r="A889" s="1"/>
      <c r="L889" s="4"/>
      <c r="T889" s="1"/>
      <c r="Y889" s="1"/>
      <c r="AF889" s="1"/>
      <c r="AW889" s="1"/>
    </row>
    <row r="890" spans="1:49" ht="15.75">
      <c r="A890" s="1"/>
      <c r="L890" s="4"/>
      <c r="T890" s="1"/>
      <c r="Y890" s="1"/>
      <c r="AF890" s="1"/>
      <c r="AW890" s="1"/>
    </row>
    <row r="891" spans="1:49" ht="15.75">
      <c r="A891" s="1"/>
      <c r="L891" s="4"/>
      <c r="T891" s="1"/>
      <c r="Y891" s="1"/>
      <c r="AF891" s="1"/>
      <c r="AW891" s="1"/>
    </row>
    <row r="892" spans="1:49" ht="15.75">
      <c r="A892" s="1"/>
      <c r="L892" s="4"/>
      <c r="T892" s="1"/>
      <c r="Y892" s="1"/>
      <c r="AF892" s="1"/>
      <c r="AW892" s="1"/>
    </row>
    <row r="893" spans="1:49" ht="15.75">
      <c r="A893" s="1"/>
      <c r="L893" s="4"/>
      <c r="T893" s="1"/>
      <c r="Y893" s="1"/>
      <c r="AF893" s="1"/>
      <c r="AW893" s="1"/>
    </row>
    <row r="894" spans="1:49" ht="15.75">
      <c r="A894" s="1"/>
      <c r="L894" s="4"/>
      <c r="T894" s="1"/>
      <c r="Y894" s="1"/>
      <c r="AF894" s="1"/>
      <c r="AW894" s="1"/>
    </row>
    <row r="895" spans="1:49" ht="15.75">
      <c r="A895" s="1"/>
      <c r="L895" s="4"/>
      <c r="T895" s="1"/>
      <c r="Y895" s="1"/>
      <c r="AF895" s="1"/>
      <c r="AW895" s="1"/>
    </row>
    <row r="896" spans="1:49" ht="15.75">
      <c r="A896" s="1"/>
      <c r="L896" s="4"/>
      <c r="T896" s="1"/>
      <c r="Y896" s="1"/>
      <c r="AF896" s="1"/>
      <c r="AW896" s="1"/>
    </row>
    <row r="897" spans="1:49" ht="15.75">
      <c r="A897" s="1"/>
      <c r="L897" s="4"/>
      <c r="T897" s="1"/>
      <c r="Y897" s="1"/>
      <c r="AF897" s="1"/>
      <c r="AW897" s="1"/>
    </row>
    <row r="898" spans="1:49" ht="15.75">
      <c r="A898" s="1"/>
      <c r="L898" s="4"/>
      <c r="T898" s="1"/>
      <c r="Y898" s="1"/>
      <c r="AF898" s="1"/>
      <c r="AW898" s="1"/>
    </row>
    <row r="899" spans="1:49" ht="15.75">
      <c r="A899" s="1"/>
      <c r="L899" s="4"/>
      <c r="T899" s="1"/>
      <c r="Y899" s="1"/>
      <c r="AF899" s="1"/>
      <c r="AW899" s="1"/>
    </row>
    <row r="900" spans="1:49" ht="15.75">
      <c r="A900" s="1"/>
      <c r="L900" s="4"/>
      <c r="T900" s="1"/>
      <c r="Y900" s="1"/>
      <c r="AF900" s="1"/>
      <c r="AW900" s="1"/>
    </row>
    <row r="901" spans="1:49" ht="15.75">
      <c r="A901" s="1"/>
      <c r="L901" s="4"/>
      <c r="T901" s="1"/>
      <c r="Y901" s="1"/>
      <c r="AF901" s="1"/>
      <c r="AW901" s="1"/>
    </row>
    <row r="902" spans="1:49" ht="15.75">
      <c r="A902" s="1"/>
      <c r="L902" s="4"/>
      <c r="T902" s="1"/>
      <c r="Y902" s="1"/>
      <c r="AF902" s="1"/>
      <c r="AW902" s="1"/>
    </row>
    <row r="903" spans="1:49" ht="15.75">
      <c r="A903" s="1"/>
      <c r="L903" s="4"/>
      <c r="T903" s="1"/>
      <c r="Y903" s="1"/>
      <c r="AF903" s="1"/>
      <c r="AW903" s="1"/>
    </row>
    <row r="904" spans="1:49" ht="15.75">
      <c r="A904" s="1"/>
      <c r="L904" s="4"/>
      <c r="T904" s="1"/>
      <c r="Y904" s="1"/>
      <c r="AF904" s="1"/>
      <c r="AW904" s="1"/>
    </row>
    <row r="905" spans="1:49" ht="15.75">
      <c r="A905" s="1"/>
      <c r="L905" s="4"/>
      <c r="T905" s="1"/>
      <c r="Y905" s="1"/>
      <c r="AF905" s="1"/>
      <c r="AW905" s="1"/>
    </row>
    <row r="906" spans="1:49" ht="15.75">
      <c r="A906" s="1"/>
      <c r="L906" s="4"/>
      <c r="T906" s="1"/>
      <c r="Y906" s="1"/>
      <c r="AF906" s="1"/>
      <c r="AW906" s="1"/>
    </row>
    <row r="907" spans="1:49" ht="15.75">
      <c r="A907" s="1"/>
      <c r="L907" s="4"/>
      <c r="T907" s="1"/>
      <c r="Y907" s="1"/>
      <c r="AF907" s="1"/>
      <c r="AW907" s="1"/>
    </row>
    <row r="908" spans="1:49" ht="15.75">
      <c r="A908" s="1"/>
      <c r="L908" s="4"/>
      <c r="T908" s="1"/>
      <c r="Y908" s="1"/>
      <c r="AF908" s="1"/>
      <c r="AW908" s="1"/>
    </row>
    <row r="909" spans="1:49" ht="15.75">
      <c r="A909" s="1"/>
      <c r="L909" s="4"/>
      <c r="T909" s="1"/>
      <c r="Y909" s="1"/>
      <c r="AF909" s="1"/>
      <c r="AW909" s="1"/>
    </row>
    <row r="910" spans="1:49" ht="15.75">
      <c r="A910" s="1"/>
      <c r="L910" s="4"/>
      <c r="T910" s="1"/>
      <c r="Y910" s="1"/>
      <c r="AF910" s="1"/>
      <c r="AW910" s="1"/>
    </row>
    <row r="911" spans="1:49" ht="15.75">
      <c r="A911" s="1"/>
      <c r="L911" s="4"/>
      <c r="T911" s="1"/>
      <c r="Y911" s="1"/>
      <c r="AF911" s="1"/>
      <c r="AW911" s="1"/>
    </row>
    <row r="912" spans="1:49" ht="15.75">
      <c r="A912" s="1"/>
      <c r="L912" s="4"/>
      <c r="T912" s="1"/>
      <c r="Y912" s="1"/>
      <c r="AF912" s="1"/>
      <c r="AW912" s="1"/>
    </row>
    <row r="913" spans="1:49" ht="15.75">
      <c r="A913" s="1"/>
      <c r="L913" s="4"/>
      <c r="T913" s="1"/>
      <c r="Y913" s="1"/>
      <c r="AF913" s="1"/>
      <c r="AW913" s="1"/>
    </row>
    <row r="914" spans="1:49" ht="15.75">
      <c r="A914" s="1"/>
      <c r="L914" s="4"/>
      <c r="T914" s="1"/>
      <c r="Y914" s="1"/>
      <c r="AF914" s="1"/>
      <c r="AW914" s="1"/>
    </row>
    <row r="915" spans="1:49" ht="15.75">
      <c r="A915" s="1"/>
      <c r="L915" s="4"/>
      <c r="T915" s="1"/>
      <c r="Y915" s="1"/>
      <c r="AF915" s="1"/>
      <c r="AW915" s="1"/>
    </row>
    <row r="916" spans="1:49" ht="15.75">
      <c r="A916" s="1"/>
      <c r="L916" s="4"/>
      <c r="T916" s="1"/>
      <c r="Y916" s="1"/>
      <c r="AF916" s="1"/>
      <c r="AW916" s="1"/>
    </row>
    <row r="917" spans="1:49" ht="15.75">
      <c r="A917" s="1"/>
      <c r="L917" s="4"/>
      <c r="T917" s="1"/>
      <c r="Y917" s="1"/>
      <c r="AF917" s="1"/>
      <c r="AW917" s="1"/>
    </row>
    <row r="918" spans="1:49" ht="15.75">
      <c r="A918" s="1"/>
      <c r="L918" s="4"/>
      <c r="T918" s="1"/>
      <c r="Y918" s="1"/>
      <c r="AF918" s="1"/>
      <c r="AW918" s="1"/>
    </row>
    <row r="919" spans="1:49" ht="15.75">
      <c r="A919" s="1"/>
      <c r="L919" s="4"/>
      <c r="T919" s="1"/>
      <c r="Y919" s="1"/>
      <c r="AF919" s="1"/>
      <c r="AW919" s="1"/>
    </row>
    <row r="920" spans="1:49" ht="15.75">
      <c r="A920" s="1"/>
      <c r="L920" s="4"/>
      <c r="T920" s="1"/>
      <c r="Y920" s="1"/>
      <c r="AF920" s="1"/>
      <c r="AW920" s="1"/>
    </row>
    <row r="921" spans="1:49" ht="15.75">
      <c r="A921" s="1"/>
      <c r="L921" s="4"/>
      <c r="T921" s="1"/>
      <c r="Y921" s="1"/>
      <c r="AF921" s="1"/>
      <c r="AW921" s="1"/>
    </row>
    <row r="922" spans="1:49" ht="15.75">
      <c r="A922" s="1"/>
      <c r="L922" s="4"/>
      <c r="T922" s="1"/>
      <c r="Y922" s="1"/>
      <c r="AF922" s="1"/>
      <c r="AW922" s="1"/>
    </row>
    <row r="923" spans="1:49" ht="15.75">
      <c r="A923" s="1"/>
      <c r="L923" s="4"/>
      <c r="T923" s="1"/>
      <c r="Y923" s="1"/>
      <c r="AF923" s="1"/>
      <c r="AW923" s="1"/>
    </row>
    <row r="924" spans="1:49" ht="15.75">
      <c r="A924" s="1"/>
      <c r="L924" s="4"/>
      <c r="T924" s="1"/>
      <c r="Y924" s="1"/>
      <c r="AF924" s="1"/>
      <c r="AW924" s="1"/>
    </row>
    <row r="925" spans="1:49" ht="15.75">
      <c r="A925" s="1"/>
      <c r="L925" s="4"/>
      <c r="T925" s="1"/>
      <c r="Y925" s="1"/>
      <c r="AF925" s="1"/>
      <c r="AW925" s="1"/>
    </row>
    <row r="926" spans="1:49" ht="15.75">
      <c r="A926" s="1"/>
      <c r="L926" s="4"/>
      <c r="T926" s="1"/>
      <c r="Y926" s="1"/>
      <c r="AF926" s="1"/>
      <c r="AW926" s="1"/>
    </row>
    <row r="927" spans="1:49" ht="15.75">
      <c r="A927" s="1"/>
      <c r="L927" s="4"/>
      <c r="T927" s="1"/>
      <c r="Y927" s="1"/>
      <c r="AF927" s="1"/>
      <c r="AW927" s="1"/>
    </row>
    <row r="928" spans="1:49" ht="15.75">
      <c r="A928" s="1"/>
      <c r="L928" s="4"/>
      <c r="T928" s="1"/>
      <c r="Y928" s="1"/>
      <c r="AF928" s="1"/>
      <c r="AW928" s="1"/>
    </row>
    <row r="929" spans="1:49" ht="15.75">
      <c r="A929" s="1"/>
      <c r="L929" s="4"/>
      <c r="T929" s="1"/>
      <c r="Y929" s="1"/>
      <c r="AF929" s="1"/>
      <c r="AW929" s="1"/>
    </row>
    <row r="930" spans="1:49" ht="15.75">
      <c r="A930" s="1"/>
      <c r="L930" s="4"/>
      <c r="T930" s="1"/>
      <c r="Y930" s="1"/>
      <c r="AF930" s="1"/>
      <c r="AW930" s="1"/>
    </row>
    <row r="931" spans="1:49" ht="15.75">
      <c r="A931" s="1"/>
      <c r="L931" s="4"/>
      <c r="T931" s="1"/>
      <c r="Y931" s="1"/>
      <c r="AF931" s="1"/>
      <c r="AW931" s="1"/>
    </row>
    <row r="932" spans="1:49" ht="15.75">
      <c r="A932" s="1"/>
      <c r="L932" s="4"/>
      <c r="T932" s="1"/>
      <c r="Y932" s="1"/>
      <c r="AF932" s="1"/>
      <c r="AW932" s="1"/>
    </row>
    <row r="933" spans="1:49" ht="15.75">
      <c r="A933" s="1"/>
      <c r="L933" s="4"/>
      <c r="T933" s="1"/>
      <c r="Y933" s="1"/>
      <c r="AF933" s="1"/>
      <c r="AW933" s="1"/>
    </row>
    <row r="934" spans="1:49" ht="15.75">
      <c r="A934" s="1"/>
      <c r="L934" s="4"/>
      <c r="T934" s="1"/>
      <c r="Y934" s="1"/>
      <c r="AF934" s="1"/>
      <c r="AW934" s="1"/>
    </row>
    <row r="935" spans="1:49" ht="15.75">
      <c r="A935" s="1"/>
      <c r="L935" s="4"/>
      <c r="T935" s="1"/>
      <c r="Y935" s="1"/>
      <c r="AF935" s="1"/>
      <c r="AW935" s="1"/>
    </row>
    <row r="936" spans="1:49" ht="15.75">
      <c r="A936" s="1"/>
      <c r="L936" s="4"/>
      <c r="T936" s="1"/>
      <c r="Y936" s="1"/>
      <c r="AF936" s="1"/>
      <c r="AW936" s="1"/>
    </row>
    <row r="937" spans="1:49" ht="15.75">
      <c r="A937" s="1"/>
      <c r="L937" s="4"/>
      <c r="T937" s="1"/>
      <c r="Y937" s="1"/>
      <c r="AF937" s="1"/>
      <c r="AW937" s="1"/>
    </row>
    <row r="938" spans="1:49" ht="15.75">
      <c r="A938" s="1"/>
      <c r="L938" s="4"/>
      <c r="T938" s="1"/>
      <c r="Y938" s="1"/>
      <c r="AF938" s="1"/>
      <c r="AW938" s="1"/>
    </row>
    <row r="939" spans="1:49" ht="15.75">
      <c r="A939" s="1"/>
      <c r="L939" s="4"/>
      <c r="T939" s="1"/>
      <c r="Y939" s="1"/>
      <c r="AF939" s="1"/>
      <c r="AW939" s="1"/>
    </row>
    <row r="940" spans="1:49" ht="15.75">
      <c r="A940" s="1"/>
      <c r="L940" s="4"/>
      <c r="T940" s="1"/>
      <c r="Y940" s="1"/>
      <c r="AF940" s="1"/>
      <c r="AW940" s="1"/>
    </row>
    <row r="941" spans="1:49" ht="15.75">
      <c r="A941" s="1"/>
      <c r="L941" s="4"/>
      <c r="T941" s="1"/>
      <c r="Y941" s="1"/>
      <c r="AF941" s="1"/>
      <c r="AW941" s="1"/>
    </row>
    <row r="942" spans="1:49" ht="15.75">
      <c r="A942" s="1"/>
      <c r="L942" s="4"/>
      <c r="T942" s="1"/>
      <c r="Y942" s="1"/>
      <c r="AF942" s="1"/>
      <c r="AW942" s="1"/>
    </row>
    <row r="943" spans="1:49" ht="15.75">
      <c r="A943" s="1"/>
      <c r="L943" s="4"/>
      <c r="T943" s="1"/>
      <c r="Y943" s="1"/>
      <c r="AF943" s="1"/>
      <c r="AW943" s="1"/>
    </row>
    <row r="944" spans="1:49" ht="15.75">
      <c r="A944" s="1"/>
      <c r="L944" s="4"/>
      <c r="T944" s="1"/>
      <c r="Y944" s="1"/>
      <c r="AF944" s="1"/>
      <c r="AW944" s="1"/>
    </row>
    <row r="945" spans="1:49" ht="15.75">
      <c r="A945" s="1"/>
      <c r="L945" s="4"/>
      <c r="T945" s="1"/>
      <c r="Y945" s="1"/>
      <c r="AF945" s="1"/>
      <c r="AW945" s="1"/>
    </row>
    <row r="946" spans="1:49" ht="15.75">
      <c r="A946" s="1"/>
      <c r="L946" s="4"/>
      <c r="T946" s="1"/>
      <c r="Y946" s="1"/>
      <c r="AF946" s="1"/>
      <c r="AW946" s="1"/>
    </row>
    <row r="947" spans="1:49" ht="15.75">
      <c r="A947" s="1"/>
      <c r="L947" s="4"/>
      <c r="T947" s="1"/>
      <c r="Y947" s="1"/>
      <c r="AF947" s="1"/>
      <c r="AW947" s="1"/>
    </row>
    <row r="948" spans="1:49" ht="15.75">
      <c r="A948" s="1"/>
      <c r="L948" s="4"/>
      <c r="T948" s="1"/>
      <c r="Y948" s="1"/>
      <c r="AF948" s="1"/>
      <c r="AW948" s="1"/>
    </row>
    <row r="949" spans="1:49" ht="15.75">
      <c r="A949" s="1"/>
      <c r="L949" s="4"/>
      <c r="T949" s="1"/>
      <c r="Y949" s="1"/>
      <c r="AF949" s="1"/>
      <c r="AW949" s="1"/>
    </row>
    <row r="950" spans="1:49" ht="15.75">
      <c r="A950" s="1"/>
      <c r="L950" s="4"/>
      <c r="T950" s="1"/>
      <c r="Y950" s="1"/>
      <c r="AF950" s="1"/>
      <c r="AW950" s="1"/>
    </row>
    <row r="951" spans="1:49" ht="15.75">
      <c r="A951" s="1"/>
      <c r="L951" s="4"/>
      <c r="T951" s="1"/>
      <c r="Y951" s="1"/>
      <c r="AF951" s="1"/>
      <c r="AW951" s="1"/>
    </row>
    <row r="952" spans="1:49" ht="15.75">
      <c r="A952" s="1"/>
      <c r="L952" s="4"/>
      <c r="T952" s="1"/>
      <c r="Y952" s="1"/>
      <c r="AF952" s="1"/>
      <c r="AW952" s="1"/>
    </row>
    <row r="953" spans="1:49" ht="15.75">
      <c r="A953" s="1"/>
      <c r="L953" s="4"/>
      <c r="T953" s="1"/>
      <c r="Y953" s="1"/>
      <c r="AF953" s="1"/>
      <c r="AW953" s="1"/>
    </row>
    <row r="954" spans="1:49" ht="15.75">
      <c r="A954" s="1"/>
      <c r="L954" s="4"/>
      <c r="T954" s="1"/>
      <c r="Y954" s="1"/>
      <c r="AF954" s="1"/>
      <c r="AW954" s="1"/>
    </row>
    <row r="955" spans="1:49" ht="15.75">
      <c r="A955" s="1"/>
      <c r="L955" s="4"/>
      <c r="T955" s="1"/>
      <c r="Y955" s="1"/>
      <c r="AF955" s="1"/>
      <c r="AW955" s="1"/>
    </row>
    <row r="956" spans="1:49" ht="15.75">
      <c r="A956" s="1"/>
      <c r="L956" s="4"/>
      <c r="T956" s="1"/>
      <c r="Y956" s="1"/>
      <c r="AF956" s="1"/>
      <c r="AW956" s="1"/>
    </row>
    <row r="957" spans="1:49" ht="15.75">
      <c r="A957" s="1"/>
      <c r="L957" s="4"/>
      <c r="T957" s="1"/>
      <c r="Y957" s="1"/>
      <c r="AF957" s="1"/>
      <c r="AW957" s="1"/>
    </row>
    <row r="958" spans="1:49" ht="15.75">
      <c r="A958" s="1"/>
      <c r="L958" s="4"/>
      <c r="T958" s="1"/>
      <c r="Y958" s="1"/>
      <c r="AF958" s="1"/>
      <c r="AW958" s="1"/>
    </row>
    <row r="959" spans="1:49" ht="15.75">
      <c r="A959" s="1"/>
      <c r="L959" s="4"/>
      <c r="T959" s="1"/>
      <c r="Y959" s="1"/>
      <c r="AF959" s="1"/>
      <c r="AW959" s="1"/>
    </row>
    <row r="960" spans="1:49" ht="15.75">
      <c r="A960" s="1"/>
      <c r="L960" s="4"/>
      <c r="T960" s="1"/>
      <c r="Y960" s="1"/>
      <c r="AF960" s="1"/>
      <c r="AW960" s="1"/>
    </row>
    <row r="961" spans="1:49" ht="15.75">
      <c r="A961" s="1"/>
      <c r="L961" s="4"/>
      <c r="T961" s="1"/>
      <c r="Y961" s="1"/>
      <c r="AF961" s="1"/>
      <c r="AW961" s="1"/>
    </row>
    <row r="962" spans="1:49" ht="15.75">
      <c r="A962" s="1"/>
      <c r="L962" s="4"/>
      <c r="T962" s="1"/>
      <c r="Y962" s="1"/>
      <c r="AF962" s="1"/>
      <c r="AW962" s="1"/>
    </row>
    <row r="963" spans="1:49" ht="15.75">
      <c r="A963" s="1"/>
      <c r="L963" s="4"/>
      <c r="T963" s="1"/>
      <c r="Y963" s="1"/>
      <c r="AF963" s="1"/>
      <c r="AW963" s="1"/>
    </row>
    <row r="964" spans="1:49" ht="15.75">
      <c r="A964" s="1"/>
      <c r="L964" s="4"/>
      <c r="T964" s="1"/>
      <c r="Y964" s="1"/>
      <c r="AF964" s="1"/>
      <c r="AW964" s="1"/>
    </row>
    <row r="965" spans="1:49" ht="15.75">
      <c r="A965" s="1"/>
      <c r="L965" s="4"/>
      <c r="T965" s="1"/>
      <c r="Y965" s="1"/>
      <c r="AF965" s="1"/>
      <c r="AW965" s="1"/>
    </row>
    <row r="966" spans="1:49" ht="15.75">
      <c r="A966" s="1"/>
      <c r="L966" s="4"/>
      <c r="T966" s="1"/>
      <c r="Y966" s="1"/>
      <c r="AF966" s="1"/>
      <c r="AW966" s="1"/>
    </row>
    <row r="967" spans="1:49" ht="15.75">
      <c r="A967" s="1"/>
      <c r="L967" s="4"/>
      <c r="T967" s="1"/>
      <c r="Y967" s="1"/>
      <c r="AF967" s="1"/>
      <c r="AW967" s="1"/>
    </row>
    <row r="968" spans="1:49" ht="15.75">
      <c r="A968" s="1"/>
      <c r="L968" s="4"/>
      <c r="T968" s="1"/>
      <c r="Y968" s="1"/>
      <c r="AF968" s="1"/>
      <c r="AW968" s="1"/>
    </row>
    <row r="969" spans="1:49" ht="15.75">
      <c r="A969" s="1"/>
      <c r="L969" s="4"/>
      <c r="T969" s="1"/>
      <c r="Y969" s="1"/>
      <c r="AF969" s="1"/>
      <c r="AW969" s="1"/>
    </row>
    <row r="970" spans="1:49" ht="15.75">
      <c r="A970" s="1"/>
      <c r="L970" s="4"/>
      <c r="T970" s="1"/>
      <c r="Y970" s="1"/>
      <c r="AF970" s="1"/>
      <c r="AW970" s="1"/>
    </row>
    <row r="971" spans="1:49" ht="15.75">
      <c r="A971" s="1"/>
      <c r="L971" s="4"/>
      <c r="T971" s="1"/>
      <c r="Y971" s="1"/>
      <c r="AF971" s="1"/>
      <c r="AW971" s="1"/>
    </row>
    <row r="972" spans="1:49" ht="15.75">
      <c r="A972" s="1"/>
      <c r="L972" s="4"/>
      <c r="T972" s="1"/>
      <c r="Y972" s="1"/>
      <c r="AF972" s="1"/>
      <c r="AW972" s="1"/>
    </row>
    <row r="973" spans="1:49" ht="15.75">
      <c r="A973" s="1"/>
      <c r="L973" s="4"/>
      <c r="T973" s="1"/>
      <c r="Y973" s="1"/>
      <c r="AF973" s="1"/>
      <c r="AW973" s="1"/>
    </row>
    <row r="974" spans="1:49" ht="15.75">
      <c r="A974" s="1"/>
      <c r="L974" s="4"/>
      <c r="T974" s="1"/>
      <c r="Y974" s="1"/>
      <c r="AF974" s="1"/>
      <c r="AW974" s="1"/>
    </row>
    <row r="975" spans="1:49" ht="15.75">
      <c r="A975" s="1"/>
      <c r="L975" s="4"/>
      <c r="T975" s="1"/>
      <c r="Y975" s="1"/>
      <c r="AF975" s="1"/>
      <c r="AW975" s="1"/>
    </row>
    <row r="976" spans="1:49" ht="15.75">
      <c r="A976" s="1"/>
      <c r="L976" s="4"/>
      <c r="T976" s="1"/>
      <c r="Y976" s="1"/>
      <c r="AF976" s="1"/>
      <c r="AW976" s="1"/>
    </row>
    <row r="977" spans="1:49" ht="15.75">
      <c r="A977" s="1"/>
      <c r="L977" s="4"/>
      <c r="T977" s="1"/>
      <c r="Y977" s="1"/>
      <c r="AF977" s="1"/>
      <c r="AW977" s="1"/>
    </row>
    <row r="978" spans="1:49" ht="15.75">
      <c r="A978" s="1"/>
      <c r="L978" s="4"/>
      <c r="T978" s="1"/>
      <c r="Y978" s="1"/>
      <c r="AF978" s="1"/>
      <c r="AW978" s="1"/>
    </row>
    <row r="979" spans="1:49" ht="15.75">
      <c r="A979" s="1"/>
      <c r="L979" s="4"/>
      <c r="T979" s="1"/>
      <c r="Y979" s="1"/>
      <c r="AF979" s="1"/>
      <c r="AW979" s="1"/>
    </row>
    <row r="980" spans="1:49" ht="15.75">
      <c r="A980" s="1"/>
      <c r="L980" s="4"/>
      <c r="T980" s="1"/>
      <c r="Y980" s="1"/>
      <c r="AF980" s="1"/>
      <c r="AW980" s="1"/>
    </row>
    <row r="981" spans="1:49" ht="15.75">
      <c r="A981" s="1"/>
      <c r="L981" s="4"/>
      <c r="T981" s="1"/>
      <c r="Y981" s="1"/>
      <c r="AF981" s="1"/>
      <c r="AW981" s="1"/>
    </row>
    <row r="982" spans="1:49" ht="15.75">
      <c r="A982" s="1"/>
      <c r="L982" s="4"/>
      <c r="T982" s="1"/>
      <c r="Y982" s="1"/>
      <c r="AF982" s="1"/>
      <c r="AW982" s="1"/>
    </row>
    <row r="983" spans="1:49" ht="15.75">
      <c r="A983" s="1"/>
      <c r="L983" s="4"/>
      <c r="T983" s="1"/>
      <c r="Y983" s="1"/>
      <c r="AF983" s="1"/>
      <c r="AW983" s="1"/>
    </row>
    <row r="984" spans="1:49" ht="15.75">
      <c r="A984" s="1"/>
      <c r="L984" s="4"/>
      <c r="T984" s="1"/>
      <c r="Y984" s="1"/>
      <c r="AF984" s="1"/>
      <c r="AW984" s="1"/>
    </row>
    <row r="985" spans="1:49" ht="15.75">
      <c r="A985" s="1"/>
      <c r="L985" s="4"/>
      <c r="T985" s="1"/>
      <c r="Y985" s="1"/>
      <c r="AF985" s="1"/>
      <c r="AW985" s="1"/>
    </row>
    <row r="986" spans="1:49" ht="15.75">
      <c r="A986" s="1"/>
      <c r="L986" s="4"/>
      <c r="T986" s="1"/>
      <c r="Y986" s="1"/>
      <c r="AF986" s="1"/>
      <c r="AW986" s="1"/>
    </row>
    <row r="987" spans="1:49" ht="15.75">
      <c r="A987" s="1"/>
      <c r="L987" s="4"/>
      <c r="T987" s="1"/>
      <c r="Y987" s="1"/>
      <c r="AF987" s="1"/>
      <c r="AW987" s="1"/>
    </row>
    <row r="988" spans="1:49" ht="15.75">
      <c r="A988" s="1"/>
      <c r="L988" s="4"/>
      <c r="T988" s="1"/>
      <c r="Y988" s="1"/>
      <c r="AF988" s="1"/>
      <c r="AW988" s="1"/>
    </row>
    <row r="989" spans="1:49" ht="15.75">
      <c r="A989" s="1"/>
      <c r="L989" s="4"/>
      <c r="T989" s="1"/>
      <c r="Y989" s="1"/>
      <c r="AF989" s="1"/>
      <c r="AW989" s="1"/>
    </row>
    <row r="990" spans="1:49" ht="15.75">
      <c r="A990" s="1"/>
      <c r="L990" s="4"/>
      <c r="T990" s="1"/>
      <c r="Y990" s="1"/>
      <c r="AF990" s="1"/>
      <c r="AW990" s="1"/>
    </row>
    <row r="991" spans="1:49" ht="15.75">
      <c r="A991" s="1"/>
      <c r="L991" s="4"/>
      <c r="T991" s="1"/>
      <c r="Y991" s="1"/>
      <c r="AF991" s="1"/>
      <c r="AW991" s="1"/>
    </row>
    <row r="992" spans="1:49" ht="15.75">
      <c r="A992" s="1"/>
      <c r="L992" s="4"/>
      <c r="T992" s="1"/>
      <c r="Y992" s="1"/>
      <c r="AF992" s="1"/>
      <c r="AW992" s="1"/>
    </row>
    <row r="993" spans="1:49" ht="15.75">
      <c r="A993" s="1"/>
      <c r="L993" s="4"/>
      <c r="T993" s="1"/>
      <c r="Y993" s="1"/>
      <c r="AF993" s="1"/>
      <c r="AW993" s="1"/>
    </row>
    <row r="994" spans="1:49" ht="15.75">
      <c r="A994" s="1"/>
      <c r="L994" s="4"/>
      <c r="T994" s="1"/>
      <c r="Y994" s="1"/>
      <c r="AF994" s="1"/>
      <c r="AW994" s="1"/>
    </row>
    <row r="995" spans="1:49" ht="15.75">
      <c r="A995" s="1"/>
      <c r="L995" s="4"/>
      <c r="T995" s="1"/>
      <c r="Y995" s="1"/>
      <c r="AF995" s="1"/>
      <c r="AW995" s="1"/>
    </row>
    <row r="996" spans="1:49" ht="15.75">
      <c r="A996" s="1"/>
      <c r="L996" s="4"/>
      <c r="T996" s="1"/>
      <c r="Y996" s="1"/>
      <c r="AF996" s="1"/>
      <c r="AW996" s="1"/>
    </row>
    <row r="997" spans="1:49" ht="15.75">
      <c r="A997" s="1"/>
      <c r="L997" s="4"/>
      <c r="T997" s="1"/>
      <c r="Y997" s="1"/>
      <c r="AF997" s="1"/>
      <c r="AW997" s="1"/>
    </row>
    <row r="998" spans="1:49" ht="15.75">
      <c r="A998" s="1"/>
      <c r="L998" s="4"/>
      <c r="T998" s="1"/>
      <c r="Y998" s="1"/>
      <c r="AF998" s="1"/>
      <c r="AW998" s="1"/>
    </row>
    <row r="999" spans="1:49" ht="15.75">
      <c r="A999" s="1"/>
      <c r="L999" s="4"/>
      <c r="T999" s="1"/>
      <c r="Y999" s="1"/>
      <c r="AF999" s="1"/>
      <c r="AW999" s="1"/>
    </row>
    <row r="1000" spans="1:49" ht="15.75">
      <c r="A1000" s="1"/>
      <c r="L1000" s="4"/>
      <c r="T1000" s="1"/>
      <c r="Y1000" s="1"/>
      <c r="AF1000" s="1"/>
      <c r="AW1000" s="1"/>
    </row>
    <row r="1001" spans="1:49" ht="15.75">
      <c r="A1001" s="1"/>
      <c r="L1001" s="4"/>
      <c r="T1001" s="1"/>
      <c r="Y1001" s="1"/>
      <c r="AF1001" s="1"/>
      <c r="AW1001" s="1"/>
    </row>
    <row r="1002" spans="1:49" ht="15.75">
      <c r="A1002" s="1"/>
      <c r="L1002" s="4"/>
      <c r="T1002" s="1"/>
      <c r="Y1002" s="1"/>
      <c r="AF1002" s="1"/>
      <c r="AW1002" s="1"/>
    </row>
    <row r="1003" spans="1:49" ht="15.75">
      <c r="A1003" s="1"/>
      <c r="L1003" s="4"/>
      <c r="T1003" s="1"/>
      <c r="Y1003" s="1"/>
      <c r="AF1003" s="1"/>
      <c r="AW1003" s="1"/>
    </row>
    <row r="1004" spans="1:49" ht="15.75">
      <c r="A1004" s="1"/>
      <c r="L1004" s="4"/>
      <c r="T1004" s="1"/>
      <c r="Y1004" s="1"/>
      <c r="AF1004" s="1"/>
      <c r="AW1004" s="1"/>
    </row>
    <row r="1005" spans="1:49" ht="15.75">
      <c r="A1005" s="1"/>
      <c r="L1005" s="4"/>
      <c r="T1005" s="1"/>
      <c r="Y1005" s="1"/>
      <c r="AF1005" s="1"/>
      <c r="AW1005" s="1"/>
    </row>
    <row r="1006" spans="1:49" ht="15.75">
      <c r="A1006" s="1"/>
      <c r="L1006" s="4"/>
      <c r="T1006" s="1"/>
      <c r="Y1006" s="1"/>
      <c r="AF1006" s="1"/>
      <c r="AW1006" s="1"/>
    </row>
    <row r="1007" spans="1:49" ht="15.75">
      <c r="A1007" s="1"/>
      <c r="L1007" s="4"/>
      <c r="T1007" s="1"/>
      <c r="Y1007" s="1"/>
      <c r="AF1007" s="1"/>
      <c r="AW1007" s="1"/>
    </row>
    <row r="1008" spans="1:49" ht="15.75">
      <c r="A1008" s="1"/>
      <c r="L1008" s="4"/>
      <c r="T1008" s="1"/>
      <c r="Y1008" s="1"/>
      <c r="AF1008" s="1"/>
      <c r="AW1008" s="1"/>
    </row>
    <row r="1009" spans="1:49" ht="15.75">
      <c r="A1009" s="1"/>
      <c r="L1009" s="4"/>
      <c r="T1009" s="1"/>
      <c r="Y1009" s="1"/>
      <c r="AF1009" s="1"/>
      <c r="AW1009" s="1"/>
    </row>
    <row r="1010" spans="1:49" ht="15.75">
      <c r="A1010" s="1"/>
      <c r="L1010" s="4"/>
      <c r="T1010" s="1"/>
      <c r="Y1010" s="1"/>
      <c r="AF1010" s="1"/>
      <c r="AW1010" s="1"/>
    </row>
    <row r="1011" spans="1:49" ht="15.75">
      <c r="A1011" s="1"/>
      <c r="L1011" s="4"/>
      <c r="T1011" s="1"/>
      <c r="Y1011" s="1"/>
      <c r="AF1011" s="1"/>
      <c r="AW1011" s="1"/>
    </row>
    <row r="1012" spans="1:49" ht="15.75">
      <c r="A1012" s="1"/>
      <c r="L1012" s="4"/>
      <c r="T1012" s="1"/>
      <c r="Y1012" s="1"/>
      <c r="AF1012" s="1"/>
      <c r="AW1012" s="1"/>
    </row>
    <row r="1013" spans="1:49" ht="15.75">
      <c r="A1013" s="1"/>
      <c r="L1013" s="4"/>
      <c r="T1013" s="1"/>
      <c r="Y1013" s="1"/>
      <c r="AF1013" s="1"/>
      <c r="AW1013" s="1"/>
    </row>
    <row r="1014" spans="1:49" ht="15.75">
      <c r="A1014" s="1"/>
      <c r="L1014" s="4"/>
      <c r="T1014" s="1"/>
      <c r="Y1014" s="1"/>
      <c r="AF1014" s="1"/>
      <c r="AW1014" s="1"/>
    </row>
    <row r="1015" spans="1:49" ht="15.75">
      <c r="A1015" s="1"/>
      <c r="L1015" s="4"/>
      <c r="T1015" s="1"/>
      <c r="Y1015" s="1"/>
      <c r="AF1015" s="1"/>
      <c r="AW1015" s="1"/>
    </row>
    <row r="1016" spans="1:49" ht="15.75">
      <c r="A1016" s="1"/>
      <c r="L1016" s="4"/>
      <c r="T1016" s="1"/>
      <c r="Y1016" s="1"/>
      <c r="AF1016" s="1"/>
      <c r="AW1016" s="1"/>
    </row>
    <row r="1017" spans="1:49" ht="15.75">
      <c r="A1017" s="1"/>
      <c r="L1017" s="4"/>
      <c r="T1017" s="1"/>
      <c r="Y1017" s="1"/>
      <c r="AF1017" s="1"/>
      <c r="AW1017" s="1"/>
    </row>
    <row r="1018" spans="1:49" ht="15.75">
      <c r="A1018" s="1"/>
      <c r="L1018" s="4"/>
      <c r="T1018" s="1"/>
      <c r="Y1018" s="1"/>
      <c r="AF1018" s="1"/>
      <c r="AW1018" s="1"/>
    </row>
    <row r="1019" spans="1:49" ht="15.75">
      <c r="A1019" s="1"/>
      <c r="L1019" s="4"/>
      <c r="T1019" s="1"/>
      <c r="Y1019" s="1"/>
      <c r="AF1019" s="1"/>
      <c r="AW1019" s="1"/>
    </row>
    <row r="1020" spans="1:49" ht="15.75">
      <c r="A1020" s="1"/>
      <c r="L1020" s="4"/>
      <c r="T1020" s="1"/>
      <c r="Y1020" s="1"/>
      <c r="AF1020" s="1"/>
      <c r="AW1020" s="1"/>
    </row>
    <row r="1021" spans="1:49" ht="15.75">
      <c r="A1021" s="1"/>
      <c r="L1021" s="4"/>
      <c r="T1021" s="1"/>
      <c r="Y1021" s="1"/>
      <c r="AF1021" s="1"/>
      <c r="AW1021" s="1"/>
    </row>
    <row r="1022" spans="1:49" ht="15.75">
      <c r="A1022" s="1"/>
      <c r="L1022" s="4"/>
      <c r="T1022" s="1"/>
      <c r="Y1022" s="1"/>
      <c r="AF1022" s="1"/>
      <c r="AW1022" s="1"/>
    </row>
    <row r="1023" spans="1:49" ht="15.75">
      <c r="A1023" s="1"/>
      <c r="L1023" s="4"/>
      <c r="T1023" s="1"/>
      <c r="Y1023" s="1"/>
      <c r="AF1023" s="1"/>
      <c r="AW1023" s="1"/>
    </row>
    <row r="1024" spans="1:49" ht="15.75">
      <c r="A1024" s="1"/>
      <c r="L1024" s="4"/>
      <c r="T1024" s="1"/>
      <c r="Y1024" s="1"/>
      <c r="AF1024" s="1"/>
      <c r="AW1024" s="1"/>
    </row>
    <row r="1025" spans="1:49" ht="15.75">
      <c r="A1025" s="1"/>
      <c r="L1025" s="4"/>
      <c r="T1025" s="1"/>
      <c r="Y1025" s="1"/>
      <c r="AF1025" s="1"/>
      <c r="AW1025" s="1"/>
    </row>
    <row r="1026" spans="1:49" ht="15.75">
      <c r="A1026" s="1"/>
      <c r="L1026" s="4"/>
      <c r="T1026" s="1"/>
      <c r="Y1026" s="1"/>
      <c r="AF1026" s="1"/>
      <c r="AW1026" s="1"/>
    </row>
    <row r="1027" spans="1:49" ht="15.75">
      <c r="A1027" s="1"/>
      <c r="L1027" s="4"/>
      <c r="T1027" s="1"/>
      <c r="Y1027" s="1"/>
      <c r="AF1027" s="1"/>
      <c r="AW1027" s="1"/>
    </row>
    <row r="1028" spans="1:49" ht="15.75">
      <c r="A1028" s="1"/>
      <c r="L1028" s="4"/>
      <c r="T1028" s="1"/>
      <c r="Y1028" s="1"/>
      <c r="AF1028" s="1"/>
      <c r="AW1028" s="1"/>
    </row>
    <row r="1029" spans="1:49" ht="15.75">
      <c r="A1029" s="1"/>
      <c r="L1029" s="4"/>
      <c r="T1029" s="1"/>
      <c r="Y1029" s="1"/>
      <c r="AF1029" s="1"/>
      <c r="AW1029" s="1"/>
    </row>
    <row r="1030" spans="1:49" ht="15.75">
      <c r="A1030" s="1"/>
      <c r="L1030" s="4"/>
      <c r="T1030" s="1"/>
      <c r="Y1030" s="1"/>
      <c r="AF1030" s="1"/>
      <c r="AW1030" s="1"/>
    </row>
    <row r="1031" spans="1:49" ht="15.75">
      <c r="A1031" s="1"/>
      <c r="L1031" s="4"/>
      <c r="T1031" s="1"/>
      <c r="Y1031" s="1"/>
      <c r="AF1031" s="1"/>
      <c r="AW1031" s="1"/>
    </row>
    <row r="1032" spans="1:49" ht="15.75">
      <c r="A1032" s="1"/>
      <c r="L1032" s="4"/>
      <c r="T1032" s="1"/>
      <c r="Y1032" s="1"/>
      <c r="AF1032" s="1"/>
      <c r="AW1032" s="1"/>
    </row>
    <row r="1033" spans="1:49" ht="15.75">
      <c r="A1033" s="1"/>
      <c r="L1033" s="4"/>
      <c r="T1033" s="1"/>
      <c r="Y1033" s="1"/>
      <c r="AF1033" s="1"/>
      <c r="AW1033" s="1"/>
    </row>
    <row r="1034" spans="1:49" ht="15.75">
      <c r="A1034" s="1"/>
      <c r="L1034" s="4"/>
      <c r="T1034" s="1"/>
      <c r="Y1034" s="1"/>
      <c r="AF1034" s="1"/>
      <c r="AW1034" s="1"/>
    </row>
    <row r="1035" spans="1:49" ht="15.75">
      <c r="A1035" s="1"/>
      <c r="L1035" s="4"/>
      <c r="T1035" s="1"/>
      <c r="Y1035" s="1"/>
      <c r="AF1035" s="1"/>
      <c r="AW1035" s="1"/>
    </row>
    <row r="1036" spans="1:49" ht="15.75">
      <c r="A1036" s="1"/>
      <c r="L1036" s="4"/>
      <c r="T1036" s="1"/>
      <c r="Y1036" s="1"/>
      <c r="AF1036" s="1"/>
      <c r="AW1036" s="1"/>
    </row>
    <row r="1037" spans="1:49" ht="15.75">
      <c r="A1037" s="1"/>
      <c r="L1037" s="4"/>
      <c r="T1037" s="1"/>
      <c r="Y1037" s="1"/>
      <c r="AF1037" s="1"/>
      <c r="AW1037" s="1"/>
    </row>
    <row r="1038" spans="1:49" ht="15.75">
      <c r="A1038" s="1"/>
      <c r="L1038" s="4"/>
      <c r="T1038" s="1"/>
      <c r="Y1038" s="1"/>
      <c r="AF1038" s="1"/>
      <c r="AW1038" s="1"/>
    </row>
    <row r="1039" spans="1:49" ht="15.75">
      <c r="A1039" s="1"/>
      <c r="L1039" s="4"/>
      <c r="T1039" s="1"/>
      <c r="Y1039" s="1"/>
      <c r="AF1039" s="1"/>
      <c r="AW1039" s="1"/>
    </row>
    <row r="1040" spans="1:49" ht="15.75">
      <c r="A1040" s="1"/>
      <c r="L1040" s="4"/>
      <c r="T1040" s="1"/>
      <c r="Y1040" s="1"/>
      <c r="AF1040" s="1"/>
      <c r="AW1040" s="1"/>
    </row>
    <row r="1041" spans="1:49" ht="15.75">
      <c r="A1041" s="1"/>
      <c r="L1041" s="4"/>
      <c r="T1041" s="1"/>
      <c r="Y1041" s="1"/>
      <c r="AF1041" s="1"/>
      <c r="AW1041" s="1"/>
    </row>
    <row r="1042" spans="1:49" ht="15.75">
      <c r="A1042" s="1"/>
      <c r="L1042" s="4"/>
      <c r="T1042" s="1"/>
      <c r="Y1042" s="1"/>
      <c r="AF1042" s="1"/>
      <c r="AW1042" s="1"/>
    </row>
    <row r="1043" spans="1:49" ht="15.75">
      <c r="A1043" s="1"/>
      <c r="L1043" s="4"/>
      <c r="T1043" s="1"/>
      <c r="Y1043" s="1"/>
      <c r="AF1043" s="1"/>
      <c r="AW1043" s="1"/>
    </row>
    <row r="1044" spans="1:49" ht="15.75">
      <c r="A1044" s="1"/>
      <c r="L1044" s="4"/>
      <c r="T1044" s="1"/>
      <c r="Y1044" s="1"/>
      <c r="AF1044" s="1"/>
      <c r="AW1044" s="1"/>
    </row>
    <row r="1045" spans="1:49" ht="15.75">
      <c r="A1045" s="1"/>
      <c r="L1045" s="4"/>
      <c r="T1045" s="1"/>
      <c r="Y1045" s="1"/>
      <c r="AF1045" s="1"/>
      <c r="AW1045" s="1"/>
    </row>
    <row r="1046" spans="1:49" ht="15.75">
      <c r="A1046" s="1"/>
      <c r="L1046" s="4"/>
      <c r="T1046" s="1"/>
      <c r="Y1046" s="1"/>
      <c r="AF1046" s="1"/>
      <c r="AW1046" s="1"/>
    </row>
    <row r="1047" spans="1:49" ht="15.75">
      <c r="A1047" s="1"/>
      <c r="L1047" s="4"/>
      <c r="T1047" s="1"/>
      <c r="Y1047" s="1"/>
      <c r="AF1047" s="1"/>
      <c r="AW1047" s="1"/>
    </row>
    <row r="1048" spans="1:49" ht="15.75">
      <c r="A1048" s="1"/>
      <c r="L1048" s="4"/>
      <c r="T1048" s="1"/>
      <c r="Y1048" s="1"/>
      <c r="AF1048" s="1"/>
      <c r="AW1048" s="1"/>
    </row>
    <row r="1049" spans="1:49" ht="15.75">
      <c r="A1049" s="1"/>
      <c r="L1049" s="4"/>
      <c r="T1049" s="1"/>
      <c r="Y1049" s="1"/>
      <c r="AF1049" s="1"/>
      <c r="AW1049" s="1"/>
    </row>
    <row r="1050" spans="1:49" ht="15.75">
      <c r="A1050" s="1"/>
      <c r="L1050" s="4"/>
      <c r="T1050" s="1"/>
      <c r="Y1050" s="1"/>
      <c r="AF1050" s="1"/>
      <c r="AW1050" s="1"/>
    </row>
    <row r="1051" spans="1:49" ht="15.75">
      <c r="A1051" s="1"/>
      <c r="L1051" s="4"/>
      <c r="T1051" s="1"/>
      <c r="Y1051" s="1"/>
      <c r="AF1051" s="1"/>
      <c r="AW1051" s="1"/>
    </row>
    <row r="1052" spans="1:49" ht="15.75">
      <c r="A1052" s="1"/>
      <c r="L1052" s="4"/>
      <c r="T1052" s="1"/>
      <c r="Y1052" s="1"/>
      <c r="AF1052" s="1"/>
      <c r="AW1052" s="1"/>
    </row>
    <row r="1053" spans="1:49" ht="15.75">
      <c r="A1053" s="1"/>
      <c r="L1053" s="4"/>
      <c r="T1053" s="1"/>
      <c r="Y1053" s="1"/>
      <c r="AF1053" s="1"/>
      <c r="AW1053" s="1"/>
    </row>
    <row r="1054" spans="1:49" ht="15.75">
      <c r="A1054" s="1"/>
      <c r="L1054" s="4"/>
      <c r="T1054" s="1"/>
      <c r="Y1054" s="1"/>
      <c r="AF1054" s="1"/>
      <c r="AW1054" s="1"/>
    </row>
    <row r="1055" spans="1:49" ht="15.75">
      <c r="A1055" s="1"/>
      <c r="L1055" s="4"/>
      <c r="T1055" s="1"/>
      <c r="Y1055" s="1"/>
      <c r="AF1055" s="1"/>
      <c r="AW1055" s="1"/>
    </row>
    <row r="1056" spans="1:49" ht="15.75">
      <c r="A1056" s="1"/>
      <c r="L1056" s="4"/>
      <c r="T1056" s="1"/>
      <c r="Y1056" s="1"/>
      <c r="AF1056" s="1"/>
      <c r="AW1056" s="1"/>
    </row>
    <row r="1057" spans="1:49" ht="15.75">
      <c r="A1057" s="1"/>
      <c r="L1057" s="4"/>
      <c r="T1057" s="1"/>
      <c r="Y1057" s="1"/>
      <c r="AF1057" s="1"/>
      <c r="AW1057" s="1"/>
    </row>
    <row r="1058" spans="1:49" ht="15.75">
      <c r="A1058" s="1"/>
      <c r="L1058" s="4"/>
      <c r="T1058" s="1"/>
      <c r="Y1058" s="1"/>
      <c r="AF1058" s="1"/>
      <c r="AW1058" s="1"/>
    </row>
    <row r="1059" spans="1:49" ht="15.75">
      <c r="A1059" s="1"/>
      <c r="L1059" s="4"/>
      <c r="T1059" s="1"/>
      <c r="Y1059" s="1"/>
      <c r="AF1059" s="1"/>
      <c r="AW1059" s="1"/>
    </row>
    <row r="1060" spans="1:49" ht="15.75">
      <c r="A1060" s="1"/>
      <c r="L1060" s="4"/>
      <c r="T1060" s="1"/>
      <c r="Y1060" s="1"/>
      <c r="AF1060" s="1"/>
      <c r="AW1060" s="1"/>
    </row>
    <row r="1061" spans="1:49" ht="15.75">
      <c r="A1061" s="1"/>
      <c r="L1061" s="4"/>
      <c r="T1061" s="1"/>
      <c r="Y1061" s="1"/>
      <c r="AF1061" s="1"/>
      <c r="AW1061" s="1"/>
    </row>
    <row r="1062" spans="1:49" ht="15.75">
      <c r="A1062" s="1"/>
      <c r="L1062" s="4"/>
      <c r="T1062" s="1"/>
      <c r="Y1062" s="1"/>
      <c r="AF1062" s="1"/>
      <c r="AW1062" s="1"/>
    </row>
    <row r="1063" spans="1:49" ht="15.75">
      <c r="A1063" s="1"/>
      <c r="L1063" s="4"/>
      <c r="T1063" s="1"/>
      <c r="Y1063" s="1"/>
      <c r="AF1063" s="1"/>
      <c r="AW1063" s="1"/>
    </row>
    <row r="1064" spans="1:49" ht="15.75">
      <c r="A1064" s="1"/>
      <c r="L1064" s="4"/>
      <c r="T1064" s="1"/>
      <c r="Y1064" s="1"/>
      <c r="AF1064" s="1"/>
      <c r="AW1064" s="1"/>
    </row>
    <row r="1065" spans="1:49" ht="15.75">
      <c r="A1065" s="1"/>
      <c r="L1065" s="4"/>
      <c r="T1065" s="1"/>
      <c r="Y1065" s="1"/>
      <c r="AF1065" s="1"/>
      <c r="AW1065" s="1"/>
    </row>
    <row r="1066" spans="1:49" ht="15.75">
      <c r="A1066" s="1"/>
      <c r="L1066" s="4"/>
      <c r="T1066" s="1"/>
      <c r="Y1066" s="1"/>
      <c r="AF1066" s="1"/>
      <c r="AW1066" s="1"/>
    </row>
    <row r="1067" spans="1:49" ht="15.75">
      <c r="A1067" s="1"/>
      <c r="L1067" s="4"/>
      <c r="T1067" s="1"/>
      <c r="Y1067" s="1"/>
      <c r="AF1067" s="1"/>
      <c r="AW1067" s="1"/>
    </row>
    <row r="1068" spans="1:49" ht="15.75">
      <c r="A1068" s="1"/>
      <c r="L1068" s="4"/>
      <c r="T1068" s="1"/>
      <c r="Y1068" s="1"/>
      <c r="AF1068" s="1"/>
      <c r="AW1068" s="1"/>
    </row>
    <row r="1069" spans="1:49" ht="15.75">
      <c r="A1069" s="1"/>
      <c r="L1069" s="4"/>
      <c r="T1069" s="1"/>
      <c r="Y1069" s="1"/>
      <c r="AF1069" s="1"/>
      <c r="AW1069" s="1"/>
    </row>
    <row r="1070" spans="1:49" ht="15.75">
      <c r="A1070" s="1"/>
      <c r="L1070" s="4"/>
      <c r="T1070" s="1"/>
      <c r="Y1070" s="1"/>
      <c r="AF1070" s="1"/>
      <c r="AW1070" s="1"/>
    </row>
    <row r="1071" spans="1:49" ht="15.75">
      <c r="A1071" s="1"/>
      <c r="L1071" s="4"/>
      <c r="T1071" s="1"/>
      <c r="Y1071" s="1"/>
      <c r="AF1071" s="1"/>
      <c r="AW1071" s="1"/>
    </row>
    <row r="1072" spans="1:49" ht="15.75">
      <c r="A1072" s="1"/>
      <c r="L1072" s="4"/>
      <c r="T1072" s="1"/>
      <c r="Y1072" s="1"/>
      <c r="AF1072" s="1"/>
      <c r="AW1072" s="1"/>
    </row>
    <row r="1073" spans="1:49" ht="15.75">
      <c r="A1073" s="1"/>
      <c r="L1073" s="4"/>
      <c r="T1073" s="1"/>
      <c r="Y1073" s="1"/>
      <c r="AF1073" s="1"/>
      <c r="AW1073" s="1"/>
    </row>
    <row r="1074" spans="1:49" ht="15.75">
      <c r="A1074" s="1"/>
      <c r="L1074" s="4"/>
      <c r="T1074" s="1"/>
      <c r="Y1074" s="1"/>
      <c r="AF1074" s="1"/>
      <c r="AW1074" s="1"/>
    </row>
    <row r="1075" spans="1:49" ht="15.75">
      <c r="A1075" s="1"/>
      <c r="L1075" s="4"/>
      <c r="T1075" s="1"/>
      <c r="Y1075" s="1"/>
      <c r="AF1075" s="1"/>
      <c r="AW1075" s="1"/>
    </row>
    <row r="1076" spans="1:49" ht="15.75">
      <c r="A1076" s="1"/>
      <c r="L1076" s="4"/>
      <c r="T1076" s="1"/>
      <c r="Y1076" s="1"/>
      <c r="AF1076" s="1"/>
      <c r="AW1076" s="1"/>
    </row>
    <row r="1077" spans="1:49" ht="15.75">
      <c r="A1077" s="1"/>
      <c r="L1077" s="4"/>
      <c r="T1077" s="1"/>
      <c r="Y1077" s="1"/>
      <c r="AF1077" s="1"/>
      <c r="AW1077" s="1"/>
    </row>
    <row r="1078" spans="1:49" ht="15.75">
      <c r="A1078" s="1"/>
      <c r="L1078" s="4"/>
      <c r="T1078" s="1"/>
      <c r="Y1078" s="1"/>
      <c r="AF1078" s="1"/>
      <c r="AW1078" s="1"/>
    </row>
    <row r="1079" spans="1:49" ht="15.75">
      <c r="A1079" s="1"/>
      <c r="L1079" s="4"/>
      <c r="T1079" s="1"/>
      <c r="Y1079" s="1"/>
      <c r="AF1079" s="1"/>
      <c r="AW1079" s="1"/>
    </row>
    <row r="1080" spans="1:49" ht="15.75">
      <c r="A1080" s="1"/>
      <c r="L1080" s="4"/>
      <c r="T1080" s="1"/>
      <c r="Y1080" s="1"/>
      <c r="AF1080" s="1"/>
      <c r="AW1080" s="1"/>
    </row>
    <row r="1081" spans="1:49" ht="15.75">
      <c r="A1081" s="1"/>
      <c r="L1081" s="4"/>
      <c r="T1081" s="1"/>
      <c r="Y1081" s="1"/>
      <c r="AF1081" s="1"/>
      <c r="AW1081" s="1"/>
    </row>
    <row r="1082" spans="1:49" ht="15.75">
      <c r="A1082" s="1"/>
      <c r="L1082" s="4"/>
      <c r="T1082" s="1"/>
      <c r="Y1082" s="1"/>
      <c r="AF1082" s="1"/>
      <c r="AW1082" s="1"/>
    </row>
    <row r="1083" spans="1:49" ht="15.75">
      <c r="A1083" s="1"/>
      <c r="L1083" s="4"/>
      <c r="T1083" s="1"/>
      <c r="Y1083" s="1"/>
      <c r="AF1083" s="1"/>
      <c r="AW1083" s="1"/>
    </row>
    <row r="1084" spans="1:49" ht="15.75">
      <c r="A1084" s="1"/>
      <c r="L1084" s="4"/>
      <c r="T1084" s="1"/>
      <c r="Y1084" s="1"/>
      <c r="AF1084" s="1"/>
      <c r="AW1084" s="1"/>
    </row>
    <row r="1085" spans="1:49" ht="15.75">
      <c r="A1085" s="1"/>
      <c r="L1085" s="4"/>
      <c r="T1085" s="1"/>
      <c r="Y1085" s="1"/>
      <c r="AF1085" s="1"/>
      <c r="AW1085" s="1"/>
    </row>
    <row r="1086" spans="1:49" ht="15.75">
      <c r="A1086" s="1"/>
      <c r="L1086" s="4"/>
      <c r="T1086" s="1"/>
      <c r="Y1086" s="1"/>
      <c r="AF1086" s="1"/>
      <c r="AW1086" s="1"/>
    </row>
    <row r="1087" spans="1:49" ht="15.75">
      <c r="A1087" s="1"/>
      <c r="L1087" s="4"/>
      <c r="T1087" s="1"/>
      <c r="Y1087" s="1"/>
      <c r="AF1087" s="1"/>
      <c r="AW1087" s="1"/>
    </row>
    <row r="1088" spans="1:49" ht="15.75">
      <c r="A1088" s="1"/>
      <c r="L1088" s="4"/>
      <c r="T1088" s="1"/>
      <c r="Y1088" s="1"/>
      <c r="AF1088" s="1"/>
      <c r="AW1088" s="1"/>
    </row>
    <row r="1089" spans="1:49" ht="15.75">
      <c r="A1089" s="1"/>
      <c r="L1089" s="4"/>
      <c r="T1089" s="1"/>
      <c r="Y1089" s="1"/>
      <c r="AF1089" s="1"/>
      <c r="AW1089" s="1"/>
    </row>
    <row r="1090" spans="1:49" ht="15.75">
      <c r="A1090" s="1"/>
      <c r="L1090" s="4"/>
      <c r="T1090" s="1"/>
      <c r="Y1090" s="1"/>
      <c r="AF1090" s="1"/>
      <c r="AW1090" s="1"/>
    </row>
    <row r="1091" spans="1:49" ht="15.75">
      <c r="A1091" s="1"/>
      <c r="L1091" s="4"/>
      <c r="T1091" s="1"/>
      <c r="Y1091" s="1"/>
      <c r="AF1091" s="1"/>
      <c r="AW1091" s="1"/>
    </row>
    <row r="1092" spans="1:49" ht="15.75">
      <c r="A1092" s="1"/>
      <c r="L1092" s="4"/>
      <c r="T1092" s="1"/>
      <c r="Y1092" s="1"/>
      <c r="AF1092" s="1"/>
      <c r="AW1092" s="1"/>
    </row>
    <row r="1093" spans="1:49" ht="15.75">
      <c r="A1093" s="1"/>
      <c r="L1093" s="4"/>
      <c r="T1093" s="1"/>
      <c r="Y1093" s="1"/>
      <c r="AF1093" s="1"/>
      <c r="AW1093" s="1"/>
    </row>
    <row r="1094" spans="1:49" ht="15.75">
      <c r="A1094" s="1"/>
      <c r="L1094" s="4"/>
      <c r="T1094" s="1"/>
      <c r="Y1094" s="1"/>
      <c r="AF1094" s="1"/>
      <c r="AW1094" s="1"/>
    </row>
    <row r="1095" spans="1:49" ht="15.75">
      <c r="A1095" s="1"/>
      <c r="L1095" s="4"/>
      <c r="T1095" s="1"/>
      <c r="Y1095" s="1"/>
      <c r="AF1095" s="1"/>
      <c r="AW1095" s="1"/>
    </row>
    <row r="1096" spans="1:49" ht="15.75">
      <c r="A1096" s="1"/>
      <c r="L1096" s="4"/>
      <c r="T1096" s="1"/>
      <c r="Y1096" s="1"/>
      <c r="AF1096" s="1"/>
      <c r="AW1096" s="1"/>
    </row>
    <row r="1097" spans="1:49" ht="15.75">
      <c r="A1097" s="1"/>
      <c r="L1097" s="4"/>
      <c r="T1097" s="1"/>
      <c r="Y1097" s="1"/>
      <c r="AF1097" s="1"/>
      <c r="AW1097" s="1"/>
    </row>
    <row r="1098" spans="1:49" ht="15.75">
      <c r="A1098" s="1"/>
      <c r="L1098" s="4"/>
      <c r="T1098" s="1"/>
      <c r="Y1098" s="1"/>
      <c r="AF1098" s="1"/>
      <c r="AW1098" s="1"/>
    </row>
    <row r="1099" spans="1:49" ht="15.75">
      <c r="A1099" s="1"/>
      <c r="L1099" s="4"/>
      <c r="T1099" s="1"/>
      <c r="Y1099" s="1"/>
      <c r="AF1099" s="1"/>
      <c r="AW1099" s="1"/>
    </row>
    <row r="1100" spans="1:49" ht="15.75">
      <c r="A1100" s="1"/>
      <c r="L1100" s="4"/>
      <c r="T1100" s="1"/>
      <c r="Y1100" s="1"/>
      <c r="AF1100" s="1"/>
      <c r="AW1100" s="1"/>
    </row>
    <row r="1101" spans="1:49" ht="15.75">
      <c r="A1101" s="1"/>
      <c r="L1101" s="4"/>
      <c r="T1101" s="1"/>
      <c r="Y1101" s="1"/>
      <c r="AF1101" s="1"/>
      <c r="AW1101" s="1"/>
    </row>
    <row r="1102" spans="1:49" ht="15.75">
      <c r="A1102" s="1"/>
      <c r="L1102" s="4"/>
      <c r="T1102" s="1"/>
      <c r="Y1102" s="1"/>
      <c r="AF1102" s="1"/>
      <c r="AW1102" s="1"/>
    </row>
    <row r="1103" spans="1:49" ht="15.75">
      <c r="A1103" s="1"/>
      <c r="L1103" s="4"/>
      <c r="T1103" s="1"/>
      <c r="Y1103" s="1"/>
      <c r="AF1103" s="1"/>
      <c r="AW1103" s="1"/>
    </row>
    <row r="1104" spans="1:49" ht="15.75">
      <c r="A1104" s="1"/>
      <c r="L1104" s="4"/>
      <c r="T1104" s="1"/>
      <c r="Y1104" s="1"/>
      <c r="AF1104" s="1"/>
      <c r="AW1104" s="1"/>
    </row>
    <row r="1105" spans="1:49" ht="15.75">
      <c r="A1105" s="1"/>
      <c r="L1105" s="4"/>
      <c r="T1105" s="1"/>
      <c r="Y1105" s="1"/>
      <c r="AF1105" s="1"/>
      <c r="AW1105" s="1"/>
    </row>
    <row r="1106" spans="1:49" ht="15.75">
      <c r="A1106" s="1"/>
      <c r="L1106" s="4"/>
      <c r="T1106" s="1"/>
      <c r="Y1106" s="1"/>
      <c r="AF1106" s="1"/>
      <c r="AW1106" s="1"/>
    </row>
    <row r="1107" spans="1:49" ht="15.75">
      <c r="A1107" s="1"/>
      <c r="L1107" s="4"/>
      <c r="T1107" s="1"/>
      <c r="Y1107" s="1"/>
      <c r="AF1107" s="1"/>
      <c r="AW1107" s="1"/>
    </row>
    <row r="1108" spans="1:49" ht="15.75">
      <c r="A1108" s="1"/>
      <c r="L1108" s="4"/>
      <c r="T1108" s="1"/>
      <c r="Y1108" s="1"/>
      <c r="AF1108" s="1"/>
      <c r="AW1108" s="1"/>
    </row>
    <row r="1109" spans="1:49" ht="15.75">
      <c r="A1109" s="1"/>
      <c r="L1109" s="4"/>
      <c r="T1109" s="1"/>
      <c r="Y1109" s="1"/>
      <c r="AF1109" s="1"/>
      <c r="AW1109" s="1"/>
    </row>
    <row r="1110" spans="1:49" ht="15.75">
      <c r="A1110" s="1"/>
      <c r="L1110" s="4"/>
      <c r="T1110" s="1"/>
      <c r="Y1110" s="1"/>
      <c r="AF1110" s="1"/>
      <c r="AW1110" s="1"/>
    </row>
    <row r="1111" spans="1:49" ht="15.75">
      <c r="A1111" s="1"/>
      <c r="L1111" s="4"/>
      <c r="T1111" s="1"/>
      <c r="Y1111" s="1"/>
      <c r="AF1111" s="1"/>
      <c r="AW1111" s="1"/>
    </row>
    <row r="1112" spans="1:49" ht="15.75">
      <c r="A1112" s="1"/>
      <c r="L1112" s="4"/>
      <c r="T1112" s="1"/>
      <c r="Y1112" s="1"/>
      <c r="AF1112" s="1"/>
      <c r="AW1112" s="1"/>
    </row>
    <row r="1113" spans="1:49" ht="15.75">
      <c r="A1113" s="1"/>
      <c r="L1113" s="4"/>
      <c r="T1113" s="1"/>
      <c r="Y1113" s="1"/>
      <c r="AF1113" s="1"/>
      <c r="AW1113" s="1"/>
    </row>
    <row r="1114" spans="1:49" ht="15.75">
      <c r="A1114" s="1"/>
      <c r="L1114" s="4"/>
      <c r="T1114" s="1"/>
      <c r="Y1114" s="1"/>
      <c r="AF1114" s="1"/>
      <c r="AW1114" s="1"/>
    </row>
    <row r="1115" spans="1:49" ht="15.75">
      <c r="A1115" s="1"/>
      <c r="L1115" s="4"/>
      <c r="T1115" s="1"/>
      <c r="Y1115" s="1"/>
      <c r="AF1115" s="1"/>
      <c r="AW1115" s="1"/>
    </row>
    <row r="1116" spans="1:49" ht="15.75">
      <c r="A1116" s="1"/>
      <c r="L1116" s="4"/>
      <c r="T1116" s="1"/>
      <c r="Y1116" s="1"/>
      <c r="AF1116" s="1"/>
      <c r="AW1116" s="1"/>
    </row>
    <row r="1117" spans="1:49" ht="15.75">
      <c r="A1117" s="1"/>
      <c r="L1117" s="4"/>
      <c r="T1117" s="1"/>
      <c r="Y1117" s="1"/>
      <c r="AF1117" s="1"/>
      <c r="AW1117" s="1"/>
    </row>
    <row r="1118" spans="1:49" ht="15.75">
      <c r="A1118" s="1"/>
      <c r="L1118" s="4"/>
      <c r="T1118" s="1"/>
      <c r="Y1118" s="1"/>
      <c r="AF1118" s="1"/>
      <c r="AW1118" s="1"/>
    </row>
    <row r="1119" spans="1:49" ht="15.75">
      <c r="A1119" s="1"/>
      <c r="L1119" s="4"/>
      <c r="T1119" s="1"/>
      <c r="Y1119" s="1"/>
      <c r="AF1119" s="1"/>
      <c r="AW1119" s="1"/>
    </row>
    <row r="1120" spans="1:49" ht="15.75">
      <c r="A1120" s="1"/>
      <c r="L1120" s="4"/>
      <c r="T1120" s="1"/>
      <c r="Y1120" s="1"/>
      <c r="AF1120" s="1"/>
      <c r="AW1120" s="1"/>
    </row>
    <row r="1121" spans="1:49" ht="15.75">
      <c r="A1121" s="1"/>
      <c r="L1121" s="4"/>
      <c r="T1121" s="1"/>
      <c r="Y1121" s="1"/>
      <c r="AF1121" s="1"/>
      <c r="AW1121" s="1"/>
    </row>
    <row r="1122" spans="1:49" ht="15.75">
      <c r="A1122" s="1"/>
      <c r="L1122" s="4"/>
      <c r="T1122" s="1"/>
      <c r="Y1122" s="1"/>
      <c r="AF1122" s="1"/>
      <c r="AW1122" s="1"/>
    </row>
    <row r="1123" spans="1:49" ht="15.75">
      <c r="A1123" s="1"/>
      <c r="L1123" s="4"/>
      <c r="T1123" s="1"/>
      <c r="Y1123" s="1"/>
      <c r="AF1123" s="1"/>
      <c r="AW1123" s="1"/>
    </row>
    <row r="1124" spans="1:49" ht="15.75">
      <c r="A1124" s="1"/>
      <c r="L1124" s="4"/>
      <c r="T1124" s="1"/>
      <c r="Y1124" s="1"/>
      <c r="AF1124" s="1"/>
      <c r="AW1124" s="1"/>
    </row>
    <row r="1125" spans="1:49" ht="15.75">
      <c r="A1125" s="1"/>
      <c r="L1125" s="4"/>
      <c r="T1125" s="1"/>
      <c r="Y1125" s="1"/>
      <c r="AF1125" s="1"/>
      <c r="AW1125" s="1"/>
    </row>
    <row r="1126" spans="1:49" ht="15.75">
      <c r="A1126" s="1"/>
      <c r="L1126" s="4"/>
      <c r="T1126" s="1"/>
      <c r="Y1126" s="1"/>
      <c r="AF1126" s="1"/>
      <c r="AW1126" s="1"/>
    </row>
    <row r="1127" spans="1:49" ht="15.75">
      <c r="A1127" s="1"/>
      <c r="L1127" s="4"/>
      <c r="T1127" s="1"/>
      <c r="Y1127" s="1"/>
      <c r="AF1127" s="1"/>
      <c r="AW1127" s="1"/>
    </row>
    <row r="1128" spans="1:49" ht="15.75">
      <c r="A1128" s="1"/>
      <c r="L1128" s="4"/>
      <c r="T1128" s="1"/>
      <c r="Y1128" s="1"/>
      <c r="AF1128" s="1"/>
      <c r="AW1128" s="1"/>
    </row>
    <row r="1129" spans="1:49" ht="15.75">
      <c r="A1129" s="1"/>
      <c r="L1129" s="4"/>
      <c r="T1129" s="1"/>
      <c r="Y1129" s="1"/>
      <c r="AF1129" s="1"/>
      <c r="AW1129" s="1"/>
    </row>
    <row r="1130" spans="1:49" ht="15.75">
      <c r="A1130" s="1"/>
      <c r="L1130" s="4"/>
      <c r="T1130" s="1"/>
      <c r="Y1130" s="1"/>
      <c r="AF1130" s="1"/>
      <c r="AW1130" s="1"/>
    </row>
    <row r="1131" spans="1:49" ht="15.75">
      <c r="A1131" s="1"/>
      <c r="L1131" s="4"/>
      <c r="T1131" s="1"/>
      <c r="Y1131" s="1"/>
      <c r="AF1131" s="1"/>
      <c r="AW1131" s="1"/>
    </row>
    <row r="1132" spans="1:49" ht="15.75">
      <c r="A1132" s="1"/>
      <c r="L1132" s="4"/>
      <c r="T1132" s="1"/>
      <c r="Y1132" s="1"/>
      <c r="AF1132" s="1"/>
      <c r="AW1132" s="1"/>
    </row>
    <row r="1133" spans="1:49" ht="15.75">
      <c r="A1133" s="1"/>
      <c r="L1133" s="4"/>
      <c r="T1133" s="1"/>
      <c r="Y1133" s="1"/>
      <c r="AF1133" s="1"/>
      <c r="AW1133" s="1"/>
    </row>
    <row r="1134" spans="1:49" ht="15.75">
      <c r="A1134" s="1"/>
      <c r="L1134" s="4"/>
      <c r="T1134" s="1"/>
      <c r="Y1134" s="1"/>
      <c r="AF1134" s="1"/>
      <c r="AW1134" s="1"/>
    </row>
    <row r="1135" spans="1:49" ht="15.75">
      <c r="A1135" s="1"/>
      <c r="L1135" s="4"/>
      <c r="T1135" s="1"/>
      <c r="Y1135" s="1"/>
      <c r="AF1135" s="1"/>
      <c r="AW1135" s="1"/>
    </row>
    <row r="1136" spans="1:49" ht="15.75">
      <c r="A1136" s="1"/>
      <c r="L1136" s="4"/>
      <c r="T1136" s="1"/>
      <c r="Y1136" s="1"/>
      <c r="AF1136" s="1"/>
      <c r="AW1136" s="1"/>
    </row>
    <row r="1137" spans="1:49" ht="15.75">
      <c r="A1137" s="1"/>
      <c r="L1137" s="4"/>
      <c r="T1137" s="1"/>
      <c r="Y1137" s="1"/>
      <c r="AF1137" s="1"/>
      <c r="AW1137" s="1"/>
    </row>
    <row r="1138" spans="1:49" ht="15.75">
      <c r="A1138" s="1"/>
      <c r="L1138" s="4"/>
      <c r="T1138" s="1"/>
      <c r="Y1138" s="1"/>
      <c r="AF1138" s="1"/>
      <c r="AW1138" s="1"/>
    </row>
    <row r="1139" spans="1:49" ht="15.75">
      <c r="A1139" s="1"/>
      <c r="L1139" s="4"/>
      <c r="T1139" s="1"/>
      <c r="Y1139" s="1"/>
      <c r="AF1139" s="1"/>
      <c r="AW1139" s="1"/>
    </row>
    <row r="1140" spans="1:49" ht="15.75">
      <c r="A1140" s="1"/>
      <c r="L1140" s="4"/>
      <c r="T1140" s="1"/>
      <c r="Y1140" s="1"/>
      <c r="AF1140" s="1"/>
      <c r="AW1140" s="1"/>
    </row>
    <row r="1141" spans="1:49" ht="15.75">
      <c r="A1141" s="1"/>
      <c r="L1141" s="4"/>
      <c r="T1141" s="1"/>
      <c r="Y1141" s="1"/>
      <c r="AF1141" s="1"/>
      <c r="AW1141" s="1"/>
    </row>
    <row r="1142" spans="1:49" ht="15.75">
      <c r="A1142" s="1"/>
      <c r="L1142" s="4"/>
      <c r="T1142" s="1"/>
      <c r="Y1142" s="1"/>
      <c r="AF1142" s="1"/>
      <c r="AW1142" s="1"/>
    </row>
    <row r="1143" spans="1:49" ht="15.75">
      <c r="A1143" s="1"/>
      <c r="L1143" s="4"/>
      <c r="T1143" s="1"/>
      <c r="Y1143" s="1"/>
      <c r="AF1143" s="1"/>
      <c r="AW1143" s="1"/>
    </row>
    <row r="1144" spans="1:49" ht="15.75">
      <c r="A1144" s="1"/>
      <c r="L1144" s="4"/>
      <c r="T1144" s="1"/>
      <c r="Y1144" s="1"/>
      <c r="AF1144" s="1"/>
      <c r="AW1144" s="1"/>
    </row>
    <row r="1145" spans="1:49" ht="15.75">
      <c r="A1145" s="1"/>
      <c r="L1145" s="4"/>
      <c r="T1145" s="1"/>
      <c r="Y1145" s="1"/>
      <c r="AF1145" s="1"/>
      <c r="AW1145" s="1"/>
    </row>
    <row r="1146" spans="1:49" ht="15.75">
      <c r="A1146" s="1"/>
      <c r="L1146" s="4"/>
      <c r="T1146" s="1"/>
      <c r="Y1146" s="1"/>
      <c r="AF1146" s="1"/>
      <c r="AW1146" s="1"/>
    </row>
    <row r="1147" spans="1:49" ht="15.75">
      <c r="A1147" s="1"/>
      <c r="L1147" s="4"/>
      <c r="T1147" s="1"/>
      <c r="Y1147" s="1"/>
      <c r="AF1147" s="1"/>
      <c r="AW1147" s="1"/>
    </row>
    <row r="1148" spans="1:49" ht="15.75">
      <c r="A1148" s="1"/>
      <c r="L1148" s="4"/>
      <c r="T1148" s="1"/>
      <c r="Y1148" s="1"/>
      <c r="AF1148" s="1"/>
      <c r="AW1148" s="1"/>
    </row>
    <row r="1149" spans="1:49" ht="15.75">
      <c r="A1149" s="1"/>
      <c r="L1149" s="4"/>
      <c r="T1149" s="1"/>
      <c r="Y1149" s="1"/>
      <c r="AF1149" s="1"/>
      <c r="AW1149" s="1"/>
    </row>
    <row r="1150" spans="1:49" ht="15.75">
      <c r="A1150" s="1"/>
      <c r="L1150" s="4"/>
      <c r="T1150" s="1"/>
      <c r="Y1150" s="1"/>
      <c r="AF1150" s="1"/>
      <c r="AW1150" s="1"/>
    </row>
    <row r="1151" spans="1:49" ht="15.75">
      <c r="A1151" s="1"/>
      <c r="L1151" s="4"/>
      <c r="T1151" s="1"/>
      <c r="Y1151" s="1"/>
      <c r="AF1151" s="1"/>
      <c r="AW1151" s="1"/>
    </row>
    <row r="1152" spans="1:49" ht="15.75">
      <c r="A1152" s="1"/>
      <c r="L1152" s="4"/>
      <c r="T1152" s="1"/>
      <c r="Y1152" s="1"/>
      <c r="AF1152" s="1"/>
      <c r="AW1152" s="1"/>
    </row>
    <row r="1153" spans="1:49" ht="15.75">
      <c r="A1153" s="1"/>
      <c r="L1153" s="4"/>
      <c r="T1153" s="1"/>
      <c r="Y1153" s="1"/>
      <c r="AF1153" s="1"/>
      <c r="AW1153" s="1"/>
    </row>
    <row r="1154" spans="1:49" ht="15.75">
      <c r="A1154" s="1"/>
      <c r="L1154" s="4"/>
      <c r="T1154" s="1"/>
      <c r="Y1154" s="1"/>
      <c r="AF1154" s="1"/>
      <c r="AW1154" s="1"/>
    </row>
    <row r="1155" spans="1:49" ht="15.75">
      <c r="A1155" s="1"/>
      <c r="L1155" s="4"/>
      <c r="T1155" s="1"/>
      <c r="Y1155" s="1"/>
      <c r="AF1155" s="1"/>
      <c r="AW1155" s="1"/>
    </row>
    <row r="1156" spans="1:49" ht="15.75">
      <c r="A1156" s="1"/>
      <c r="L1156" s="4"/>
      <c r="T1156" s="1"/>
      <c r="Y1156" s="1"/>
      <c r="AF1156" s="1"/>
      <c r="AW1156" s="1"/>
    </row>
    <row r="1157" spans="1:49" ht="15.75">
      <c r="A1157" s="1"/>
      <c r="L1157" s="4"/>
      <c r="T1157" s="1"/>
      <c r="Y1157" s="1"/>
      <c r="AF1157" s="1"/>
      <c r="AW1157" s="1"/>
    </row>
    <row r="1158" spans="1:49" ht="15.75">
      <c r="A1158" s="1"/>
      <c r="L1158" s="4"/>
      <c r="T1158" s="1"/>
      <c r="Y1158" s="1"/>
      <c r="AF1158" s="1"/>
      <c r="AW1158" s="1"/>
    </row>
    <row r="1159" spans="1:49" ht="15.75">
      <c r="A1159" s="1"/>
      <c r="L1159" s="4"/>
      <c r="T1159" s="1"/>
      <c r="Y1159" s="1"/>
      <c r="AF1159" s="1"/>
      <c r="AW1159" s="1"/>
    </row>
    <row r="1160" spans="1:49" ht="15.75">
      <c r="A1160" s="1"/>
      <c r="L1160" s="4"/>
      <c r="T1160" s="1"/>
      <c r="Y1160" s="1"/>
      <c r="AF1160" s="1"/>
      <c r="AW1160" s="1"/>
    </row>
    <row r="1161" spans="1:49" ht="15.75">
      <c r="A1161" s="1"/>
      <c r="L1161" s="4"/>
      <c r="T1161" s="1"/>
      <c r="Y1161" s="1"/>
      <c r="AF1161" s="1"/>
      <c r="AW1161" s="1"/>
    </row>
    <row r="1162" spans="1:49" ht="15.75">
      <c r="A1162" s="1"/>
      <c r="L1162" s="4"/>
      <c r="T1162" s="1"/>
      <c r="Y1162" s="1"/>
      <c r="AF1162" s="1"/>
      <c r="AW1162" s="1"/>
    </row>
    <row r="1163" spans="1:49" ht="15.75">
      <c r="A1163" s="1"/>
      <c r="L1163" s="4"/>
      <c r="T1163" s="1"/>
      <c r="Y1163" s="1"/>
      <c r="AF1163" s="1"/>
      <c r="AW1163" s="1"/>
    </row>
    <row r="1164" spans="1:49" ht="15.75">
      <c r="A1164" s="1"/>
      <c r="L1164" s="4"/>
      <c r="T1164" s="1"/>
      <c r="Y1164" s="1"/>
      <c r="AF1164" s="1"/>
      <c r="AW1164" s="1"/>
    </row>
    <row r="1165" spans="1:49" ht="15.75">
      <c r="A1165" s="1"/>
      <c r="L1165" s="4"/>
      <c r="T1165" s="1"/>
      <c r="Y1165" s="1"/>
      <c r="AF1165" s="1"/>
      <c r="AW1165" s="1"/>
    </row>
    <row r="1166" spans="1:49" ht="15.75">
      <c r="A1166" s="1"/>
      <c r="L1166" s="4"/>
      <c r="T1166" s="1"/>
      <c r="Y1166" s="1"/>
      <c r="AF1166" s="1"/>
      <c r="AW1166" s="1"/>
    </row>
    <row r="1167" spans="1:49" ht="15.75">
      <c r="A1167" s="1"/>
      <c r="L1167" s="4"/>
      <c r="T1167" s="1"/>
      <c r="Y1167" s="1"/>
      <c r="AF1167" s="1"/>
      <c r="AW1167" s="1"/>
    </row>
    <row r="1168" spans="1:49" ht="15.75">
      <c r="A1168" s="1"/>
      <c r="L1168" s="4"/>
      <c r="T1168" s="1"/>
      <c r="Y1168" s="1"/>
      <c r="AF1168" s="1"/>
      <c r="AW1168" s="1"/>
    </row>
    <row r="1169" spans="1:49" ht="15.75">
      <c r="A1169" s="1"/>
      <c r="L1169" s="4"/>
      <c r="T1169" s="1"/>
      <c r="Y1169" s="1"/>
      <c r="AF1169" s="1"/>
      <c r="AW1169" s="1"/>
    </row>
    <row r="1170" spans="1:49" ht="15.75">
      <c r="A1170" s="1"/>
      <c r="L1170" s="4"/>
      <c r="T1170" s="1"/>
      <c r="Y1170" s="1"/>
      <c r="AF1170" s="1"/>
      <c r="AW1170" s="1"/>
    </row>
    <row r="1171" spans="1:49" ht="15.75">
      <c r="A1171" s="1"/>
      <c r="L1171" s="4"/>
      <c r="T1171" s="1"/>
      <c r="Y1171" s="1"/>
      <c r="AF1171" s="1"/>
      <c r="AW1171" s="1"/>
    </row>
    <row r="1172" spans="1:49" ht="15.75">
      <c r="A1172" s="1"/>
      <c r="L1172" s="4"/>
      <c r="T1172" s="1"/>
      <c r="Y1172" s="1"/>
      <c r="AF1172" s="1"/>
      <c r="AW1172" s="1"/>
    </row>
    <row r="1173" spans="1:49" ht="15.75">
      <c r="A1173" s="1"/>
      <c r="L1173" s="4"/>
      <c r="T1173" s="1"/>
      <c r="Y1173" s="1"/>
      <c r="AF1173" s="1"/>
      <c r="AW1173" s="1"/>
    </row>
    <row r="1174" spans="1:49" ht="15.75">
      <c r="A1174" s="1"/>
      <c r="L1174" s="4"/>
      <c r="T1174" s="1"/>
      <c r="Y1174" s="1"/>
      <c r="AF1174" s="1"/>
      <c r="AW1174" s="1"/>
    </row>
    <row r="1175" spans="1:49" ht="15.75">
      <c r="A1175" s="1"/>
      <c r="L1175" s="4"/>
      <c r="T1175" s="1"/>
      <c r="Y1175" s="1"/>
      <c r="AF1175" s="1"/>
      <c r="AW1175" s="1"/>
    </row>
    <row r="1176" spans="1:49" ht="15.75">
      <c r="A1176" s="1"/>
      <c r="L1176" s="4"/>
      <c r="T1176" s="1"/>
      <c r="Y1176" s="1"/>
      <c r="AF1176" s="1"/>
      <c r="AW1176" s="1"/>
    </row>
    <row r="1177" spans="1:49" ht="15.75">
      <c r="A1177" s="1"/>
      <c r="L1177" s="4"/>
      <c r="T1177" s="1"/>
      <c r="Y1177" s="1"/>
      <c r="AF1177" s="1"/>
      <c r="AW1177" s="1"/>
    </row>
    <row r="1178" spans="1:49" ht="15.75">
      <c r="A1178" s="1"/>
      <c r="L1178" s="4"/>
      <c r="T1178" s="1"/>
      <c r="Y1178" s="1"/>
      <c r="AF1178" s="1"/>
      <c r="AW1178" s="1"/>
    </row>
    <row r="1179" spans="1:49" ht="15.75">
      <c r="A1179" s="1"/>
      <c r="L1179" s="4"/>
      <c r="T1179" s="1"/>
      <c r="Y1179" s="1"/>
      <c r="AF1179" s="1"/>
      <c r="AW1179" s="1"/>
    </row>
    <row r="1180" spans="1:49" ht="15.75">
      <c r="A1180" s="1"/>
      <c r="L1180" s="4"/>
      <c r="T1180" s="1"/>
      <c r="Y1180" s="1"/>
      <c r="AF1180" s="1"/>
      <c r="AW1180" s="1"/>
    </row>
    <row r="1181" spans="1:49" ht="15.75">
      <c r="A1181" s="1"/>
      <c r="L1181" s="4"/>
      <c r="T1181" s="1"/>
      <c r="Y1181" s="1"/>
      <c r="AF1181" s="1"/>
      <c r="AW1181" s="1"/>
    </row>
    <row r="1182" spans="1:49" ht="15.75">
      <c r="A1182" s="1"/>
      <c r="L1182" s="4"/>
      <c r="T1182" s="1"/>
      <c r="Y1182" s="1"/>
      <c r="AF1182" s="1"/>
      <c r="AW1182" s="1"/>
    </row>
    <row r="1183" spans="1:49" ht="15.75">
      <c r="A1183" s="1"/>
      <c r="L1183" s="4"/>
      <c r="T1183" s="1"/>
      <c r="Y1183" s="1"/>
      <c r="AF1183" s="1"/>
      <c r="AW1183" s="1"/>
    </row>
    <row r="1184" spans="1:49" ht="15.75">
      <c r="A1184" s="1"/>
      <c r="L1184" s="4"/>
      <c r="T1184" s="1"/>
      <c r="Y1184" s="1"/>
      <c r="AF1184" s="1"/>
      <c r="AW1184" s="1"/>
    </row>
    <row r="1185" spans="1:49" ht="15.75">
      <c r="A1185" s="1"/>
      <c r="L1185" s="4"/>
      <c r="T1185" s="1"/>
      <c r="Y1185" s="1"/>
      <c r="AF1185" s="1"/>
      <c r="AW1185" s="1"/>
    </row>
    <row r="1186" spans="1:49" ht="15.75">
      <c r="A1186" s="1"/>
      <c r="L1186" s="4"/>
      <c r="T1186" s="1"/>
      <c r="Y1186" s="1"/>
      <c r="AF1186" s="1"/>
      <c r="AW1186" s="1"/>
    </row>
    <row r="1187" spans="1:49" ht="15.75">
      <c r="A1187" s="1"/>
      <c r="L1187" s="4"/>
      <c r="T1187" s="1"/>
      <c r="Y1187" s="1"/>
      <c r="AF1187" s="1"/>
      <c r="AW1187" s="1"/>
    </row>
    <row r="1188" spans="1:49" ht="15.75">
      <c r="A1188" s="1"/>
      <c r="L1188" s="4"/>
      <c r="T1188" s="1"/>
      <c r="Y1188" s="1"/>
      <c r="AF1188" s="1"/>
      <c r="AW1188" s="1"/>
    </row>
    <row r="1189" spans="1:49" ht="15.75">
      <c r="A1189" s="1"/>
      <c r="L1189" s="4"/>
      <c r="T1189" s="1"/>
      <c r="Y1189" s="1"/>
      <c r="AF1189" s="1"/>
      <c r="AW1189" s="1"/>
    </row>
    <row r="1190" spans="1:49" ht="15.75">
      <c r="A1190" s="1"/>
      <c r="L1190" s="4"/>
      <c r="T1190" s="1"/>
      <c r="Y1190" s="1"/>
      <c r="AF1190" s="1"/>
      <c r="AW1190" s="1"/>
    </row>
    <row r="1191" spans="1:49" ht="15.75">
      <c r="A1191" s="1"/>
      <c r="L1191" s="4"/>
      <c r="T1191" s="1"/>
      <c r="Y1191" s="1"/>
      <c r="AF1191" s="1"/>
      <c r="AW1191" s="1"/>
    </row>
    <row r="1192" spans="1:49" ht="15.75">
      <c r="A1192" s="1"/>
      <c r="L1192" s="4"/>
      <c r="T1192" s="1"/>
      <c r="Y1192" s="1"/>
      <c r="AF1192" s="1"/>
      <c r="AW1192" s="1"/>
    </row>
    <row r="1193" spans="1:49" ht="15.75">
      <c r="A1193" s="1"/>
      <c r="L1193" s="4"/>
      <c r="T1193" s="1"/>
      <c r="Y1193" s="1"/>
      <c r="AF1193" s="1"/>
      <c r="AW1193" s="1"/>
    </row>
    <row r="1194" spans="1:49" ht="15.75">
      <c r="A1194" s="1"/>
      <c r="L1194" s="4"/>
      <c r="T1194" s="1"/>
      <c r="Y1194" s="1"/>
      <c r="AF1194" s="1"/>
      <c r="AW1194" s="1"/>
    </row>
    <row r="1195" spans="1:49" ht="15.75">
      <c r="A1195" s="1"/>
      <c r="L1195" s="4"/>
      <c r="T1195" s="1"/>
      <c r="Y1195" s="1"/>
      <c r="AF1195" s="1"/>
      <c r="AW1195" s="1"/>
    </row>
    <row r="1196" spans="1:49" ht="15.75">
      <c r="A1196" s="1"/>
      <c r="L1196" s="4"/>
      <c r="T1196" s="1"/>
      <c r="Y1196" s="1"/>
      <c r="AF1196" s="1"/>
      <c r="AW1196" s="1"/>
    </row>
    <row r="1197" spans="1:49" ht="15.75">
      <c r="A1197" s="1"/>
      <c r="L1197" s="4"/>
      <c r="T1197" s="1"/>
      <c r="Y1197" s="1"/>
      <c r="AF1197" s="1"/>
      <c r="AW1197" s="1"/>
    </row>
    <row r="1198" spans="1:49" ht="15.75">
      <c r="A1198" s="1"/>
      <c r="L1198" s="4"/>
      <c r="T1198" s="1"/>
      <c r="Y1198" s="1"/>
      <c r="AF1198" s="1"/>
      <c r="AW1198" s="1"/>
    </row>
    <row r="1199" spans="1:49" ht="15.75">
      <c r="A1199" s="1"/>
      <c r="L1199" s="4"/>
      <c r="T1199" s="1"/>
      <c r="Y1199" s="1"/>
      <c r="AF1199" s="1"/>
      <c r="AW1199" s="1"/>
    </row>
    <row r="1200" spans="1:49" ht="15.75">
      <c r="A1200" s="1"/>
      <c r="L1200" s="4"/>
      <c r="T1200" s="1"/>
      <c r="Y1200" s="1"/>
      <c r="AF1200" s="1"/>
      <c r="AW1200" s="1"/>
    </row>
    <row r="1201" spans="1:49" ht="15.75">
      <c r="A1201" s="1"/>
      <c r="L1201" s="4"/>
      <c r="T1201" s="1"/>
      <c r="Y1201" s="1"/>
      <c r="AF1201" s="1"/>
      <c r="AW1201" s="1"/>
    </row>
    <row r="1202" spans="1:49" ht="15.75">
      <c r="A1202" s="1"/>
      <c r="L1202" s="4"/>
      <c r="T1202" s="1"/>
      <c r="Y1202" s="1"/>
      <c r="AF1202" s="1"/>
      <c r="AW1202" s="1"/>
    </row>
    <row r="1203" spans="1:49" ht="15.75">
      <c r="A1203" s="1"/>
      <c r="L1203" s="4"/>
      <c r="T1203" s="1"/>
      <c r="Y1203" s="1"/>
      <c r="AF1203" s="1"/>
      <c r="AW1203" s="1"/>
    </row>
    <row r="1204" spans="1:49" ht="15.75">
      <c r="A1204" s="1"/>
      <c r="L1204" s="4"/>
      <c r="T1204" s="1"/>
      <c r="Y1204" s="1"/>
      <c r="AF1204" s="1"/>
      <c r="AW1204" s="1"/>
    </row>
    <row r="1205" spans="1:49" ht="15.75">
      <c r="A1205" s="1"/>
      <c r="L1205" s="4"/>
      <c r="T1205" s="1"/>
      <c r="Y1205" s="1"/>
      <c r="AF1205" s="1"/>
      <c r="AW1205" s="1"/>
    </row>
    <row r="1206" spans="1:49" ht="15.75">
      <c r="A1206" s="1"/>
      <c r="L1206" s="4"/>
      <c r="T1206" s="1"/>
      <c r="Y1206" s="1"/>
      <c r="AF1206" s="1"/>
      <c r="AW1206" s="1"/>
    </row>
    <row r="1207" spans="1:49" ht="15.75">
      <c r="A1207" s="1"/>
      <c r="L1207" s="4"/>
      <c r="T1207" s="1"/>
      <c r="Y1207" s="1"/>
      <c r="AF1207" s="1"/>
      <c r="AW1207" s="1"/>
    </row>
    <row r="1208" spans="1:49" ht="15.75">
      <c r="A1208" s="1"/>
      <c r="L1208" s="4"/>
      <c r="T1208" s="1"/>
      <c r="Y1208" s="1"/>
      <c r="AF1208" s="1"/>
      <c r="AW1208" s="1"/>
    </row>
    <row r="1209" spans="1:49" ht="15.75">
      <c r="A1209" s="1"/>
      <c r="L1209" s="4"/>
      <c r="T1209" s="1"/>
      <c r="Y1209" s="1"/>
      <c r="AF1209" s="1"/>
      <c r="AW1209" s="1"/>
    </row>
    <row r="1210" spans="1:49" ht="15.75">
      <c r="A1210" s="1"/>
      <c r="L1210" s="4"/>
      <c r="T1210" s="1"/>
      <c r="Y1210" s="1"/>
      <c r="AF1210" s="1"/>
      <c r="AW1210" s="1"/>
    </row>
    <row r="1211" spans="1:49" ht="15.75">
      <c r="A1211" s="1"/>
      <c r="L1211" s="4"/>
      <c r="T1211" s="1"/>
      <c r="Y1211" s="1"/>
      <c r="AF1211" s="1"/>
      <c r="AW1211" s="1"/>
    </row>
    <row r="1212" spans="1:49" ht="15.75">
      <c r="A1212" s="1"/>
      <c r="L1212" s="4"/>
      <c r="T1212" s="1"/>
      <c r="Y1212" s="1"/>
      <c r="AF1212" s="1"/>
      <c r="AW1212" s="1"/>
    </row>
    <row r="1213" spans="1:49" ht="15.75">
      <c r="A1213" s="1"/>
      <c r="L1213" s="4"/>
      <c r="T1213" s="1"/>
      <c r="Y1213" s="1"/>
      <c r="AF1213" s="1"/>
      <c r="AW1213" s="1"/>
    </row>
    <row r="1214" spans="1:49" ht="15.75">
      <c r="A1214" s="1"/>
      <c r="L1214" s="4"/>
      <c r="T1214" s="1"/>
      <c r="Y1214" s="1"/>
      <c r="AF1214" s="1"/>
      <c r="AW1214" s="1"/>
    </row>
    <row r="1215" spans="1:49" ht="15.75">
      <c r="A1215" s="1"/>
      <c r="L1215" s="4"/>
      <c r="T1215" s="1"/>
      <c r="Y1215" s="1"/>
      <c r="AF1215" s="1"/>
      <c r="AW1215" s="1"/>
    </row>
    <row r="1216" spans="1:49" ht="15.75">
      <c r="A1216" s="1"/>
      <c r="L1216" s="4"/>
      <c r="T1216" s="1"/>
      <c r="Y1216" s="1"/>
      <c r="AF1216" s="1"/>
      <c r="AW1216" s="1"/>
    </row>
    <row r="1217" spans="1:49" ht="15.75">
      <c r="A1217" s="1"/>
      <c r="L1217" s="4"/>
      <c r="T1217" s="1"/>
      <c r="Y1217" s="1"/>
      <c r="AF1217" s="1"/>
      <c r="AW1217" s="1"/>
    </row>
    <row r="1218" spans="1:49" ht="15.75">
      <c r="A1218" s="1"/>
      <c r="L1218" s="4"/>
      <c r="T1218" s="1"/>
      <c r="Y1218" s="1"/>
      <c r="AF1218" s="1"/>
      <c r="AW1218" s="1"/>
    </row>
    <row r="1219" spans="1:49" ht="15.75">
      <c r="A1219" s="1"/>
      <c r="L1219" s="4"/>
      <c r="T1219" s="1"/>
      <c r="Y1219" s="1"/>
      <c r="AF1219" s="1"/>
      <c r="AW1219" s="1"/>
    </row>
    <row r="1220" spans="1:49" ht="15.75">
      <c r="A1220" s="1"/>
      <c r="L1220" s="4"/>
      <c r="T1220" s="1"/>
      <c r="Y1220" s="1"/>
      <c r="AF1220" s="1"/>
      <c r="AW1220" s="1"/>
    </row>
    <row r="1221" spans="1:49" ht="15.75">
      <c r="A1221" s="1"/>
      <c r="L1221" s="4"/>
      <c r="T1221" s="1"/>
      <c r="Y1221" s="1"/>
      <c r="AF1221" s="1"/>
      <c r="AW1221" s="1"/>
    </row>
    <row r="1222" spans="1:49" ht="15.75">
      <c r="A1222" s="1"/>
      <c r="L1222" s="4"/>
      <c r="T1222" s="1"/>
      <c r="Y1222" s="1"/>
      <c r="AF1222" s="1"/>
      <c r="AW1222" s="1"/>
    </row>
    <row r="1223" spans="1:49" ht="15.75">
      <c r="A1223" s="1"/>
      <c r="L1223" s="4"/>
      <c r="T1223" s="1"/>
      <c r="Y1223" s="1"/>
      <c r="AF1223" s="1"/>
      <c r="AW1223" s="1"/>
    </row>
    <row r="1224" spans="1:49" ht="15.75">
      <c r="A1224" s="1"/>
      <c r="L1224" s="4"/>
      <c r="T1224" s="1"/>
      <c r="Y1224" s="1"/>
      <c r="AF1224" s="1"/>
      <c r="AW1224" s="1"/>
    </row>
    <row r="1225" spans="1:49" ht="15.75">
      <c r="A1225" s="1"/>
      <c r="L1225" s="4"/>
      <c r="T1225" s="1"/>
      <c r="Y1225" s="1"/>
      <c r="AF1225" s="1"/>
      <c r="AW1225" s="1"/>
    </row>
    <row r="1226" spans="1:49" ht="15.75">
      <c r="A1226" s="1"/>
      <c r="L1226" s="4"/>
      <c r="T1226" s="1"/>
      <c r="Y1226" s="1"/>
      <c r="AF1226" s="1"/>
      <c r="AW1226" s="1"/>
    </row>
    <row r="1227" spans="1:49" ht="15.75">
      <c r="A1227" s="1"/>
      <c r="L1227" s="4"/>
      <c r="T1227" s="1"/>
      <c r="Y1227" s="1"/>
      <c r="AF1227" s="1"/>
      <c r="AW1227" s="1"/>
    </row>
    <row r="1228" spans="1:49" ht="15.75">
      <c r="A1228" s="1"/>
      <c r="L1228" s="4"/>
      <c r="T1228" s="1"/>
      <c r="Y1228" s="1"/>
      <c r="AF1228" s="1"/>
      <c r="AW1228" s="1"/>
    </row>
    <row r="1229" spans="1:49" ht="15.75">
      <c r="A1229" s="1"/>
      <c r="L1229" s="4"/>
      <c r="T1229" s="1"/>
      <c r="Y1229" s="1"/>
      <c r="AF1229" s="1"/>
      <c r="AW1229" s="1"/>
    </row>
    <row r="1230" spans="1:49" ht="15.75">
      <c r="A1230" s="1"/>
      <c r="L1230" s="4"/>
      <c r="T1230" s="1"/>
      <c r="Y1230" s="1"/>
      <c r="AF1230" s="1"/>
      <c r="AW1230" s="1"/>
    </row>
    <row r="1231" spans="1:49" ht="15.75">
      <c r="A1231" s="1"/>
      <c r="L1231" s="4"/>
      <c r="T1231" s="1"/>
      <c r="Y1231" s="1"/>
      <c r="AF1231" s="1"/>
      <c r="AW1231" s="1"/>
    </row>
    <row r="1232" spans="1:49" ht="15.75">
      <c r="A1232" s="1"/>
      <c r="L1232" s="4"/>
      <c r="T1232" s="1"/>
      <c r="Y1232" s="1"/>
      <c r="AF1232" s="1"/>
      <c r="AW1232" s="1"/>
    </row>
    <row r="1233" spans="1:49" ht="15.75">
      <c r="A1233" s="1"/>
      <c r="L1233" s="4"/>
      <c r="T1233" s="1"/>
      <c r="Y1233" s="1"/>
      <c r="AF1233" s="1"/>
      <c r="AW1233" s="1"/>
    </row>
    <row r="1234" spans="1:49" ht="15.75">
      <c r="A1234" s="1"/>
      <c r="L1234" s="4"/>
      <c r="T1234" s="1"/>
      <c r="Y1234" s="1"/>
      <c r="AF1234" s="1"/>
      <c r="AW1234" s="1"/>
    </row>
    <row r="1235" spans="1:49" ht="15.75">
      <c r="A1235" s="1"/>
      <c r="L1235" s="4"/>
      <c r="T1235" s="1"/>
      <c r="Y1235" s="1"/>
      <c r="AF1235" s="1"/>
      <c r="AW1235" s="1"/>
    </row>
    <row r="1236" spans="1:49" ht="15.75">
      <c r="A1236" s="1"/>
      <c r="L1236" s="4"/>
      <c r="T1236" s="1"/>
      <c r="Y1236" s="1"/>
      <c r="AF1236" s="1"/>
      <c r="AW1236" s="1"/>
    </row>
    <row r="1237" spans="1:49" ht="15.75">
      <c r="A1237" s="1"/>
      <c r="L1237" s="4"/>
      <c r="T1237" s="1"/>
      <c r="Y1237" s="1"/>
      <c r="AF1237" s="1"/>
      <c r="AW1237" s="1"/>
    </row>
    <row r="1238" spans="1:49" ht="15.75">
      <c r="A1238" s="1"/>
      <c r="L1238" s="4"/>
      <c r="T1238" s="1"/>
      <c r="Y1238" s="1"/>
      <c r="AF1238" s="1"/>
      <c r="AW1238" s="1"/>
    </row>
    <row r="1239" spans="1:49" ht="15.75">
      <c r="A1239" s="1"/>
      <c r="L1239" s="4"/>
      <c r="T1239" s="1"/>
      <c r="Y1239" s="1"/>
      <c r="AF1239" s="1"/>
      <c r="AW1239" s="1"/>
    </row>
    <row r="1240" spans="1:49" ht="15.75">
      <c r="A1240" s="1"/>
      <c r="L1240" s="4"/>
      <c r="T1240" s="1"/>
      <c r="Y1240" s="1"/>
      <c r="AF1240" s="1"/>
      <c r="AW1240" s="1"/>
    </row>
    <row r="1241" spans="1:49" ht="15.75">
      <c r="A1241" s="1"/>
      <c r="L1241" s="4"/>
      <c r="T1241" s="1"/>
      <c r="Y1241" s="1"/>
      <c r="AF1241" s="1"/>
      <c r="AW1241" s="1"/>
    </row>
    <row r="1242" spans="1:49" ht="15.75">
      <c r="A1242" s="1"/>
      <c r="L1242" s="4"/>
      <c r="T1242" s="1"/>
      <c r="Y1242" s="1"/>
      <c r="AF1242" s="1"/>
      <c r="AW1242" s="1"/>
    </row>
    <row r="1243" spans="1:49" ht="15.75">
      <c r="A1243" s="1"/>
      <c r="L1243" s="4"/>
      <c r="T1243" s="1"/>
      <c r="Y1243" s="1"/>
      <c r="AF1243" s="1"/>
      <c r="AW1243" s="1"/>
    </row>
    <row r="1244" spans="1:49" ht="15.75">
      <c r="A1244" s="1"/>
      <c r="L1244" s="4"/>
      <c r="T1244" s="1"/>
      <c r="Y1244" s="1"/>
      <c r="AF1244" s="1"/>
      <c r="AW1244" s="1"/>
    </row>
    <row r="1245" spans="1:49" ht="15.75">
      <c r="A1245" s="1"/>
      <c r="L1245" s="4"/>
      <c r="T1245" s="1"/>
      <c r="Y1245" s="1"/>
      <c r="AF1245" s="1"/>
      <c r="AW1245" s="1"/>
    </row>
    <row r="1246" spans="1:49" ht="15.75">
      <c r="A1246" s="1"/>
      <c r="L1246" s="4"/>
      <c r="T1246" s="1"/>
      <c r="Y1246" s="1"/>
      <c r="AF1246" s="1"/>
      <c r="AW1246" s="1"/>
    </row>
    <row r="1247" spans="1:49" ht="15.75">
      <c r="A1247" s="1"/>
      <c r="L1247" s="4"/>
      <c r="T1247" s="1"/>
      <c r="Y1247" s="1"/>
      <c r="AF1247" s="1"/>
      <c r="AW1247" s="1"/>
    </row>
    <row r="1248" spans="1:49" ht="15.75">
      <c r="A1248" s="1"/>
      <c r="L1248" s="4"/>
      <c r="T1248" s="1"/>
      <c r="Y1248" s="1"/>
      <c r="AF1248" s="1"/>
      <c r="AW1248" s="1"/>
    </row>
    <row r="1249" spans="1:49" ht="15.75">
      <c r="A1249" s="1"/>
      <c r="L1249" s="4"/>
      <c r="T1249" s="1"/>
      <c r="Y1249" s="1"/>
      <c r="AF1249" s="1"/>
      <c r="AW1249" s="1"/>
    </row>
    <row r="1250" spans="1:49" ht="15.75">
      <c r="A1250" s="1"/>
      <c r="L1250" s="4"/>
      <c r="T1250" s="1"/>
      <c r="Y1250" s="1"/>
      <c r="AF1250" s="1"/>
      <c r="AW1250" s="1"/>
    </row>
    <row r="1251" spans="1:49" ht="15.75">
      <c r="A1251" s="1"/>
      <c r="L1251" s="4"/>
      <c r="T1251" s="1"/>
      <c r="Y1251" s="1"/>
      <c r="AF1251" s="1"/>
      <c r="AW1251" s="1"/>
    </row>
    <row r="1252" spans="1:49" ht="15.75">
      <c r="A1252" s="1"/>
      <c r="L1252" s="4"/>
      <c r="T1252" s="1"/>
      <c r="Y1252" s="1"/>
      <c r="AF1252" s="1"/>
      <c r="AW1252" s="1"/>
    </row>
    <row r="1253" spans="1:49" ht="15.75">
      <c r="A1253" s="1"/>
      <c r="L1253" s="4"/>
      <c r="T1253" s="1"/>
      <c r="Y1253" s="1"/>
      <c r="AF1253" s="1"/>
      <c r="AW1253" s="1"/>
    </row>
    <row r="1254" spans="1:49" ht="15.75">
      <c r="A1254" s="1"/>
      <c r="L1254" s="4"/>
      <c r="T1254" s="1"/>
      <c r="Y1254" s="1"/>
      <c r="AF1254" s="1"/>
      <c r="AW1254" s="1"/>
    </row>
    <row r="1255" spans="1:49" ht="15.75">
      <c r="A1255" s="1"/>
      <c r="L1255" s="4"/>
      <c r="T1255" s="1"/>
      <c r="Y1255" s="1"/>
      <c r="AF1255" s="1"/>
      <c r="AW1255" s="1"/>
    </row>
    <row r="1256" spans="1:49" ht="15.75">
      <c r="A1256" s="1"/>
      <c r="L1256" s="4"/>
      <c r="T1256" s="1"/>
      <c r="Y1256" s="1"/>
      <c r="AF1256" s="1"/>
      <c r="AW1256" s="1"/>
    </row>
    <row r="1257" spans="1:49" ht="15.75">
      <c r="A1257" s="1"/>
      <c r="L1257" s="4"/>
      <c r="T1257" s="1"/>
      <c r="Y1257" s="1"/>
      <c r="AF1257" s="1"/>
      <c r="AW1257" s="1"/>
    </row>
    <row r="1258" spans="1:49" ht="15.75">
      <c r="A1258" s="1"/>
      <c r="L1258" s="4"/>
      <c r="T1258" s="1"/>
      <c r="Y1258" s="1"/>
      <c r="AF1258" s="1"/>
      <c r="AW1258" s="1"/>
    </row>
    <row r="1259" spans="1:49" ht="15.75">
      <c r="A1259" s="1"/>
      <c r="L1259" s="4"/>
      <c r="T1259" s="1"/>
      <c r="Y1259" s="1"/>
      <c r="AF1259" s="1"/>
      <c r="AW1259" s="1"/>
    </row>
    <row r="1260" spans="1:49" ht="15.75">
      <c r="A1260" s="1"/>
      <c r="L1260" s="4"/>
      <c r="T1260" s="1"/>
      <c r="Y1260" s="1"/>
      <c r="AF1260" s="1"/>
      <c r="AW1260" s="1"/>
    </row>
    <row r="1261" spans="1:49" ht="15.75">
      <c r="A1261" s="1"/>
      <c r="L1261" s="4"/>
      <c r="T1261" s="1"/>
      <c r="Y1261" s="1"/>
      <c r="AF1261" s="1"/>
      <c r="AW1261" s="1"/>
    </row>
    <row r="1262" spans="1:49" ht="15.75">
      <c r="A1262" s="1"/>
      <c r="L1262" s="4"/>
      <c r="T1262" s="1"/>
      <c r="Y1262" s="1"/>
      <c r="AF1262" s="1"/>
      <c r="AW1262" s="1"/>
    </row>
    <row r="1263" spans="1:49" ht="15.75">
      <c r="A1263" s="1"/>
      <c r="L1263" s="4"/>
      <c r="T1263" s="1"/>
      <c r="Y1263" s="1"/>
      <c r="AF1263" s="1"/>
      <c r="AW1263" s="1"/>
    </row>
    <row r="1264" spans="1:49" ht="15.75">
      <c r="A1264" s="1"/>
      <c r="L1264" s="4"/>
      <c r="T1264" s="1"/>
      <c r="Y1264" s="1"/>
      <c r="AF1264" s="1"/>
      <c r="AW1264" s="1"/>
    </row>
  </sheetData>
  <sheetProtection/>
  <mergeCells count="101">
    <mergeCell ref="AQ2:AR2"/>
    <mergeCell ref="BC2:BD2"/>
    <mergeCell ref="S2:T2"/>
    <mergeCell ref="G2:H2"/>
    <mergeCell ref="AE2:AF2"/>
    <mergeCell ref="G3:L3"/>
    <mergeCell ref="S3:X3"/>
    <mergeCell ref="AE3:AJ3"/>
    <mergeCell ref="AQ3:AV3"/>
    <mergeCell ref="BC3:BH3"/>
    <mergeCell ref="G4:J4"/>
    <mergeCell ref="S4:V4"/>
    <mergeCell ref="AE4:AH4"/>
    <mergeCell ref="AQ4:AT4"/>
    <mergeCell ref="BC4:BF4"/>
    <mergeCell ref="A6:L6"/>
    <mergeCell ref="M6:X6"/>
    <mergeCell ref="Y6:AJ6"/>
    <mergeCell ref="AK6:AV6"/>
    <mergeCell ref="AW6:BH6"/>
    <mergeCell ref="A7:L7"/>
    <mergeCell ref="M7:X7"/>
    <mergeCell ref="Y7:AJ7"/>
    <mergeCell ref="AK7:AV7"/>
    <mergeCell ref="AW7:BH7"/>
    <mergeCell ref="A8:L8"/>
    <mergeCell ref="M8:X8"/>
    <mergeCell ref="Y8:AJ8"/>
    <mergeCell ref="AK8:AV8"/>
    <mergeCell ref="AW8:BH8"/>
    <mergeCell ref="B10:C10"/>
    <mergeCell ref="D10:E10"/>
    <mergeCell ref="F10:G10"/>
    <mergeCell ref="H10:I10"/>
    <mergeCell ref="J10:K10"/>
    <mergeCell ref="M10:M11"/>
    <mergeCell ref="AL10:AM10"/>
    <mergeCell ref="N10:O10"/>
    <mergeCell ref="P10:Q10"/>
    <mergeCell ref="R10:S10"/>
    <mergeCell ref="T10:U10"/>
    <mergeCell ref="V10:W10"/>
    <mergeCell ref="Y10:Y11"/>
    <mergeCell ref="AP10:AQ10"/>
    <mergeCell ref="AR10:AS10"/>
    <mergeCell ref="AT10:AU10"/>
    <mergeCell ref="AX10:AY10"/>
    <mergeCell ref="AZ10:BA10"/>
    <mergeCell ref="Z10:AA10"/>
    <mergeCell ref="AB10:AC10"/>
    <mergeCell ref="AD10:AE10"/>
    <mergeCell ref="AF10:AG10"/>
    <mergeCell ref="AH10:AI10"/>
    <mergeCell ref="BB10:BC10"/>
    <mergeCell ref="BD10:BE10"/>
    <mergeCell ref="BF10:BG10"/>
    <mergeCell ref="BI10:BJ10"/>
    <mergeCell ref="A56:L56"/>
    <mergeCell ref="M56:X56"/>
    <mergeCell ref="Y56:AJ56"/>
    <mergeCell ref="AK56:AV56"/>
    <mergeCell ref="AW56:BH56"/>
    <mergeCell ref="AN10:AO10"/>
    <mergeCell ref="A57:L57"/>
    <mergeCell ref="M57:X57"/>
    <mergeCell ref="Y57:AJ57"/>
    <mergeCell ref="AK57:AV57"/>
    <mergeCell ref="AW57:BH57"/>
    <mergeCell ref="A58:L58"/>
    <mergeCell ref="M58:X58"/>
    <mergeCell ref="Y58:AJ58"/>
    <mergeCell ref="AK58:AV58"/>
    <mergeCell ref="AW58:BH58"/>
    <mergeCell ref="B60:C60"/>
    <mergeCell ref="D60:E60"/>
    <mergeCell ref="F60:G60"/>
    <mergeCell ref="H60:I60"/>
    <mergeCell ref="J60:K60"/>
    <mergeCell ref="M60:M61"/>
    <mergeCell ref="N60:O60"/>
    <mergeCell ref="P60:Q60"/>
    <mergeCell ref="R60:S60"/>
    <mergeCell ref="T60:U60"/>
    <mergeCell ref="V60:W60"/>
    <mergeCell ref="Y60:Y61"/>
    <mergeCell ref="Z60:AA60"/>
    <mergeCell ref="AB60:AC60"/>
    <mergeCell ref="AD60:AE60"/>
    <mergeCell ref="AF60:AG60"/>
    <mergeCell ref="AH60:AI60"/>
    <mergeCell ref="AL60:AM60"/>
    <mergeCell ref="BB60:BC60"/>
    <mergeCell ref="BD60:BE60"/>
    <mergeCell ref="BF60:BG60"/>
    <mergeCell ref="BI60:BJ60"/>
    <mergeCell ref="AN60:AO60"/>
    <mergeCell ref="AP60:AQ60"/>
    <mergeCell ref="AR60:AS60"/>
    <mergeCell ref="AT60:AU60"/>
    <mergeCell ref="AX60:AY60"/>
    <mergeCell ref="AZ60:BA60"/>
  </mergeCells>
  <printOptions/>
  <pageMargins left="0.3937007874015748" right="0.3937007874015748" top="0.1968503937007874" bottom="0.1968503937007874" header="0.31496062992125984" footer="0.31496062992125984"/>
  <pageSetup fitToHeight="2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E5" sqref="E5"/>
    </sheetView>
  </sheetViews>
  <sheetFormatPr defaultColWidth="8.796875" defaultRowHeight="15"/>
  <cols>
    <col min="1" max="1" width="10.8984375" style="190" customWidth="1"/>
    <col min="2" max="2" width="7.69921875" style="190" customWidth="1"/>
    <col min="3" max="3" width="8.09765625" style="191" customWidth="1"/>
    <col min="4" max="4" width="7.3984375" style="190" hidden="1" customWidth="1"/>
    <col min="5" max="5" width="8.69921875" style="190" customWidth="1"/>
    <col min="6" max="6" width="8.3984375" style="190" customWidth="1"/>
    <col min="7" max="7" width="7.3984375" style="190" hidden="1" customWidth="1"/>
    <col min="8" max="8" width="7.69921875" style="190" hidden="1" customWidth="1"/>
    <col min="9" max="9" width="8.09765625" style="191" hidden="1" customWidth="1"/>
    <col min="10" max="11" width="6.8984375" style="190" hidden="1" customWidth="1"/>
    <col min="12" max="21" width="6.8984375" style="190" customWidth="1"/>
    <col min="22" max="16384" width="8.8984375" style="190" customWidth="1"/>
  </cols>
  <sheetData>
    <row r="1" spans="1:8" ht="16.5" thickBot="1">
      <c r="A1" s="511" t="s">
        <v>59</v>
      </c>
      <c r="B1" s="512"/>
      <c r="C1" s="512"/>
      <c r="D1" s="512"/>
      <c r="E1" s="512"/>
      <c r="F1" s="512"/>
      <c r="H1" s="190" t="s">
        <v>60</v>
      </c>
    </row>
    <row r="2" spans="1:11" ht="16.5" thickBot="1">
      <c r="A2" s="192"/>
      <c r="B2" s="508" t="s">
        <v>61</v>
      </c>
      <c r="C2" s="505"/>
      <c r="D2" s="506"/>
      <c r="E2" s="507"/>
      <c r="F2" s="510"/>
      <c r="H2" s="508" t="s">
        <v>61</v>
      </c>
      <c r="I2" s="505"/>
      <c r="J2" s="506"/>
      <c r="K2" s="510"/>
    </row>
    <row r="3" spans="1:11" ht="32.25" thickBot="1">
      <c r="A3" s="196"/>
      <c r="B3" s="197" t="s">
        <v>62</v>
      </c>
      <c r="C3" s="198" t="s">
        <v>63</v>
      </c>
      <c r="D3" s="199" t="s">
        <v>64</v>
      </c>
      <c r="E3" s="200" t="s">
        <v>62</v>
      </c>
      <c r="F3" s="201" t="s">
        <v>63</v>
      </c>
      <c r="H3" s="197" t="s">
        <v>62</v>
      </c>
      <c r="I3" s="202" t="s">
        <v>35</v>
      </c>
      <c r="J3" s="202"/>
      <c r="K3" s="203"/>
    </row>
    <row r="4" spans="1:11" ht="15.75">
      <c r="A4" s="204" t="s">
        <v>65</v>
      </c>
      <c r="B4" s="205">
        <f>3794.45*1.18</f>
        <v>4477.450999999999</v>
      </c>
      <c r="C4" s="206">
        <f>4330.85*1.18</f>
        <v>5110.403</v>
      </c>
      <c r="D4" s="207"/>
      <c r="E4" s="208"/>
      <c r="F4" s="209"/>
      <c r="H4" s="205">
        <v>4477.45</v>
      </c>
      <c r="I4" s="210">
        <v>5110.4</v>
      </c>
      <c r="J4" s="211"/>
      <c r="K4" s="212"/>
    </row>
    <row r="5" spans="1:11" ht="15.75">
      <c r="A5" s="204" t="s">
        <v>66</v>
      </c>
      <c r="B5" s="205">
        <f>2860.27*1.18</f>
        <v>3375.1186</v>
      </c>
      <c r="C5" s="206">
        <f>3176.39*1.18</f>
        <v>3748.1402</v>
      </c>
      <c r="D5" s="213"/>
      <c r="E5" s="214">
        <f>1433.96*1.18</f>
        <v>1692.0728</v>
      </c>
      <c r="F5" s="215">
        <f>1800.11*1.18</f>
        <v>2124.1297999999997</v>
      </c>
      <c r="H5" s="205">
        <v>3375.12</v>
      </c>
      <c r="I5" s="210">
        <v>3748.14</v>
      </c>
      <c r="J5" s="216"/>
      <c r="K5" s="212"/>
    </row>
    <row r="6" spans="1:11" ht="15.75">
      <c r="A6" s="204" t="s">
        <v>67</v>
      </c>
      <c r="B6" s="205">
        <v>3831.34</v>
      </c>
      <c r="C6" s="206">
        <v>3950.63</v>
      </c>
      <c r="D6" s="213"/>
      <c r="E6" s="214">
        <v>2264.3</v>
      </c>
      <c r="F6" s="215">
        <v>2576.51</v>
      </c>
      <c r="H6" s="205">
        <v>3831.34</v>
      </c>
      <c r="I6" s="210">
        <v>3950.63</v>
      </c>
      <c r="J6" s="216"/>
      <c r="K6" s="212"/>
    </row>
    <row r="7" spans="1:11" ht="15.75">
      <c r="A7" s="204" t="s">
        <v>68</v>
      </c>
      <c r="B7" s="217">
        <f>4359.28*1.18</f>
        <v>5143.9504</v>
      </c>
      <c r="C7" s="218">
        <f>4691.97*1.18</f>
        <v>5536.5246</v>
      </c>
      <c r="D7" s="213"/>
      <c r="E7" s="214">
        <f>1945.23*1.18</f>
        <v>2295.3714</v>
      </c>
      <c r="F7" s="215">
        <f>2441.63*1.18</f>
        <v>2881.1234</v>
      </c>
      <c r="H7" s="217">
        <v>5143.95</v>
      </c>
      <c r="I7" s="219">
        <v>5536.53</v>
      </c>
      <c r="J7" s="216"/>
      <c r="K7" s="215"/>
    </row>
    <row r="8" spans="1:11" ht="15.75">
      <c r="A8" s="204" t="s">
        <v>69</v>
      </c>
      <c r="B8" s="205">
        <v>4286.4</v>
      </c>
      <c r="C8" s="206">
        <v>4543.74</v>
      </c>
      <c r="D8" s="213"/>
      <c r="E8" s="214">
        <v>2328.09</v>
      </c>
      <c r="F8" s="215">
        <v>2781.22</v>
      </c>
      <c r="H8" s="205">
        <v>4286.4</v>
      </c>
      <c r="I8" s="210">
        <v>4543.74</v>
      </c>
      <c r="J8" s="216"/>
      <c r="K8" s="212"/>
    </row>
    <row r="9" spans="1:11" ht="16.5" thickBot="1">
      <c r="A9" s="220"/>
      <c r="B9" s="221"/>
      <c r="C9" s="222"/>
      <c r="D9" s="223"/>
      <c r="E9" s="220"/>
      <c r="F9" s="224"/>
      <c r="H9" s="221"/>
      <c r="I9" s="225"/>
      <c r="J9" s="226"/>
      <c r="K9" s="224"/>
    </row>
    <row r="10" spans="1:11" ht="16.5" thickBot="1">
      <c r="A10" s="192"/>
      <c r="B10" s="194" t="s">
        <v>70</v>
      </c>
      <c r="C10" s="194"/>
      <c r="D10" s="195"/>
      <c r="E10" s="513" t="s">
        <v>71</v>
      </c>
      <c r="F10" s="514"/>
      <c r="G10" s="227" t="s">
        <v>72</v>
      </c>
      <c r="H10" s="505" t="s">
        <v>70</v>
      </c>
      <c r="I10" s="505"/>
      <c r="J10" s="506"/>
      <c r="K10" s="507"/>
    </row>
    <row r="11" spans="1:11" ht="15.75">
      <c r="A11" s="208"/>
      <c r="B11" s="228" t="s">
        <v>62</v>
      </c>
      <c r="C11" s="209" t="s">
        <v>63</v>
      </c>
      <c r="D11" s="229"/>
      <c r="E11" s="228" t="s">
        <v>62</v>
      </c>
      <c r="F11" s="209" t="s">
        <v>63</v>
      </c>
      <c r="H11" s="228" t="s">
        <v>62</v>
      </c>
      <c r="I11" s="202" t="s">
        <v>63</v>
      </c>
      <c r="J11" s="230"/>
      <c r="K11" s="209"/>
    </row>
    <row r="12" spans="1:11" ht="15.75">
      <c r="A12" s="204" t="s">
        <v>65</v>
      </c>
      <c r="B12" s="231">
        <f>B27+(G12*B19)</f>
        <v>332.2484287</v>
      </c>
      <c r="C12" s="232">
        <f>C27+(G12*C19)</f>
        <v>380.42627110000006</v>
      </c>
      <c r="D12" s="233"/>
      <c r="E12" s="231">
        <f>E27+(G12*E19)</f>
        <v>332.2484287</v>
      </c>
      <c r="F12" s="234">
        <f>F27+(G12*F19)</f>
        <v>380.42627110000006</v>
      </c>
      <c r="G12" s="190">
        <v>0.0637</v>
      </c>
      <c r="H12" s="205">
        <v>318.69</v>
      </c>
      <c r="I12" s="210">
        <v>378.49</v>
      </c>
      <c r="J12" s="211"/>
      <c r="K12" s="212"/>
    </row>
    <row r="13" spans="1:11" ht="15.75">
      <c r="A13" s="204" t="s">
        <v>66</v>
      </c>
      <c r="B13" s="231">
        <f>B28+(G13*B20)</f>
        <v>221.10911625999998</v>
      </c>
      <c r="C13" s="232">
        <f>C28+(G13*C20)</f>
        <v>245.70278482</v>
      </c>
      <c r="D13" s="235"/>
      <c r="E13" s="231">
        <f>E28+(G13*E20)</f>
        <v>130.05633848</v>
      </c>
      <c r="F13" s="234">
        <f>F28+(G13*F20)</f>
        <v>157.84382218</v>
      </c>
      <c r="G13" s="190">
        <v>0.0541</v>
      </c>
      <c r="H13" s="205">
        <v>224.18</v>
      </c>
      <c r="I13" s="210">
        <v>238.72</v>
      </c>
      <c r="J13" s="236"/>
      <c r="K13" s="212"/>
    </row>
    <row r="14" spans="1:11" ht="15.75">
      <c r="A14" s="204" t="s">
        <v>67</v>
      </c>
      <c r="B14" s="231">
        <f>B29+(G14*B21)</f>
        <v>248.23333000000002</v>
      </c>
      <c r="C14" s="232">
        <f>C29+(G14*C21)</f>
        <v>257.019083</v>
      </c>
      <c r="D14" s="235"/>
      <c r="E14" s="231">
        <f>E29+(G14*E21)</f>
        <v>163.45863000000003</v>
      </c>
      <c r="F14" s="234">
        <f>F29+(G14*F21)</f>
        <v>182.679191</v>
      </c>
      <c r="G14" s="190">
        <v>0.0541</v>
      </c>
      <c r="H14" s="205">
        <v>251.68</v>
      </c>
      <c r="I14" s="210">
        <v>257.02</v>
      </c>
      <c r="J14" s="236"/>
      <c r="K14" s="212"/>
    </row>
    <row r="15" spans="1:11" ht="15.75">
      <c r="A15" s="204" t="s">
        <v>68</v>
      </c>
      <c r="B15" s="231">
        <f>B30+(G15*B22)</f>
        <v>295.80718607999995</v>
      </c>
      <c r="C15" s="232">
        <f>C30+(G15*C22)</f>
        <v>322.54924642</v>
      </c>
      <c r="D15" s="235"/>
      <c r="E15" s="231">
        <f>E30+(G15*E22)</f>
        <v>145.68707278</v>
      </c>
      <c r="F15" s="234">
        <f>F30+(G15*F22)</f>
        <v>182.60960317999997</v>
      </c>
      <c r="G15" s="190">
        <v>0.0527</v>
      </c>
      <c r="H15" s="217">
        <v>307.64</v>
      </c>
      <c r="I15" s="219">
        <v>322.55</v>
      </c>
      <c r="J15" s="236"/>
      <c r="K15" s="215"/>
    </row>
    <row r="16" spans="1:11" ht="16.5" thickBot="1">
      <c r="A16" s="237" t="s">
        <v>69</v>
      </c>
      <c r="B16" s="221">
        <v>0</v>
      </c>
      <c r="C16" s="238">
        <v>0</v>
      </c>
      <c r="D16" s="239"/>
      <c r="E16" s="221">
        <v>0</v>
      </c>
      <c r="F16" s="224">
        <v>0</v>
      </c>
      <c r="H16" s="221">
        <v>0</v>
      </c>
      <c r="I16" s="225">
        <v>0</v>
      </c>
      <c r="J16" s="226">
        <v>0</v>
      </c>
      <c r="K16" s="224">
        <v>0</v>
      </c>
    </row>
    <row r="17" spans="1:11" ht="16.5" thickBot="1">
      <c r="A17" s="192"/>
      <c r="B17" s="193" t="s">
        <v>73</v>
      </c>
      <c r="C17" s="194"/>
      <c r="D17" s="195"/>
      <c r="E17" s="513" t="s">
        <v>71</v>
      </c>
      <c r="F17" s="514"/>
      <c r="H17" s="508" t="s">
        <v>73</v>
      </c>
      <c r="I17" s="505"/>
      <c r="J17" s="506"/>
      <c r="K17" s="510"/>
    </row>
    <row r="18" spans="1:11" ht="15.75">
      <c r="A18" s="196"/>
      <c r="B18" s="197" t="s">
        <v>62</v>
      </c>
      <c r="C18" s="198" t="s">
        <v>63</v>
      </c>
      <c r="D18" s="240"/>
      <c r="E18" s="200" t="s">
        <v>62</v>
      </c>
      <c r="F18" s="201" t="s">
        <v>63</v>
      </c>
      <c r="H18" s="197" t="s">
        <v>62</v>
      </c>
      <c r="I18" s="202" t="s">
        <v>63</v>
      </c>
      <c r="J18" s="202"/>
      <c r="K18" s="203"/>
    </row>
    <row r="19" spans="1:11" ht="15.75">
      <c r="A19" s="204" t="s">
        <v>65</v>
      </c>
      <c r="B19" s="205">
        <f>3794.45*1.18</f>
        <v>4477.450999999999</v>
      </c>
      <c r="C19" s="206">
        <f>4330.85*1.18</f>
        <v>5110.403</v>
      </c>
      <c r="D19" s="207"/>
      <c r="E19" s="205">
        <f>3794.45*1.18</f>
        <v>4477.450999999999</v>
      </c>
      <c r="F19" s="232">
        <f>4330.85*1.18</f>
        <v>5110.403</v>
      </c>
      <c r="H19" s="205">
        <v>4477.45</v>
      </c>
      <c r="I19" s="210">
        <v>5110.4</v>
      </c>
      <c r="J19" s="211"/>
      <c r="K19" s="212"/>
    </row>
    <row r="20" spans="1:11" ht="15.75">
      <c r="A20" s="204" t="s">
        <v>66</v>
      </c>
      <c r="B20" s="205">
        <f>2860.27*1.18</f>
        <v>3375.1186</v>
      </c>
      <c r="C20" s="206">
        <f>3176.39*1.18</f>
        <v>3748.1402</v>
      </c>
      <c r="D20" s="213"/>
      <c r="E20" s="214">
        <f>1433.96*1.18</f>
        <v>1692.0728</v>
      </c>
      <c r="F20" s="215">
        <f>1800.11*1.18</f>
        <v>2124.1297999999997</v>
      </c>
      <c r="H20" s="205">
        <v>3375.1</v>
      </c>
      <c r="I20" s="210">
        <v>3748.14</v>
      </c>
      <c r="J20" s="216"/>
      <c r="K20" s="212"/>
    </row>
    <row r="21" spans="1:11" ht="15.75">
      <c r="A21" s="204" t="s">
        <v>67</v>
      </c>
      <c r="B21" s="205">
        <v>3831.3</v>
      </c>
      <c r="C21" s="206">
        <v>3950.63</v>
      </c>
      <c r="D21" s="241"/>
      <c r="E21" s="214">
        <v>2264.3</v>
      </c>
      <c r="F21" s="215">
        <v>2576.51</v>
      </c>
      <c r="H21" s="205">
        <v>3831.3</v>
      </c>
      <c r="I21" s="210">
        <v>3950.63</v>
      </c>
      <c r="J21" s="236"/>
      <c r="K21" s="212"/>
    </row>
    <row r="22" spans="1:11" ht="15.75">
      <c r="A22" s="204" t="s">
        <v>68</v>
      </c>
      <c r="B22" s="217">
        <f>4359.28*1.18</f>
        <v>5143.9504</v>
      </c>
      <c r="C22" s="218">
        <f>4691.97*1.18</f>
        <v>5536.5246</v>
      </c>
      <c r="D22" s="241"/>
      <c r="E22" s="214">
        <f>1945.23*1.18</f>
        <v>2295.3714</v>
      </c>
      <c r="F22" s="215">
        <f>2441.63*1.18</f>
        <v>2881.1234</v>
      </c>
      <c r="H22" s="217">
        <v>5143.95</v>
      </c>
      <c r="I22" s="219">
        <v>5536.53</v>
      </c>
      <c r="J22" s="236"/>
      <c r="K22" s="215"/>
    </row>
    <row r="23" spans="1:11" ht="15.75">
      <c r="A23" s="204" t="s">
        <v>69</v>
      </c>
      <c r="B23" s="205">
        <v>0</v>
      </c>
      <c r="C23" s="206">
        <v>0</v>
      </c>
      <c r="D23" s="207"/>
      <c r="E23" s="214">
        <v>2328.09</v>
      </c>
      <c r="F23" s="215">
        <v>2781.22</v>
      </c>
      <c r="H23" s="205">
        <v>0</v>
      </c>
      <c r="I23" s="210">
        <v>0</v>
      </c>
      <c r="J23" s="211"/>
      <c r="K23" s="212"/>
    </row>
    <row r="24" spans="1:11" ht="16.5" thickBot="1">
      <c r="A24" s="220"/>
      <c r="B24" s="221"/>
      <c r="C24" s="222"/>
      <c r="D24" s="223"/>
      <c r="E24" s="220"/>
      <c r="F24" s="224"/>
      <c r="H24" s="221"/>
      <c r="I24" s="225"/>
      <c r="J24" s="226"/>
      <c r="K24" s="224"/>
    </row>
    <row r="25" spans="1:11" ht="16.5" thickBot="1">
      <c r="A25" s="192"/>
      <c r="B25" s="505" t="s">
        <v>74</v>
      </c>
      <c r="C25" s="505"/>
      <c r="D25" s="506"/>
      <c r="E25" s="507"/>
      <c r="F25" s="507"/>
      <c r="H25" s="505" t="s">
        <v>74</v>
      </c>
      <c r="I25" s="505"/>
      <c r="J25" s="506"/>
      <c r="K25" s="507"/>
    </row>
    <row r="26" spans="1:11" ht="15.75">
      <c r="A26" s="196"/>
      <c r="B26" s="228" t="s">
        <v>62</v>
      </c>
      <c r="C26" s="202" t="s">
        <v>63</v>
      </c>
      <c r="D26" s="230"/>
      <c r="E26" s="228" t="s">
        <v>62</v>
      </c>
      <c r="F26" s="202" t="s">
        <v>63</v>
      </c>
      <c r="H26" s="228" t="s">
        <v>62</v>
      </c>
      <c r="I26" s="202" t="s">
        <v>63</v>
      </c>
      <c r="J26" s="230"/>
      <c r="K26" s="209"/>
    </row>
    <row r="27" spans="1:11" ht="15.75">
      <c r="A27" s="204" t="s">
        <v>65</v>
      </c>
      <c r="B27" s="205">
        <f>39.86*1.18</f>
        <v>47.0348</v>
      </c>
      <c r="C27" s="210">
        <f>46.52*1.18</f>
        <v>54.8936</v>
      </c>
      <c r="D27" s="236"/>
      <c r="E27" s="205">
        <f>39.86*1.18</f>
        <v>47.0348</v>
      </c>
      <c r="F27" s="210">
        <f>46.52*1.18</f>
        <v>54.8936</v>
      </c>
      <c r="H27" s="205">
        <v>47.03</v>
      </c>
      <c r="I27" s="210">
        <v>54.89</v>
      </c>
      <c r="J27" s="236"/>
      <c r="K27" s="215"/>
    </row>
    <row r="28" spans="1:11" ht="15.75">
      <c r="A28" s="204" t="s">
        <v>66</v>
      </c>
      <c r="B28" s="205">
        <f>32.64*1.18</f>
        <v>38.5152</v>
      </c>
      <c r="C28" s="210">
        <f>36.38*1.18</f>
        <v>42.9284</v>
      </c>
      <c r="D28" s="236"/>
      <c r="E28" s="205">
        <f>32.64*1.18</f>
        <v>38.5152</v>
      </c>
      <c r="F28" s="210">
        <f>36.38*1.18</f>
        <v>42.9284</v>
      </c>
      <c r="H28" s="205">
        <v>38.52</v>
      </c>
      <c r="I28" s="210">
        <v>42.93</v>
      </c>
      <c r="J28" s="236"/>
      <c r="K28" s="215"/>
    </row>
    <row r="29" spans="1:11" ht="15.75">
      <c r="A29" s="204" t="s">
        <v>67</v>
      </c>
      <c r="B29" s="205">
        <v>40.96</v>
      </c>
      <c r="C29" s="210">
        <v>43.29</v>
      </c>
      <c r="D29" s="236"/>
      <c r="E29" s="205">
        <v>40.96</v>
      </c>
      <c r="F29" s="210">
        <v>43.29</v>
      </c>
      <c r="H29" s="205">
        <v>40.96</v>
      </c>
      <c r="I29" s="210">
        <v>43.29</v>
      </c>
      <c r="J29" s="236"/>
      <c r="K29" s="215"/>
    </row>
    <row r="30" spans="1:11" ht="15.75">
      <c r="A30" s="204" t="s">
        <v>68</v>
      </c>
      <c r="B30" s="217">
        <f>20.95*1.18</f>
        <v>24.720999999999997</v>
      </c>
      <c r="C30" s="219">
        <f>26.08*1.18</f>
        <v>30.774399999999996</v>
      </c>
      <c r="D30" s="236"/>
      <c r="E30" s="217">
        <f>20.95*1.18</f>
        <v>24.720999999999997</v>
      </c>
      <c r="F30" s="219">
        <f>26.08*1.18</f>
        <v>30.774399999999996</v>
      </c>
      <c r="H30" s="217">
        <v>24.72</v>
      </c>
      <c r="I30" s="219">
        <v>30.77</v>
      </c>
      <c r="J30" s="236"/>
      <c r="K30" s="215"/>
    </row>
    <row r="31" spans="1:11" ht="15.75">
      <c r="A31" s="204" t="s">
        <v>69</v>
      </c>
      <c r="B31" s="205">
        <v>31.12</v>
      </c>
      <c r="C31" s="210">
        <v>33.4</v>
      </c>
      <c r="D31" s="236"/>
      <c r="E31" s="205">
        <v>31.12</v>
      </c>
      <c r="F31" s="210">
        <v>33.4</v>
      </c>
      <c r="H31" s="205">
        <v>31.12</v>
      </c>
      <c r="I31" s="210">
        <v>33.4</v>
      </c>
      <c r="J31" s="236"/>
      <c r="K31" s="215"/>
    </row>
    <row r="32" spans="1:11" ht="16.5" thickBot="1">
      <c r="A32" s="220"/>
      <c r="B32" s="221"/>
      <c r="C32" s="225"/>
      <c r="D32" s="226"/>
      <c r="E32" s="221"/>
      <c r="F32" s="225"/>
      <c r="H32" s="221"/>
      <c r="I32" s="225"/>
      <c r="J32" s="226"/>
      <c r="K32" s="224"/>
    </row>
    <row r="33" ht="16.5" thickBot="1"/>
    <row r="34" spans="1:11" ht="16.5" thickBot="1">
      <c r="A34" s="192"/>
      <c r="B34" s="508" t="s">
        <v>75</v>
      </c>
      <c r="C34" s="505"/>
      <c r="D34" s="506"/>
      <c r="E34" s="507"/>
      <c r="F34" s="509"/>
      <c r="H34" s="508" t="s">
        <v>75</v>
      </c>
      <c r="I34" s="505"/>
      <c r="J34" s="506"/>
      <c r="K34" s="509"/>
    </row>
    <row r="35" spans="1:11" ht="15.75">
      <c r="A35" s="196"/>
      <c r="B35" s="197" t="s">
        <v>62</v>
      </c>
      <c r="C35" s="202" t="s">
        <v>63</v>
      </c>
      <c r="D35" s="202"/>
      <c r="E35" s="198"/>
      <c r="F35" s="203"/>
      <c r="H35" s="197" t="s">
        <v>62</v>
      </c>
      <c r="I35" s="202" t="s">
        <v>63</v>
      </c>
      <c r="J35" s="202"/>
      <c r="K35" s="203"/>
    </row>
    <row r="36" spans="1:11" ht="15.75">
      <c r="A36" s="204" t="s">
        <v>65</v>
      </c>
      <c r="B36" s="205">
        <f>4.26*1.18</f>
        <v>5.0268</v>
      </c>
      <c r="C36" s="210">
        <f>4.67*1.18</f>
        <v>5.510599999999999</v>
      </c>
      <c r="D36" s="236"/>
      <c r="E36" s="242"/>
      <c r="F36" s="215"/>
      <c r="H36" s="205">
        <v>4.02</v>
      </c>
      <c r="I36" s="210">
        <v>4.19</v>
      </c>
      <c r="J36" s="236"/>
      <c r="K36" s="215"/>
    </row>
    <row r="37" spans="1:11" ht="15.75">
      <c r="A37" s="204" t="s">
        <v>66</v>
      </c>
      <c r="B37" s="205">
        <f>4.26*1.18</f>
        <v>5.0268</v>
      </c>
      <c r="C37" s="210">
        <f>4.67*1.18</f>
        <v>5.510599999999999</v>
      </c>
      <c r="D37" s="236"/>
      <c r="E37" s="242"/>
      <c r="F37" s="215"/>
      <c r="H37" s="205">
        <v>4.02</v>
      </c>
      <c r="I37" s="210">
        <v>4.19</v>
      </c>
      <c r="J37" s="236"/>
      <c r="K37" s="215"/>
    </row>
    <row r="38" spans="1:11" ht="15.75">
      <c r="A38" s="204" t="s">
        <v>67</v>
      </c>
      <c r="B38" s="205">
        <f>4.26*1.18</f>
        <v>5.0268</v>
      </c>
      <c r="C38" s="210">
        <f>4.67*1.18</f>
        <v>5.510599999999999</v>
      </c>
      <c r="D38" s="236"/>
      <c r="E38" s="242"/>
      <c r="F38" s="215"/>
      <c r="H38" s="205">
        <v>4.02</v>
      </c>
      <c r="I38" s="210">
        <v>4.19</v>
      </c>
      <c r="J38" s="236"/>
      <c r="K38" s="215"/>
    </row>
    <row r="39" spans="1:11" ht="15.75">
      <c r="A39" s="204" t="s">
        <v>68</v>
      </c>
      <c r="B39" s="205">
        <f>4.26*1.18</f>
        <v>5.0268</v>
      </c>
      <c r="C39" s="210">
        <f>4.67*1.18</f>
        <v>5.510599999999999</v>
      </c>
      <c r="D39" s="236"/>
      <c r="E39" s="242"/>
      <c r="F39" s="215"/>
      <c r="H39" s="205">
        <v>4.02</v>
      </c>
      <c r="I39" s="210">
        <v>4.19</v>
      </c>
      <c r="J39" s="236"/>
      <c r="K39" s="215"/>
    </row>
    <row r="40" spans="1:11" ht="15.75">
      <c r="A40" s="204" t="s">
        <v>69</v>
      </c>
      <c r="B40" s="205">
        <f>4.26*1.18</f>
        <v>5.0268</v>
      </c>
      <c r="C40" s="210">
        <f>4.67*1.18</f>
        <v>5.510599999999999</v>
      </c>
      <c r="D40" s="236"/>
      <c r="E40" s="242"/>
      <c r="F40" s="215"/>
      <c r="H40" s="205">
        <v>4.02</v>
      </c>
      <c r="I40" s="210">
        <v>4.19</v>
      </c>
      <c r="J40" s="236"/>
      <c r="K40" s="215"/>
    </row>
    <row r="41" spans="1:11" ht="16.5" thickBot="1">
      <c r="A41" s="220"/>
      <c r="B41" s="221"/>
      <c r="C41" s="225"/>
      <c r="D41" s="226"/>
      <c r="E41" s="243"/>
      <c r="F41" s="224"/>
      <c r="H41" s="221"/>
      <c r="I41" s="225"/>
      <c r="J41" s="226"/>
      <c r="K41" s="224"/>
    </row>
    <row r="42" ht="16.5" thickBot="1"/>
    <row r="43" spans="1:11" ht="16.5" thickBot="1">
      <c r="A43" s="192"/>
      <c r="B43" s="508" t="s">
        <v>76</v>
      </c>
      <c r="C43" s="505"/>
      <c r="D43" s="506"/>
      <c r="E43" s="507"/>
      <c r="F43" s="510"/>
      <c r="H43" s="508" t="s">
        <v>76</v>
      </c>
      <c r="I43" s="505"/>
      <c r="J43" s="506"/>
      <c r="K43" s="510"/>
    </row>
    <row r="44" spans="1:11" ht="15.75">
      <c r="A44" s="196"/>
      <c r="B44" s="197" t="s">
        <v>62</v>
      </c>
      <c r="C44" s="202" t="s">
        <v>63</v>
      </c>
      <c r="D44" s="202"/>
      <c r="E44" s="198"/>
      <c r="F44" s="203"/>
      <c r="H44" s="197" t="s">
        <v>62</v>
      </c>
      <c r="I44" s="202" t="s">
        <v>63</v>
      </c>
      <c r="J44" s="202"/>
      <c r="K44" s="203"/>
    </row>
    <row r="45" spans="1:11" ht="15.75">
      <c r="A45" s="204" t="s">
        <v>65</v>
      </c>
      <c r="B45" s="205">
        <f>5.91*1.18</f>
        <v>6.9738</v>
      </c>
      <c r="C45" s="210">
        <f>6.42*1.18</f>
        <v>7.5756</v>
      </c>
      <c r="D45" s="236"/>
      <c r="E45" s="242"/>
      <c r="F45" s="215"/>
      <c r="H45" s="205">
        <v>6.97</v>
      </c>
      <c r="I45" s="210">
        <v>7.58</v>
      </c>
      <c r="J45" s="236"/>
      <c r="K45" s="215"/>
    </row>
    <row r="46" spans="1:11" ht="15.75">
      <c r="A46" s="204" t="s">
        <v>66</v>
      </c>
      <c r="B46" s="205">
        <f>15.14*1.18</f>
        <v>17.865199999999998</v>
      </c>
      <c r="C46" s="210">
        <f>16.22*1.18</f>
        <v>19.139599999999998</v>
      </c>
      <c r="D46" s="236"/>
      <c r="E46" s="242"/>
      <c r="F46" s="215"/>
      <c r="H46" s="205">
        <v>17.87</v>
      </c>
      <c r="I46" s="210">
        <v>19.14</v>
      </c>
      <c r="J46" s="236"/>
      <c r="K46" s="215"/>
    </row>
    <row r="47" spans="1:11" ht="15.75">
      <c r="A47" s="204" t="s">
        <v>67</v>
      </c>
      <c r="B47" s="205">
        <v>0</v>
      </c>
      <c r="C47" s="210">
        <v>0</v>
      </c>
      <c r="D47" s="236"/>
      <c r="E47" s="242"/>
      <c r="F47" s="215"/>
      <c r="H47" s="205">
        <v>0</v>
      </c>
      <c r="I47" s="210">
        <v>0</v>
      </c>
      <c r="J47" s="236"/>
      <c r="K47" s="215"/>
    </row>
    <row r="48" spans="1:11" ht="15.75">
      <c r="A48" s="204" t="s">
        <v>68</v>
      </c>
      <c r="B48" s="217">
        <v>10.06</v>
      </c>
      <c r="C48" s="219">
        <v>10.74</v>
      </c>
      <c r="D48" s="236"/>
      <c r="E48" s="242"/>
      <c r="F48" s="215"/>
      <c r="H48" s="217">
        <v>10.06</v>
      </c>
      <c r="I48" s="219">
        <v>10.74</v>
      </c>
      <c r="J48" s="236"/>
      <c r="K48" s="215"/>
    </row>
    <row r="49" spans="1:11" ht="15.75">
      <c r="A49" s="204" t="s">
        <v>69</v>
      </c>
      <c r="B49" s="205">
        <v>0</v>
      </c>
      <c r="C49" s="210">
        <v>0</v>
      </c>
      <c r="D49" s="236"/>
      <c r="E49" s="242"/>
      <c r="F49" s="215"/>
      <c r="H49" s="205">
        <v>0</v>
      </c>
      <c r="I49" s="210">
        <v>0</v>
      </c>
      <c r="J49" s="236"/>
      <c r="K49" s="215"/>
    </row>
    <row r="50" spans="1:11" ht="16.5" thickBot="1">
      <c r="A50" s="220"/>
      <c r="B50" s="221"/>
      <c r="C50" s="225"/>
      <c r="D50" s="226"/>
      <c r="E50" s="243"/>
      <c r="F50" s="224"/>
      <c r="H50" s="221"/>
      <c r="I50" s="225"/>
      <c r="J50" s="226"/>
      <c r="K50" s="224"/>
    </row>
  </sheetData>
  <sheetProtection/>
  <mergeCells count="13">
    <mergeCell ref="A1:F1"/>
    <mergeCell ref="B2:F2"/>
    <mergeCell ref="H2:K2"/>
    <mergeCell ref="E10:F10"/>
    <mergeCell ref="H10:K10"/>
    <mergeCell ref="E17:F17"/>
    <mergeCell ref="H17:K17"/>
    <mergeCell ref="B25:F25"/>
    <mergeCell ref="H25:K25"/>
    <mergeCell ref="B34:F34"/>
    <mergeCell ref="H34:K34"/>
    <mergeCell ref="B43:F43"/>
    <mergeCell ref="H43:K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5"/>
  <sheetViews>
    <sheetView zoomScale="85" zoomScaleNormal="85" zoomScalePageLayoutView="0" workbookViewId="0" topLeftCell="A7">
      <pane xSplit="1" ySplit="5" topLeftCell="B69" activePane="bottomRight" state="frozen"/>
      <selection pane="topLeft" activeCell="A7" sqref="A7"/>
      <selection pane="topRight" activeCell="B7" sqref="B7"/>
      <selection pane="bottomLeft" activeCell="A12" sqref="A12"/>
      <selection pane="bottomRight" activeCell="AX43" sqref="AX43"/>
    </sheetView>
  </sheetViews>
  <sheetFormatPr defaultColWidth="8.796875" defaultRowHeight="15"/>
  <cols>
    <col min="1" max="1" width="21.09765625" style="14" customWidth="1"/>
    <col min="2" max="2" width="6.69921875" style="1" customWidth="1"/>
    <col min="3" max="4" width="7" style="1" customWidth="1"/>
    <col min="5" max="5" width="7.59765625" style="1" customWidth="1"/>
    <col min="6" max="6" width="8.796875" style="1" customWidth="1"/>
    <col min="7" max="7" width="6.59765625" style="1" customWidth="1"/>
    <col min="8" max="8" width="7.3984375" style="1" customWidth="1"/>
    <col min="9" max="10" width="8.19921875" style="1" customWidth="1"/>
    <col min="11" max="11" width="5.59765625" style="1" customWidth="1"/>
    <col min="12" max="12" width="8.19921875" style="1" customWidth="1"/>
    <col min="13" max="13" width="21.296875" style="1" customWidth="1"/>
    <col min="14" max="14" width="7.19921875" style="1" customWidth="1"/>
    <col min="15" max="15" width="6.796875" style="1" customWidth="1"/>
    <col min="16" max="16" width="7.296875" style="1" customWidth="1"/>
    <col min="17" max="17" width="6.8984375" style="1" customWidth="1"/>
    <col min="18" max="18" width="7.296875" style="1" customWidth="1"/>
    <col min="19" max="19" width="6.3984375" style="1" customWidth="1"/>
    <col min="20" max="20" width="7.59765625" style="2" customWidth="1"/>
    <col min="21" max="21" width="6.796875" style="1" customWidth="1"/>
    <col min="22" max="22" width="7" style="1" customWidth="1"/>
    <col min="23" max="23" width="6.3984375" style="1" customWidth="1"/>
    <col min="24" max="24" width="7.09765625" style="1" customWidth="1"/>
    <col min="25" max="25" width="23" style="14" customWidth="1"/>
    <col min="26" max="26" width="6.19921875" style="1" customWidth="1"/>
    <col min="27" max="27" width="6.59765625" style="1" customWidth="1"/>
    <col min="28" max="28" width="7.19921875" style="1" customWidth="1"/>
    <col min="29" max="29" width="6.8984375" style="1" customWidth="1"/>
    <col min="30" max="31" width="6.3984375" style="1" customWidth="1"/>
    <col min="32" max="32" width="8" style="2" customWidth="1"/>
    <col min="33" max="33" width="6.796875" style="1" customWidth="1"/>
    <col min="34" max="34" width="6" style="1" customWidth="1"/>
    <col min="35" max="35" width="6.3984375" style="1" customWidth="1"/>
    <col min="36" max="36" width="9.296875" style="1" customWidth="1"/>
    <col min="37" max="37" width="21.3984375" style="1" customWidth="1"/>
    <col min="38" max="38" width="6.69921875" style="1" customWidth="1"/>
    <col min="39" max="39" width="6.796875" style="1" customWidth="1"/>
    <col min="40" max="40" width="5.3984375" style="1" customWidth="1"/>
    <col min="41" max="41" width="6.19921875" style="1" customWidth="1"/>
    <col min="42" max="42" width="7.19921875" style="1" customWidth="1"/>
    <col min="43" max="43" width="5.8984375" style="1" customWidth="1"/>
    <col min="44" max="44" width="8.3984375" style="1" customWidth="1"/>
    <col min="45" max="45" width="6.59765625" style="1" customWidth="1"/>
    <col min="46" max="46" width="7.796875" style="1" customWidth="1"/>
    <col min="47" max="47" width="6.19921875" style="1" customWidth="1"/>
    <col min="48" max="48" width="7.59765625" style="1" customWidth="1"/>
    <col min="49" max="49" width="21.09765625" style="86" customWidth="1"/>
    <col min="50" max="50" width="6.59765625" style="1" customWidth="1"/>
    <col min="51" max="51" width="6.796875" style="1" customWidth="1"/>
    <col min="52" max="52" width="7.09765625" style="1" customWidth="1"/>
    <col min="53" max="53" width="6.19921875" style="1" customWidth="1"/>
    <col min="54" max="54" width="6" style="1" customWidth="1"/>
    <col min="55" max="55" width="5.8984375" style="1" customWidth="1"/>
    <col min="56" max="56" width="8.796875" style="1" customWidth="1"/>
    <col min="57" max="57" width="6.59765625" style="1" customWidth="1"/>
    <col min="58" max="59" width="6.19921875" style="1" customWidth="1"/>
    <col min="60" max="60" width="8.19921875" style="1" customWidth="1"/>
    <col min="61" max="16384" width="8.8984375" style="1" customWidth="1"/>
  </cols>
  <sheetData>
    <row r="1" ht="15.75">
      <c r="A1" s="14" t="s">
        <v>35</v>
      </c>
    </row>
    <row r="2" spans="7:58" ht="14.25" customHeight="1">
      <c r="G2" s="502" t="s">
        <v>20</v>
      </c>
      <c r="H2" s="502"/>
      <c r="I2" s="502"/>
      <c r="M2" s="1" t="s">
        <v>35</v>
      </c>
      <c r="O2" s="1" t="s">
        <v>35</v>
      </c>
      <c r="Q2" s="1" t="s">
        <v>35</v>
      </c>
      <c r="R2" s="1" t="s">
        <v>35</v>
      </c>
      <c r="S2" s="502" t="s">
        <v>21</v>
      </c>
      <c r="T2" s="502"/>
      <c r="U2" s="502"/>
      <c r="Z2" s="1" t="s">
        <v>35</v>
      </c>
      <c r="AC2" s="1" t="s">
        <v>35</v>
      </c>
      <c r="AE2" s="503" t="s">
        <v>23</v>
      </c>
      <c r="AF2" s="503"/>
      <c r="AG2" s="15"/>
      <c r="AN2" s="1" t="s">
        <v>35</v>
      </c>
      <c r="AQ2" s="502" t="s">
        <v>22</v>
      </c>
      <c r="AR2" s="502"/>
      <c r="AS2" s="502"/>
      <c r="AT2" s="502"/>
      <c r="BC2" s="502" t="s">
        <v>50</v>
      </c>
      <c r="BD2" s="502"/>
      <c r="BE2" s="502"/>
      <c r="BF2" s="502"/>
    </row>
    <row r="3" spans="6:60" ht="15" customHeight="1">
      <c r="F3" s="31" t="s">
        <v>35</v>
      </c>
      <c r="G3" s="502" t="s">
        <v>56</v>
      </c>
      <c r="H3" s="502"/>
      <c r="I3" s="502"/>
      <c r="J3" s="502"/>
      <c r="K3" s="502"/>
      <c r="L3" s="502"/>
      <c r="N3" s="1" t="s">
        <v>35</v>
      </c>
      <c r="R3" s="1" t="s">
        <v>35</v>
      </c>
      <c r="S3" s="502" t="s">
        <v>56</v>
      </c>
      <c r="T3" s="502"/>
      <c r="U3" s="502"/>
      <c r="V3" s="502"/>
      <c r="W3" s="502"/>
      <c r="X3" s="502"/>
      <c r="Y3" s="14" t="s">
        <v>35</v>
      </c>
      <c r="Z3" s="1" t="s">
        <v>35</v>
      </c>
      <c r="AA3" s="1" t="s">
        <v>35</v>
      </c>
      <c r="AB3" s="1" t="s">
        <v>35</v>
      </c>
      <c r="AE3" s="502" t="s">
        <v>56</v>
      </c>
      <c r="AF3" s="502"/>
      <c r="AG3" s="502"/>
      <c r="AH3" s="502"/>
      <c r="AI3" s="502"/>
      <c r="AJ3" s="502"/>
      <c r="AK3" s="1" t="s">
        <v>35</v>
      </c>
      <c r="AP3" s="1" t="s">
        <v>35</v>
      </c>
      <c r="AQ3" s="502" t="s">
        <v>56</v>
      </c>
      <c r="AR3" s="502"/>
      <c r="AS3" s="502"/>
      <c r="AT3" s="502"/>
      <c r="AU3" s="502"/>
      <c r="AV3" s="502"/>
      <c r="BC3" s="502" t="s">
        <v>56</v>
      </c>
      <c r="BD3" s="502"/>
      <c r="BE3" s="502"/>
      <c r="BF3" s="502"/>
      <c r="BG3" s="502"/>
      <c r="BH3" s="502"/>
    </row>
    <row r="4" spans="7:58" ht="15.75" customHeight="1">
      <c r="G4" s="502" t="s">
        <v>77</v>
      </c>
      <c r="H4" s="502"/>
      <c r="I4" s="502"/>
      <c r="J4" s="502"/>
      <c r="M4" s="1" t="s">
        <v>35</v>
      </c>
      <c r="N4" s="1" t="s">
        <v>35</v>
      </c>
      <c r="O4" s="1" t="s">
        <v>35</v>
      </c>
      <c r="R4" s="1" t="s">
        <v>35</v>
      </c>
      <c r="S4" s="502" t="s">
        <v>77</v>
      </c>
      <c r="T4" s="502"/>
      <c r="U4" s="502"/>
      <c r="V4" s="502"/>
      <c r="Y4" s="14" t="s">
        <v>35</v>
      </c>
      <c r="AE4" s="502" t="s">
        <v>77</v>
      </c>
      <c r="AF4" s="502"/>
      <c r="AG4" s="502"/>
      <c r="AH4" s="502"/>
      <c r="AQ4" s="502" t="s">
        <v>77</v>
      </c>
      <c r="AR4" s="502"/>
      <c r="AS4" s="502"/>
      <c r="AT4" s="502"/>
      <c r="BC4" s="502" t="s">
        <v>77</v>
      </c>
      <c r="BD4" s="502"/>
      <c r="BE4" s="502"/>
      <c r="BF4" s="502"/>
    </row>
    <row r="5" spans="7:58" ht="15.75" customHeight="1">
      <c r="G5" s="32"/>
      <c r="H5" s="32"/>
      <c r="I5" s="32"/>
      <c r="J5" s="32"/>
      <c r="T5" s="3"/>
      <c r="AF5" s="3"/>
      <c r="AJ5" s="1" t="s">
        <v>35</v>
      </c>
      <c r="AS5" s="3"/>
      <c r="BE5" s="3"/>
      <c r="BF5" s="3"/>
    </row>
    <row r="6" spans="1:60" ht="15.75">
      <c r="A6" s="496" t="s">
        <v>16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6" t="s">
        <v>16</v>
      </c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6" t="s">
        <v>43</v>
      </c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6" t="s">
        <v>43</v>
      </c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6" t="s">
        <v>43</v>
      </c>
      <c r="AX6" s="497"/>
      <c r="AY6" s="497"/>
      <c r="AZ6" s="497"/>
      <c r="BA6" s="497"/>
      <c r="BB6" s="497"/>
      <c r="BC6" s="497"/>
      <c r="BD6" s="497"/>
      <c r="BE6" s="497"/>
      <c r="BF6" s="497"/>
      <c r="BG6" s="497"/>
      <c r="BH6" s="497"/>
    </row>
    <row r="7" spans="1:60" ht="15.75" customHeight="1">
      <c r="A7" s="496" t="s">
        <v>0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6" t="s">
        <v>0</v>
      </c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6" t="s">
        <v>0</v>
      </c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6" t="s">
        <v>0</v>
      </c>
      <c r="AL7" s="497"/>
      <c r="AM7" s="497"/>
      <c r="AN7" s="497"/>
      <c r="AO7" s="497"/>
      <c r="AP7" s="497"/>
      <c r="AQ7" s="497"/>
      <c r="AR7" s="497"/>
      <c r="AS7" s="497"/>
      <c r="AT7" s="497"/>
      <c r="AU7" s="497"/>
      <c r="AV7" s="497"/>
      <c r="AW7" s="496" t="s">
        <v>0</v>
      </c>
      <c r="AX7" s="497"/>
      <c r="AY7" s="497"/>
      <c r="AZ7" s="497"/>
      <c r="BA7" s="497"/>
      <c r="BB7" s="497"/>
      <c r="BC7" s="497"/>
      <c r="BD7" s="497"/>
      <c r="BE7" s="497"/>
      <c r="BF7" s="497"/>
      <c r="BG7" s="497"/>
      <c r="BH7" s="497"/>
    </row>
    <row r="8" spans="1:60" ht="16.5" customHeight="1" thickBot="1">
      <c r="A8" s="498" t="s">
        <v>78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8" t="s">
        <v>79</v>
      </c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8" t="s">
        <v>80</v>
      </c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8" t="s">
        <v>81</v>
      </c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8" t="s">
        <v>85</v>
      </c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</row>
    <row r="9" spans="1:60" ht="16.5" customHeight="1" thickBot="1">
      <c r="A9" s="43"/>
      <c r="B9" s="186"/>
      <c r="C9" s="186"/>
      <c r="D9" s="42"/>
      <c r="E9" s="42"/>
      <c r="F9" s="42"/>
      <c r="G9" s="42"/>
      <c r="H9" s="42"/>
      <c r="I9" s="42"/>
      <c r="J9" s="42"/>
      <c r="K9" s="42"/>
      <c r="L9" s="41"/>
      <c r="M9" s="43"/>
      <c r="N9" s="42"/>
      <c r="O9" s="42"/>
      <c r="P9" s="42"/>
      <c r="Q9" s="42"/>
      <c r="R9" s="42"/>
      <c r="S9" s="42"/>
      <c r="T9" s="42"/>
      <c r="U9" s="42"/>
      <c r="V9" s="42"/>
      <c r="W9" s="42"/>
      <c r="X9" s="41"/>
      <c r="Y9" s="43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1"/>
      <c r="AK9" s="43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1"/>
      <c r="AW9" s="87"/>
      <c r="AX9" s="41"/>
      <c r="AY9" s="42"/>
      <c r="AZ9" s="41"/>
      <c r="BA9" s="42"/>
      <c r="BB9" s="41"/>
      <c r="BC9" s="42"/>
      <c r="BD9" s="41"/>
      <c r="BE9" s="42"/>
      <c r="BF9" s="41"/>
      <c r="BG9" s="42"/>
      <c r="BH9" s="41"/>
    </row>
    <row r="10" spans="1:62" ht="32.25" customHeight="1" thickBot="1">
      <c r="A10" s="180" t="s">
        <v>1</v>
      </c>
      <c r="B10" s="489" t="s">
        <v>2</v>
      </c>
      <c r="C10" s="495"/>
      <c r="D10" s="489" t="s">
        <v>3</v>
      </c>
      <c r="E10" s="490"/>
      <c r="F10" s="489" t="s">
        <v>4</v>
      </c>
      <c r="G10" s="490"/>
      <c r="H10" s="489" t="s">
        <v>5</v>
      </c>
      <c r="I10" s="490"/>
      <c r="J10" s="489" t="s">
        <v>6</v>
      </c>
      <c r="K10" s="490"/>
      <c r="L10" s="22" t="s">
        <v>7</v>
      </c>
      <c r="M10" s="493" t="s">
        <v>1</v>
      </c>
      <c r="N10" s="489" t="s">
        <v>2</v>
      </c>
      <c r="O10" s="490"/>
      <c r="P10" s="489" t="s">
        <v>3</v>
      </c>
      <c r="Q10" s="490"/>
      <c r="R10" s="489" t="s">
        <v>4</v>
      </c>
      <c r="S10" s="490"/>
      <c r="T10" s="489" t="s">
        <v>5</v>
      </c>
      <c r="U10" s="490"/>
      <c r="V10" s="489" t="s">
        <v>6</v>
      </c>
      <c r="W10" s="490"/>
      <c r="X10" s="22" t="s">
        <v>7</v>
      </c>
      <c r="Y10" s="493" t="s">
        <v>1</v>
      </c>
      <c r="Z10" s="489" t="s">
        <v>2</v>
      </c>
      <c r="AA10" s="490"/>
      <c r="AB10" s="489" t="s">
        <v>3</v>
      </c>
      <c r="AC10" s="490"/>
      <c r="AD10" s="489" t="s">
        <v>4</v>
      </c>
      <c r="AE10" s="490"/>
      <c r="AF10" s="489" t="s">
        <v>5</v>
      </c>
      <c r="AG10" s="490"/>
      <c r="AH10" s="489" t="s">
        <v>6</v>
      </c>
      <c r="AI10" s="490"/>
      <c r="AJ10" s="22" t="s">
        <v>7</v>
      </c>
      <c r="AK10" s="21" t="s">
        <v>1</v>
      </c>
      <c r="AL10" s="489" t="s">
        <v>2</v>
      </c>
      <c r="AM10" s="490"/>
      <c r="AN10" s="489" t="s">
        <v>3</v>
      </c>
      <c r="AO10" s="490"/>
      <c r="AP10" s="489" t="s">
        <v>4</v>
      </c>
      <c r="AQ10" s="490"/>
      <c r="AR10" s="489" t="s">
        <v>5</v>
      </c>
      <c r="AS10" s="490"/>
      <c r="AT10" s="489" t="s">
        <v>6</v>
      </c>
      <c r="AU10" s="491"/>
      <c r="AV10" s="22" t="s">
        <v>7</v>
      </c>
      <c r="AW10" s="88" t="s">
        <v>1</v>
      </c>
      <c r="AX10" s="489" t="s">
        <v>2</v>
      </c>
      <c r="AY10" s="490"/>
      <c r="AZ10" s="489" t="s">
        <v>3</v>
      </c>
      <c r="BA10" s="490"/>
      <c r="BB10" s="489" t="s">
        <v>4</v>
      </c>
      <c r="BC10" s="490"/>
      <c r="BD10" s="489" t="s">
        <v>5</v>
      </c>
      <c r="BE10" s="490"/>
      <c r="BF10" s="489" t="s">
        <v>6</v>
      </c>
      <c r="BG10" s="490"/>
      <c r="BH10" s="22" t="s">
        <v>7</v>
      </c>
      <c r="BI10" s="492"/>
      <c r="BJ10" s="492"/>
    </row>
    <row r="11" spans="1:60" ht="29.25" customHeight="1" thickBot="1">
      <c r="A11" s="181"/>
      <c r="B11" s="19" t="s">
        <v>8</v>
      </c>
      <c r="C11" s="48" t="s">
        <v>9</v>
      </c>
      <c r="D11" s="18" t="s">
        <v>8</v>
      </c>
      <c r="E11" s="48" t="s">
        <v>9</v>
      </c>
      <c r="F11" s="19" t="s">
        <v>10</v>
      </c>
      <c r="G11" s="48" t="s">
        <v>9</v>
      </c>
      <c r="H11" s="18" t="s">
        <v>11</v>
      </c>
      <c r="I11" s="48" t="s">
        <v>9</v>
      </c>
      <c r="J11" s="19" t="s">
        <v>10</v>
      </c>
      <c r="K11" s="24" t="s">
        <v>9</v>
      </c>
      <c r="L11" s="24" t="s">
        <v>9</v>
      </c>
      <c r="M11" s="501"/>
      <c r="N11" s="129" t="s">
        <v>8</v>
      </c>
      <c r="O11" s="48" t="s">
        <v>9</v>
      </c>
      <c r="P11" s="131" t="s">
        <v>8</v>
      </c>
      <c r="Q11" s="48" t="s">
        <v>9</v>
      </c>
      <c r="R11" s="129" t="s">
        <v>10</v>
      </c>
      <c r="S11" s="48" t="s">
        <v>9</v>
      </c>
      <c r="T11" s="131" t="s">
        <v>11</v>
      </c>
      <c r="U11" s="130" t="s">
        <v>9</v>
      </c>
      <c r="V11" s="129" t="s">
        <v>10</v>
      </c>
      <c r="W11" s="48" t="s">
        <v>9</v>
      </c>
      <c r="X11" s="132" t="s">
        <v>9</v>
      </c>
      <c r="Y11" s="501"/>
      <c r="Z11" s="129" t="s">
        <v>8</v>
      </c>
      <c r="AA11" s="130" t="s">
        <v>9</v>
      </c>
      <c r="AB11" s="131" t="s">
        <v>8</v>
      </c>
      <c r="AC11" s="48" t="s">
        <v>9</v>
      </c>
      <c r="AD11" s="129" t="s">
        <v>10</v>
      </c>
      <c r="AE11" s="48" t="s">
        <v>9</v>
      </c>
      <c r="AF11" s="131" t="s">
        <v>11</v>
      </c>
      <c r="AG11" s="130" t="s">
        <v>9</v>
      </c>
      <c r="AH11" s="129" t="s">
        <v>10</v>
      </c>
      <c r="AI11" s="48" t="s">
        <v>9</v>
      </c>
      <c r="AJ11" s="132" t="s">
        <v>9</v>
      </c>
      <c r="AK11" s="23"/>
      <c r="AL11" s="19" t="s">
        <v>8</v>
      </c>
      <c r="AM11" s="106" t="s">
        <v>9</v>
      </c>
      <c r="AN11" s="107" t="s">
        <v>8</v>
      </c>
      <c r="AO11" s="48" t="s">
        <v>9</v>
      </c>
      <c r="AP11" s="19" t="s">
        <v>10</v>
      </c>
      <c r="AQ11" s="48" t="s">
        <v>9</v>
      </c>
      <c r="AR11" s="18" t="s">
        <v>11</v>
      </c>
      <c r="AS11" s="48" t="s">
        <v>9</v>
      </c>
      <c r="AT11" s="19" t="s">
        <v>10</v>
      </c>
      <c r="AU11" s="48" t="s">
        <v>9</v>
      </c>
      <c r="AV11" s="24" t="s">
        <v>9</v>
      </c>
      <c r="AW11" s="89"/>
      <c r="AX11" s="19" t="s">
        <v>8</v>
      </c>
      <c r="AY11" s="106" t="s">
        <v>9</v>
      </c>
      <c r="AZ11" s="314" t="s">
        <v>8</v>
      </c>
      <c r="BA11" s="48" t="s">
        <v>9</v>
      </c>
      <c r="BB11" s="19" t="s">
        <v>10</v>
      </c>
      <c r="BC11" s="48" t="s">
        <v>9</v>
      </c>
      <c r="BD11" s="18" t="s">
        <v>11</v>
      </c>
      <c r="BE11" s="48" t="s">
        <v>9</v>
      </c>
      <c r="BF11" s="19" t="s">
        <v>10</v>
      </c>
      <c r="BG11" s="48" t="s">
        <v>9</v>
      </c>
      <c r="BH11" s="24" t="s">
        <v>9</v>
      </c>
    </row>
    <row r="12" spans="1:60" ht="30.75" customHeight="1" thickBot="1">
      <c r="A12" s="318" t="s">
        <v>32</v>
      </c>
      <c r="B12" s="5"/>
      <c r="C12" s="5"/>
      <c r="D12" s="5"/>
      <c r="E12" s="5"/>
      <c r="F12" s="5"/>
      <c r="G12" s="5"/>
      <c r="H12" s="16"/>
      <c r="I12" s="16"/>
      <c r="J12" s="5" t="s">
        <v>35</v>
      </c>
      <c r="K12" s="5" t="s">
        <v>35</v>
      </c>
      <c r="L12" s="6" t="s">
        <v>42</v>
      </c>
      <c r="M12" s="137" t="s">
        <v>32</v>
      </c>
      <c r="N12" s="90"/>
      <c r="O12" s="134"/>
      <c r="P12" s="135"/>
      <c r="Q12" s="134"/>
      <c r="R12" s="135"/>
      <c r="S12" s="135"/>
      <c r="T12" s="244"/>
      <c r="U12" s="135"/>
      <c r="V12" s="135"/>
      <c r="W12" s="135" t="s">
        <v>35</v>
      </c>
      <c r="X12" s="136"/>
      <c r="Y12" s="149" t="s">
        <v>32</v>
      </c>
      <c r="Z12" s="133"/>
      <c r="AA12" s="134"/>
      <c r="AB12" s="117"/>
      <c r="AC12" s="134"/>
      <c r="AD12" s="117"/>
      <c r="AE12" s="135"/>
      <c r="AF12" s="61"/>
      <c r="AG12" s="135"/>
      <c r="AH12" s="135"/>
      <c r="AI12" s="135" t="s">
        <v>35</v>
      </c>
      <c r="AJ12" s="136"/>
      <c r="AK12" s="128" t="s">
        <v>32</v>
      </c>
      <c r="AL12" s="16"/>
      <c r="AM12" s="47"/>
      <c r="AN12" s="16"/>
      <c r="AO12" s="290"/>
      <c r="AP12" s="30"/>
      <c r="AQ12" s="291"/>
      <c r="AR12" s="16"/>
      <c r="AS12" s="40"/>
      <c r="AT12" s="17"/>
      <c r="AU12" s="17" t="s">
        <v>35</v>
      </c>
      <c r="AV12" s="7"/>
      <c r="AW12" s="90" t="s">
        <v>32</v>
      </c>
      <c r="AX12" s="30"/>
      <c r="AY12" s="47"/>
      <c r="AZ12" s="39"/>
      <c r="BA12" s="290"/>
      <c r="BB12" s="30"/>
      <c r="BC12" s="291"/>
      <c r="BD12" s="39"/>
      <c r="BE12" s="40"/>
      <c r="BF12" s="40"/>
      <c r="BG12" s="17" t="s">
        <v>35</v>
      </c>
      <c r="BH12" s="7"/>
    </row>
    <row r="13" spans="1:60" ht="15.75">
      <c r="A13" s="306" t="s">
        <v>12</v>
      </c>
      <c r="B13" s="66">
        <f aca="true" t="shared" si="0" ref="B13:K19">N13+Z13+AL13+AX13</f>
        <v>486.0799999999999</v>
      </c>
      <c r="C13" s="150">
        <f t="shared" si="0"/>
        <v>1718.3082372</v>
      </c>
      <c r="D13" s="65">
        <f t="shared" si="0"/>
        <v>11</v>
      </c>
      <c r="E13" s="151">
        <f t="shared" si="0"/>
        <v>39.095865599999996</v>
      </c>
      <c r="F13" s="66">
        <f t="shared" si="0"/>
        <v>635</v>
      </c>
      <c r="G13" s="150">
        <f t="shared" si="0"/>
        <v>26.28153</v>
      </c>
      <c r="H13" s="173">
        <f t="shared" si="0"/>
        <v>115435</v>
      </c>
      <c r="I13" s="151">
        <f t="shared" si="0"/>
        <v>608.117375</v>
      </c>
      <c r="J13" s="66">
        <f t="shared" si="0"/>
        <v>635</v>
      </c>
      <c r="K13" s="152">
        <f t="shared" si="0"/>
        <v>11.86974</v>
      </c>
      <c r="L13" s="68">
        <f>C13+E13+G13+I13+K13</f>
        <v>2403.6727478000003</v>
      </c>
      <c r="M13" s="138" t="s">
        <v>12</v>
      </c>
      <c r="N13" s="245">
        <v>211.5</v>
      </c>
      <c r="O13" s="270">
        <f>N13*3375.12/1000</f>
        <v>713.83788</v>
      </c>
      <c r="P13" s="66">
        <v>2.8</v>
      </c>
      <c r="Q13" s="270">
        <f aca="true" t="shared" si="1" ref="O13:Q18">P13*3375.12/1000</f>
        <v>9.450336</v>
      </c>
      <c r="R13" s="78">
        <v>115</v>
      </c>
      <c r="S13" s="270">
        <f>R13*38.52/1000</f>
        <v>4.4298</v>
      </c>
      <c r="T13" s="246">
        <v>34042</v>
      </c>
      <c r="U13" s="271">
        <f>T13*5.027/1000</f>
        <v>171.129134</v>
      </c>
      <c r="V13" s="66">
        <f>R13</f>
        <v>115</v>
      </c>
      <c r="W13" s="270">
        <f>V13*17.86/1000</f>
        <v>2.0539</v>
      </c>
      <c r="X13" s="68">
        <f aca="true" t="shared" si="2" ref="X13:X18">O13+Q13+S13+U13+W13</f>
        <v>900.90105</v>
      </c>
      <c r="Y13" s="103" t="s">
        <v>12</v>
      </c>
      <c r="Z13" s="78">
        <v>66.2</v>
      </c>
      <c r="AA13" s="270">
        <f>Z13*3375.12/1000</f>
        <v>223.432944</v>
      </c>
      <c r="AB13" s="247">
        <v>2.92</v>
      </c>
      <c r="AC13" s="270">
        <f>AB13*3375.12/1000</f>
        <v>9.855350399999999</v>
      </c>
      <c r="AD13" s="78">
        <v>107</v>
      </c>
      <c r="AE13" s="270">
        <f>AD13*38.52/1000</f>
        <v>4.12164</v>
      </c>
      <c r="AF13" s="85">
        <v>23783</v>
      </c>
      <c r="AG13" s="271">
        <f>AF13*5.027/1000</f>
        <v>119.557141</v>
      </c>
      <c r="AH13" s="66">
        <f>AD13</f>
        <v>107</v>
      </c>
      <c r="AI13" s="270">
        <f>AH13*17.86/1000</f>
        <v>1.91102</v>
      </c>
      <c r="AJ13" s="68">
        <f aca="true" t="shared" si="3" ref="AJ13:AJ18">AA13+AC13+AE13+AG13+AI13</f>
        <v>358.8780954</v>
      </c>
      <c r="AK13" s="103" t="s">
        <v>12</v>
      </c>
      <c r="AL13" s="65">
        <v>17.9</v>
      </c>
      <c r="AM13" s="282">
        <f>AL13*3748.14/1000</f>
        <v>67.09170599999999</v>
      </c>
      <c r="AN13" s="67">
        <v>2.69</v>
      </c>
      <c r="AO13" s="289">
        <f aca="true" t="shared" si="4" ref="AM13:AO18">AN13*3748.14/1000</f>
        <v>10.082496599999999</v>
      </c>
      <c r="AP13" s="78">
        <v>116</v>
      </c>
      <c r="AQ13" s="292">
        <f>AP13*42.93/1000</f>
        <v>4.9798800000000005</v>
      </c>
      <c r="AR13" s="80">
        <v>22695</v>
      </c>
      <c r="AS13" s="294">
        <f>AR13*5.51/1000</f>
        <v>125.04945</v>
      </c>
      <c r="AT13" s="65">
        <f>AP13</f>
        <v>116</v>
      </c>
      <c r="AU13" s="282">
        <f>AT13*19.14/1000</f>
        <v>2.2202400000000004</v>
      </c>
      <c r="AV13" s="297">
        <f aca="true" t="shared" si="5" ref="AV13:AV18">AM13+AO13+AQ13+AS13+AU13</f>
        <v>209.42377259999995</v>
      </c>
      <c r="AW13" s="91" t="s">
        <v>12</v>
      </c>
      <c r="AX13" s="65">
        <v>190.48</v>
      </c>
      <c r="AY13" s="282">
        <f>AX13*3748.14/1000</f>
        <v>713.9457071999999</v>
      </c>
      <c r="AZ13" s="65">
        <v>2.59</v>
      </c>
      <c r="BA13" s="289">
        <f>AZ13*3748.14/1000</f>
        <v>9.707682599999998</v>
      </c>
      <c r="BB13" s="66">
        <v>297</v>
      </c>
      <c r="BC13" s="292">
        <f>BB13*42.93/1000</f>
        <v>12.75021</v>
      </c>
      <c r="BD13" s="80">
        <v>34915</v>
      </c>
      <c r="BE13" s="294">
        <f>BD13*5.51/1000</f>
        <v>192.38165</v>
      </c>
      <c r="BF13" s="65">
        <f>BB13</f>
        <v>297</v>
      </c>
      <c r="BG13" s="282">
        <f>BF13*19.14/1000</f>
        <v>5.6845799999999995</v>
      </c>
      <c r="BH13" s="75">
        <f aca="true" t="shared" si="6" ref="BH13:BH18">AY13+BA13+BC13+BE13+BG13</f>
        <v>934.4698298</v>
      </c>
    </row>
    <row r="14" spans="1:60" ht="15.75">
      <c r="A14" s="307" t="s">
        <v>13</v>
      </c>
      <c r="B14" s="66">
        <f t="shared" si="0"/>
        <v>101.26</v>
      </c>
      <c r="C14" s="153">
        <f t="shared" si="0"/>
        <v>357.2002188</v>
      </c>
      <c r="D14" s="60">
        <f t="shared" si="0"/>
        <v>6.839999999999999</v>
      </c>
      <c r="E14" s="154">
        <f t="shared" si="0"/>
        <v>23.8281306</v>
      </c>
      <c r="F14" s="69">
        <f t="shared" si="0"/>
        <v>596</v>
      </c>
      <c r="G14" s="150">
        <f t="shared" si="0"/>
        <v>24.02955</v>
      </c>
      <c r="H14" s="57">
        <f t="shared" si="0"/>
        <v>10450</v>
      </c>
      <c r="I14" s="79">
        <f t="shared" si="0"/>
        <v>55.493905999999996</v>
      </c>
      <c r="J14" s="69">
        <f t="shared" si="0"/>
        <v>596</v>
      </c>
      <c r="K14" s="155">
        <f t="shared" si="0"/>
        <v>10.9556</v>
      </c>
      <c r="L14" s="68">
        <f aca="true" t="shared" si="7" ref="L14:L19">C14+E14+G14+I14+K14</f>
        <v>471.5074054</v>
      </c>
      <c r="M14" s="139" t="s">
        <v>13</v>
      </c>
      <c r="N14" s="248">
        <v>44.24</v>
      </c>
      <c r="O14" s="270">
        <f t="shared" si="1"/>
        <v>149.3153088</v>
      </c>
      <c r="P14" s="69">
        <v>4.79</v>
      </c>
      <c r="Q14" s="270">
        <f t="shared" si="1"/>
        <v>16.1668248</v>
      </c>
      <c r="R14" s="60">
        <v>233</v>
      </c>
      <c r="S14" s="270">
        <f>R14*38.52/1000</f>
        <v>8.97516</v>
      </c>
      <c r="T14" s="249">
        <v>2643</v>
      </c>
      <c r="U14" s="271">
        <f>T14*5.027/1000</f>
        <v>13.286361000000001</v>
      </c>
      <c r="V14" s="69">
        <f>R14</f>
        <v>233</v>
      </c>
      <c r="W14" s="270">
        <f>V14*17.86/1000</f>
        <v>4.16138</v>
      </c>
      <c r="X14" s="68">
        <f t="shared" si="2"/>
        <v>191.9050346</v>
      </c>
      <c r="Y14" s="96" t="s">
        <v>13</v>
      </c>
      <c r="Z14" s="60">
        <v>15.64</v>
      </c>
      <c r="AA14" s="270">
        <f>Z14*3375.12/1000</f>
        <v>52.7868768</v>
      </c>
      <c r="AB14" s="250">
        <v>0.06</v>
      </c>
      <c r="AC14" s="270">
        <f>AB14*3375.12/1000</f>
        <v>0.20250719999999997</v>
      </c>
      <c r="AD14" s="60">
        <v>120</v>
      </c>
      <c r="AE14" s="270">
        <f>AD14*38.52/1000</f>
        <v>4.622400000000001</v>
      </c>
      <c r="AF14" s="81">
        <v>1675</v>
      </c>
      <c r="AG14" s="271">
        <f>AF14*5.027/1000</f>
        <v>8.420225</v>
      </c>
      <c r="AH14" s="69">
        <f>AD14</f>
        <v>120</v>
      </c>
      <c r="AI14" s="270">
        <f>AH14*17.86/1000</f>
        <v>2.1431999999999998</v>
      </c>
      <c r="AJ14" s="68">
        <f t="shared" si="3"/>
        <v>68.175209</v>
      </c>
      <c r="AK14" s="96" t="s">
        <v>13</v>
      </c>
      <c r="AL14" s="60">
        <v>2.85</v>
      </c>
      <c r="AM14" s="279">
        <f t="shared" si="4"/>
        <v>10.682199</v>
      </c>
      <c r="AN14" s="69">
        <v>0.06</v>
      </c>
      <c r="AO14" s="279">
        <f t="shared" si="4"/>
        <v>0.2248884</v>
      </c>
      <c r="AP14" s="60">
        <v>72</v>
      </c>
      <c r="AQ14" s="287">
        <f>AP14*42.93/1000</f>
        <v>3.09096</v>
      </c>
      <c r="AR14" s="81">
        <v>2017</v>
      </c>
      <c r="AS14" s="295">
        <f>AR14*5.51/1000</f>
        <v>11.11367</v>
      </c>
      <c r="AT14" s="60">
        <f>AP14</f>
        <v>72</v>
      </c>
      <c r="AU14" s="279">
        <f>AT14*19.14/1000</f>
        <v>1.37808</v>
      </c>
      <c r="AV14" s="297">
        <f t="shared" si="5"/>
        <v>26.489797400000004</v>
      </c>
      <c r="AW14" s="92" t="s">
        <v>13</v>
      </c>
      <c r="AX14" s="60">
        <v>38.53</v>
      </c>
      <c r="AY14" s="279">
        <f>AX14*3748.14/1000</f>
        <v>144.4158342</v>
      </c>
      <c r="AZ14" s="60">
        <v>1.93</v>
      </c>
      <c r="BA14" s="279">
        <f>AZ14*3748.14/1000</f>
        <v>7.2339101999999995</v>
      </c>
      <c r="BB14" s="69">
        <v>171</v>
      </c>
      <c r="BC14" s="287">
        <f>BB14*42.93/1000</f>
        <v>7.34103</v>
      </c>
      <c r="BD14" s="81">
        <v>4115</v>
      </c>
      <c r="BE14" s="295">
        <f>BD14*5.51/1000</f>
        <v>22.67365</v>
      </c>
      <c r="BF14" s="60">
        <f>BB14</f>
        <v>171</v>
      </c>
      <c r="BG14" s="279">
        <f>BF14*19.14/1000</f>
        <v>3.27294</v>
      </c>
      <c r="BH14" s="68">
        <f t="shared" si="6"/>
        <v>184.9373644</v>
      </c>
    </row>
    <row r="15" spans="1:60" ht="15.75">
      <c r="A15" s="307" t="s">
        <v>51</v>
      </c>
      <c r="B15" s="66">
        <f t="shared" si="0"/>
        <v>123.92000000000002</v>
      </c>
      <c r="C15" s="153">
        <f t="shared" si="0"/>
        <v>436.5191202</v>
      </c>
      <c r="D15" s="60">
        <f t="shared" si="0"/>
        <v>0</v>
      </c>
      <c r="E15" s="154">
        <f t="shared" si="0"/>
        <v>0</v>
      </c>
      <c r="F15" s="69">
        <f t="shared" si="0"/>
        <v>498</v>
      </c>
      <c r="G15" s="150">
        <f t="shared" si="0"/>
        <v>20.179620000000003</v>
      </c>
      <c r="H15" s="57">
        <f t="shared" si="0"/>
        <v>9979.04</v>
      </c>
      <c r="I15" s="79">
        <f t="shared" si="0"/>
        <v>52.54582408</v>
      </c>
      <c r="J15" s="69">
        <f t="shared" si="0"/>
        <v>498</v>
      </c>
      <c r="K15" s="155">
        <f t="shared" si="0"/>
        <v>9.18356</v>
      </c>
      <c r="L15" s="68">
        <f t="shared" si="7"/>
        <v>518.42812428</v>
      </c>
      <c r="M15" s="139" t="s">
        <v>14</v>
      </c>
      <c r="N15" s="248">
        <v>56.78</v>
      </c>
      <c r="O15" s="270">
        <f t="shared" si="1"/>
        <v>191.63931359999998</v>
      </c>
      <c r="P15" s="69">
        <v>0</v>
      </c>
      <c r="Q15" s="270">
        <f t="shared" si="1"/>
        <v>0</v>
      </c>
      <c r="R15" s="60">
        <v>240</v>
      </c>
      <c r="S15" s="270">
        <f>R15*38.52/1000</f>
        <v>9.244800000000001</v>
      </c>
      <c r="T15" s="249">
        <v>2599</v>
      </c>
      <c r="U15" s="271">
        <f>T15*5.027/1000</f>
        <v>13.065173000000001</v>
      </c>
      <c r="V15" s="69">
        <f>R15</f>
        <v>240</v>
      </c>
      <c r="W15" s="270">
        <f>V15*17.86/1000</f>
        <v>4.2863999999999995</v>
      </c>
      <c r="X15" s="68">
        <f t="shared" si="2"/>
        <v>218.23568659999998</v>
      </c>
      <c r="Y15" s="96" t="s">
        <v>14</v>
      </c>
      <c r="Z15" s="60">
        <v>18.15</v>
      </c>
      <c r="AA15" s="270">
        <f>Z15*3375.12/1000</f>
        <v>61.258427999999995</v>
      </c>
      <c r="AB15" s="250">
        <v>0</v>
      </c>
      <c r="AC15" s="270">
        <f>AB15*3375.12/1000</f>
        <v>0</v>
      </c>
      <c r="AD15" s="60">
        <v>32</v>
      </c>
      <c r="AE15" s="270">
        <f>AD15*38.52/1000</f>
        <v>1.2326400000000002</v>
      </c>
      <c r="AF15" s="81">
        <v>2450.04</v>
      </c>
      <c r="AG15" s="271">
        <f>AF15*5.027/1000</f>
        <v>12.31635108</v>
      </c>
      <c r="AH15" s="69">
        <f>AD15</f>
        <v>32</v>
      </c>
      <c r="AI15" s="270">
        <f>AH15*17.86/1000</f>
        <v>0.57152</v>
      </c>
      <c r="AJ15" s="68">
        <f t="shared" si="3"/>
        <v>75.37893908000001</v>
      </c>
      <c r="AK15" s="96" t="s">
        <v>14</v>
      </c>
      <c r="AL15" s="60">
        <v>5.11</v>
      </c>
      <c r="AM15" s="279">
        <f t="shared" si="4"/>
        <v>19.1529954</v>
      </c>
      <c r="AN15" s="69">
        <v>0</v>
      </c>
      <c r="AO15" s="279">
        <f t="shared" si="4"/>
        <v>0</v>
      </c>
      <c r="AP15" s="60">
        <v>18</v>
      </c>
      <c r="AQ15" s="287">
        <f>AP15*42.93/1000</f>
        <v>0.77274</v>
      </c>
      <c r="AR15" s="81">
        <v>1276</v>
      </c>
      <c r="AS15" s="295">
        <f>AR15*5.51/1000</f>
        <v>7.030759999999999</v>
      </c>
      <c r="AT15" s="60">
        <f>AP15</f>
        <v>18</v>
      </c>
      <c r="AU15" s="279">
        <f>AT15*19.14/1000</f>
        <v>0.34452</v>
      </c>
      <c r="AV15" s="297">
        <f t="shared" si="5"/>
        <v>27.301015399999994</v>
      </c>
      <c r="AW15" s="92" t="s">
        <v>14</v>
      </c>
      <c r="AX15" s="60">
        <v>43.88</v>
      </c>
      <c r="AY15" s="279">
        <f>AX15*3748.14/1000</f>
        <v>164.4683832</v>
      </c>
      <c r="AZ15" s="60">
        <v>0</v>
      </c>
      <c r="BA15" s="279">
        <f>AZ15*3748.14/1000</f>
        <v>0</v>
      </c>
      <c r="BB15" s="69">
        <v>208</v>
      </c>
      <c r="BC15" s="287">
        <f>BB15*42.93/1000</f>
        <v>8.929440000000001</v>
      </c>
      <c r="BD15" s="81">
        <v>3654</v>
      </c>
      <c r="BE15" s="295">
        <f>BD15*5.51/1000</f>
        <v>20.13354</v>
      </c>
      <c r="BF15" s="60">
        <f>BB15</f>
        <v>208</v>
      </c>
      <c r="BG15" s="279">
        <f>BF15*19.14/1000</f>
        <v>3.9811199999999998</v>
      </c>
      <c r="BH15" s="68">
        <f t="shared" si="6"/>
        <v>197.51248320000002</v>
      </c>
    </row>
    <row r="16" spans="1:60" ht="16.5" thickBot="1">
      <c r="A16" s="307" t="s">
        <v>14</v>
      </c>
      <c r="B16" s="187">
        <f>N16+Z16+AL16+AX16</f>
        <v>0</v>
      </c>
      <c r="C16" s="188">
        <f>O16+AA16+AM16+AY16+0.01</f>
        <v>0.01</v>
      </c>
      <c r="D16" s="76">
        <f t="shared" si="0"/>
        <v>0</v>
      </c>
      <c r="E16" s="156">
        <f t="shared" si="0"/>
        <v>0</v>
      </c>
      <c r="F16" s="70">
        <f t="shared" si="0"/>
        <v>0</v>
      </c>
      <c r="G16" s="157">
        <f t="shared" si="0"/>
        <v>0</v>
      </c>
      <c r="H16" s="174">
        <f t="shared" si="0"/>
        <v>2232.96</v>
      </c>
      <c r="I16" s="158">
        <f t="shared" si="0"/>
        <v>11.649163920000001</v>
      </c>
      <c r="J16" s="70">
        <f t="shared" si="0"/>
        <v>0</v>
      </c>
      <c r="K16" s="159">
        <f t="shared" si="0"/>
        <v>0</v>
      </c>
      <c r="L16" s="68">
        <f t="shared" si="7"/>
        <v>11.659163920000001</v>
      </c>
      <c r="M16" s="139" t="s">
        <v>14</v>
      </c>
      <c r="N16" s="251">
        <v>0</v>
      </c>
      <c r="O16" s="270">
        <f t="shared" si="1"/>
        <v>0</v>
      </c>
      <c r="P16" s="70">
        <v>0</v>
      </c>
      <c r="Q16" s="270">
        <f t="shared" si="1"/>
        <v>0</v>
      </c>
      <c r="R16" s="76">
        <v>0</v>
      </c>
      <c r="S16" s="270">
        <f>R16*38.52/1000</f>
        <v>0</v>
      </c>
      <c r="T16" s="252">
        <v>908</v>
      </c>
      <c r="U16" s="271">
        <f>T16*5.027/1000</f>
        <v>4.564516</v>
      </c>
      <c r="V16" s="70">
        <f>R16</f>
        <v>0</v>
      </c>
      <c r="W16" s="270">
        <f>V16*17.86/1000</f>
        <v>0</v>
      </c>
      <c r="X16" s="54">
        <f t="shared" si="2"/>
        <v>4.564516</v>
      </c>
      <c r="Y16" s="96" t="s">
        <v>14</v>
      </c>
      <c r="Z16" s="60">
        <v>0</v>
      </c>
      <c r="AA16" s="270">
        <f>Z16*3375.12/1000</f>
        <v>0</v>
      </c>
      <c r="AB16" s="250">
        <v>0</v>
      </c>
      <c r="AC16" s="270">
        <f>AB16*3375.12/1000</f>
        <v>0</v>
      </c>
      <c r="AD16" s="60">
        <v>0</v>
      </c>
      <c r="AE16" s="270">
        <f>AD16*38.52/1000</f>
        <v>0</v>
      </c>
      <c r="AF16" s="82">
        <v>446.96</v>
      </c>
      <c r="AG16" s="271">
        <f>AF16*5.027/1000</f>
        <v>2.24686792</v>
      </c>
      <c r="AH16" s="71">
        <f>AD16</f>
        <v>0</v>
      </c>
      <c r="AI16" s="270">
        <f>AH16*17.86/1000</f>
        <v>0</v>
      </c>
      <c r="AJ16" s="68">
        <f t="shared" si="3"/>
        <v>2.24686792</v>
      </c>
      <c r="AK16" s="108" t="s">
        <v>14</v>
      </c>
      <c r="AL16" s="59">
        <v>0</v>
      </c>
      <c r="AM16" s="284">
        <f t="shared" si="4"/>
        <v>0</v>
      </c>
      <c r="AN16" s="69">
        <v>0</v>
      </c>
      <c r="AO16" s="279">
        <f t="shared" si="4"/>
        <v>0</v>
      </c>
      <c r="AP16" s="59">
        <v>0</v>
      </c>
      <c r="AQ16" s="287">
        <f>AP16*42.93/1000</f>
        <v>0</v>
      </c>
      <c r="AR16" s="82">
        <v>326</v>
      </c>
      <c r="AS16" s="296">
        <f>AR16*5.51/1000</f>
        <v>1.79626</v>
      </c>
      <c r="AT16" s="59">
        <f>AP16</f>
        <v>0</v>
      </c>
      <c r="AU16" s="284">
        <f>AT16*19.14/1000</f>
        <v>0</v>
      </c>
      <c r="AV16" s="297">
        <f t="shared" si="5"/>
        <v>1.79626</v>
      </c>
      <c r="AW16" s="92" t="s">
        <v>14</v>
      </c>
      <c r="AX16" s="59">
        <v>0</v>
      </c>
      <c r="AY16" s="284">
        <f>AX16*3748.14/1000</f>
        <v>0</v>
      </c>
      <c r="AZ16" s="59">
        <v>0</v>
      </c>
      <c r="BA16" s="279">
        <f>AZ16*3748.14/1000</f>
        <v>0</v>
      </c>
      <c r="BB16" s="70">
        <v>0</v>
      </c>
      <c r="BC16" s="287">
        <f>BB16*42.93/1000</f>
        <v>0</v>
      </c>
      <c r="BD16" s="82">
        <v>552</v>
      </c>
      <c r="BE16" s="296">
        <f>BD16*5.51/1000</f>
        <v>3.04152</v>
      </c>
      <c r="BF16" s="59">
        <f>BB16</f>
        <v>0</v>
      </c>
      <c r="BG16" s="284">
        <f>BF16*19.14/1000</f>
        <v>0</v>
      </c>
      <c r="BH16" s="63">
        <f t="shared" si="6"/>
        <v>3.04152</v>
      </c>
    </row>
    <row r="17" spans="1:60" ht="16.5" thickBot="1">
      <c r="A17" s="315" t="s">
        <v>24</v>
      </c>
      <c r="B17" s="35">
        <f>N17+Z17+AL17+AX17</f>
        <v>711.26</v>
      </c>
      <c r="C17" s="50">
        <f>C13+C14+C15+C16</f>
        <v>2512.0375762000003</v>
      </c>
      <c r="D17" s="35">
        <f t="shared" si="0"/>
        <v>17.84</v>
      </c>
      <c r="E17" s="44">
        <f t="shared" si="0"/>
        <v>62.92399619999999</v>
      </c>
      <c r="F17" s="34">
        <f t="shared" si="0"/>
        <v>1729</v>
      </c>
      <c r="G17" s="50">
        <f t="shared" si="0"/>
        <v>70.4907</v>
      </c>
      <c r="H17" s="84">
        <f t="shared" si="0"/>
        <v>138097</v>
      </c>
      <c r="I17" s="44">
        <f t="shared" si="0"/>
        <v>727.8062689999999</v>
      </c>
      <c r="J17" s="34">
        <f t="shared" si="0"/>
        <v>1729</v>
      </c>
      <c r="K17" s="46">
        <f>K13+K14+K15+K16</f>
        <v>32.0089</v>
      </c>
      <c r="L17" s="38">
        <f>C17+E17+G17+I17+K17</f>
        <v>3405.2674414000003</v>
      </c>
      <c r="M17" s="25" t="s">
        <v>24</v>
      </c>
      <c r="N17" s="37">
        <f aca="true" t="shared" si="8" ref="N17:W17">SUM(N13:N16)</f>
        <v>312.52</v>
      </c>
      <c r="O17" s="44">
        <f t="shared" si="8"/>
        <v>1054.7925024</v>
      </c>
      <c r="P17" s="37">
        <f t="shared" si="8"/>
        <v>7.59</v>
      </c>
      <c r="Q17" s="44">
        <f t="shared" si="8"/>
        <v>25.6171608</v>
      </c>
      <c r="R17" s="37">
        <f t="shared" si="8"/>
        <v>588</v>
      </c>
      <c r="S17" s="44">
        <f t="shared" si="8"/>
        <v>22.64976</v>
      </c>
      <c r="T17" s="37">
        <f t="shared" si="8"/>
        <v>40192</v>
      </c>
      <c r="U17" s="44">
        <f t="shared" si="8"/>
        <v>202.04518399999998</v>
      </c>
      <c r="V17" s="37">
        <f t="shared" si="8"/>
        <v>588</v>
      </c>
      <c r="W17" s="44">
        <f t="shared" si="8"/>
        <v>10.50168</v>
      </c>
      <c r="X17" s="38">
        <f t="shared" si="2"/>
        <v>1315.6062872000002</v>
      </c>
      <c r="Y17" s="25" t="s">
        <v>24</v>
      </c>
      <c r="Z17" s="37">
        <f aca="true" t="shared" si="9" ref="Z17:AI17">SUM(Z13:Z16)</f>
        <v>99.99000000000001</v>
      </c>
      <c r="AA17" s="44">
        <f t="shared" si="9"/>
        <v>337.47824879999996</v>
      </c>
      <c r="AB17" s="37">
        <f t="shared" si="9"/>
        <v>2.98</v>
      </c>
      <c r="AC17" s="44">
        <f t="shared" si="9"/>
        <v>10.057857599999998</v>
      </c>
      <c r="AD17" s="37">
        <f t="shared" si="9"/>
        <v>259</v>
      </c>
      <c r="AE17" s="44">
        <f t="shared" si="9"/>
        <v>9.976680000000002</v>
      </c>
      <c r="AF17" s="37">
        <f t="shared" si="9"/>
        <v>28355</v>
      </c>
      <c r="AG17" s="44">
        <f t="shared" si="9"/>
        <v>142.540585</v>
      </c>
      <c r="AH17" s="37">
        <f t="shared" si="9"/>
        <v>259</v>
      </c>
      <c r="AI17" s="44">
        <f t="shared" si="9"/>
        <v>4.62574</v>
      </c>
      <c r="AJ17" s="38">
        <f t="shared" si="3"/>
        <v>504.67911139999995</v>
      </c>
      <c r="AK17" s="109" t="s">
        <v>24</v>
      </c>
      <c r="AL17" s="283">
        <f aca="true" t="shared" si="10" ref="AL17:AU17">SUM(AL13:AL16)</f>
        <v>25.86</v>
      </c>
      <c r="AM17" s="183">
        <f t="shared" si="10"/>
        <v>96.92690039999998</v>
      </c>
      <c r="AN17" s="37">
        <f t="shared" si="10"/>
        <v>2.75</v>
      </c>
      <c r="AO17" s="44">
        <f t="shared" si="10"/>
        <v>10.307384999999998</v>
      </c>
      <c r="AP17" s="37">
        <f t="shared" si="10"/>
        <v>206</v>
      </c>
      <c r="AQ17" s="44">
        <f t="shared" si="10"/>
        <v>8.843580000000001</v>
      </c>
      <c r="AR17" s="283">
        <f t="shared" si="10"/>
        <v>26314</v>
      </c>
      <c r="AS17" s="183">
        <f t="shared" si="10"/>
        <v>144.99013999999997</v>
      </c>
      <c r="AT17" s="283">
        <f t="shared" si="10"/>
        <v>206</v>
      </c>
      <c r="AU17" s="183">
        <f t="shared" si="10"/>
        <v>3.9428400000000003</v>
      </c>
      <c r="AV17" s="38">
        <f t="shared" si="5"/>
        <v>265.01084539999994</v>
      </c>
      <c r="AW17" s="25" t="s">
        <v>24</v>
      </c>
      <c r="AX17" s="37">
        <f aca="true" t="shared" si="11" ref="AX17:BG17">SUM(AX13:AX16)</f>
        <v>272.89</v>
      </c>
      <c r="AY17" s="183">
        <f t="shared" si="11"/>
        <v>1022.8299245999999</v>
      </c>
      <c r="AZ17" s="37">
        <f t="shared" si="11"/>
        <v>4.52</v>
      </c>
      <c r="BA17" s="44">
        <f t="shared" si="11"/>
        <v>16.9415928</v>
      </c>
      <c r="BB17" s="37">
        <f t="shared" si="11"/>
        <v>676</v>
      </c>
      <c r="BC17" s="44">
        <f t="shared" si="11"/>
        <v>29.02068</v>
      </c>
      <c r="BD17" s="37">
        <f t="shared" si="11"/>
        <v>43236</v>
      </c>
      <c r="BE17" s="62">
        <f t="shared" si="11"/>
        <v>238.23036000000002</v>
      </c>
      <c r="BF17" s="37">
        <f t="shared" si="11"/>
        <v>676</v>
      </c>
      <c r="BG17" s="183">
        <f t="shared" si="11"/>
        <v>12.93864</v>
      </c>
      <c r="BH17" s="38">
        <f t="shared" si="6"/>
        <v>1319.9611974000002</v>
      </c>
    </row>
    <row r="18" spans="1:60" ht="16.5" thickBot="1">
      <c r="A18" s="306" t="s">
        <v>15</v>
      </c>
      <c r="B18" s="78">
        <f>N18+Z18+AL18+AX18</f>
        <v>78</v>
      </c>
      <c r="C18" s="79">
        <f>O18+AA18+AM18+AY18</f>
        <v>275.7406092</v>
      </c>
      <c r="D18" s="60">
        <f t="shared" si="0"/>
        <v>1.4</v>
      </c>
      <c r="E18" s="154">
        <f t="shared" si="0"/>
        <v>4.986282</v>
      </c>
      <c r="F18" s="69">
        <f t="shared" si="0"/>
        <v>50.04</v>
      </c>
      <c r="G18" s="150">
        <f t="shared" si="0"/>
        <v>2.0377908</v>
      </c>
      <c r="H18" s="175">
        <f t="shared" si="0"/>
        <v>11785</v>
      </c>
      <c r="I18" s="160">
        <f t="shared" si="0"/>
        <v>61.816619</v>
      </c>
      <c r="J18" s="161">
        <f t="shared" si="0"/>
        <v>50.04</v>
      </c>
      <c r="K18" s="162">
        <f>W18+AI18+AU18+BG18</f>
        <v>0.9257143999999999</v>
      </c>
      <c r="L18" s="75">
        <f t="shared" si="7"/>
        <v>345.5070154</v>
      </c>
      <c r="M18" s="140" t="s">
        <v>15</v>
      </c>
      <c r="N18" s="253">
        <v>34.32</v>
      </c>
      <c r="O18" s="270">
        <f t="shared" si="1"/>
        <v>115.8341184</v>
      </c>
      <c r="P18" s="254">
        <v>0.35</v>
      </c>
      <c r="Q18" s="270">
        <f t="shared" si="1"/>
        <v>1.181292</v>
      </c>
      <c r="R18" s="111">
        <v>12.54</v>
      </c>
      <c r="S18" s="270">
        <f>R18*38.52/1000</f>
        <v>0.4830408</v>
      </c>
      <c r="T18" s="255">
        <v>3440</v>
      </c>
      <c r="U18" s="271">
        <f>T18*5.027/1000</f>
        <v>17.29288</v>
      </c>
      <c r="V18" s="65">
        <f>R18</f>
        <v>12.54</v>
      </c>
      <c r="W18" s="270">
        <f>V18*17.86/1000</f>
        <v>0.22396439999999998</v>
      </c>
      <c r="X18" s="68">
        <f t="shared" si="2"/>
        <v>135.0152956</v>
      </c>
      <c r="Y18" s="118" t="s">
        <v>15</v>
      </c>
      <c r="Z18" s="256">
        <v>10.22</v>
      </c>
      <c r="AA18" s="270">
        <f>Z18*3375.12/1000</f>
        <v>34.4937264</v>
      </c>
      <c r="AB18" s="111">
        <v>0.35</v>
      </c>
      <c r="AC18" s="270">
        <f>AB18*3375.12/1000</f>
        <v>1.181292</v>
      </c>
      <c r="AD18" s="257">
        <v>12.5</v>
      </c>
      <c r="AE18" s="270">
        <f>AD18*38.52/1000</f>
        <v>0.48150000000000004</v>
      </c>
      <c r="AF18" s="127">
        <v>3017</v>
      </c>
      <c r="AG18" s="271">
        <f>AF18*5.027/1000</f>
        <v>15.166459000000001</v>
      </c>
      <c r="AH18" s="65">
        <f>AD18</f>
        <v>12.5</v>
      </c>
      <c r="AI18" s="270">
        <f>AH18*17.86/1000</f>
        <v>0.22325</v>
      </c>
      <c r="AJ18" s="68">
        <f t="shared" si="3"/>
        <v>51.5462274</v>
      </c>
      <c r="AK18" s="110" t="s">
        <v>15</v>
      </c>
      <c r="AL18" s="258">
        <v>3.28</v>
      </c>
      <c r="AM18" s="279">
        <f t="shared" si="4"/>
        <v>12.293899199999998</v>
      </c>
      <c r="AN18" s="257">
        <v>0.35</v>
      </c>
      <c r="AO18" s="279">
        <f t="shared" si="4"/>
        <v>1.311849</v>
      </c>
      <c r="AP18" s="259">
        <v>12.5</v>
      </c>
      <c r="AQ18" s="279">
        <f>AP18*42.93/1000</f>
        <v>0.536625</v>
      </c>
      <c r="AR18" s="260">
        <v>1912</v>
      </c>
      <c r="AS18" s="293">
        <f>AR18*5.51/1000</f>
        <v>10.53512</v>
      </c>
      <c r="AT18" s="67">
        <f>AP18</f>
        <v>12.5</v>
      </c>
      <c r="AU18" s="279">
        <f>AT18*19.14/1000</f>
        <v>0.23925</v>
      </c>
      <c r="AV18" s="68">
        <f t="shared" si="5"/>
        <v>24.9167432</v>
      </c>
      <c r="AW18" s="93" t="s">
        <v>15</v>
      </c>
      <c r="AX18" s="259">
        <v>30.18</v>
      </c>
      <c r="AY18" s="279">
        <f>AX18*3748.14/1000</f>
        <v>113.1188652</v>
      </c>
      <c r="AZ18" s="257">
        <v>0.35</v>
      </c>
      <c r="BA18" s="279">
        <f>AZ18*3748.14/1000</f>
        <v>1.311849</v>
      </c>
      <c r="BB18" s="257">
        <v>12.5</v>
      </c>
      <c r="BC18" s="279">
        <f>BB18*42.93/1000</f>
        <v>0.536625</v>
      </c>
      <c r="BD18" s="260">
        <v>3416</v>
      </c>
      <c r="BE18" s="295">
        <f>BD18*5.51/1000</f>
        <v>18.82216</v>
      </c>
      <c r="BF18" s="65">
        <f>BB18</f>
        <v>12.5</v>
      </c>
      <c r="BG18" s="279">
        <f>BF18*19.14/1000</f>
        <v>0.23925</v>
      </c>
      <c r="BH18" s="68">
        <f t="shared" si="6"/>
        <v>134.0287492</v>
      </c>
    </row>
    <row r="19" spans="1:61" s="9" customFormat="1" ht="21" customHeight="1" thickBot="1">
      <c r="A19" s="317" t="s">
        <v>24</v>
      </c>
      <c r="B19" s="35">
        <f>N19+Z19+AL19+AX19</f>
        <v>78</v>
      </c>
      <c r="C19" s="50">
        <f>O19+AA19+AM19+AY19</f>
        <v>275.7406092</v>
      </c>
      <c r="D19" s="35">
        <f t="shared" si="0"/>
        <v>1.4</v>
      </c>
      <c r="E19" s="44">
        <f t="shared" si="0"/>
        <v>4.986282</v>
      </c>
      <c r="F19" s="34">
        <f t="shared" si="0"/>
        <v>50.04</v>
      </c>
      <c r="G19" s="50">
        <f t="shared" si="0"/>
        <v>2.0377908</v>
      </c>
      <c r="H19" s="84">
        <f t="shared" si="0"/>
        <v>11785</v>
      </c>
      <c r="I19" s="44">
        <f t="shared" si="0"/>
        <v>61.816619</v>
      </c>
      <c r="J19" s="34">
        <f t="shared" si="0"/>
        <v>50.04</v>
      </c>
      <c r="K19" s="46">
        <f>W19+AI19+AU19+BG19</f>
        <v>0.9257143999999999</v>
      </c>
      <c r="L19" s="38">
        <f t="shared" si="7"/>
        <v>345.5070154</v>
      </c>
      <c r="M19" s="25" t="s">
        <v>24</v>
      </c>
      <c r="N19" s="37">
        <f>SUM(N18)</f>
        <v>34.32</v>
      </c>
      <c r="O19" s="44">
        <f aca="true" t="shared" si="12" ref="O19:W19">SUM(O18)</f>
        <v>115.8341184</v>
      </c>
      <c r="P19" s="37">
        <f t="shared" si="12"/>
        <v>0.35</v>
      </c>
      <c r="Q19" s="44">
        <f t="shared" si="12"/>
        <v>1.181292</v>
      </c>
      <c r="R19" s="37">
        <f t="shared" si="12"/>
        <v>12.54</v>
      </c>
      <c r="S19" s="46">
        <f t="shared" si="12"/>
        <v>0.4830408</v>
      </c>
      <c r="T19" s="13">
        <f t="shared" si="12"/>
        <v>3440</v>
      </c>
      <c r="U19" s="44">
        <f t="shared" si="12"/>
        <v>17.29288</v>
      </c>
      <c r="V19" s="36">
        <f t="shared" si="12"/>
        <v>12.54</v>
      </c>
      <c r="W19" s="44">
        <f t="shared" si="12"/>
        <v>0.22396439999999998</v>
      </c>
      <c r="X19" s="34">
        <f>SUM(X18:X18)</f>
        <v>135.0152956</v>
      </c>
      <c r="Y19" s="25" t="s">
        <v>24</v>
      </c>
      <c r="Z19" s="37">
        <f>SUM(Z18)</f>
        <v>10.22</v>
      </c>
      <c r="AA19" s="44">
        <f>SUM(AA18)</f>
        <v>34.4937264</v>
      </c>
      <c r="AB19" s="37">
        <f aca="true" t="shared" si="13" ref="AB19:AI19">SUM(AB18)</f>
        <v>0.35</v>
      </c>
      <c r="AC19" s="44">
        <f t="shared" si="13"/>
        <v>1.181292</v>
      </c>
      <c r="AD19" s="37">
        <f t="shared" si="13"/>
        <v>12.5</v>
      </c>
      <c r="AE19" s="46">
        <f t="shared" si="13"/>
        <v>0.48150000000000004</v>
      </c>
      <c r="AF19" s="13">
        <f t="shared" si="13"/>
        <v>3017</v>
      </c>
      <c r="AG19" s="44">
        <f t="shared" si="13"/>
        <v>15.166459000000001</v>
      </c>
      <c r="AH19" s="36">
        <f t="shared" si="13"/>
        <v>12.5</v>
      </c>
      <c r="AI19" s="44">
        <f t="shared" si="13"/>
        <v>0.22325</v>
      </c>
      <c r="AJ19" s="34">
        <f>SUM(AJ18:AJ18)</f>
        <v>51.5462274</v>
      </c>
      <c r="AK19" s="26" t="s">
        <v>24</v>
      </c>
      <c r="AL19" s="37">
        <f>SUM(AL18)</f>
        <v>3.28</v>
      </c>
      <c r="AM19" s="44">
        <f aca="true" t="shared" si="14" ref="AM19:AU19">SUM(AM18)</f>
        <v>12.293899199999998</v>
      </c>
      <c r="AN19" s="37">
        <f t="shared" si="14"/>
        <v>0.35</v>
      </c>
      <c r="AO19" s="44">
        <f t="shared" si="14"/>
        <v>1.311849</v>
      </c>
      <c r="AP19" s="37">
        <f t="shared" si="14"/>
        <v>12.5</v>
      </c>
      <c r="AQ19" s="46">
        <f t="shared" si="14"/>
        <v>0.536625</v>
      </c>
      <c r="AR19" s="13">
        <f t="shared" si="14"/>
        <v>1912</v>
      </c>
      <c r="AS19" s="44">
        <f t="shared" si="14"/>
        <v>10.53512</v>
      </c>
      <c r="AT19" s="36">
        <f t="shared" si="14"/>
        <v>12.5</v>
      </c>
      <c r="AU19" s="44">
        <f t="shared" si="14"/>
        <v>0.23925</v>
      </c>
      <c r="AV19" s="34">
        <f>SUM(AV18:AV18)</f>
        <v>24.9167432</v>
      </c>
      <c r="AW19" s="25" t="s">
        <v>24</v>
      </c>
      <c r="AX19" s="37">
        <f>SUM(AX18)</f>
        <v>30.18</v>
      </c>
      <c r="AY19" s="44">
        <f>SUM(AY18)</f>
        <v>113.1188652</v>
      </c>
      <c r="AZ19" s="37">
        <f aca="true" t="shared" si="15" ref="AZ19:BG19">SUM(AZ18)</f>
        <v>0.35</v>
      </c>
      <c r="BA19" s="44">
        <f t="shared" si="15"/>
        <v>1.311849</v>
      </c>
      <c r="BB19" s="37">
        <f t="shared" si="15"/>
        <v>12.5</v>
      </c>
      <c r="BC19" s="46">
        <f t="shared" si="15"/>
        <v>0.536625</v>
      </c>
      <c r="BD19" s="13">
        <f t="shared" si="15"/>
        <v>3416</v>
      </c>
      <c r="BE19" s="50">
        <f t="shared" si="15"/>
        <v>18.82216</v>
      </c>
      <c r="BF19" s="37">
        <f t="shared" si="15"/>
        <v>12.5</v>
      </c>
      <c r="BG19" s="44">
        <f t="shared" si="15"/>
        <v>0.23925</v>
      </c>
      <c r="BH19" s="34">
        <f>SUM(BH18:BH18)</f>
        <v>134.0287492</v>
      </c>
      <c r="BI19" s="8" t="s">
        <v>35</v>
      </c>
    </row>
    <row r="20" spans="1:60" ht="21" customHeight="1" thickBot="1">
      <c r="A20" s="354" t="s">
        <v>36</v>
      </c>
      <c r="B20" s="115"/>
      <c r="C20" s="115"/>
      <c r="D20" s="115"/>
      <c r="E20" s="115"/>
      <c r="F20" s="115"/>
      <c r="G20" s="115"/>
      <c r="H20" s="176"/>
      <c r="I20" s="163"/>
      <c r="J20" s="163"/>
      <c r="K20" s="163"/>
      <c r="L20" s="55" t="s">
        <v>35</v>
      </c>
      <c r="M20" s="141" t="s">
        <v>36</v>
      </c>
      <c r="N20" s="90"/>
      <c r="O20" s="134"/>
      <c r="P20" s="135"/>
      <c r="Q20" s="134"/>
      <c r="R20" s="135"/>
      <c r="S20" s="135"/>
      <c r="T20" s="244"/>
      <c r="U20" s="135"/>
      <c r="V20" s="135"/>
      <c r="W20" s="135" t="s">
        <v>35</v>
      </c>
      <c r="X20" s="136"/>
      <c r="Y20" s="119" t="s">
        <v>36</v>
      </c>
      <c r="Z20" s="133"/>
      <c r="AA20" s="134"/>
      <c r="AB20" s="117"/>
      <c r="AC20" s="134"/>
      <c r="AD20" s="117"/>
      <c r="AE20" s="135"/>
      <c r="AF20" s="61"/>
      <c r="AG20" s="135"/>
      <c r="AH20" s="135"/>
      <c r="AI20" s="135" t="s">
        <v>35</v>
      </c>
      <c r="AJ20" s="136"/>
      <c r="AK20" s="64" t="s">
        <v>36</v>
      </c>
      <c r="AL20" s="111"/>
      <c r="AM20" s="72"/>
      <c r="AN20" s="73"/>
      <c r="AO20" s="72"/>
      <c r="AP20" s="73"/>
      <c r="AQ20" s="73"/>
      <c r="AR20" s="300"/>
      <c r="AS20" s="77"/>
      <c r="AT20" s="73" t="s">
        <v>35</v>
      </c>
      <c r="AU20" s="74"/>
      <c r="AV20" s="38"/>
      <c r="AW20" s="94" t="s">
        <v>36</v>
      </c>
      <c r="AX20" s="184" t="s">
        <v>35</v>
      </c>
      <c r="AY20" s="72"/>
      <c r="AZ20" s="73"/>
      <c r="BA20" s="72"/>
      <c r="BB20" s="73"/>
      <c r="BC20" s="73"/>
      <c r="BD20" s="83"/>
      <c r="BE20" s="77"/>
      <c r="BF20" s="73"/>
      <c r="BG20" s="73"/>
      <c r="BH20" s="53"/>
    </row>
    <row r="21" spans="1:62" ht="15.75" customHeight="1">
      <c r="A21" s="303" t="s">
        <v>52</v>
      </c>
      <c r="B21" s="65">
        <f aca="true" t="shared" si="16" ref="B21:K28">N21+Z21+AL21+AX21</f>
        <v>0</v>
      </c>
      <c r="C21" s="151">
        <f t="shared" si="16"/>
        <v>0</v>
      </c>
      <c r="D21" s="65">
        <f t="shared" si="16"/>
        <v>0</v>
      </c>
      <c r="E21" s="151">
        <f t="shared" si="16"/>
        <v>0</v>
      </c>
      <c r="F21" s="67">
        <f t="shared" si="16"/>
        <v>0</v>
      </c>
      <c r="G21" s="164">
        <f t="shared" si="16"/>
        <v>0</v>
      </c>
      <c r="H21" s="173">
        <f t="shared" si="16"/>
        <v>11027.33</v>
      </c>
      <c r="I21" s="151">
        <f t="shared" si="16"/>
        <v>57.66266011</v>
      </c>
      <c r="J21" s="67">
        <f t="shared" si="16"/>
        <v>0</v>
      </c>
      <c r="K21" s="164">
        <f t="shared" si="16"/>
        <v>0</v>
      </c>
      <c r="L21" s="55">
        <f aca="true" t="shared" si="17" ref="L21:L28">C21+E21+G21+I21+K21</f>
        <v>57.66266011</v>
      </c>
      <c r="M21" s="142" t="s">
        <v>52</v>
      </c>
      <c r="N21" s="261">
        <v>0</v>
      </c>
      <c r="O21" s="270">
        <f aca="true" t="shared" si="18" ref="O21:O27">N21*3375.12/1000</f>
        <v>0</v>
      </c>
      <c r="P21" s="65">
        <v>0</v>
      </c>
      <c r="Q21" s="270">
        <f aca="true" t="shared" si="19" ref="Q21:Q27">P21*3375.12/1000</f>
        <v>0</v>
      </c>
      <c r="R21" s="65">
        <v>0</v>
      </c>
      <c r="S21" s="270">
        <f aca="true" t="shared" si="20" ref="S21:S27">R21*38.52/1000</f>
        <v>0</v>
      </c>
      <c r="T21" s="80">
        <v>3787.26</v>
      </c>
      <c r="U21" s="271">
        <f aca="true" t="shared" si="21" ref="U21:U27">T21*5.027/1000</f>
        <v>19.03855602</v>
      </c>
      <c r="V21" s="65">
        <f aca="true" t="shared" si="22" ref="V21:V27">R21</f>
        <v>0</v>
      </c>
      <c r="W21" s="270">
        <f aca="true" t="shared" si="23" ref="W21:W27">V21*17.86/1000</f>
        <v>0</v>
      </c>
      <c r="X21" s="68">
        <f aca="true" t="shared" si="24" ref="X21:X27">O21+Q21+S21+U21+W21</f>
        <v>19.03855602</v>
      </c>
      <c r="Y21" s="95" t="s">
        <v>52</v>
      </c>
      <c r="Z21" s="262">
        <v>0</v>
      </c>
      <c r="AA21" s="270">
        <f aca="true" t="shared" si="25" ref="AA21:AA27">Z21*3375.12/1000</f>
        <v>0</v>
      </c>
      <c r="AB21" s="247">
        <v>0</v>
      </c>
      <c r="AC21" s="270">
        <f aca="true" t="shared" si="26" ref="AC21:AC27">AB21*3375.12/1000</f>
        <v>0</v>
      </c>
      <c r="AD21" s="65">
        <v>0</v>
      </c>
      <c r="AE21" s="270">
        <f aca="true" t="shared" si="27" ref="AE21:AE27">AD21*38.52/1000</f>
        <v>0</v>
      </c>
      <c r="AF21" s="80">
        <v>2626.67</v>
      </c>
      <c r="AG21" s="271">
        <f aca="true" t="shared" si="28" ref="AG21:AG27">AF21*5.027/1000</f>
        <v>13.20427009</v>
      </c>
      <c r="AH21" s="65">
        <f aca="true" t="shared" si="29" ref="AH21:AH27">AD21</f>
        <v>0</v>
      </c>
      <c r="AI21" s="270">
        <f aca="true" t="shared" si="30" ref="AI21:AI27">AH21*17.86/1000</f>
        <v>0</v>
      </c>
      <c r="AJ21" s="68">
        <f aca="true" t="shared" si="31" ref="AJ21:AJ27">AA21+AC21+AE21+AG21+AI21</f>
        <v>13.20427009</v>
      </c>
      <c r="AK21" s="95" t="s">
        <v>52</v>
      </c>
      <c r="AL21" s="65">
        <v>0</v>
      </c>
      <c r="AM21" s="289">
        <f aca="true" t="shared" si="32" ref="AM21:AM27">AL21*3748.14/1000</f>
        <v>0</v>
      </c>
      <c r="AN21" s="78">
        <v>0</v>
      </c>
      <c r="AO21" s="289">
        <f aca="true" t="shared" si="33" ref="AO21:AO27">AN21*3748.14/1000</f>
        <v>0</v>
      </c>
      <c r="AP21" s="78">
        <v>0</v>
      </c>
      <c r="AQ21" s="289">
        <f aca="true" t="shared" si="34" ref="AQ21:AQ27">AP21*42.93/1000</f>
        <v>0</v>
      </c>
      <c r="AR21" s="85">
        <v>1469.4</v>
      </c>
      <c r="AS21" s="299">
        <f aca="true" t="shared" si="35" ref="AS21:AS27">AR21*5.51/1000</f>
        <v>8.096394</v>
      </c>
      <c r="AT21" s="66">
        <f aca="true" t="shared" si="36" ref="AT21:AT27">AP21</f>
        <v>0</v>
      </c>
      <c r="AU21" s="289">
        <f aca="true" t="shared" si="37" ref="AU21:AU27">AT21*19.14/1000</f>
        <v>0</v>
      </c>
      <c r="AV21" s="68">
        <f aca="true" t="shared" si="38" ref="AV21:AV27">AM21+AO21+AQ21+AS21+AU21</f>
        <v>8.096394</v>
      </c>
      <c r="AW21" s="95" t="s">
        <v>52</v>
      </c>
      <c r="AX21" s="65">
        <v>0</v>
      </c>
      <c r="AY21" s="289">
        <f aca="true" t="shared" si="39" ref="AY21:AY27">AX21*3748.14/1000</f>
        <v>0</v>
      </c>
      <c r="AZ21" s="78">
        <v>0</v>
      </c>
      <c r="BA21" s="289">
        <f aca="true" t="shared" si="40" ref="BA21:BA27">AZ21*3748.14/1000</f>
        <v>0</v>
      </c>
      <c r="BB21" s="66">
        <v>0</v>
      </c>
      <c r="BC21" s="289">
        <f aca="true" t="shared" si="41" ref="BC21:BC27">BB21*42.93/1000</f>
        <v>0</v>
      </c>
      <c r="BD21" s="80">
        <v>3144</v>
      </c>
      <c r="BE21" s="293">
        <f aca="true" t="shared" si="42" ref="BE21:BE27">BD21*5.51/1000</f>
        <v>17.323439999999998</v>
      </c>
      <c r="BF21" s="67">
        <f aca="true" t="shared" si="43" ref="BF21:BF27">BB21</f>
        <v>0</v>
      </c>
      <c r="BG21" s="289">
        <f aca="true" t="shared" si="44" ref="BG21:BG27">BF21*19.14/1000</f>
        <v>0</v>
      </c>
      <c r="BH21" s="75">
        <f aca="true" t="shared" si="45" ref="BH21:BH27">AY21+BA21+BC21+BE21+BG21</f>
        <v>17.323439999999998</v>
      </c>
      <c r="BJ21" s="1" t="s">
        <v>35</v>
      </c>
    </row>
    <row r="22" spans="1:60" ht="25.5" customHeight="1">
      <c r="A22" s="305" t="s">
        <v>53</v>
      </c>
      <c r="B22" s="78">
        <f t="shared" si="16"/>
        <v>260.3</v>
      </c>
      <c r="C22" s="79">
        <f t="shared" si="16"/>
        <v>921.217224</v>
      </c>
      <c r="D22" s="60">
        <f t="shared" si="16"/>
        <v>2.16</v>
      </c>
      <c r="E22" s="154">
        <f t="shared" si="16"/>
        <v>7.6931208</v>
      </c>
      <c r="F22" s="69">
        <f t="shared" si="16"/>
        <v>100.80000000000001</v>
      </c>
      <c r="G22" s="150">
        <f t="shared" si="16"/>
        <v>4.10508</v>
      </c>
      <c r="H22" s="57">
        <f t="shared" si="16"/>
        <v>14373</v>
      </c>
      <c r="I22" s="79">
        <f t="shared" si="16"/>
        <v>75.695895</v>
      </c>
      <c r="J22" s="69">
        <f t="shared" si="16"/>
        <v>100.80000000000001</v>
      </c>
      <c r="K22" s="153">
        <f t="shared" si="16"/>
        <v>1.8647999999999998</v>
      </c>
      <c r="L22" s="165">
        <f t="shared" si="17"/>
        <v>1010.5761197999999</v>
      </c>
      <c r="M22" s="142" t="s">
        <v>53</v>
      </c>
      <c r="N22" s="248">
        <v>110.4</v>
      </c>
      <c r="O22" s="270">
        <f t="shared" si="18"/>
        <v>372.613248</v>
      </c>
      <c r="P22" s="60">
        <v>0.54</v>
      </c>
      <c r="Q22" s="270">
        <f t="shared" si="19"/>
        <v>1.8225648</v>
      </c>
      <c r="R22" s="60">
        <f>16.8+8.4</f>
        <v>25.200000000000003</v>
      </c>
      <c r="S22" s="270">
        <f t="shared" si="20"/>
        <v>0.9707040000000002</v>
      </c>
      <c r="T22" s="81">
        <v>2775</v>
      </c>
      <c r="U22" s="271">
        <f t="shared" si="21"/>
        <v>13.949925</v>
      </c>
      <c r="V22" s="60">
        <f t="shared" si="22"/>
        <v>25.200000000000003</v>
      </c>
      <c r="W22" s="270">
        <f t="shared" si="23"/>
        <v>0.4500720000000001</v>
      </c>
      <c r="X22" s="68">
        <f t="shared" si="24"/>
        <v>389.8065138</v>
      </c>
      <c r="Y22" s="95" t="s">
        <v>53</v>
      </c>
      <c r="Z22" s="247">
        <v>35.5</v>
      </c>
      <c r="AA22" s="270">
        <f t="shared" si="25"/>
        <v>119.81675999999999</v>
      </c>
      <c r="AB22" s="250">
        <v>0.54</v>
      </c>
      <c r="AC22" s="270">
        <f t="shared" si="26"/>
        <v>1.8225648</v>
      </c>
      <c r="AD22" s="60">
        <v>25.2</v>
      </c>
      <c r="AE22" s="270">
        <f t="shared" si="27"/>
        <v>0.970704</v>
      </c>
      <c r="AF22" s="81">
        <v>4470</v>
      </c>
      <c r="AG22" s="271">
        <f t="shared" si="28"/>
        <v>22.47069</v>
      </c>
      <c r="AH22" s="60">
        <f t="shared" si="29"/>
        <v>25.2</v>
      </c>
      <c r="AI22" s="270">
        <f t="shared" si="30"/>
        <v>0.45007199999999997</v>
      </c>
      <c r="AJ22" s="68">
        <f t="shared" si="31"/>
        <v>145.53079079999998</v>
      </c>
      <c r="AK22" s="95" t="s">
        <v>53</v>
      </c>
      <c r="AL22" s="60">
        <v>9.4</v>
      </c>
      <c r="AM22" s="279">
        <f t="shared" si="32"/>
        <v>35.232516000000004</v>
      </c>
      <c r="AN22" s="60">
        <v>0.54</v>
      </c>
      <c r="AO22" s="279">
        <f t="shared" si="33"/>
        <v>2.0239956</v>
      </c>
      <c r="AP22" s="60">
        <v>25.2</v>
      </c>
      <c r="AQ22" s="279">
        <f t="shared" si="34"/>
        <v>1.081836</v>
      </c>
      <c r="AR22" s="81">
        <v>2732</v>
      </c>
      <c r="AS22" s="293">
        <f t="shared" si="35"/>
        <v>15.05332</v>
      </c>
      <c r="AT22" s="69">
        <f t="shared" si="36"/>
        <v>25.2</v>
      </c>
      <c r="AU22" s="279">
        <f t="shared" si="37"/>
        <v>0.482328</v>
      </c>
      <c r="AV22" s="68">
        <f t="shared" si="38"/>
        <v>53.87399560000001</v>
      </c>
      <c r="AW22" s="95" t="s">
        <v>53</v>
      </c>
      <c r="AX22" s="60">
        <v>105</v>
      </c>
      <c r="AY22" s="279">
        <f t="shared" si="39"/>
        <v>393.5547</v>
      </c>
      <c r="AZ22" s="60">
        <v>0.54</v>
      </c>
      <c r="BA22" s="279">
        <f t="shared" si="40"/>
        <v>2.0239956</v>
      </c>
      <c r="BB22" s="69">
        <v>25.2</v>
      </c>
      <c r="BC22" s="279">
        <f t="shared" si="41"/>
        <v>1.081836</v>
      </c>
      <c r="BD22" s="81">
        <v>4396</v>
      </c>
      <c r="BE22" s="293">
        <f t="shared" si="42"/>
        <v>24.22196</v>
      </c>
      <c r="BF22" s="69">
        <f t="shared" si="43"/>
        <v>25.2</v>
      </c>
      <c r="BG22" s="279">
        <f t="shared" si="44"/>
        <v>0.482328</v>
      </c>
      <c r="BH22" s="68">
        <f t="shared" si="45"/>
        <v>421.36481960000003</v>
      </c>
    </row>
    <row r="23" spans="1:65" ht="30.75" customHeight="1">
      <c r="A23" s="305" t="s">
        <v>54</v>
      </c>
      <c r="B23" s="78">
        <f t="shared" si="16"/>
        <v>436.7</v>
      </c>
      <c r="C23" s="79">
        <f t="shared" si="16"/>
        <v>1543.96806</v>
      </c>
      <c r="D23" s="60">
        <f t="shared" si="16"/>
        <v>8.64</v>
      </c>
      <c r="E23" s="154">
        <f t="shared" si="16"/>
        <v>30.7724832</v>
      </c>
      <c r="F23" s="69">
        <f t="shared" si="16"/>
        <v>275</v>
      </c>
      <c r="G23" s="150">
        <f t="shared" si="16"/>
        <v>11.19717</v>
      </c>
      <c r="H23" s="57">
        <f t="shared" si="16"/>
        <v>23972.940000000002</v>
      </c>
      <c r="I23" s="79">
        <f t="shared" si="16"/>
        <v>126.39937229999998</v>
      </c>
      <c r="J23" s="69">
        <f t="shared" si="16"/>
        <v>275</v>
      </c>
      <c r="K23" s="153">
        <f t="shared" si="16"/>
        <v>5.08686</v>
      </c>
      <c r="L23" s="165">
        <f t="shared" si="17"/>
        <v>1717.4239454999997</v>
      </c>
      <c r="M23" s="143" t="s">
        <v>54</v>
      </c>
      <c r="N23" s="248">
        <f>73.2+62.8+55.8</f>
        <v>191.8</v>
      </c>
      <c r="O23" s="270">
        <f t="shared" si="18"/>
        <v>647.348016</v>
      </c>
      <c r="P23" s="60">
        <v>2.16</v>
      </c>
      <c r="Q23" s="270">
        <f t="shared" si="19"/>
        <v>7.2902592</v>
      </c>
      <c r="R23" s="60">
        <v>69</v>
      </c>
      <c r="S23" s="270">
        <f t="shared" si="20"/>
        <v>2.65788</v>
      </c>
      <c r="T23" s="81">
        <v>7393.7</v>
      </c>
      <c r="U23" s="271">
        <f t="shared" si="21"/>
        <v>37.1681299</v>
      </c>
      <c r="V23" s="60">
        <f t="shared" si="22"/>
        <v>69</v>
      </c>
      <c r="W23" s="270">
        <f t="shared" si="23"/>
        <v>1.23234</v>
      </c>
      <c r="X23" s="68">
        <f t="shared" si="24"/>
        <v>695.6966251000001</v>
      </c>
      <c r="Y23" s="95" t="s">
        <v>54</v>
      </c>
      <c r="Z23" s="247">
        <f>41.4+15.7+0</f>
        <v>57.099999999999994</v>
      </c>
      <c r="AA23" s="270">
        <f t="shared" si="25"/>
        <v>192.719352</v>
      </c>
      <c r="AB23" s="250">
        <v>2.16</v>
      </c>
      <c r="AC23" s="270">
        <f t="shared" si="26"/>
        <v>7.2902592</v>
      </c>
      <c r="AD23" s="60">
        <v>69</v>
      </c>
      <c r="AE23" s="270">
        <f t="shared" si="27"/>
        <v>2.65788</v>
      </c>
      <c r="AF23" s="81">
        <v>4390</v>
      </c>
      <c r="AG23" s="271">
        <f t="shared" si="28"/>
        <v>22.06853</v>
      </c>
      <c r="AH23" s="60">
        <f t="shared" si="29"/>
        <v>69</v>
      </c>
      <c r="AI23" s="270">
        <f t="shared" si="30"/>
        <v>1.23234</v>
      </c>
      <c r="AJ23" s="68">
        <f t="shared" si="31"/>
        <v>225.9683612</v>
      </c>
      <c r="AK23" s="95" t="s">
        <v>54</v>
      </c>
      <c r="AL23" s="60">
        <v>18.3</v>
      </c>
      <c r="AM23" s="279">
        <f t="shared" si="32"/>
        <v>68.590962</v>
      </c>
      <c r="AN23" s="60">
        <v>2.16</v>
      </c>
      <c r="AO23" s="279">
        <f t="shared" si="33"/>
        <v>8.0959824</v>
      </c>
      <c r="AP23" s="60">
        <v>69</v>
      </c>
      <c r="AQ23" s="279">
        <f t="shared" si="34"/>
        <v>2.96217</v>
      </c>
      <c r="AR23" s="81">
        <v>6042.24</v>
      </c>
      <c r="AS23" s="293">
        <f t="shared" si="35"/>
        <v>33.292742399999995</v>
      </c>
      <c r="AT23" s="69">
        <f t="shared" si="36"/>
        <v>69</v>
      </c>
      <c r="AU23" s="279">
        <f t="shared" si="37"/>
        <v>1.3206600000000002</v>
      </c>
      <c r="AV23" s="68">
        <f t="shared" si="38"/>
        <v>114.2625168</v>
      </c>
      <c r="AW23" s="95" t="s">
        <v>54</v>
      </c>
      <c r="AX23" s="60">
        <f>41.8+56.2+71.5</f>
        <v>169.5</v>
      </c>
      <c r="AY23" s="279">
        <f t="shared" si="39"/>
        <v>635.30973</v>
      </c>
      <c r="AZ23" s="60">
        <v>2.16</v>
      </c>
      <c r="BA23" s="279">
        <f t="shared" si="40"/>
        <v>8.0959824</v>
      </c>
      <c r="BB23" s="69">
        <v>68</v>
      </c>
      <c r="BC23" s="279">
        <f t="shared" si="41"/>
        <v>2.91924</v>
      </c>
      <c r="BD23" s="81">
        <v>6147</v>
      </c>
      <c r="BE23" s="293">
        <f t="shared" si="42"/>
        <v>33.86997</v>
      </c>
      <c r="BF23" s="69">
        <f t="shared" si="43"/>
        <v>68</v>
      </c>
      <c r="BG23" s="279">
        <f t="shared" si="44"/>
        <v>1.30152</v>
      </c>
      <c r="BH23" s="68">
        <f t="shared" si="45"/>
        <v>681.4964423999999</v>
      </c>
      <c r="BM23" s="1" t="s">
        <v>35</v>
      </c>
    </row>
    <row r="24" spans="1:60" s="33" customFormat="1" ht="23.25" customHeight="1">
      <c r="A24" s="308" t="s">
        <v>37</v>
      </c>
      <c r="B24" s="78">
        <f t="shared" si="16"/>
        <v>516.85</v>
      </c>
      <c r="C24" s="79">
        <f t="shared" si="16"/>
        <v>1828.2670169999997</v>
      </c>
      <c r="D24" s="60">
        <f t="shared" si="16"/>
        <v>10.93</v>
      </c>
      <c r="E24" s="154">
        <f t="shared" si="16"/>
        <v>39.01254539999999</v>
      </c>
      <c r="F24" s="69">
        <f t="shared" si="16"/>
        <v>192.10000000000002</v>
      </c>
      <c r="G24" s="150">
        <f t="shared" si="16"/>
        <v>7.822081800000001</v>
      </c>
      <c r="H24" s="57">
        <f t="shared" si="16"/>
        <v>25275.800000000003</v>
      </c>
      <c r="I24" s="79">
        <f t="shared" si="16"/>
        <v>133.3412194</v>
      </c>
      <c r="J24" s="69">
        <f t="shared" si="16"/>
        <v>192.10000000000002</v>
      </c>
      <c r="K24" s="153">
        <f t="shared" si="16"/>
        <v>3.5535044000000005</v>
      </c>
      <c r="L24" s="165">
        <f t="shared" si="17"/>
        <v>2011.9963679999996</v>
      </c>
      <c r="M24" s="122" t="s">
        <v>37</v>
      </c>
      <c r="N24" s="248">
        <v>209.1</v>
      </c>
      <c r="O24" s="270">
        <f t="shared" si="18"/>
        <v>705.737592</v>
      </c>
      <c r="P24" s="60">
        <v>3.53</v>
      </c>
      <c r="Q24" s="270">
        <f t="shared" si="19"/>
        <v>11.914173599999998</v>
      </c>
      <c r="R24" s="60">
        <f>36.81+11.35</f>
        <v>48.160000000000004</v>
      </c>
      <c r="S24" s="270">
        <f t="shared" si="20"/>
        <v>1.8551232000000002</v>
      </c>
      <c r="T24" s="81">
        <v>7229.5</v>
      </c>
      <c r="U24" s="271">
        <f t="shared" si="21"/>
        <v>36.342696499999995</v>
      </c>
      <c r="V24" s="60">
        <f t="shared" si="22"/>
        <v>48.160000000000004</v>
      </c>
      <c r="W24" s="270">
        <f t="shared" si="23"/>
        <v>0.8601376000000001</v>
      </c>
      <c r="X24" s="68">
        <f t="shared" si="24"/>
        <v>756.7097229</v>
      </c>
      <c r="Y24" s="96" t="s">
        <v>37</v>
      </c>
      <c r="Z24" s="247">
        <v>83</v>
      </c>
      <c r="AA24" s="270">
        <f t="shared" si="25"/>
        <v>280.13496</v>
      </c>
      <c r="AB24" s="250">
        <v>1.71</v>
      </c>
      <c r="AC24" s="270">
        <f t="shared" si="26"/>
        <v>5.771455199999999</v>
      </c>
      <c r="AD24" s="60">
        <f>36.81+11.35</f>
        <v>48.160000000000004</v>
      </c>
      <c r="AE24" s="270">
        <f t="shared" si="27"/>
        <v>1.8551232000000002</v>
      </c>
      <c r="AF24" s="81">
        <v>5044.7</v>
      </c>
      <c r="AG24" s="271">
        <f t="shared" si="28"/>
        <v>25.359706900000003</v>
      </c>
      <c r="AH24" s="60">
        <f t="shared" si="29"/>
        <v>48.160000000000004</v>
      </c>
      <c r="AI24" s="270">
        <f t="shared" si="30"/>
        <v>0.8601376000000001</v>
      </c>
      <c r="AJ24" s="68">
        <f t="shared" si="31"/>
        <v>313.9813828999999</v>
      </c>
      <c r="AK24" s="96" t="s">
        <v>37</v>
      </c>
      <c r="AL24" s="60">
        <v>18.4</v>
      </c>
      <c r="AM24" s="279">
        <f t="shared" si="32"/>
        <v>68.96577599999999</v>
      </c>
      <c r="AN24" s="60">
        <v>2.16</v>
      </c>
      <c r="AO24" s="279">
        <f t="shared" si="33"/>
        <v>8.0959824</v>
      </c>
      <c r="AP24" s="60">
        <f>36.81+11.35</f>
        <v>48.160000000000004</v>
      </c>
      <c r="AQ24" s="279">
        <f t="shared" si="34"/>
        <v>2.0675088</v>
      </c>
      <c r="AR24" s="81">
        <v>5772.1</v>
      </c>
      <c r="AS24" s="293">
        <f t="shared" si="35"/>
        <v>31.804271</v>
      </c>
      <c r="AT24" s="69">
        <f t="shared" si="36"/>
        <v>48.160000000000004</v>
      </c>
      <c r="AU24" s="279">
        <f t="shared" si="37"/>
        <v>0.9217824</v>
      </c>
      <c r="AV24" s="68">
        <f t="shared" si="38"/>
        <v>111.85532059999998</v>
      </c>
      <c r="AW24" s="96" t="s">
        <v>37</v>
      </c>
      <c r="AX24" s="60">
        <v>206.35</v>
      </c>
      <c r="AY24" s="279">
        <f t="shared" si="39"/>
        <v>773.4286889999998</v>
      </c>
      <c r="AZ24" s="60">
        <v>3.53</v>
      </c>
      <c r="BA24" s="279">
        <f t="shared" si="40"/>
        <v>13.2309342</v>
      </c>
      <c r="BB24" s="69">
        <f>36.27+11.35</f>
        <v>47.620000000000005</v>
      </c>
      <c r="BC24" s="279">
        <f t="shared" si="41"/>
        <v>2.0443266</v>
      </c>
      <c r="BD24" s="81">
        <v>7229.5</v>
      </c>
      <c r="BE24" s="293">
        <f t="shared" si="42"/>
        <v>39.834545</v>
      </c>
      <c r="BF24" s="69">
        <f t="shared" si="43"/>
        <v>47.620000000000005</v>
      </c>
      <c r="BG24" s="279">
        <f t="shared" si="44"/>
        <v>0.9114468000000001</v>
      </c>
      <c r="BH24" s="68">
        <f t="shared" si="45"/>
        <v>829.4499415999999</v>
      </c>
    </row>
    <row r="25" spans="1:63" s="33" customFormat="1" ht="15" customHeight="1">
      <c r="A25" s="308" t="s">
        <v>41</v>
      </c>
      <c r="B25" s="78">
        <f t="shared" si="16"/>
        <v>107.15</v>
      </c>
      <c r="C25" s="79">
        <f t="shared" si="16"/>
        <v>393.910338</v>
      </c>
      <c r="D25" s="60">
        <f t="shared" si="16"/>
        <v>0</v>
      </c>
      <c r="E25" s="154">
        <f t="shared" si="16"/>
        <v>0</v>
      </c>
      <c r="F25" s="69">
        <f t="shared" si="16"/>
        <v>0</v>
      </c>
      <c r="G25" s="150">
        <f t="shared" si="16"/>
        <v>0</v>
      </c>
      <c r="H25" s="57">
        <f t="shared" si="16"/>
        <v>0</v>
      </c>
      <c r="I25" s="79">
        <f t="shared" si="16"/>
        <v>0</v>
      </c>
      <c r="J25" s="69">
        <f t="shared" si="16"/>
        <v>0</v>
      </c>
      <c r="K25" s="153">
        <f t="shared" si="16"/>
        <v>0</v>
      </c>
      <c r="L25" s="165">
        <f t="shared" si="17"/>
        <v>393.910338</v>
      </c>
      <c r="M25" s="122" t="s">
        <v>41</v>
      </c>
      <c r="N25" s="248">
        <v>16.57</v>
      </c>
      <c r="O25" s="270">
        <f t="shared" si="18"/>
        <v>55.9257384</v>
      </c>
      <c r="P25" s="60">
        <v>0</v>
      </c>
      <c r="Q25" s="270">
        <f t="shared" si="19"/>
        <v>0</v>
      </c>
      <c r="R25" s="60">
        <v>0</v>
      </c>
      <c r="S25" s="270">
        <f t="shared" si="20"/>
        <v>0</v>
      </c>
      <c r="T25" s="81">
        <v>0</v>
      </c>
      <c r="U25" s="271">
        <f t="shared" si="21"/>
        <v>0</v>
      </c>
      <c r="V25" s="60">
        <f t="shared" si="22"/>
        <v>0</v>
      </c>
      <c r="W25" s="270">
        <f t="shared" si="23"/>
        <v>0</v>
      </c>
      <c r="X25" s="68">
        <f t="shared" si="24"/>
        <v>55.9257384</v>
      </c>
      <c r="Y25" s="96" t="s">
        <v>41</v>
      </c>
      <c r="Z25" s="247">
        <v>4.08</v>
      </c>
      <c r="AA25" s="270">
        <f t="shared" si="25"/>
        <v>13.7704896</v>
      </c>
      <c r="AB25" s="250">
        <v>0</v>
      </c>
      <c r="AC25" s="270">
        <f t="shared" si="26"/>
        <v>0</v>
      </c>
      <c r="AD25" s="60">
        <v>0</v>
      </c>
      <c r="AE25" s="270">
        <f t="shared" si="27"/>
        <v>0</v>
      </c>
      <c r="AF25" s="81">
        <v>0</v>
      </c>
      <c r="AG25" s="271">
        <f t="shared" si="28"/>
        <v>0</v>
      </c>
      <c r="AH25" s="60">
        <f t="shared" si="29"/>
        <v>0</v>
      </c>
      <c r="AI25" s="270">
        <f t="shared" si="30"/>
        <v>0</v>
      </c>
      <c r="AJ25" s="68">
        <f t="shared" si="31"/>
        <v>13.7704896</v>
      </c>
      <c r="AK25" s="96" t="s">
        <v>41</v>
      </c>
      <c r="AL25" s="60">
        <v>0</v>
      </c>
      <c r="AM25" s="279">
        <f t="shared" si="32"/>
        <v>0</v>
      </c>
      <c r="AN25" s="60">
        <v>0</v>
      </c>
      <c r="AO25" s="279">
        <f t="shared" si="33"/>
        <v>0</v>
      </c>
      <c r="AP25" s="60">
        <v>0</v>
      </c>
      <c r="AQ25" s="279">
        <f t="shared" si="34"/>
        <v>0</v>
      </c>
      <c r="AR25" s="81">
        <v>0</v>
      </c>
      <c r="AS25" s="293">
        <f t="shared" si="35"/>
        <v>0</v>
      </c>
      <c r="AT25" s="69">
        <f t="shared" si="36"/>
        <v>0</v>
      </c>
      <c r="AU25" s="279">
        <f t="shared" si="37"/>
        <v>0</v>
      </c>
      <c r="AV25" s="68">
        <f t="shared" si="38"/>
        <v>0</v>
      </c>
      <c r="AW25" s="96" t="s">
        <v>41</v>
      </c>
      <c r="AX25" s="60">
        <v>86.5</v>
      </c>
      <c r="AY25" s="279">
        <f t="shared" si="39"/>
        <v>324.21411</v>
      </c>
      <c r="AZ25" s="60">
        <v>0</v>
      </c>
      <c r="BA25" s="279">
        <f t="shared" si="40"/>
        <v>0</v>
      </c>
      <c r="BB25" s="69">
        <v>0</v>
      </c>
      <c r="BC25" s="279">
        <f t="shared" si="41"/>
        <v>0</v>
      </c>
      <c r="BD25" s="81">
        <v>0</v>
      </c>
      <c r="BE25" s="293">
        <f t="shared" si="42"/>
        <v>0</v>
      </c>
      <c r="BF25" s="69">
        <f t="shared" si="43"/>
        <v>0</v>
      </c>
      <c r="BG25" s="279">
        <f t="shared" si="44"/>
        <v>0</v>
      </c>
      <c r="BH25" s="68">
        <f t="shared" si="45"/>
        <v>324.21411</v>
      </c>
      <c r="BK25" s="33" t="s">
        <v>35</v>
      </c>
    </row>
    <row r="26" spans="1:63" s="33" customFormat="1" ht="33" customHeight="1">
      <c r="A26" s="304" t="s">
        <v>55</v>
      </c>
      <c r="B26" s="78">
        <f t="shared" si="16"/>
        <v>554.86</v>
      </c>
      <c r="C26" s="79">
        <f t="shared" si="16"/>
        <v>1973.7702012</v>
      </c>
      <c r="D26" s="60">
        <f t="shared" si="16"/>
        <v>30.17</v>
      </c>
      <c r="E26" s="154">
        <f t="shared" si="16"/>
        <v>107.6539428</v>
      </c>
      <c r="F26" s="69">
        <f t="shared" si="16"/>
        <v>525</v>
      </c>
      <c r="G26" s="150">
        <f t="shared" si="16"/>
        <v>21.380625000000002</v>
      </c>
      <c r="H26" s="57">
        <f t="shared" si="16"/>
        <v>54116.18</v>
      </c>
      <c r="I26" s="79">
        <f t="shared" si="16"/>
        <v>279.70623256</v>
      </c>
      <c r="J26" s="69">
        <f t="shared" si="16"/>
        <v>525</v>
      </c>
      <c r="K26" s="153">
        <f t="shared" si="16"/>
        <v>9.7125</v>
      </c>
      <c r="L26" s="165">
        <f t="shared" si="17"/>
        <v>2392.22350156</v>
      </c>
      <c r="M26" s="122" t="s">
        <v>55</v>
      </c>
      <c r="N26" s="248">
        <v>218.56</v>
      </c>
      <c r="O26" s="270">
        <f t="shared" si="18"/>
        <v>737.6662272</v>
      </c>
      <c r="P26" s="60">
        <v>10.37</v>
      </c>
      <c r="Q26" s="270">
        <f t="shared" si="19"/>
        <v>34.9999944</v>
      </c>
      <c r="R26" s="60">
        <v>131.25</v>
      </c>
      <c r="S26" s="270">
        <f t="shared" si="20"/>
        <v>5.05575</v>
      </c>
      <c r="T26" s="81">
        <v>27848.38</v>
      </c>
      <c r="U26" s="271">
        <f t="shared" si="21"/>
        <v>139.99380626</v>
      </c>
      <c r="V26" s="60">
        <f t="shared" si="22"/>
        <v>131.25</v>
      </c>
      <c r="W26" s="270">
        <f t="shared" si="23"/>
        <v>2.344125</v>
      </c>
      <c r="X26" s="68">
        <f t="shared" si="24"/>
        <v>920.05990286</v>
      </c>
      <c r="Y26" s="96" t="s">
        <v>55</v>
      </c>
      <c r="Z26" s="247">
        <v>65.4</v>
      </c>
      <c r="AA26" s="270">
        <f t="shared" si="25"/>
        <v>220.732848</v>
      </c>
      <c r="AB26" s="250">
        <v>4.18</v>
      </c>
      <c r="AC26" s="270">
        <f t="shared" si="26"/>
        <v>14.108001599999998</v>
      </c>
      <c r="AD26" s="60">
        <v>131.25</v>
      </c>
      <c r="AE26" s="270">
        <f t="shared" si="27"/>
        <v>5.05575</v>
      </c>
      <c r="AF26" s="81">
        <v>10399.9</v>
      </c>
      <c r="AG26" s="271">
        <f t="shared" si="28"/>
        <v>52.2802973</v>
      </c>
      <c r="AH26" s="60">
        <f t="shared" si="29"/>
        <v>131.25</v>
      </c>
      <c r="AI26" s="270">
        <f t="shared" si="30"/>
        <v>2.344125</v>
      </c>
      <c r="AJ26" s="68">
        <f t="shared" si="31"/>
        <v>294.5210219</v>
      </c>
      <c r="AK26" s="96" t="s">
        <v>55</v>
      </c>
      <c r="AL26" s="60">
        <v>18</v>
      </c>
      <c r="AM26" s="279">
        <f t="shared" si="32"/>
        <v>67.46652</v>
      </c>
      <c r="AN26" s="60">
        <v>7.02</v>
      </c>
      <c r="AO26" s="279">
        <f t="shared" si="33"/>
        <v>26.311942799999997</v>
      </c>
      <c r="AP26" s="60">
        <v>131.25</v>
      </c>
      <c r="AQ26" s="279">
        <f t="shared" si="34"/>
        <v>5.6345625</v>
      </c>
      <c r="AR26" s="81">
        <v>2199.9</v>
      </c>
      <c r="AS26" s="293">
        <f t="shared" si="35"/>
        <v>12.121449</v>
      </c>
      <c r="AT26" s="69">
        <f t="shared" si="36"/>
        <v>131.25</v>
      </c>
      <c r="AU26" s="279">
        <f t="shared" si="37"/>
        <v>2.512125</v>
      </c>
      <c r="AV26" s="68">
        <f t="shared" si="38"/>
        <v>114.0465993</v>
      </c>
      <c r="AW26" s="96" t="s">
        <v>55</v>
      </c>
      <c r="AX26" s="60">
        <v>252.9</v>
      </c>
      <c r="AY26" s="279">
        <f t="shared" si="39"/>
        <v>947.9046060000001</v>
      </c>
      <c r="AZ26" s="60">
        <v>8.6</v>
      </c>
      <c r="BA26" s="279">
        <f t="shared" si="40"/>
        <v>32.234004</v>
      </c>
      <c r="BB26" s="69">
        <v>131.25</v>
      </c>
      <c r="BC26" s="279">
        <f t="shared" si="41"/>
        <v>5.6345625</v>
      </c>
      <c r="BD26" s="81">
        <v>13668</v>
      </c>
      <c r="BE26" s="293">
        <f t="shared" si="42"/>
        <v>75.31067999999999</v>
      </c>
      <c r="BF26" s="69">
        <f t="shared" si="43"/>
        <v>131.25</v>
      </c>
      <c r="BG26" s="279">
        <f t="shared" si="44"/>
        <v>2.512125</v>
      </c>
      <c r="BH26" s="68">
        <f t="shared" si="45"/>
        <v>1063.5959775000001</v>
      </c>
      <c r="BK26" s="33" t="s">
        <v>35</v>
      </c>
    </row>
    <row r="27" spans="1:61" s="33" customFormat="1" ht="28.5" customHeight="1" thickBot="1">
      <c r="A27" s="304" t="s">
        <v>38</v>
      </c>
      <c r="B27" s="189">
        <f t="shared" si="16"/>
        <v>0</v>
      </c>
      <c r="C27" s="166">
        <f t="shared" si="16"/>
        <v>0</v>
      </c>
      <c r="D27" s="59">
        <f t="shared" si="16"/>
        <v>0</v>
      </c>
      <c r="E27" s="167">
        <f t="shared" si="16"/>
        <v>0</v>
      </c>
      <c r="F27" s="71">
        <f t="shared" si="16"/>
        <v>0</v>
      </c>
      <c r="G27" s="168">
        <f t="shared" si="16"/>
        <v>0</v>
      </c>
      <c r="H27" s="56">
        <f t="shared" si="16"/>
        <v>24352.270000000004</v>
      </c>
      <c r="I27" s="166">
        <f t="shared" si="16"/>
        <v>125.86774694</v>
      </c>
      <c r="J27" s="71">
        <f t="shared" si="16"/>
        <v>0</v>
      </c>
      <c r="K27" s="169">
        <f t="shared" si="16"/>
        <v>0</v>
      </c>
      <c r="L27" s="52">
        <f t="shared" si="17"/>
        <v>125.86774694</v>
      </c>
      <c r="M27" s="124" t="s">
        <v>38</v>
      </c>
      <c r="N27" s="263">
        <v>0</v>
      </c>
      <c r="O27" s="270">
        <f t="shared" si="18"/>
        <v>0</v>
      </c>
      <c r="P27" s="59">
        <v>0</v>
      </c>
      <c r="Q27" s="270">
        <f t="shared" si="19"/>
        <v>0</v>
      </c>
      <c r="R27" s="59">
        <v>0</v>
      </c>
      <c r="S27" s="270">
        <f t="shared" si="20"/>
        <v>0</v>
      </c>
      <c r="T27" s="264">
        <v>12531.77</v>
      </c>
      <c r="U27" s="271">
        <f t="shared" si="21"/>
        <v>62.99720779</v>
      </c>
      <c r="V27" s="59">
        <f t="shared" si="22"/>
        <v>0</v>
      </c>
      <c r="W27" s="270">
        <f t="shared" si="23"/>
        <v>0</v>
      </c>
      <c r="X27" s="68">
        <f t="shared" si="24"/>
        <v>62.99720779</v>
      </c>
      <c r="Y27" s="96" t="s">
        <v>38</v>
      </c>
      <c r="Z27" s="185">
        <v>0</v>
      </c>
      <c r="AA27" s="270">
        <f t="shared" si="25"/>
        <v>0</v>
      </c>
      <c r="AB27" s="265">
        <v>0</v>
      </c>
      <c r="AC27" s="270">
        <f t="shared" si="26"/>
        <v>0</v>
      </c>
      <c r="AD27" s="59">
        <v>0</v>
      </c>
      <c r="AE27" s="270">
        <f t="shared" si="27"/>
        <v>0</v>
      </c>
      <c r="AF27" s="82">
        <v>4679.95</v>
      </c>
      <c r="AG27" s="271">
        <f t="shared" si="28"/>
        <v>23.526108649999998</v>
      </c>
      <c r="AH27" s="59">
        <f t="shared" si="29"/>
        <v>0</v>
      </c>
      <c r="AI27" s="270">
        <f t="shared" si="30"/>
        <v>0</v>
      </c>
      <c r="AJ27" s="68">
        <f t="shared" si="31"/>
        <v>23.526108649999998</v>
      </c>
      <c r="AK27" s="96" t="s">
        <v>38</v>
      </c>
      <c r="AL27" s="59">
        <v>0</v>
      </c>
      <c r="AM27" s="279">
        <f t="shared" si="32"/>
        <v>0</v>
      </c>
      <c r="AN27" s="59">
        <v>0</v>
      </c>
      <c r="AO27" s="279">
        <f t="shared" si="33"/>
        <v>0</v>
      </c>
      <c r="AP27" s="59">
        <v>0</v>
      </c>
      <c r="AQ27" s="279">
        <f t="shared" si="34"/>
        <v>0</v>
      </c>
      <c r="AR27" s="82">
        <v>989.95</v>
      </c>
      <c r="AS27" s="293">
        <f t="shared" si="35"/>
        <v>5.4546244999999995</v>
      </c>
      <c r="AT27" s="71">
        <f t="shared" si="36"/>
        <v>0</v>
      </c>
      <c r="AU27" s="279">
        <f t="shared" si="37"/>
        <v>0</v>
      </c>
      <c r="AV27" s="68">
        <f t="shared" si="38"/>
        <v>5.4546244999999995</v>
      </c>
      <c r="AW27" s="96" t="s">
        <v>38</v>
      </c>
      <c r="AX27" s="59">
        <v>0</v>
      </c>
      <c r="AY27" s="279">
        <f t="shared" si="39"/>
        <v>0</v>
      </c>
      <c r="AZ27" s="59">
        <v>0</v>
      </c>
      <c r="BA27" s="279">
        <f t="shared" si="40"/>
        <v>0</v>
      </c>
      <c r="BB27" s="71">
        <v>0</v>
      </c>
      <c r="BC27" s="279">
        <f t="shared" si="41"/>
        <v>0</v>
      </c>
      <c r="BD27" s="82">
        <v>6150.6</v>
      </c>
      <c r="BE27" s="293">
        <f t="shared" si="42"/>
        <v>33.88980600000001</v>
      </c>
      <c r="BF27" s="71">
        <f t="shared" si="43"/>
        <v>0</v>
      </c>
      <c r="BG27" s="279">
        <f t="shared" si="44"/>
        <v>0</v>
      </c>
      <c r="BH27" s="63">
        <f t="shared" si="45"/>
        <v>33.88980600000001</v>
      </c>
      <c r="BI27" s="33" t="s">
        <v>35</v>
      </c>
    </row>
    <row r="28" spans="1:60" s="33" customFormat="1" ht="19.5" customHeight="1" thickBot="1">
      <c r="A28" s="352" t="s">
        <v>24</v>
      </c>
      <c r="B28" s="35">
        <f t="shared" si="16"/>
        <v>1875.8600000000001</v>
      </c>
      <c r="C28" s="50">
        <f t="shared" si="16"/>
        <v>6661.1328402</v>
      </c>
      <c r="D28" s="35">
        <f>P28+AB28+AN28+AZ28</f>
        <v>51.9</v>
      </c>
      <c r="E28" s="44">
        <f t="shared" si="16"/>
        <v>185.1320922</v>
      </c>
      <c r="F28" s="34">
        <f t="shared" si="16"/>
        <v>1092.9</v>
      </c>
      <c r="G28" s="50">
        <f t="shared" si="16"/>
        <v>44.5049568</v>
      </c>
      <c r="H28" s="84">
        <f t="shared" si="16"/>
        <v>153117.52</v>
      </c>
      <c r="I28" s="44">
        <f t="shared" si="16"/>
        <v>798.6731263099998</v>
      </c>
      <c r="J28" s="34">
        <f t="shared" si="16"/>
        <v>1092.9</v>
      </c>
      <c r="K28" s="46">
        <f t="shared" si="16"/>
        <v>20.2176644</v>
      </c>
      <c r="L28" s="63">
        <f t="shared" si="17"/>
        <v>7709.66067991</v>
      </c>
      <c r="M28" s="27" t="s">
        <v>24</v>
      </c>
      <c r="N28" s="37">
        <f aca="true" t="shared" si="46" ref="N28:W28">SUM(N21:N27)</f>
        <v>746.4300000000001</v>
      </c>
      <c r="O28" s="49">
        <f t="shared" si="46"/>
        <v>2519.2908216</v>
      </c>
      <c r="P28" s="37">
        <f t="shared" si="46"/>
        <v>16.6</v>
      </c>
      <c r="Q28" s="49">
        <f t="shared" si="46"/>
        <v>56.02699199999999</v>
      </c>
      <c r="R28" s="37">
        <f t="shared" si="46"/>
        <v>273.61</v>
      </c>
      <c r="S28" s="49">
        <f t="shared" si="46"/>
        <v>10.539457200000001</v>
      </c>
      <c r="T28" s="37">
        <f t="shared" si="46"/>
        <v>61565.61</v>
      </c>
      <c r="U28" s="49">
        <f t="shared" si="46"/>
        <v>309.49032146999997</v>
      </c>
      <c r="V28" s="37">
        <f t="shared" si="46"/>
        <v>273.61</v>
      </c>
      <c r="W28" s="49">
        <f t="shared" si="46"/>
        <v>4.8866746</v>
      </c>
      <c r="X28" s="38">
        <f>O28+Q28+S28+U28+W28</f>
        <v>2900.23426687</v>
      </c>
      <c r="Y28" s="27" t="s">
        <v>24</v>
      </c>
      <c r="Z28" s="37">
        <f aca="true" t="shared" si="47" ref="Z28:AI28">SUM(Z21:Z27)</f>
        <v>245.08</v>
      </c>
      <c r="AA28" s="49">
        <f t="shared" si="47"/>
        <v>827.1744096</v>
      </c>
      <c r="AB28" s="37">
        <f t="shared" si="47"/>
        <v>8.59</v>
      </c>
      <c r="AC28" s="49">
        <f t="shared" si="47"/>
        <v>28.992280799999996</v>
      </c>
      <c r="AD28" s="37">
        <f t="shared" si="47"/>
        <v>273.61</v>
      </c>
      <c r="AE28" s="49">
        <f t="shared" si="47"/>
        <v>10.539457200000001</v>
      </c>
      <c r="AF28" s="37">
        <f t="shared" si="47"/>
        <v>31611.219999999998</v>
      </c>
      <c r="AG28" s="49">
        <f t="shared" si="47"/>
        <v>158.90960293999998</v>
      </c>
      <c r="AH28" s="37">
        <f t="shared" si="47"/>
        <v>273.61</v>
      </c>
      <c r="AI28" s="49">
        <f t="shared" si="47"/>
        <v>4.8866746</v>
      </c>
      <c r="AJ28" s="38">
        <f>AA28+AC28+AE28+AG28+AI28</f>
        <v>1030.50242514</v>
      </c>
      <c r="AK28" s="27" t="s">
        <v>24</v>
      </c>
      <c r="AL28" s="37">
        <f aca="true" t="shared" si="48" ref="AL28:AU28">SUM(AL21:AL27)</f>
        <v>64.1</v>
      </c>
      <c r="AM28" s="49">
        <f t="shared" si="48"/>
        <v>240.255774</v>
      </c>
      <c r="AN28" s="37">
        <f t="shared" si="48"/>
        <v>11.879999999999999</v>
      </c>
      <c r="AO28" s="49">
        <f t="shared" si="48"/>
        <v>44.5279032</v>
      </c>
      <c r="AP28" s="37">
        <f t="shared" si="48"/>
        <v>273.61</v>
      </c>
      <c r="AQ28" s="49">
        <f t="shared" si="48"/>
        <v>11.7460773</v>
      </c>
      <c r="AR28" s="37">
        <f t="shared" si="48"/>
        <v>19205.59</v>
      </c>
      <c r="AS28" s="49">
        <f t="shared" si="48"/>
        <v>105.82280089999999</v>
      </c>
      <c r="AT28" s="37">
        <f t="shared" si="48"/>
        <v>273.61</v>
      </c>
      <c r="AU28" s="49">
        <f t="shared" si="48"/>
        <v>5.2368954</v>
      </c>
      <c r="AV28" s="38">
        <f>AM28+AO28+AQ28+AS28+AU28</f>
        <v>407.5894508</v>
      </c>
      <c r="AW28" s="27" t="s">
        <v>24</v>
      </c>
      <c r="AX28" s="37">
        <f aca="true" t="shared" si="49" ref="AX28:BG28">SUM(AX21:AX27)</f>
        <v>820.25</v>
      </c>
      <c r="AY28" s="49">
        <f t="shared" si="49"/>
        <v>3074.411835</v>
      </c>
      <c r="AZ28" s="37">
        <f t="shared" si="49"/>
        <v>14.83</v>
      </c>
      <c r="BA28" s="49">
        <f t="shared" si="49"/>
        <v>55.584916199999995</v>
      </c>
      <c r="BB28" s="37">
        <f t="shared" si="49"/>
        <v>272.07</v>
      </c>
      <c r="BC28" s="49">
        <f t="shared" si="49"/>
        <v>11.6799651</v>
      </c>
      <c r="BD28" s="37">
        <f t="shared" si="49"/>
        <v>40735.1</v>
      </c>
      <c r="BE28" s="49">
        <f t="shared" si="49"/>
        <v>224.450401</v>
      </c>
      <c r="BF28" s="37">
        <f t="shared" si="49"/>
        <v>272.07</v>
      </c>
      <c r="BG28" s="49">
        <f t="shared" si="49"/>
        <v>5.2074198</v>
      </c>
      <c r="BH28" s="38">
        <f>AY28+BA28+BC28+BE28+BG28</f>
        <v>3371.3345371</v>
      </c>
    </row>
    <row r="29" spans="1:60" s="33" customFormat="1" ht="21" customHeight="1" thickBot="1">
      <c r="A29" s="353" t="s">
        <v>34</v>
      </c>
      <c r="B29" s="120"/>
      <c r="C29" s="170"/>
      <c r="D29" s="120"/>
      <c r="E29" s="170"/>
      <c r="F29" s="120"/>
      <c r="G29" s="120"/>
      <c r="H29" s="177"/>
      <c r="I29" s="125"/>
      <c r="J29" s="120" t="s">
        <v>35</v>
      </c>
      <c r="K29" s="120" t="s">
        <v>35</v>
      </c>
      <c r="L29" s="53"/>
      <c r="M29" s="20" t="s">
        <v>34</v>
      </c>
      <c r="N29" s="90"/>
      <c r="O29" s="134"/>
      <c r="P29" s="135"/>
      <c r="Q29" s="134"/>
      <c r="R29" s="135"/>
      <c r="S29" s="135"/>
      <c r="T29" s="244"/>
      <c r="U29" s="135"/>
      <c r="V29" s="135"/>
      <c r="W29" s="135" t="s">
        <v>35</v>
      </c>
      <c r="X29" s="136"/>
      <c r="Y29" s="112" t="s">
        <v>34</v>
      </c>
      <c r="Z29" s="133"/>
      <c r="AA29" s="134"/>
      <c r="AB29" s="117"/>
      <c r="AC29" s="134"/>
      <c r="AD29" s="117"/>
      <c r="AE29" s="135"/>
      <c r="AF29" s="61"/>
      <c r="AG29" s="135"/>
      <c r="AH29" s="135"/>
      <c r="AI29" s="135" t="s">
        <v>35</v>
      </c>
      <c r="AJ29" s="136"/>
      <c r="AK29" s="112" t="s">
        <v>34</v>
      </c>
      <c r="AL29" s="111"/>
      <c r="AM29" s="298"/>
      <c r="AN29" s="73"/>
      <c r="AO29" s="298"/>
      <c r="AP29" s="73"/>
      <c r="AQ29" s="73"/>
      <c r="AR29" s="301"/>
      <c r="AS29" s="113"/>
      <c r="AT29" s="73" t="s">
        <v>35</v>
      </c>
      <c r="AU29" s="74" t="s">
        <v>35</v>
      </c>
      <c r="AV29" s="38"/>
      <c r="AW29" s="20" t="s">
        <v>34</v>
      </c>
      <c r="AX29" s="184" t="s">
        <v>35</v>
      </c>
      <c r="AY29" s="298"/>
      <c r="AZ29" s="73"/>
      <c r="BA29" s="298"/>
      <c r="BB29" s="73"/>
      <c r="BC29" s="73"/>
      <c r="BD29" s="83"/>
      <c r="BE29" s="113"/>
      <c r="BF29" s="73"/>
      <c r="BG29" s="73" t="s">
        <v>35</v>
      </c>
      <c r="BH29" s="53"/>
    </row>
    <row r="30" spans="1:61" s="33" customFormat="1" ht="30.75" customHeight="1">
      <c r="A30" s="319" t="s">
        <v>46</v>
      </c>
      <c r="B30" s="65">
        <f aca="true" t="shared" si="50" ref="B30:K40">N30+Z30+AL30+AX30</f>
        <v>0</v>
      </c>
      <c r="C30" s="151">
        <f t="shared" si="50"/>
        <v>0</v>
      </c>
      <c r="D30" s="65">
        <f t="shared" si="50"/>
        <v>0</v>
      </c>
      <c r="E30" s="151">
        <f t="shared" si="50"/>
        <v>0</v>
      </c>
      <c r="F30" s="67">
        <f t="shared" si="50"/>
        <v>0</v>
      </c>
      <c r="G30" s="164">
        <f t="shared" si="50"/>
        <v>0</v>
      </c>
      <c r="H30" s="173">
        <f t="shared" si="50"/>
        <v>8246.45</v>
      </c>
      <c r="I30" s="164">
        <f t="shared" si="50"/>
        <v>43.23379315</v>
      </c>
      <c r="J30" s="65">
        <f t="shared" si="50"/>
        <v>0</v>
      </c>
      <c r="K30" s="151">
        <f t="shared" si="50"/>
        <v>0</v>
      </c>
      <c r="L30" s="165">
        <f aca="true" t="shared" si="51" ref="L30:L35">C30+E30+G30+I30+K30</f>
        <v>43.23379315</v>
      </c>
      <c r="M30" s="144" t="s">
        <v>57</v>
      </c>
      <c r="N30" s="261">
        <v>0</v>
      </c>
      <c r="O30" s="270">
        <f aca="true" t="shared" si="52" ref="O30:O37">N30*3375.12/1000</f>
        <v>0</v>
      </c>
      <c r="P30" s="78">
        <v>0</v>
      </c>
      <c r="Q30" s="270">
        <f aca="true" t="shared" si="53" ref="Q30:Q37">P30*3375.12/1000</f>
        <v>0</v>
      </c>
      <c r="R30" s="78">
        <v>0</v>
      </c>
      <c r="S30" s="270">
        <f aca="true" t="shared" si="54" ref="S30:S37">R30*38.52/1000</f>
        <v>0</v>
      </c>
      <c r="T30" s="266">
        <v>2461.45</v>
      </c>
      <c r="U30" s="271">
        <f aca="true" t="shared" si="55" ref="U30:U39">T30*5.027/1000</f>
        <v>12.373709149999998</v>
      </c>
      <c r="V30" s="78">
        <f>R30</f>
        <v>0</v>
      </c>
      <c r="W30" s="270">
        <f aca="true" t="shared" si="56" ref="W30:W37">V30*17.86/1000</f>
        <v>0</v>
      </c>
      <c r="X30" s="68">
        <f aca="true" t="shared" si="57" ref="X30:X39">O30+Q30+S30+U30+W30</f>
        <v>12.373709149999998</v>
      </c>
      <c r="Y30" s="121" t="s">
        <v>57</v>
      </c>
      <c r="Z30" s="262">
        <v>0</v>
      </c>
      <c r="AA30" s="270">
        <f aca="true" t="shared" si="58" ref="AA30:AA37">Z30*3375.12/1000</f>
        <v>0</v>
      </c>
      <c r="AB30" s="262">
        <v>0</v>
      </c>
      <c r="AC30" s="270">
        <f aca="true" t="shared" si="59" ref="AC30:AC37">AB30*3375.12/1000</f>
        <v>0</v>
      </c>
      <c r="AD30" s="65">
        <v>0</v>
      </c>
      <c r="AE30" s="270">
        <f aca="true" t="shared" si="60" ref="AE30:AE37">AD30*38.52/1000</f>
        <v>0</v>
      </c>
      <c r="AF30" s="80">
        <v>2102</v>
      </c>
      <c r="AG30" s="271">
        <f aca="true" t="shared" si="61" ref="AG30:AG39">AF30*5.027/1000</f>
        <v>10.566754000000001</v>
      </c>
      <c r="AH30" s="78">
        <f>AD30</f>
        <v>0</v>
      </c>
      <c r="AI30" s="270">
        <f aca="true" t="shared" si="62" ref="AI30:AI37">AH30*17.86/1000</f>
        <v>0</v>
      </c>
      <c r="AJ30" s="68">
        <f aca="true" t="shared" si="63" ref="AJ30:AJ39">AA30+AC30+AE30+AG30+AI30</f>
        <v>10.566754000000001</v>
      </c>
      <c r="AK30" s="97" t="s">
        <v>57</v>
      </c>
      <c r="AL30" s="65">
        <v>0</v>
      </c>
      <c r="AM30" s="289">
        <f aca="true" t="shared" si="64" ref="AM30:AM37">AL30*3748.14/1000</f>
        <v>0</v>
      </c>
      <c r="AN30" s="78">
        <v>0</v>
      </c>
      <c r="AO30" s="289">
        <f aca="true" t="shared" si="65" ref="AO30:AO37">AN30*3748.14/1000</f>
        <v>0</v>
      </c>
      <c r="AP30" s="78">
        <v>0</v>
      </c>
      <c r="AQ30" s="289">
        <f aca="true" t="shared" si="66" ref="AQ30:AQ37">AP30*42.93/1000</f>
        <v>0</v>
      </c>
      <c r="AR30" s="85">
        <v>2545</v>
      </c>
      <c r="AS30" s="299">
        <f aca="true" t="shared" si="67" ref="AS30:AS39">AR30*5.51/1000</f>
        <v>14.022949999999998</v>
      </c>
      <c r="AT30" s="66">
        <f>AP30</f>
        <v>0</v>
      </c>
      <c r="AU30" s="289">
        <f aca="true" t="shared" si="68" ref="AU30:AU37">AT30*19.14/1000</f>
        <v>0</v>
      </c>
      <c r="AV30" s="68">
        <f aca="true" t="shared" si="69" ref="AV30:AV39">AM30+AO30+AQ30+AS30+AU30</f>
        <v>14.022949999999998</v>
      </c>
      <c r="AW30" s="97" t="s">
        <v>57</v>
      </c>
      <c r="AX30" s="65">
        <v>0</v>
      </c>
      <c r="AY30" s="289">
        <f aca="true" t="shared" si="70" ref="AY30:AY37">AX30*3748.14/1000</f>
        <v>0</v>
      </c>
      <c r="AZ30" s="78">
        <v>0</v>
      </c>
      <c r="BA30" s="289">
        <f aca="true" t="shared" si="71" ref="BA30:BA37">AZ30*3748.14/1000</f>
        <v>0</v>
      </c>
      <c r="BB30" s="66">
        <v>0</v>
      </c>
      <c r="BC30" s="279">
        <f aca="true" t="shared" si="72" ref="BC30:BC37">BB30*42.93/1000</f>
        <v>0</v>
      </c>
      <c r="BD30" s="80">
        <v>1138</v>
      </c>
      <c r="BE30" s="293">
        <f aca="true" t="shared" si="73" ref="BE30:BE39">BD30*5.51/1000</f>
        <v>6.27038</v>
      </c>
      <c r="BF30" s="67">
        <f aca="true" t="shared" si="74" ref="BF30:BF39">BB30</f>
        <v>0</v>
      </c>
      <c r="BG30" s="289">
        <f aca="true" t="shared" si="75" ref="BG30:BG37">BF30*19.14/1000</f>
        <v>0</v>
      </c>
      <c r="BH30" s="68">
        <f aca="true" t="shared" si="76" ref="BH30:BH39">AY30+BA30+BC30+BE30+BG30</f>
        <v>6.27038</v>
      </c>
      <c r="BI30" s="33" t="s">
        <v>35</v>
      </c>
    </row>
    <row r="31" spans="1:60" s="33" customFormat="1" ht="15.75">
      <c r="A31" s="320" t="s">
        <v>40</v>
      </c>
      <c r="B31" s="78">
        <f t="shared" si="50"/>
        <v>0</v>
      </c>
      <c r="C31" s="79">
        <f t="shared" si="50"/>
        <v>0</v>
      </c>
      <c r="D31" s="60">
        <f t="shared" si="50"/>
        <v>0</v>
      </c>
      <c r="E31" s="154">
        <f t="shared" si="50"/>
        <v>0</v>
      </c>
      <c r="F31" s="69">
        <f t="shared" si="50"/>
        <v>0</v>
      </c>
      <c r="G31" s="150">
        <f t="shared" si="50"/>
        <v>0</v>
      </c>
      <c r="H31" s="57">
        <f t="shared" si="50"/>
        <v>7294.45</v>
      </c>
      <c r="I31" s="153">
        <f t="shared" si="50"/>
        <v>38.50062506</v>
      </c>
      <c r="J31" s="60">
        <f t="shared" si="50"/>
        <v>0</v>
      </c>
      <c r="K31" s="79">
        <f t="shared" si="50"/>
        <v>0</v>
      </c>
      <c r="L31" s="165">
        <f t="shared" si="51"/>
        <v>38.50062506</v>
      </c>
      <c r="M31" s="122" t="s">
        <v>40</v>
      </c>
      <c r="N31" s="248">
        <v>0</v>
      </c>
      <c r="O31" s="270">
        <f t="shared" si="52"/>
        <v>0</v>
      </c>
      <c r="P31" s="60">
        <v>0</v>
      </c>
      <c r="Q31" s="270">
        <f t="shared" si="53"/>
        <v>0</v>
      </c>
      <c r="R31" s="60">
        <v>0</v>
      </c>
      <c r="S31" s="270">
        <f t="shared" si="54"/>
        <v>0</v>
      </c>
      <c r="T31" s="267">
        <v>2375.52</v>
      </c>
      <c r="U31" s="271">
        <f t="shared" si="55"/>
        <v>11.94173904</v>
      </c>
      <c r="V31" s="60">
        <f>R31</f>
        <v>0</v>
      </c>
      <c r="W31" s="270">
        <f t="shared" si="56"/>
        <v>0</v>
      </c>
      <c r="X31" s="68">
        <f t="shared" si="57"/>
        <v>11.94173904</v>
      </c>
      <c r="Y31" s="122" t="s">
        <v>40</v>
      </c>
      <c r="Z31" s="247">
        <v>0</v>
      </c>
      <c r="AA31" s="270">
        <f t="shared" si="58"/>
        <v>0</v>
      </c>
      <c r="AB31" s="250">
        <v>0</v>
      </c>
      <c r="AC31" s="270">
        <f t="shared" si="59"/>
        <v>0</v>
      </c>
      <c r="AD31" s="60">
        <v>0</v>
      </c>
      <c r="AE31" s="270">
        <f t="shared" si="60"/>
        <v>0</v>
      </c>
      <c r="AF31" s="81">
        <v>1127.16</v>
      </c>
      <c r="AG31" s="271">
        <f t="shared" si="61"/>
        <v>5.66623332</v>
      </c>
      <c r="AH31" s="60">
        <f>AD31</f>
        <v>0</v>
      </c>
      <c r="AI31" s="270">
        <f t="shared" si="62"/>
        <v>0</v>
      </c>
      <c r="AJ31" s="68">
        <f t="shared" si="63"/>
        <v>5.66623332</v>
      </c>
      <c r="AK31" s="98" t="s">
        <v>40</v>
      </c>
      <c r="AL31" s="78">
        <v>0</v>
      </c>
      <c r="AM31" s="279">
        <f t="shared" si="64"/>
        <v>0</v>
      </c>
      <c r="AN31" s="60">
        <v>0</v>
      </c>
      <c r="AO31" s="279">
        <f t="shared" si="65"/>
        <v>0</v>
      </c>
      <c r="AP31" s="60">
        <v>0</v>
      </c>
      <c r="AQ31" s="279">
        <f t="shared" si="66"/>
        <v>0</v>
      </c>
      <c r="AR31" s="81">
        <v>1336.23</v>
      </c>
      <c r="AS31" s="293">
        <f t="shared" si="67"/>
        <v>7.3626273</v>
      </c>
      <c r="AT31" s="69">
        <f>AP31</f>
        <v>0</v>
      </c>
      <c r="AU31" s="279">
        <f t="shared" si="68"/>
        <v>0</v>
      </c>
      <c r="AV31" s="68">
        <f t="shared" si="69"/>
        <v>7.3626273</v>
      </c>
      <c r="AW31" s="98" t="s">
        <v>40</v>
      </c>
      <c r="AX31" s="60">
        <v>0</v>
      </c>
      <c r="AY31" s="279">
        <f t="shared" si="70"/>
        <v>0</v>
      </c>
      <c r="AZ31" s="60">
        <v>0</v>
      </c>
      <c r="BA31" s="279">
        <f t="shared" si="71"/>
        <v>0</v>
      </c>
      <c r="BB31" s="69">
        <v>0</v>
      </c>
      <c r="BC31" s="279">
        <f t="shared" si="72"/>
        <v>0</v>
      </c>
      <c r="BD31" s="81">
        <v>2455.54</v>
      </c>
      <c r="BE31" s="293">
        <f t="shared" si="73"/>
        <v>13.530025399999998</v>
      </c>
      <c r="BF31" s="69">
        <f t="shared" si="74"/>
        <v>0</v>
      </c>
      <c r="BG31" s="279">
        <f t="shared" si="75"/>
        <v>0</v>
      </c>
      <c r="BH31" s="68">
        <f t="shared" si="76"/>
        <v>13.530025399999998</v>
      </c>
    </row>
    <row r="32" spans="1:60" s="33" customFormat="1" ht="15.75">
      <c r="A32" s="320" t="s">
        <v>39</v>
      </c>
      <c r="B32" s="78">
        <f t="shared" si="50"/>
        <v>30.79</v>
      </c>
      <c r="C32" s="79">
        <f t="shared" si="50"/>
        <v>111.07819860000001</v>
      </c>
      <c r="D32" s="60">
        <f t="shared" si="50"/>
        <v>5.88</v>
      </c>
      <c r="E32" s="154">
        <f t="shared" si="50"/>
        <v>21.475803</v>
      </c>
      <c r="F32" s="69">
        <f t="shared" si="50"/>
        <v>230</v>
      </c>
      <c r="G32" s="150">
        <f t="shared" si="50"/>
        <v>9.631350000000001</v>
      </c>
      <c r="H32" s="57">
        <f t="shared" si="50"/>
        <v>1836.61</v>
      </c>
      <c r="I32" s="153">
        <f t="shared" si="50"/>
        <v>9.637672610000001</v>
      </c>
      <c r="J32" s="60">
        <f t="shared" si="50"/>
        <v>230</v>
      </c>
      <c r="K32" s="79">
        <f t="shared" si="50"/>
        <v>4.3318</v>
      </c>
      <c r="L32" s="165">
        <f t="shared" si="51"/>
        <v>156.15482421</v>
      </c>
      <c r="M32" s="122" t="s">
        <v>39</v>
      </c>
      <c r="N32" s="248">
        <v>8</v>
      </c>
      <c r="O32" s="270">
        <f t="shared" si="52"/>
        <v>27.00096</v>
      </c>
      <c r="P32" s="60">
        <v>0.84</v>
      </c>
      <c r="Q32" s="270">
        <f t="shared" si="53"/>
        <v>2.8351007999999998</v>
      </c>
      <c r="R32" s="60">
        <v>32</v>
      </c>
      <c r="S32" s="270">
        <f t="shared" si="54"/>
        <v>1.2326400000000002</v>
      </c>
      <c r="T32" s="267">
        <v>571.16</v>
      </c>
      <c r="U32" s="271">
        <f t="shared" si="55"/>
        <v>2.87122132</v>
      </c>
      <c r="V32" s="60">
        <f>R32</f>
        <v>32</v>
      </c>
      <c r="W32" s="270">
        <f t="shared" si="56"/>
        <v>0.57152</v>
      </c>
      <c r="X32" s="68">
        <f t="shared" si="57"/>
        <v>34.51144212</v>
      </c>
      <c r="Y32" s="122" t="s">
        <v>39</v>
      </c>
      <c r="Z32" s="247">
        <v>3.6</v>
      </c>
      <c r="AA32" s="270">
        <f t="shared" si="58"/>
        <v>12.150432</v>
      </c>
      <c r="AB32" s="250">
        <v>0.67</v>
      </c>
      <c r="AC32" s="270">
        <f t="shared" si="59"/>
        <v>2.2613304000000003</v>
      </c>
      <c r="AD32" s="60">
        <v>23</v>
      </c>
      <c r="AE32" s="270">
        <f t="shared" si="60"/>
        <v>0.8859600000000001</v>
      </c>
      <c r="AF32" s="81">
        <v>426.87</v>
      </c>
      <c r="AG32" s="271">
        <f t="shared" si="61"/>
        <v>2.14587549</v>
      </c>
      <c r="AH32" s="60">
        <f>AD32</f>
        <v>23</v>
      </c>
      <c r="AI32" s="270">
        <f t="shared" si="62"/>
        <v>0.41078</v>
      </c>
      <c r="AJ32" s="68">
        <f t="shared" si="63"/>
        <v>17.85437789</v>
      </c>
      <c r="AK32" s="98" t="s">
        <v>39</v>
      </c>
      <c r="AL32" s="78">
        <v>0.5</v>
      </c>
      <c r="AM32" s="279">
        <f t="shared" si="64"/>
        <v>1.87407</v>
      </c>
      <c r="AN32" s="60">
        <v>2.99</v>
      </c>
      <c r="AO32" s="279">
        <f t="shared" si="65"/>
        <v>11.2069386</v>
      </c>
      <c r="AP32" s="60">
        <v>134</v>
      </c>
      <c r="AQ32" s="279">
        <f t="shared" si="66"/>
        <v>5.75262</v>
      </c>
      <c r="AR32" s="81">
        <v>554</v>
      </c>
      <c r="AS32" s="293">
        <f t="shared" si="67"/>
        <v>3.05254</v>
      </c>
      <c r="AT32" s="69">
        <f>AP32</f>
        <v>134</v>
      </c>
      <c r="AU32" s="279">
        <f t="shared" si="68"/>
        <v>2.56476</v>
      </c>
      <c r="AV32" s="68">
        <f t="shared" si="69"/>
        <v>24.4509286</v>
      </c>
      <c r="AW32" s="98" t="s">
        <v>39</v>
      </c>
      <c r="AX32" s="60">
        <v>18.69</v>
      </c>
      <c r="AY32" s="279">
        <f t="shared" si="70"/>
        <v>70.0527366</v>
      </c>
      <c r="AZ32" s="60">
        <v>1.38</v>
      </c>
      <c r="BA32" s="279">
        <f t="shared" si="71"/>
        <v>5.1724331999999995</v>
      </c>
      <c r="BB32" s="69">
        <v>41</v>
      </c>
      <c r="BC32" s="279">
        <f t="shared" si="72"/>
        <v>1.76013</v>
      </c>
      <c r="BD32" s="81">
        <v>284.58</v>
      </c>
      <c r="BE32" s="293">
        <f t="shared" si="73"/>
        <v>1.5680357999999999</v>
      </c>
      <c r="BF32" s="69">
        <f t="shared" si="74"/>
        <v>41</v>
      </c>
      <c r="BG32" s="279">
        <f t="shared" si="75"/>
        <v>0.78474</v>
      </c>
      <c r="BH32" s="68">
        <f t="shared" si="76"/>
        <v>79.33807560000001</v>
      </c>
    </row>
    <row r="33" spans="1:61" ht="43.5" customHeight="1">
      <c r="A33" s="322" t="s">
        <v>45</v>
      </c>
      <c r="B33" s="78">
        <f t="shared" si="50"/>
        <v>144.57999999999998</v>
      </c>
      <c r="C33" s="79">
        <f t="shared" si="50"/>
        <v>509.99795040000004</v>
      </c>
      <c r="D33" s="60">
        <f t="shared" si="50"/>
        <v>0.5800000000000001</v>
      </c>
      <c r="E33" s="154">
        <f t="shared" si="50"/>
        <v>2.1291588</v>
      </c>
      <c r="F33" s="69">
        <f t="shared" si="50"/>
        <v>21</v>
      </c>
      <c r="G33" s="150">
        <f t="shared" si="50"/>
        <v>0.8927100000000001</v>
      </c>
      <c r="H33" s="57">
        <f t="shared" si="50"/>
        <v>11859.619999999999</v>
      </c>
      <c r="I33" s="153">
        <f t="shared" si="50"/>
        <v>62.25249514</v>
      </c>
      <c r="J33" s="60">
        <f t="shared" si="50"/>
        <v>21</v>
      </c>
      <c r="K33" s="79">
        <f t="shared" si="50"/>
        <v>0.39938000000000007</v>
      </c>
      <c r="L33" s="165">
        <f t="shared" si="51"/>
        <v>575.6716943399999</v>
      </c>
      <c r="M33" s="123" t="s">
        <v>58</v>
      </c>
      <c r="N33" s="248">
        <v>62.99</v>
      </c>
      <c r="O33" s="270">
        <f t="shared" si="52"/>
        <v>212.5988088</v>
      </c>
      <c r="P33" s="60">
        <v>0.12</v>
      </c>
      <c r="Q33" s="270">
        <f t="shared" si="53"/>
        <v>0.40501439999999994</v>
      </c>
      <c r="R33" s="60">
        <v>2</v>
      </c>
      <c r="S33" s="270">
        <f t="shared" si="54"/>
        <v>0.07704000000000001</v>
      </c>
      <c r="T33" s="267">
        <v>3521.47</v>
      </c>
      <c r="U33" s="271">
        <f t="shared" si="55"/>
        <v>17.702429690000002</v>
      </c>
      <c r="V33" s="60">
        <f>R33</f>
        <v>2</v>
      </c>
      <c r="W33" s="270">
        <f t="shared" si="56"/>
        <v>0.03572</v>
      </c>
      <c r="X33" s="68">
        <f t="shared" si="57"/>
        <v>230.81901289</v>
      </c>
      <c r="Y33" s="123" t="s">
        <v>58</v>
      </c>
      <c r="Z33" s="247">
        <v>22.55</v>
      </c>
      <c r="AA33" s="270">
        <f t="shared" si="58"/>
        <v>76.108956</v>
      </c>
      <c r="AB33" s="250">
        <v>0</v>
      </c>
      <c r="AC33" s="270">
        <f t="shared" si="59"/>
        <v>0</v>
      </c>
      <c r="AD33" s="60">
        <v>0</v>
      </c>
      <c r="AE33" s="270">
        <f t="shared" si="60"/>
        <v>0</v>
      </c>
      <c r="AF33" s="81">
        <v>2884.35</v>
      </c>
      <c r="AG33" s="271">
        <f t="shared" si="61"/>
        <v>14.49962745</v>
      </c>
      <c r="AH33" s="60">
        <f>AD33</f>
        <v>0</v>
      </c>
      <c r="AI33" s="270">
        <f t="shared" si="62"/>
        <v>0</v>
      </c>
      <c r="AJ33" s="68">
        <f t="shared" si="63"/>
        <v>90.60858345000001</v>
      </c>
      <c r="AK33" s="99" t="s">
        <v>58</v>
      </c>
      <c r="AL33" s="60">
        <v>2.63</v>
      </c>
      <c r="AM33" s="279">
        <f t="shared" si="64"/>
        <v>9.8576082</v>
      </c>
      <c r="AN33" s="60">
        <v>0.34</v>
      </c>
      <c r="AO33" s="279">
        <f t="shared" si="65"/>
        <v>1.2743676</v>
      </c>
      <c r="AP33" s="60">
        <v>8</v>
      </c>
      <c r="AQ33" s="279">
        <f t="shared" si="66"/>
        <v>0.34344</v>
      </c>
      <c r="AR33" s="81">
        <v>2578.8</v>
      </c>
      <c r="AS33" s="293">
        <f t="shared" si="67"/>
        <v>14.209188</v>
      </c>
      <c r="AT33" s="69">
        <f>AP33</f>
        <v>8</v>
      </c>
      <c r="AU33" s="279">
        <f t="shared" si="68"/>
        <v>0.15312</v>
      </c>
      <c r="AV33" s="68">
        <f t="shared" si="69"/>
        <v>25.8377238</v>
      </c>
      <c r="AW33" s="99" t="s">
        <v>58</v>
      </c>
      <c r="AX33" s="60">
        <v>56.41</v>
      </c>
      <c r="AY33" s="279">
        <f t="shared" si="70"/>
        <v>211.43257739999999</v>
      </c>
      <c r="AZ33" s="60">
        <v>0.12</v>
      </c>
      <c r="BA33" s="279">
        <f t="shared" si="71"/>
        <v>0.4497768</v>
      </c>
      <c r="BB33" s="69">
        <v>11</v>
      </c>
      <c r="BC33" s="279">
        <f t="shared" si="72"/>
        <v>0.47223000000000004</v>
      </c>
      <c r="BD33" s="81">
        <v>2875</v>
      </c>
      <c r="BE33" s="293">
        <f t="shared" si="73"/>
        <v>15.84125</v>
      </c>
      <c r="BF33" s="69">
        <f t="shared" si="74"/>
        <v>11</v>
      </c>
      <c r="BG33" s="279">
        <f t="shared" si="75"/>
        <v>0.21054000000000003</v>
      </c>
      <c r="BH33" s="68">
        <f t="shared" si="76"/>
        <v>228.4063742</v>
      </c>
      <c r="BI33" s="1" t="s">
        <v>35</v>
      </c>
    </row>
    <row r="34" spans="1:61" ht="18" customHeight="1">
      <c r="A34" s="320" t="s">
        <v>31</v>
      </c>
      <c r="B34" s="78">
        <f t="shared" si="50"/>
        <v>297.43</v>
      </c>
      <c r="C34" s="79">
        <f t="shared" si="50"/>
        <v>1051.9927122</v>
      </c>
      <c r="D34" s="60">
        <f t="shared" si="50"/>
        <v>92.39999999999999</v>
      </c>
      <c r="E34" s="154">
        <f t="shared" si="50"/>
        <v>326.5506156</v>
      </c>
      <c r="F34" s="69">
        <f t="shared" si="50"/>
        <v>1972</v>
      </c>
      <c r="G34" s="150">
        <f t="shared" si="50"/>
        <v>79.11018</v>
      </c>
      <c r="H34" s="57">
        <f t="shared" si="50"/>
        <v>40756.7</v>
      </c>
      <c r="I34" s="153">
        <f t="shared" si="50"/>
        <v>212.68148290000002</v>
      </c>
      <c r="J34" s="60">
        <f t="shared" si="50"/>
        <v>1972</v>
      </c>
      <c r="K34" s="79">
        <f t="shared" si="50"/>
        <v>36.13384</v>
      </c>
      <c r="L34" s="165">
        <f t="shared" si="51"/>
        <v>1706.4688307</v>
      </c>
      <c r="M34" s="124" t="s">
        <v>31</v>
      </c>
      <c r="N34" s="248">
        <v>122.93</v>
      </c>
      <c r="O34" s="270">
        <f t="shared" si="52"/>
        <v>414.9035016</v>
      </c>
      <c r="P34" s="60">
        <v>25.63</v>
      </c>
      <c r="Q34" s="270">
        <f t="shared" si="53"/>
        <v>86.5043256</v>
      </c>
      <c r="R34" s="60">
        <v>604</v>
      </c>
      <c r="S34" s="270">
        <f t="shared" si="54"/>
        <v>23.266080000000002</v>
      </c>
      <c r="T34" s="267">
        <v>13313.25</v>
      </c>
      <c r="U34" s="271">
        <f t="shared" si="55"/>
        <v>66.92570775</v>
      </c>
      <c r="V34" s="60">
        <f>R34</f>
        <v>604</v>
      </c>
      <c r="W34" s="270">
        <f t="shared" si="56"/>
        <v>10.78744</v>
      </c>
      <c r="X34" s="68">
        <f t="shared" si="57"/>
        <v>602.38705495</v>
      </c>
      <c r="Y34" s="124" t="s">
        <v>31</v>
      </c>
      <c r="Z34" s="247">
        <v>45.47</v>
      </c>
      <c r="AA34" s="270">
        <f t="shared" si="58"/>
        <v>153.4667064</v>
      </c>
      <c r="AB34" s="250">
        <v>27.39</v>
      </c>
      <c r="AC34" s="270">
        <f t="shared" si="59"/>
        <v>92.44453680000001</v>
      </c>
      <c r="AD34" s="60">
        <v>654</v>
      </c>
      <c r="AE34" s="270">
        <f t="shared" si="60"/>
        <v>25.19208</v>
      </c>
      <c r="AF34" s="81">
        <v>11299.45</v>
      </c>
      <c r="AG34" s="271">
        <f t="shared" si="61"/>
        <v>56.802335150000005</v>
      </c>
      <c r="AH34" s="60">
        <f>AD34</f>
        <v>654</v>
      </c>
      <c r="AI34" s="270">
        <f t="shared" si="62"/>
        <v>11.68044</v>
      </c>
      <c r="AJ34" s="68">
        <f t="shared" si="63"/>
        <v>339.58609834999993</v>
      </c>
      <c r="AK34" s="100" t="s">
        <v>31</v>
      </c>
      <c r="AL34" s="78">
        <v>16.93</v>
      </c>
      <c r="AM34" s="279">
        <f t="shared" si="64"/>
        <v>63.456010199999994</v>
      </c>
      <c r="AN34" s="60">
        <v>13.75</v>
      </c>
      <c r="AO34" s="279">
        <f t="shared" si="65"/>
        <v>51.536925</v>
      </c>
      <c r="AP34" s="60">
        <v>305</v>
      </c>
      <c r="AQ34" s="279">
        <f t="shared" si="66"/>
        <v>13.09365</v>
      </c>
      <c r="AR34" s="81">
        <v>7144</v>
      </c>
      <c r="AS34" s="293">
        <f t="shared" si="67"/>
        <v>39.36344</v>
      </c>
      <c r="AT34" s="69">
        <f>AP34</f>
        <v>305</v>
      </c>
      <c r="AU34" s="279">
        <f t="shared" si="68"/>
        <v>5.8377</v>
      </c>
      <c r="AV34" s="68">
        <f t="shared" si="69"/>
        <v>173.2877252</v>
      </c>
      <c r="AW34" s="100" t="s">
        <v>31</v>
      </c>
      <c r="AX34" s="60">
        <v>112.1</v>
      </c>
      <c r="AY34" s="279">
        <f t="shared" si="70"/>
        <v>420.16649399999994</v>
      </c>
      <c r="AZ34" s="60">
        <v>25.63</v>
      </c>
      <c r="BA34" s="279">
        <f t="shared" si="71"/>
        <v>96.0648282</v>
      </c>
      <c r="BB34" s="69">
        <v>409</v>
      </c>
      <c r="BC34" s="279">
        <f t="shared" si="72"/>
        <v>17.55837</v>
      </c>
      <c r="BD34" s="81">
        <v>9000</v>
      </c>
      <c r="BE34" s="293">
        <f t="shared" si="73"/>
        <v>49.59</v>
      </c>
      <c r="BF34" s="69">
        <f t="shared" si="74"/>
        <v>409</v>
      </c>
      <c r="BG34" s="279">
        <f t="shared" si="75"/>
        <v>7.82826</v>
      </c>
      <c r="BH34" s="68">
        <f t="shared" si="76"/>
        <v>591.2079521999999</v>
      </c>
      <c r="BI34" s="1" t="s">
        <v>35</v>
      </c>
    </row>
    <row r="35" spans="1:60" ht="18" customHeight="1">
      <c r="A35" s="308" t="s">
        <v>86</v>
      </c>
      <c r="B35" s="78">
        <f t="shared" si="50"/>
        <v>456.29999999999995</v>
      </c>
      <c r="C35" s="79">
        <f t="shared" si="50"/>
        <v>1540.0672559999998</v>
      </c>
      <c r="D35" s="60">
        <f t="shared" si="50"/>
        <v>0</v>
      </c>
      <c r="E35" s="154">
        <f t="shared" si="50"/>
        <v>0</v>
      </c>
      <c r="F35" s="69">
        <f t="shared" si="50"/>
        <v>0</v>
      </c>
      <c r="G35" s="150">
        <f t="shared" si="50"/>
        <v>0</v>
      </c>
      <c r="H35" s="57">
        <f t="shared" si="50"/>
        <v>0</v>
      </c>
      <c r="I35" s="153">
        <f t="shared" si="50"/>
        <v>0</v>
      </c>
      <c r="J35" s="60">
        <f t="shared" si="50"/>
        <v>0</v>
      </c>
      <c r="K35" s="79">
        <f t="shared" si="50"/>
        <v>0</v>
      </c>
      <c r="L35" s="165">
        <f t="shared" si="51"/>
        <v>1540.0672559999998</v>
      </c>
      <c r="M35" s="29" t="s">
        <v>86</v>
      </c>
      <c r="N35" s="248">
        <f>76.7+65.7+58.4</f>
        <v>200.8</v>
      </c>
      <c r="O35" s="270">
        <f t="shared" si="52"/>
        <v>677.724096</v>
      </c>
      <c r="P35" s="60">
        <v>0</v>
      </c>
      <c r="Q35" s="270">
        <f t="shared" si="53"/>
        <v>0</v>
      </c>
      <c r="R35" s="60">
        <v>0</v>
      </c>
      <c r="S35" s="270">
        <f t="shared" si="54"/>
        <v>0</v>
      </c>
      <c r="T35" s="267">
        <v>0</v>
      </c>
      <c r="U35" s="271">
        <f t="shared" si="55"/>
        <v>0</v>
      </c>
      <c r="V35" s="60">
        <v>0</v>
      </c>
      <c r="W35" s="270">
        <f t="shared" si="56"/>
        <v>0</v>
      </c>
      <c r="X35" s="68">
        <f t="shared" si="57"/>
        <v>677.724096</v>
      </c>
      <c r="Y35" s="29" t="s">
        <v>86</v>
      </c>
      <c r="Z35" s="248">
        <f>43.3+16.4</f>
        <v>59.699999999999996</v>
      </c>
      <c r="AA35" s="270">
        <f t="shared" si="58"/>
        <v>201.494664</v>
      </c>
      <c r="AB35" s="60">
        <v>0</v>
      </c>
      <c r="AC35" s="270">
        <f t="shared" si="59"/>
        <v>0</v>
      </c>
      <c r="AD35" s="60">
        <v>0</v>
      </c>
      <c r="AE35" s="270">
        <f t="shared" si="60"/>
        <v>0</v>
      </c>
      <c r="AF35" s="267">
        <v>0</v>
      </c>
      <c r="AG35" s="271">
        <f t="shared" si="61"/>
        <v>0</v>
      </c>
      <c r="AH35" s="60">
        <v>0</v>
      </c>
      <c r="AI35" s="270">
        <f t="shared" si="62"/>
        <v>0</v>
      </c>
      <c r="AJ35" s="68">
        <f t="shared" si="63"/>
        <v>201.494664</v>
      </c>
      <c r="AK35" s="29" t="s">
        <v>86</v>
      </c>
      <c r="AL35" s="248">
        <v>19.2</v>
      </c>
      <c r="AM35" s="270">
        <f>AL35*3375.12/1000</f>
        <v>64.80230399999999</v>
      </c>
      <c r="AN35" s="60">
        <v>0</v>
      </c>
      <c r="AO35" s="270">
        <f>AN35*3375.12/1000</f>
        <v>0</v>
      </c>
      <c r="AP35" s="60">
        <v>0</v>
      </c>
      <c r="AQ35" s="270">
        <f>AP35*38.52/1000</f>
        <v>0</v>
      </c>
      <c r="AR35" s="267">
        <v>0</v>
      </c>
      <c r="AS35" s="271">
        <f>AR35*5.027/1000</f>
        <v>0</v>
      </c>
      <c r="AT35" s="60">
        <v>0</v>
      </c>
      <c r="AU35" s="270">
        <f>AT35*17.86/1000</f>
        <v>0</v>
      </c>
      <c r="AV35" s="68">
        <f t="shared" si="69"/>
        <v>64.80230399999999</v>
      </c>
      <c r="AW35" s="29" t="s">
        <v>86</v>
      </c>
      <c r="AX35" s="248">
        <f>43.8+58.9+73.9</f>
        <v>176.6</v>
      </c>
      <c r="AY35" s="270">
        <f>AX35*3375.12/1000</f>
        <v>596.0461919999999</v>
      </c>
      <c r="AZ35" s="60">
        <v>0</v>
      </c>
      <c r="BA35" s="270">
        <f>AZ35*3375.12/1000</f>
        <v>0</v>
      </c>
      <c r="BB35" s="60">
        <v>0</v>
      </c>
      <c r="BC35" s="270">
        <f>BB35*38.52/1000</f>
        <v>0</v>
      </c>
      <c r="BD35" s="267">
        <v>0</v>
      </c>
      <c r="BE35" s="271">
        <f>BD35*5.027/1000</f>
        <v>0</v>
      </c>
      <c r="BF35" s="60">
        <v>0</v>
      </c>
      <c r="BG35" s="270">
        <f>BF35*17.86/1000</f>
        <v>0</v>
      </c>
      <c r="BH35" s="68">
        <f t="shared" si="76"/>
        <v>596.0461919999999</v>
      </c>
    </row>
    <row r="36" spans="1:60" ht="17.25" customHeight="1">
      <c r="A36" s="321" t="s">
        <v>25</v>
      </c>
      <c r="B36" s="78"/>
      <c r="C36" s="154"/>
      <c r="D36" s="78"/>
      <c r="E36" s="154"/>
      <c r="F36" s="66"/>
      <c r="G36" s="150"/>
      <c r="H36" s="178">
        <f t="shared" si="50"/>
        <v>12100.22</v>
      </c>
      <c r="I36" s="150">
        <f t="shared" si="50"/>
        <v>63.45677493999999</v>
      </c>
      <c r="J36" s="78"/>
      <c r="K36" s="154"/>
      <c r="L36" s="68">
        <f>I36</f>
        <v>63.45677493999999</v>
      </c>
      <c r="M36" s="101" t="s">
        <v>25</v>
      </c>
      <c r="N36" s="245"/>
      <c r="O36" s="270">
        <f t="shared" si="52"/>
        <v>0</v>
      </c>
      <c r="P36" s="78"/>
      <c r="Q36" s="270">
        <f t="shared" si="53"/>
        <v>0</v>
      </c>
      <c r="R36" s="78"/>
      <c r="S36" s="270">
        <f t="shared" si="54"/>
        <v>0</v>
      </c>
      <c r="T36" s="266">
        <v>3679.22</v>
      </c>
      <c r="U36" s="271">
        <f t="shared" si="55"/>
        <v>18.49543894</v>
      </c>
      <c r="V36" s="78"/>
      <c r="W36" s="270">
        <f t="shared" si="56"/>
        <v>0</v>
      </c>
      <c r="X36" s="68">
        <f t="shared" si="57"/>
        <v>18.49543894</v>
      </c>
      <c r="Y36" s="101" t="s">
        <v>25</v>
      </c>
      <c r="Z36" s="247"/>
      <c r="AA36" s="270">
        <f t="shared" si="58"/>
        <v>0</v>
      </c>
      <c r="AB36" s="247"/>
      <c r="AC36" s="270">
        <f t="shared" si="59"/>
        <v>0</v>
      </c>
      <c r="AD36" s="78"/>
      <c r="AE36" s="270">
        <f t="shared" si="60"/>
        <v>0</v>
      </c>
      <c r="AF36" s="85">
        <v>2978</v>
      </c>
      <c r="AG36" s="271">
        <f t="shared" si="61"/>
        <v>14.970406</v>
      </c>
      <c r="AH36" s="78"/>
      <c r="AI36" s="270">
        <f t="shared" si="62"/>
        <v>0</v>
      </c>
      <c r="AJ36" s="68">
        <f t="shared" si="63"/>
        <v>14.970406</v>
      </c>
      <c r="AK36" s="101" t="s">
        <v>25</v>
      </c>
      <c r="AL36" s="78"/>
      <c r="AM36" s="289">
        <f t="shared" si="64"/>
        <v>0</v>
      </c>
      <c r="AN36" s="78"/>
      <c r="AO36" s="289">
        <f t="shared" si="65"/>
        <v>0</v>
      </c>
      <c r="AP36" s="78"/>
      <c r="AQ36" s="289">
        <f t="shared" si="66"/>
        <v>0</v>
      </c>
      <c r="AR36" s="85">
        <v>2966</v>
      </c>
      <c r="AS36" s="299">
        <f t="shared" si="67"/>
        <v>16.34266</v>
      </c>
      <c r="AT36" s="66"/>
      <c r="AU36" s="289">
        <f t="shared" si="68"/>
        <v>0</v>
      </c>
      <c r="AV36" s="68">
        <f t="shared" si="69"/>
        <v>16.34266</v>
      </c>
      <c r="AW36" s="101" t="s">
        <v>25</v>
      </c>
      <c r="AX36" s="78"/>
      <c r="AY36" s="289">
        <f t="shared" si="70"/>
        <v>0</v>
      </c>
      <c r="AZ36" s="78"/>
      <c r="BA36" s="289">
        <f t="shared" si="71"/>
        <v>0</v>
      </c>
      <c r="BB36" s="66"/>
      <c r="BC36" s="289">
        <f t="shared" si="72"/>
        <v>0</v>
      </c>
      <c r="BD36" s="85">
        <v>2477</v>
      </c>
      <c r="BE36" s="299">
        <f t="shared" si="73"/>
        <v>13.648269999999998</v>
      </c>
      <c r="BF36" s="66">
        <f t="shared" si="74"/>
        <v>0</v>
      </c>
      <c r="BG36" s="289">
        <f t="shared" si="75"/>
        <v>0</v>
      </c>
      <c r="BH36" s="68">
        <f t="shared" si="76"/>
        <v>13.648269999999998</v>
      </c>
    </row>
    <row r="37" spans="1:60" ht="15.75">
      <c r="A37" s="320" t="s">
        <v>30</v>
      </c>
      <c r="B37" s="78">
        <f aca="true" t="shared" si="77" ref="B37:K40">N37+Z37+AL37+AX37</f>
        <v>303.14</v>
      </c>
      <c r="C37" s="79">
        <f t="shared" si="77"/>
        <v>1079.3629116000002</v>
      </c>
      <c r="D37" s="60">
        <f t="shared" si="77"/>
        <v>10.55</v>
      </c>
      <c r="E37" s="154">
        <f t="shared" si="77"/>
        <v>38.0657178</v>
      </c>
      <c r="F37" s="69">
        <f t="shared" si="77"/>
        <v>911</v>
      </c>
      <c r="G37" s="150">
        <f t="shared" si="77"/>
        <v>37.1486763</v>
      </c>
      <c r="H37" s="57">
        <f t="shared" si="50"/>
        <v>118275.11</v>
      </c>
      <c r="I37" s="153">
        <f t="shared" si="50"/>
        <v>622.90574272</v>
      </c>
      <c r="J37" s="60">
        <f t="shared" si="50"/>
        <v>911</v>
      </c>
      <c r="K37" s="79">
        <f t="shared" si="50"/>
        <v>16.867490399999998</v>
      </c>
      <c r="L37" s="165">
        <f>C37+E37+G37+I37+K37</f>
        <v>1794.35053882</v>
      </c>
      <c r="M37" s="124" t="s">
        <v>30</v>
      </c>
      <c r="N37" s="248">
        <v>106.14</v>
      </c>
      <c r="O37" s="270">
        <f t="shared" si="52"/>
        <v>358.2352368</v>
      </c>
      <c r="P37" s="60">
        <v>1.95</v>
      </c>
      <c r="Q37" s="270">
        <f t="shared" si="53"/>
        <v>6.581484</v>
      </c>
      <c r="R37" s="60">
        <v>221.12</v>
      </c>
      <c r="S37" s="270">
        <f t="shared" si="54"/>
        <v>8.5175424</v>
      </c>
      <c r="T37" s="267">
        <v>29467.86</v>
      </c>
      <c r="U37" s="271">
        <f t="shared" si="55"/>
        <v>148.13493222000002</v>
      </c>
      <c r="V37" s="60">
        <f>R37</f>
        <v>221.12</v>
      </c>
      <c r="W37" s="270">
        <f t="shared" si="56"/>
        <v>3.9492032</v>
      </c>
      <c r="X37" s="68">
        <f t="shared" si="57"/>
        <v>525.4183986200001</v>
      </c>
      <c r="Y37" s="124" t="s">
        <v>30</v>
      </c>
      <c r="Z37" s="247">
        <v>46.26</v>
      </c>
      <c r="AA37" s="270">
        <f t="shared" si="58"/>
        <v>156.13305119999998</v>
      </c>
      <c r="AB37" s="250">
        <v>2.01</v>
      </c>
      <c r="AC37" s="270">
        <f t="shared" si="59"/>
        <v>6.783991199999999</v>
      </c>
      <c r="AD37" s="60">
        <v>223.45</v>
      </c>
      <c r="AE37" s="270">
        <f t="shared" si="60"/>
        <v>8.607294</v>
      </c>
      <c r="AF37" s="81">
        <v>30139</v>
      </c>
      <c r="AG37" s="271">
        <f t="shared" si="61"/>
        <v>151.50875299999998</v>
      </c>
      <c r="AH37" s="60">
        <f>AD37</f>
        <v>223.45</v>
      </c>
      <c r="AI37" s="270">
        <f t="shared" si="62"/>
        <v>3.9908169999999994</v>
      </c>
      <c r="AJ37" s="68">
        <f t="shared" si="63"/>
        <v>327.0239064</v>
      </c>
      <c r="AK37" s="100" t="s">
        <v>30</v>
      </c>
      <c r="AL37" s="60">
        <v>5.94</v>
      </c>
      <c r="AM37" s="279">
        <f t="shared" si="64"/>
        <v>22.2639516</v>
      </c>
      <c r="AN37" s="60">
        <v>3.49</v>
      </c>
      <c r="AO37" s="279">
        <f t="shared" si="65"/>
        <v>13.0810086</v>
      </c>
      <c r="AP37" s="60">
        <v>243.45</v>
      </c>
      <c r="AQ37" s="279">
        <f t="shared" si="66"/>
        <v>10.4513085</v>
      </c>
      <c r="AR37" s="81">
        <v>28568.25</v>
      </c>
      <c r="AS37" s="293">
        <f t="shared" si="67"/>
        <v>157.4110575</v>
      </c>
      <c r="AT37" s="69">
        <f>AP37</f>
        <v>243.45</v>
      </c>
      <c r="AU37" s="279">
        <f t="shared" si="68"/>
        <v>4.6596329999999995</v>
      </c>
      <c r="AV37" s="68">
        <f t="shared" si="69"/>
        <v>207.8669592</v>
      </c>
      <c r="AW37" s="100" t="s">
        <v>30</v>
      </c>
      <c r="AX37" s="60">
        <v>144.8</v>
      </c>
      <c r="AY37" s="279">
        <f t="shared" si="70"/>
        <v>542.730672</v>
      </c>
      <c r="AZ37" s="60">
        <v>3.1</v>
      </c>
      <c r="BA37" s="279">
        <f t="shared" si="71"/>
        <v>11.619234</v>
      </c>
      <c r="BB37" s="69">
        <v>222.98</v>
      </c>
      <c r="BC37" s="279">
        <f t="shared" si="72"/>
        <v>9.572531399999999</v>
      </c>
      <c r="BD37" s="81">
        <v>30100</v>
      </c>
      <c r="BE37" s="293">
        <f t="shared" si="73"/>
        <v>165.851</v>
      </c>
      <c r="BF37" s="69">
        <f t="shared" si="74"/>
        <v>222.98</v>
      </c>
      <c r="BG37" s="279">
        <f t="shared" si="75"/>
        <v>4.2678372</v>
      </c>
      <c r="BH37" s="68">
        <f t="shared" si="76"/>
        <v>734.0412746000001</v>
      </c>
    </row>
    <row r="38" spans="1:63" s="9" customFormat="1" ht="29.25" customHeight="1">
      <c r="A38" s="323" t="s">
        <v>84</v>
      </c>
      <c r="B38" s="78">
        <f t="shared" si="77"/>
        <v>1417.6399999999999</v>
      </c>
      <c r="C38" s="79">
        <f t="shared" si="77"/>
        <v>6689.90941583</v>
      </c>
      <c r="D38" s="60">
        <f t="shared" si="77"/>
        <v>1328.8400000000001</v>
      </c>
      <c r="E38" s="154">
        <f t="shared" si="77"/>
        <v>458.1953603200001</v>
      </c>
      <c r="F38" s="69">
        <f t="shared" si="77"/>
        <v>3110.45</v>
      </c>
      <c r="G38" s="150">
        <f t="shared" si="77"/>
        <v>156.89310550000002</v>
      </c>
      <c r="H38" s="57">
        <f t="shared" si="77"/>
        <v>788578</v>
      </c>
      <c r="I38" s="153">
        <f t="shared" si="77"/>
        <v>4150.51238</v>
      </c>
      <c r="J38" s="60">
        <f t="shared" si="77"/>
        <v>4439.289999999999</v>
      </c>
      <c r="K38" s="79">
        <f t="shared" si="77"/>
        <v>31.976472299999998</v>
      </c>
      <c r="L38" s="165">
        <f>C38+E38+G38+I38+K38</f>
        <v>11487.486733950002</v>
      </c>
      <c r="M38" s="278" t="s">
        <v>84</v>
      </c>
      <c r="N38" s="248">
        <v>671.38</v>
      </c>
      <c r="O38" s="280">
        <f>N38*4477.45/1000</f>
        <v>3006.070381</v>
      </c>
      <c r="P38" s="60">
        <v>594.86</v>
      </c>
      <c r="Q38" s="281">
        <f>P38*332.25/1000</f>
        <v>197.64223500000003</v>
      </c>
      <c r="R38" s="60">
        <v>1302.61</v>
      </c>
      <c r="S38" s="281">
        <f>R38*47.03/1000</f>
        <v>61.2617483</v>
      </c>
      <c r="T38" s="267">
        <v>212500</v>
      </c>
      <c r="U38" s="271">
        <f t="shared" si="55"/>
        <v>1068.2375</v>
      </c>
      <c r="V38" s="60">
        <f>R38+P38</f>
        <v>1897.4699999999998</v>
      </c>
      <c r="W38" s="281">
        <f>V38*6.97/1000</f>
        <v>13.225365899999998</v>
      </c>
      <c r="X38" s="68">
        <f>O38+Q38+S38+U38+W38</f>
        <v>4346.437230199999</v>
      </c>
      <c r="Y38" s="278" t="s">
        <v>84</v>
      </c>
      <c r="Z38" s="247">
        <v>205.15</v>
      </c>
      <c r="AA38" s="280">
        <f>Z38*4477.45/1000</f>
        <v>918.5488674999999</v>
      </c>
      <c r="AB38" s="250">
        <v>387.58</v>
      </c>
      <c r="AC38" s="281">
        <f>AB38*332.25/1000</f>
        <v>128.773455</v>
      </c>
      <c r="AD38" s="60">
        <v>458.14</v>
      </c>
      <c r="AE38" s="281">
        <f>AD38*47.03/1000</f>
        <v>21.5463242</v>
      </c>
      <c r="AF38" s="81">
        <v>190300</v>
      </c>
      <c r="AG38" s="271">
        <f t="shared" si="61"/>
        <v>956.6381</v>
      </c>
      <c r="AH38" s="60">
        <f>AD38+AB38</f>
        <v>845.72</v>
      </c>
      <c r="AI38" s="281">
        <f>AH38*6.97/1000</f>
        <v>5.8946684</v>
      </c>
      <c r="AJ38" s="68">
        <f>AA38+AC38+AE38+AG38+AI38</f>
        <v>2031.4014151</v>
      </c>
      <c r="AK38" s="278" t="s">
        <v>84</v>
      </c>
      <c r="AL38" s="60">
        <v>13.91</v>
      </c>
      <c r="AM38" s="280">
        <f>AL38*5110.403/1000</f>
        <v>71.08570573</v>
      </c>
      <c r="AN38" s="60">
        <v>80.8</v>
      </c>
      <c r="AO38" s="280">
        <f>AN38*380.4263/1000</f>
        <v>30.738445040000002</v>
      </c>
      <c r="AP38" s="60">
        <v>493.7</v>
      </c>
      <c r="AQ38" s="280">
        <f>AP38*54.89/1000</f>
        <v>27.099193</v>
      </c>
      <c r="AR38" s="81">
        <v>174700</v>
      </c>
      <c r="AS38" s="293">
        <f t="shared" si="67"/>
        <v>962.597</v>
      </c>
      <c r="AT38" s="60">
        <f>AP38+AN38</f>
        <v>574.5</v>
      </c>
      <c r="AU38" s="280">
        <f>AT38*7.58/1000</f>
        <v>4.35471</v>
      </c>
      <c r="AV38" s="68">
        <f>AM38+AO38+AQ38+AS38+AU38</f>
        <v>1095.87505377</v>
      </c>
      <c r="AW38" s="278" t="s">
        <v>84</v>
      </c>
      <c r="AX38" s="60">
        <v>527.2</v>
      </c>
      <c r="AY38" s="280">
        <f>AX38*5110.403/1000</f>
        <v>2694.2044616000003</v>
      </c>
      <c r="AZ38" s="60">
        <v>265.6</v>
      </c>
      <c r="BA38" s="280">
        <f>AZ38*380.4263/1000</f>
        <v>101.04122528000002</v>
      </c>
      <c r="BB38" s="69">
        <v>856</v>
      </c>
      <c r="BC38" s="280">
        <f>BB38*54.89/1000</f>
        <v>46.98584</v>
      </c>
      <c r="BD38" s="81">
        <v>211078</v>
      </c>
      <c r="BE38" s="293">
        <f t="shared" si="73"/>
        <v>1163.03978</v>
      </c>
      <c r="BF38" s="60">
        <f>BB38+AZ38</f>
        <v>1121.6</v>
      </c>
      <c r="BG38" s="280">
        <f>BF38*7.58/1000</f>
        <v>8.501728</v>
      </c>
      <c r="BH38" s="68">
        <f>AY38+BA38+BC38+BE38+BG38</f>
        <v>4013.7730348800005</v>
      </c>
      <c r="BI38" s="1"/>
      <c r="BJ38" s="1"/>
      <c r="BK38" s="1"/>
    </row>
    <row r="39" spans="1:60" ht="16.5" thickBot="1">
      <c r="A39" s="320" t="s">
        <v>29</v>
      </c>
      <c r="B39" s="78">
        <f t="shared" si="77"/>
        <v>146.5</v>
      </c>
      <c r="C39" s="79">
        <f t="shared" si="77"/>
        <v>792.7396811</v>
      </c>
      <c r="D39" s="60">
        <f t="shared" si="77"/>
        <v>4.279999999999999</v>
      </c>
      <c r="E39" s="154">
        <f t="shared" si="77"/>
        <v>22.6952521</v>
      </c>
      <c r="F39" s="69">
        <f t="shared" si="77"/>
        <v>230.16</v>
      </c>
      <c r="G39" s="150">
        <f t="shared" si="77"/>
        <v>6.5816882</v>
      </c>
      <c r="H39" s="57">
        <f t="shared" si="50"/>
        <v>10290.330000000002</v>
      </c>
      <c r="I39" s="153">
        <f t="shared" si="50"/>
        <v>54.13862529</v>
      </c>
      <c r="J39" s="60">
        <f t="shared" si="50"/>
        <v>230.16</v>
      </c>
      <c r="K39" s="79">
        <f t="shared" si="50"/>
        <v>2.4156824</v>
      </c>
      <c r="L39" s="165">
        <f>C39+E39+G39+I39+K39</f>
        <v>878.57092909</v>
      </c>
      <c r="M39" s="122" t="s">
        <v>29</v>
      </c>
      <c r="N39" s="248">
        <v>7</v>
      </c>
      <c r="O39" s="272">
        <f>N39*5143.95/1000</f>
        <v>36.00765</v>
      </c>
      <c r="P39" s="60">
        <v>1.17</v>
      </c>
      <c r="Q39" s="272">
        <f>P39*5143.95/1000</f>
        <v>6.0184215</v>
      </c>
      <c r="R39" s="60">
        <v>36.5</v>
      </c>
      <c r="S39" s="272">
        <f>R39*24.72/1000</f>
        <v>0.90228</v>
      </c>
      <c r="T39" s="267">
        <v>3080.76</v>
      </c>
      <c r="U39" s="271">
        <f t="shared" si="55"/>
        <v>15.486980520000001</v>
      </c>
      <c r="V39" s="60">
        <f>R39</f>
        <v>36.5</v>
      </c>
      <c r="W39" s="273">
        <f>V39*10.06/1000</f>
        <v>0.36719</v>
      </c>
      <c r="X39" s="68">
        <f t="shared" si="57"/>
        <v>58.78252202</v>
      </c>
      <c r="Y39" s="122" t="s">
        <v>29</v>
      </c>
      <c r="Z39" s="60">
        <v>39.77</v>
      </c>
      <c r="AA39" s="272">
        <f>Z39*5143.95/1000</f>
        <v>204.5748915</v>
      </c>
      <c r="AB39" s="250">
        <v>1.38</v>
      </c>
      <c r="AC39" s="272">
        <f>AB39*5143.95/1000</f>
        <v>7.0986509999999985</v>
      </c>
      <c r="AD39" s="60">
        <v>46.2</v>
      </c>
      <c r="AE39" s="272">
        <f>AD39*24.72/1000</f>
        <v>1.142064</v>
      </c>
      <c r="AF39" s="81">
        <v>2221.71</v>
      </c>
      <c r="AG39" s="271">
        <f t="shared" si="61"/>
        <v>11.168536170000001</v>
      </c>
      <c r="AH39" s="60">
        <f>AD39</f>
        <v>46.2</v>
      </c>
      <c r="AI39" s="273">
        <f>AH39*10.06/1000</f>
        <v>0.4647720000000001</v>
      </c>
      <c r="AJ39" s="68">
        <f t="shared" si="63"/>
        <v>224.44891467000002</v>
      </c>
      <c r="AK39" s="98" t="s">
        <v>29</v>
      </c>
      <c r="AL39" s="60">
        <v>8.1</v>
      </c>
      <c r="AM39" s="273">
        <f>AL39*5536.52/1000</f>
        <v>44.845811999999995</v>
      </c>
      <c r="AN39" s="60">
        <v>0.17</v>
      </c>
      <c r="AO39" s="273">
        <f>AN39*5536.52/1000</f>
        <v>0.9412084000000001</v>
      </c>
      <c r="AP39" s="60">
        <v>44.86</v>
      </c>
      <c r="AQ39" s="288">
        <f>AP39*30.77/1000</f>
        <v>1.3803422</v>
      </c>
      <c r="AR39" s="81">
        <v>2646.06</v>
      </c>
      <c r="AS39" s="293">
        <f t="shared" si="67"/>
        <v>14.579790599999999</v>
      </c>
      <c r="AT39" s="69">
        <f>AP39</f>
        <v>44.86</v>
      </c>
      <c r="AU39" s="273">
        <f>AT39*10.74/1000</f>
        <v>0.4817964</v>
      </c>
      <c r="AV39" s="68">
        <f t="shared" si="69"/>
        <v>62.2289496</v>
      </c>
      <c r="AW39" s="98" t="s">
        <v>29</v>
      </c>
      <c r="AX39" s="60">
        <v>91.63</v>
      </c>
      <c r="AY39" s="273">
        <f>AX39*5536.52/1000</f>
        <v>507.3113276</v>
      </c>
      <c r="AZ39" s="60">
        <v>1.56</v>
      </c>
      <c r="BA39" s="273">
        <f>AZ39*5536.52/1000</f>
        <v>8.636971200000001</v>
      </c>
      <c r="BB39" s="69">
        <v>102.6</v>
      </c>
      <c r="BC39" s="288">
        <f>BB39*30.77/1000</f>
        <v>3.157002</v>
      </c>
      <c r="BD39" s="81">
        <v>2341.8</v>
      </c>
      <c r="BE39" s="293">
        <f t="shared" si="73"/>
        <v>12.903318</v>
      </c>
      <c r="BF39" s="69">
        <f t="shared" si="74"/>
        <v>102.6</v>
      </c>
      <c r="BG39" s="273">
        <f>BF39*10.74/1000</f>
        <v>1.101924</v>
      </c>
      <c r="BH39" s="68">
        <f t="shared" si="76"/>
        <v>533.1105428000001</v>
      </c>
    </row>
    <row r="40" spans="1:62" s="9" customFormat="1" ht="15" customHeight="1" thickBot="1">
      <c r="A40" s="355" t="s">
        <v>24</v>
      </c>
      <c r="B40" s="35">
        <f t="shared" si="77"/>
        <v>2796.38</v>
      </c>
      <c r="C40" s="50">
        <f t="shared" si="77"/>
        <v>11775.14812573</v>
      </c>
      <c r="D40" s="35">
        <f>P40+AB40+AN40+AZ40</f>
        <v>1442.53</v>
      </c>
      <c r="E40" s="44">
        <f t="shared" si="77"/>
        <v>869.11190762</v>
      </c>
      <c r="F40" s="34">
        <f t="shared" si="77"/>
        <v>6474.610000000001</v>
      </c>
      <c r="G40" s="50">
        <f t="shared" si="77"/>
        <v>290.25771</v>
      </c>
      <c r="H40" s="84">
        <f t="shared" si="50"/>
        <v>999237.49</v>
      </c>
      <c r="I40" s="44">
        <f t="shared" si="50"/>
        <v>5257.31959181</v>
      </c>
      <c r="J40" s="34">
        <f t="shared" si="50"/>
        <v>7803.450000000001</v>
      </c>
      <c r="K40" s="46">
        <f t="shared" si="50"/>
        <v>92.12466509999999</v>
      </c>
      <c r="L40" s="63">
        <f>C40+E40+G40+I40+K40</f>
        <v>18283.96200026</v>
      </c>
      <c r="M40" s="20" t="s">
        <v>24</v>
      </c>
      <c r="N40" s="37">
        <f aca="true" t="shared" si="78" ref="N40:W40">SUM(N30:N39)</f>
        <v>1179.24</v>
      </c>
      <c r="O40" s="44">
        <f t="shared" si="78"/>
        <v>4732.5406342</v>
      </c>
      <c r="P40" s="37">
        <f t="shared" si="78"/>
        <v>624.5699999999999</v>
      </c>
      <c r="Q40" s="44">
        <f t="shared" si="78"/>
        <v>299.9865813</v>
      </c>
      <c r="R40" s="37">
        <f t="shared" si="78"/>
        <v>2198.23</v>
      </c>
      <c r="S40" s="44">
        <f t="shared" si="78"/>
        <v>95.2573307</v>
      </c>
      <c r="T40" s="37">
        <f t="shared" si="78"/>
        <v>270970.69</v>
      </c>
      <c r="U40" s="44">
        <f t="shared" si="78"/>
        <v>1362.16965863</v>
      </c>
      <c r="V40" s="37">
        <f t="shared" si="78"/>
        <v>2793.0899999999997</v>
      </c>
      <c r="W40" s="44">
        <f t="shared" si="78"/>
        <v>28.9364391</v>
      </c>
      <c r="X40" s="38">
        <f>O40+Q40+S40+U40+W40</f>
        <v>6518.890643929999</v>
      </c>
      <c r="Y40" s="20" t="s">
        <v>24</v>
      </c>
      <c r="Z40" s="37">
        <f aca="true" t="shared" si="79" ref="Z40:AI40">SUM(Z30:Z39)</f>
        <v>422.5</v>
      </c>
      <c r="AA40" s="44">
        <f t="shared" si="79"/>
        <v>1722.4775685999998</v>
      </c>
      <c r="AB40" s="37">
        <f t="shared" si="79"/>
        <v>419.03</v>
      </c>
      <c r="AC40" s="44">
        <f t="shared" si="79"/>
        <v>237.3619644</v>
      </c>
      <c r="AD40" s="37">
        <f t="shared" si="79"/>
        <v>1404.7900000000002</v>
      </c>
      <c r="AE40" s="44">
        <f t="shared" si="79"/>
        <v>57.373722199999996</v>
      </c>
      <c r="AF40" s="37">
        <f t="shared" si="79"/>
        <v>243478.54</v>
      </c>
      <c r="AG40" s="44">
        <f t="shared" si="79"/>
        <v>1223.96662058</v>
      </c>
      <c r="AH40" s="37">
        <f t="shared" si="79"/>
        <v>1792.3700000000001</v>
      </c>
      <c r="AI40" s="44">
        <f t="shared" si="79"/>
        <v>22.4414774</v>
      </c>
      <c r="AJ40" s="38">
        <f>AA40+AC40+AE40+AG40+AI40</f>
        <v>3263.62135318</v>
      </c>
      <c r="AK40" s="20" t="s">
        <v>24</v>
      </c>
      <c r="AL40" s="37">
        <f aca="true" t="shared" si="80" ref="AL40:AU40">SUM(AL30:AL39)</f>
        <v>67.21</v>
      </c>
      <c r="AM40" s="44">
        <f t="shared" si="80"/>
        <v>278.18546173</v>
      </c>
      <c r="AN40" s="37">
        <f t="shared" si="80"/>
        <v>101.54</v>
      </c>
      <c r="AO40" s="44">
        <f t="shared" si="80"/>
        <v>108.77889324</v>
      </c>
      <c r="AP40" s="37">
        <f t="shared" si="80"/>
        <v>1229.01</v>
      </c>
      <c r="AQ40" s="44">
        <f t="shared" si="80"/>
        <v>58.1205537</v>
      </c>
      <c r="AR40" s="37">
        <f t="shared" si="80"/>
        <v>223038.34</v>
      </c>
      <c r="AS40" s="44">
        <f t="shared" si="80"/>
        <v>1228.9412534</v>
      </c>
      <c r="AT40" s="37">
        <f t="shared" si="80"/>
        <v>1309.81</v>
      </c>
      <c r="AU40" s="44">
        <f t="shared" si="80"/>
        <v>18.0517194</v>
      </c>
      <c r="AV40" s="38">
        <f>AM40+AO40+AQ40+AS40+AU40</f>
        <v>1692.07788147</v>
      </c>
      <c r="AW40" s="20" t="s">
        <v>24</v>
      </c>
      <c r="AX40" s="37">
        <f>SUM(AX30:AX39)</f>
        <v>1127.4299999999998</v>
      </c>
      <c r="AY40" s="44">
        <f>SUM(AY30:AY39)</f>
        <v>5041.944461200001</v>
      </c>
      <c r="AZ40" s="37">
        <f>SUM(AZ30:AZ39)</f>
        <v>297.39000000000004</v>
      </c>
      <c r="BA40" s="44">
        <f>SUM(BA30:BA39)</f>
        <v>222.98446868000002</v>
      </c>
      <c r="BB40" s="37">
        <f aca="true" t="shared" si="81" ref="BB40:BG40">SUM(BB30:BB39)</f>
        <v>1642.58</v>
      </c>
      <c r="BC40" s="44">
        <f t="shared" si="81"/>
        <v>79.5061034</v>
      </c>
      <c r="BD40" s="37">
        <f t="shared" si="81"/>
        <v>261749.91999999998</v>
      </c>
      <c r="BE40" s="44">
        <f t="shared" si="81"/>
        <v>1442.2420592</v>
      </c>
      <c r="BF40" s="37">
        <f t="shared" si="81"/>
        <v>1908.1799999999998</v>
      </c>
      <c r="BG40" s="44">
        <f t="shared" si="81"/>
        <v>22.6950292</v>
      </c>
      <c r="BH40" s="38">
        <f>AY40+BA40+BC40+BE40+BG40</f>
        <v>6809.37212168</v>
      </c>
      <c r="BI40" s="12"/>
      <c r="BJ40" s="11"/>
    </row>
    <row r="41" spans="1:60" ht="16.5" thickBot="1">
      <c r="A41" s="315" t="s">
        <v>33</v>
      </c>
      <c r="B41" s="187" t="s">
        <v>35</v>
      </c>
      <c r="C41" s="115"/>
      <c r="D41" s="115"/>
      <c r="E41" s="115"/>
      <c r="F41" s="115"/>
      <c r="G41" s="115"/>
      <c r="H41" s="176" t="s">
        <v>35</v>
      </c>
      <c r="I41" s="115"/>
      <c r="J41" s="115"/>
      <c r="K41" s="115" t="s">
        <v>35</v>
      </c>
      <c r="L41" s="53"/>
      <c r="M41" s="133" t="s">
        <v>33</v>
      </c>
      <c r="N41" s="90"/>
      <c r="O41" s="134"/>
      <c r="P41" s="135"/>
      <c r="Q41" s="134"/>
      <c r="R41" s="135"/>
      <c r="S41" s="135"/>
      <c r="T41" s="244"/>
      <c r="U41" s="135"/>
      <c r="V41" s="135"/>
      <c r="W41" s="135" t="s">
        <v>35</v>
      </c>
      <c r="X41" s="136"/>
      <c r="Y41" s="114" t="s">
        <v>33</v>
      </c>
      <c r="Z41" s="133"/>
      <c r="AA41" s="134"/>
      <c r="AB41" s="117"/>
      <c r="AC41" s="134"/>
      <c r="AD41" s="117"/>
      <c r="AE41" s="135"/>
      <c r="AF41" s="61"/>
      <c r="AG41" s="135"/>
      <c r="AH41" s="135"/>
      <c r="AI41" s="135" t="s">
        <v>35</v>
      </c>
      <c r="AJ41" s="136"/>
      <c r="AK41" s="114" t="s">
        <v>33</v>
      </c>
      <c r="AL41" s="115"/>
      <c r="AM41" s="72"/>
      <c r="AN41" s="73"/>
      <c r="AO41" s="72"/>
      <c r="AP41" s="73"/>
      <c r="AQ41" s="73"/>
      <c r="AR41" s="302"/>
      <c r="AS41" s="72"/>
      <c r="AT41" s="73" t="s">
        <v>35</v>
      </c>
      <c r="AU41" s="74"/>
      <c r="AV41" s="38"/>
      <c r="AW41" s="102" t="s">
        <v>33</v>
      </c>
      <c r="AX41" s="185" t="s">
        <v>35</v>
      </c>
      <c r="AY41" s="72"/>
      <c r="AZ41" s="73"/>
      <c r="BA41" s="72"/>
      <c r="BB41" s="73"/>
      <c r="BC41" s="73"/>
      <c r="BD41" s="83"/>
      <c r="BE41" s="72"/>
      <c r="BF41" s="73"/>
      <c r="BG41" s="73"/>
      <c r="BH41" s="53"/>
    </row>
    <row r="42" spans="1:60" s="4" customFormat="1" ht="15">
      <c r="A42" s="306" t="s">
        <v>17</v>
      </c>
      <c r="B42" s="65">
        <f aca="true" t="shared" si="82" ref="B42:K53">N42+Z42+AL42+AX42</f>
        <v>1611.7200000000003</v>
      </c>
      <c r="C42" s="151">
        <f t="shared" si="82"/>
        <v>5692.7865234</v>
      </c>
      <c r="D42" s="65">
        <f t="shared" si="82"/>
        <v>67.87</v>
      </c>
      <c r="E42" s="151">
        <f t="shared" si="82"/>
        <v>239.90189519999998</v>
      </c>
      <c r="F42" s="67">
        <f t="shared" si="82"/>
        <v>5923.1</v>
      </c>
      <c r="G42" s="164">
        <f t="shared" si="82"/>
        <v>236.3803011</v>
      </c>
      <c r="H42" s="173">
        <f t="shared" si="82"/>
        <v>93578.47</v>
      </c>
      <c r="I42" s="151">
        <f t="shared" si="82"/>
        <v>491.55359969000006</v>
      </c>
      <c r="J42" s="67">
        <f t="shared" si="82"/>
        <v>5923.1</v>
      </c>
      <c r="K42" s="151">
        <f t="shared" si="82"/>
        <v>108.1731388</v>
      </c>
      <c r="L42" s="165">
        <f aca="true" t="shared" si="83" ref="L42:L53">C42+E42+G42+I42+K42</f>
        <v>6768.795458189999</v>
      </c>
      <c r="M42" s="145" t="s">
        <v>17</v>
      </c>
      <c r="N42" s="261">
        <v>719.57</v>
      </c>
      <c r="O42" s="270">
        <f>N42*3375.12/1000</f>
        <v>2428.6350984</v>
      </c>
      <c r="P42" s="65">
        <v>26.33</v>
      </c>
      <c r="Q42" s="270">
        <f>P42*3375.12/1000</f>
        <v>88.86690959999999</v>
      </c>
      <c r="R42" s="65">
        <v>1721.19</v>
      </c>
      <c r="S42" s="270">
        <f>R42*38.52/1000</f>
        <v>66.3002388</v>
      </c>
      <c r="T42" s="80">
        <v>29913.47</v>
      </c>
      <c r="U42" s="271">
        <f aca="true" t="shared" si="84" ref="U42:U52">T42*5.027/1000</f>
        <v>150.37501369000003</v>
      </c>
      <c r="V42" s="65">
        <f>R42</f>
        <v>1721.19</v>
      </c>
      <c r="W42" s="270">
        <f>V42*17.86/1000</f>
        <v>30.7404534</v>
      </c>
      <c r="X42" s="68">
        <f aca="true" t="shared" si="85" ref="X42:X52">O42+Q42+S42+U42+W42</f>
        <v>2764.91771389</v>
      </c>
      <c r="Y42" s="103" t="s">
        <v>17</v>
      </c>
      <c r="Z42" s="65">
        <v>213.8</v>
      </c>
      <c r="AA42" s="270">
        <f>Z42*3375.12/1000</f>
        <v>721.600656</v>
      </c>
      <c r="AB42" s="65">
        <v>12.5</v>
      </c>
      <c r="AC42" s="270">
        <f>AB42*3375.12/1000</f>
        <v>42.189</v>
      </c>
      <c r="AD42" s="65">
        <v>2337.4</v>
      </c>
      <c r="AE42" s="270">
        <f>AD42*38.52/1000</f>
        <v>90.03664800000001</v>
      </c>
      <c r="AF42" s="80">
        <v>19908</v>
      </c>
      <c r="AG42" s="271">
        <f aca="true" t="shared" si="86" ref="AG42:AG52">AF42*5.027/1000</f>
        <v>100.077516</v>
      </c>
      <c r="AH42" s="65">
        <f>AD42</f>
        <v>2337.4</v>
      </c>
      <c r="AI42" s="270">
        <f>AH42*17.86/1000</f>
        <v>41.745964</v>
      </c>
      <c r="AJ42" s="68">
        <f aca="true" t="shared" si="87" ref="AJ42:AJ52">AA42+AC42+AE42+AG42+AI42</f>
        <v>995.649784</v>
      </c>
      <c r="AK42" s="103" t="s">
        <v>17</v>
      </c>
      <c r="AL42" s="65">
        <v>19.5</v>
      </c>
      <c r="AM42" s="289">
        <f>AL42*3748.14/1000</f>
        <v>73.08873</v>
      </c>
      <c r="AN42" s="78">
        <v>8.31</v>
      </c>
      <c r="AO42" s="289">
        <f>AN42*3748.14/1000</f>
        <v>31.1470434</v>
      </c>
      <c r="AP42" s="78">
        <v>701.3</v>
      </c>
      <c r="AQ42" s="289">
        <f>AP42*42.93/1000</f>
        <v>30.106809</v>
      </c>
      <c r="AR42" s="85">
        <v>15645</v>
      </c>
      <c r="AS42" s="299">
        <f aca="true" t="shared" si="88" ref="AS42:AS52">AR42*5.51/1000</f>
        <v>86.20394999999999</v>
      </c>
      <c r="AT42" s="78">
        <f>AP42</f>
        <v>701.3</v>
      </c>
      <c r="AU42" s="289">
        <f>AT42*19.14/1000</f>
        <v>13.422882</v>
      </c>
      <c r="AV42" s="68">
        <f aca="true" t="shared" si="89" ref="AV42:AV52">AM42+AO42+AQ42+AS42+AU42</f>
        <v>233.96941439999998</v>
      </c>
      <c r="AW42" s="103" t="s">
        <v>17</v>
      </c>
      <c r="AX42" s="78">
        <v>658.85</v>
      </c>
      <c r="AY42" s="289">
        <f>AX42*3748.14/1000</f>
        <v>2469.462039</v>
      </c>
      <c r="AZ42" s="78">
        <v>20.73</v>
      </c>
      <c r="BA42" s="289">
        <f>AZ42*3748.14/1000</f>
        <v>77.6989422</v>
      </c>
      <c r="BB42" s="78">
        <v>1163.21</v>
      </c>
      <c r="BC42" s="289">
        <f>BB42*42.93/1000</f>
        <v>49.936605300000004</v>
      </c>
      <c r="BD42" s="85">
        <v>28112</v>
      </c>
      <c r="BE42" s="299">
        <f aca="true" t="shared" si="90" ref="BE42:BE52">BD42*5.51/1000</f>
        <v>154.89712</v>
      </c>
      <c r="BF42" s="78">
        <f aca="true" t="shared" si="91" ref="BF42:BF52">BB42</f>
        <v>1163.21</v>
      </c>
      <c r="BG42" s="289">
        <f>BF42*19.14/1000</f>
        <v>22.263839400000002</v>
      </c>
      <c r="BH42" s="68">
        <f aca="true" t="shared" si="92" ref="BH42:BH52">AY42+BA42+BC42+BE42+BG42</f>
        <v>2774.2585459</v>
      </c>
    </row>
    <row r="43" spans="1:60" ht="15.75">
      <c r="A43" s="307" t="s">
        <v>47</v>
      </c>
      <c r="B43" s="78">
        <f t="shared" si="82"/>
        <v>334.06</v>
      </c>
      <c r="C43" s="79">
        <f t="shared" si="82"/>
        <v>1202.7195305999999</v>
      </c>
      <c r="D43" s="60">
        <f t="shared" si="82"/>
        <v>84.82</v>
      </c>
      <c r="E43" s="154">
        <f t="shared" si="82"/>
        <v>303.5261232</v>
      </c>
      <c r="F43" s="69">
        <f t="shared" si="82"/>
        <v>2865.85</v>
      </c>
      <c r="G43" s="150">
        <f t="shared" si="82"/>
        <v>116.5923405</v>
      </c>
      <c r="H43" s="57">
        <f t="shared" si="82"/>
        <v>43848.770000000004</v>
      </c>
      <c r="I43" s="79">
        <f t="shared" si="82"/>
        <v>230.81868586000002</v>
      </c>
      <c r="J43" s="69">
        <f t="shared" si="82"/>
        <v>2865.85</v>
      </c>
      <c r="K43" s="79">
        <f t="shared" si="82"/>
        <v>52.983569</v>
      </c>
      <c r="L43" s="165">
        <f t="shared" si="83"/>
        <v>1906.64024916</v>
      </c>
      <c r="M43" s="146" t="s">
        <v>47</v>
      </c>
      <c r="N43" s="248">
        <v>109.59</v>
      </c>
      <c r="O43" s="270">
        <f>N43*3375.12/1000</f>
        <v>369.8794008</v>
      </c>
      <c r="P43" s="60">
        <v>24.44</v>
      </c>
      <c r="Q43" s="270">
        <f>P43*3375.12/1000</f>
        <v>82.4879328</v>
      </c>
      <c r="R43" s="60">
        <v>885</v>
      </c>
      <c r="S43" s="270">
        <f>R43*38.52/1000</f>
        <v>34.0902</v>
      </c>
      <c r="T43" s="81">
        <v>14289.08</v>
      </c>
      <c r="U43" s="271">
        <f t="shared" si="84"/>
        <v>71.83120516</v>
      </c>
      <c r="V43" s="60">
        <f>R43</f>
        <v>885</v>
      </c>
      <c r="W43" s="270">
        <f>V43*17.86/1000</f>
        <v>15.8061</v>
      </c>
      <c r="X43" s="68">
        <f t="shared" si="85"/>
        <v>574.09483876</v>
      </c>
      <c r="Y43" s="96" t="s">
        <v>47</v>
      </c>
      <c r="Z43" s="60">
        <v>22.8</v>
      </c>
      <c r="AA43" s="270">
        <f>Z43*3375.12/1000</f>
        <v>76.952736</v>
      </c>
      <c r="AB43" s="60">
        <v>14.14</v>
      </c>
      <c r="AC43" s="270">
        <f>AB43*3375.12/1000</f>
        <v>47.7241968</v>
      </c>
      <c r="AD43" s="60">
        <v>575</v>
      </c>
      <c r="AE43" s="270">
        <f>AD43*38.52/1000</f>
        <v>22.149</v>
      </c>
      <c r="AF43" s="81">
        <v>8046.4</v>
      </c>
      <c r="AG43" s="271">
        <f t="shared" si="86"/>
        <v>40.449252800000004</v>
      </c>
      <c r="AH43" s="60">
        <f>AD43</f>
        <v>575</v>
      </c>
      <c r="AI43" s="270">
        <f>AH43*17.86/1000</f>
        <v>10.2695</v>
      </c>
      <c r="AJ43" s="68">
        <f t="shared" si="87"/>
        <v>197.5446856</v>
      </c>
      <c r="AK43" s="96" t="s">
        <v>47</v>
      </c>
      <c r="AL43" s="60">
        <v>7.2</v>
      </c>
      <c r="AM43" s="279">
        <f>AL43*3748.14/1000</f>
        <v>26.986608</v>
      </c>
      <c r="AN43" s="60">
        <v>21.27</v>
      </c>
      <c r="AO43" s="279">
        <f>AN43*3748.14/1000</f>
        <v>79.7229378</v>
      </c>
      <c r="AP43" s="60">
        <v>648</v>
      </c>
      <c r="AQ43" s="279">
        <f>AP43*42.93/1000</f>
        <v>27.81864</v>
      </c>
      <c r="AR43" s="81">
        <v>6060.29</v>
      </c>
      <c r="AS43" s="293">
        <f t="shared" si="88"/>
        <v>33.3921979</v>
      </c>
      <c r="AT43" s="60">
        <f>AP43</f>
        <v>648</v>
      </c>
      <c r="AU43" s="279">
        <f>AT43*19.14/1000</f>
        <v>12.40272</v>
      </c>
      <c r="AV43" s="68">
        <f t="shared" si="89"/>
        <v>180.3231037</v>
      </c>
      <c r="AW43" s="96" t="s">
        <v>47</v>
      </c>
      <c r="AX43" s="60">
        <v>194.47</v>
      </c>
      <c r="AY43" s="279">
        <f>AX43*3748.14/1000</f>
        <v>728.9007858</v>
      </c>
      <c r="AZ43" s="60">
        <v>24.97</v>
      </c>
      <c r="BA43" s="279">
        <f>AZ43*3748.14/1000</f>
        <v>93.59105579999999</v>
      </c>
      <c r="BB43" s="60">
        <v>757.85</v>
      </c>
      <c r="BC43" s="279">
        <f>BB43*42.93/1000</f>
        <v>32.5345005</v>
      </c>
      <c r="BD43" s="81">
        <v>15453</v>
      </c>
      <c r="BE43" s="293">
        <f t="shared" si="90"/>
        <v>85.14603</v>
      </c>
      <c r="BF43" s="60">
        <f t="shared" si="91"/>
        <v>757.85</v>
      </c>
      <c r="BG43" s="279">
        <f>BF43*19.14/1000</f>
        <v>14.505249000000001</v>
      </c>
      <c r="BH43" s="68">
        <f t="shared" si="92"/>
        <v>954.6776211000001</v>
      </c>
    </row>
    <row r="44" spans="1:62" ht="21.75" customHeight="1">
      <c r="A44" s="309" t="s">
        <v>19</v>
      </c>
      <c r="B44" s="78">
        <f t="shared" si="82"/>
        <v>1838.53</v>
      </c>
      <c r="C44" s="79">
        <f t="shared" si="82"/>
        <v>6480.4138464</v>
      </c>
      <c r="D44" s="60">
        <f t="shared" si="82"/>
        <v>143.61</v>
      </c>
      <c r="E44" s="154">
        <f t="shared" si="82"/>
        <v>511.0436556</v>
      </c>
      <c r="F44" s="69">
        <f t="shared" si="82"/>
        <v>6962.299999999999</v>
      </c>
      <c r="G44" s="150">
        <f t="shared" si="82"/>
        <v>282.99260699999996</v>
      </c>
      <c r="H44" s="57">
        <f t="shared" si="82"/>
        <v>188578.6</v>
      </c>
      <c r="I44" s="79">
        <f t="shared" si="82"/>
        <v>993.53768045</v>
      </c>
      <c r="J44" s="69">
        <f t="shared" si="82"/>
        <v>6962.299999999999</v>
      </c>
      <c r="K44" s="79">
        <f t="shared" si="82"/>
        <v>128.643766</v>
      </c>
      <c r="L44" s="165">
        <f t="shared" si="83"/>
        <v>8396.63155545</v>
      </c>
      <c r="M44" s="147" t="s">
        <v>19</v>
      </c>
      <c r="N44" s="248">
        <v>877.18</v>
      </c>
      <c r="O44" s="270">
        <f>N44*3375.12/1000</f>
        <v>2960.5877616</v>
      </c>
      <c r="P44" s="268">
        <v>40.49</v>
      </c>
      <c r="Q44" s="270">
        <f>P44*3375.12/1000</f>
        <v>136.65860880000002</v>
      </c>
      <c r="R44" s="76">
        <v>2143.2</v>
      </c>
      <c r="S44" s="270">
        <f>R44*38.52/1000</f>
        <v>82.55606399999999</v>
      </c>
      <c r="T44" s="81">
        <v>54056.1</v>
      </c>
      <c r="U44" s="271">
        <f t="shared" si="84"/>
        <v>271.7400147</v>
      </c>
      <c r="V44" s="60">
        <f>R44</f>
        <v>2143.2</v>
      </c>
      <c r="W44" s="270">
        <f>V44*17.86/1000</f>
        <v>38.27755199999999</v>
      </c>
      <c r="X44" s="68">
        <f t="shared" si="85"/>
        <v>3489.8200010999994</v>
      </c>
      <c r="Y44" s="104" t="s">
        <v>19</v>
      </c>
      <c r="Z44" s="60">
        <v>223.71</v>
      </c>
      <c r="AA44" s="270">
        <f>Z44*3375.12/1000</f>
        <v>755.0480952</v>
      </c>
      <c r="AB44" s="268">
        <v>32.5</v>
      </c>
      <c r="AC44" s="270">
        <f>AB44*3375.12/1000</f>
        <v>109.69139999999999</v>
      </c>
      <c r="AD44" s="76">
        <v>1462</v>
      </c>
      <c r="AE44" s="270">
        <f>AD44*38.52/1000</f>
        <v>56.31624000000001</v>
      </c>
      <c r="AF44" s="81">
        <v>40209.75</v>
      </c>
      <c r="AG44" s="271">
        <f t="shared" si="86"/>
        <v>202.13441325000002</v>
      </c>
      <c r="AH44" s="60">
        <f>AD44</f>
        <v>1462</v>
      </c>
      <c r="AI44" s="270">
        <f>AH44*17.86/1000</f>
        <v>26.11132</v>
      </c>
      <c r="AJ44" s="68">
        <f t="shared" si="87"/>
        <v>1149.30146845</v>
      </c>
      <c r="AK44" s="96" t="s">
        <v>19</v>
      </c>
      <c r="AL44" s="60">
        <v>21.45</v>
      </c>
      <c r="AM44" s="279">
        <f>AL44*3748.14/1000</f>
        <v>80.39760299999999</v>
      </c>
      <c r="AN44" s="60">
        <v>26.23</v>
      </c>
      <c r="AO44" s="279">
        <f>AN44*3748.14/1000</f>
        <v>98.3137122</v>
      </c>
      <c r="AP44" s="60">
        <v>1067</v>
      </c>
      <c r="AQ44" s="279">
        <f>AP44*42.93/1000</f>
        <v>45.806309999999996</v>
      </c>
      <c r="AR44" s="81">
        <v>44472.75</v>
      </c>
      <c r="AS44" s="293">
        <f t="shared" si="88"/>
        <v>245.0448525</v>
      </c>
      <c r="AT44" s="60">
        <f>AP44</f>
        <v>1067</v>
      </c>
      <c r="AU44" s="279">
        <f>AT44*19.14/1000</f>
        <v>20.42238</v>
      </c>
      <c r="AV44" s="68">
        <f t="shared" si="89"/>
        <v>489.98485769999996</v>
      </c>
      <c r="AW44" s="96" t="s">
        <v>19</v>
      </c>
      <c r="AX44" s="60">
        <v>716.19</v>
      </c>
      <c r="AY44" s="279">
        <f>AX44*3748.14/1000</f>
        <v>2684.3803866000003</v>
      </c>
      <c r="AZ44" s="60">
        <v>44.39</v>
      </c>
      <c r="BA44" s="279">
        <f>AZ44*3748.14/1000</f>
        <v>166.3799346</v>
      </c>
      <c r="BB44" s="60">
        <v>2290.1</v>
      </c>
      <c r="BC44" s="279">
        <f>BB44*42.93/1000</f>
        <v>98.313993</v>
      </c>
      <c r="BD44" s="81">
        <v>49840</v>
      </c>
      <c r="BE44" s="293">
        <f t="shared" si="90"/>
        <v>274.61839999999995</v>
      </c>
      <c r="BF44" s="60">
        <f t="shared" si="91"/>
        <v>2290.1</v>
      </c>
      <c r="BG44" s="279">
        <f>BF44*19.14/1000</f>
        <v>43.832514</v>
      </c>
      <c r="BH44" s="68">
        <f t="shared" si="92"/>
        <v>3267.5252282000006</v>
      </c>
      <c r="BJ44" s="1" t="s">
        <v>35</v>
      </c>
    </row>
    <row r="45" spans="1:60" ht="15.75">
      <c r="A45" s="309" t="s">
        <v>44</v>
      </c>
      <c r="B45" s="78">
        <f t="shared" si="82"/>
        <v>0</v>
      </c>
      <c r="C45" s="79">
        <f t="shared" si="82"/>
        <v>0</v>
      </c>
      <c r="D45" s="60">
        <f t="shared" si="82"/>
        <v>0</v>
      </c>
      <c r="E45" s="154">
        <f t="shared" si="82"/>
        <v>0</v>
      </c>
      <c r="F45" s="69">
        <f t="shared" si="82"/>
        <v>0</v>
      </c>
      <c r="G45" s="150">
        <f t="shared" si="82"/>
        <v>0</v>
      </c>
      <c r="H45" s="57">
        <f t="shared" si="82"/>
        <v>4697.02</v>
      </c>
      <c r="I45" s="79">
        <f t="shared" si="82"/>
        <v>24.39462104</v>
      </c>
      <c r="J45" s="69">
        <f t="shared" si="82"/>
        <v>0</v>
      </c>
      <c r="K45" s="79">
        <f t="shared" si="82"/>
        <v>0</v>
      </c>
      <c r="L45" s="165">
        <f t="shared" si="83"/>
        <v>24.39462104</v>
      </c>
      <c r="M45" s="147" t="s">
        <v>44</v>
      </c>
      <c r="N45" s="248">
        <v>0</v>
      </c>
      <c r="O45" s="270">
        <f>N45*3375.12/1000</f>
        <v>0</v>
      </c>
      <c r="P45" s="60">
        <v>0</v>
      </c>
      <c r="Q45" s="270">
        <f>P45*3375.12/1000</f>
        <v>0</v>
      </c>
      <c r="R45" s="60">
        <v>0</v>
      </c>
      <c r="S45" s="270">
        <f>R45*38.52/1000</f>
        <v>0</v>
      </c>
      <c r="T45" s="81">
        <v>1527.75</v>
      </c>
      <c r="U45" s="271">
        <f t="shared" si="84"/>
        <v>7.67999925</v>
      </c>
      <c r="V45" s="60">
        <f>R45</f>
        <v>0</v>
      </c>
      <c r="W45" s="270">
        <f>V45*17.86/1000</f>
        <v>0</v>
      </c>
      <c r="X45" s="68">
        <f t="shared" si="85"/>
        <v>7.67999925</v>
      </c>
      <c r="Y45" s="96" t="s">
        <v>44</v>
      </c>
      <c r="Z45" s="60">
        <v>0</v>
      </c>
      <c r="AA45" s="270">
        <f>Z45*3375.12/1000</f>
        <v>0</v>
      </c>
      <c r="AB45" s="60">
        <v>0</v>
      </c>
      <c r="AC45" s="270">
        <f>AB45*3375.12/1000</f>
        <v>0</v>
      </c>
      <c r="AD45" s="60">
        <v>0</v>
      </c>
      <c r="AE45" s="270">
        <f>AD45*38.52/1000</f>
        <v>0</v>
      </c>
      <c r="AF45" s="81">
        <v>1548.77</v>
      </c>
      <c r="AG45" s="271">
        <f t="shared" si="86"/>
        <v>7.7856667900000005</v>
      </c>
      <c r="AH45" s="60">
        <f>AD45</f>
        <v>0</v>
      </c>
      <c r="AI45" s="270">
        <f>AH45*17.86/1000</f>
        <v>0</v>
      </c>
      <c r="AJ45" s="68">
        <f t="shared" si="87"/>
        <v>7.7856667900000005</v>
      </c>
      <c r="AK45" s="96" t="s">
        <v>44</v>
      </c>
      <c r="AL45" s="60">
        <v>0</v>
      </c>
      <c r="AM45" s="279">
        <f>AL45*3748.14/1000</f>
        <v>0</v>
      </c>
      <c r="AN45" s="60">
        <v>0</v>
      </c>
      <c r="AO45" s="279">
        <f>AN45*3748.14/1000</f>
        <v>0</v>
      </c>
      <c r="AP45" s="60">
        <v>0</v>
      </c>
      <c r="AQ45" s="279">
        <f>AP45*42.93/1000</f>
        <v>0</v>
      </c>
      <c r="AR45" s="81">
        <v>304.5</v>
      </c>
      <c r="AS45" s="293">
        <f t="shared" si="88"/>
        <v>1.677795</v>
      </c>
      <c r="AT45" s="60">
        <f>AP45</f>
        <v>0</v>
      </c>
      <c r="AU45" s="279">
        <f>AT45*19.14/1000</f>
        <v>0</v>
      </c>
      <c r="AV45" s="68">
        <f t="shared" si="89"/>
        <v>1.677795</v>
      </c>
      <c r="AW45" s="96" t="s">
        <v>44</v>
      </c>
      <c r="AX45" s="60">
        <v>0</v>
      </c>
      <c r="AY45" s="279">
        <f>AX45*3748.14/1000</f>
        <v>0</v>
      </c>
      <c r="AZ45" s="60">
        <v>0</v>
      </c>
      <c r="BA45" s="279">
        <f>AZ45*3748.14/1000</f>
        <v>0</v>
      </c>
      <c r="BB45" s="60">
        <v>0</v>
      </c>
      <c r="BC45" s="279">
        <f>BB45*42.93/1000</f>
        <v>0</v>
      </c>
      <c r="BD45" s="81">
        <v>1316</v>
      </c>
      <c r="BE45" s="293">
        <f t="shared" si="90"/>
        <v>7.25116</v>
      </c>
      <c r="BF45" s="60">
        <f t="shared" si="91"/>
        <v>0</v>
      </c>
      <c r="BG45" s="279">
        <f>BF45*19.14/1000</f>
        <v>0</v>
      </c>
      <c r="BH45" s="68">
        <f t="shared" si="92"/>
        <v>7.25116</v>
      </c>
    </row>
    <row r="46" spans="1:60" s="4" customFormat="1" ht="15">
      <c r="A46" s="307" t="s">
        <v>18</v>
      </c>
      <c r="B46" s="78">
        <f t="shared" si="82"/>
        <v>65.9</v>
      </c>
      <c r="C46" s="79">
        <f t="shared" si="82"/>
        <v>230.999868</v>
      </c>
      <c r="D46" s="60">
        <f t="shared" si="82"/>
        <v>4.62</v>
      </c>
      <c r="E46" s="154">
        <f t="shared" si="82"/>
        <v>16.3241736</v>
      </c>
      <c r="F46" s="69">
        <f t="shared" si="82"/>
        <v>260.07</v>
      </c>
      <c r="G46" s="150">
        <f t="shared" si="82"/>
        <v>10.7752257</v>
      </c>
      <c r="H46" s="57">
        <f t="shared" si="82"/>
        <v>3794</v>
      </c>
      <c r="I46" s="79">
        <f t="shared" si="82"/>
        <v>19.875184</v>
      </c>
      <c r="J46" s="69">
        <f t="shared" si="82"/>
        <v>260.07</v>
      </c>
      <c r="K46" s="79">
        <f t="shared" si="82"/>
        <v>4.8646646</v>
      </c>
      <c r="L46" s="165">
        <f t="shared" si="83"/>
        <v>282.8391159</v>
      </c>
      <c r="M46" s="146" t="s">
        <v>18</v>
      </c>
      <c r="N46" s="248">
        <v>34.4</v>
      </c>
      <c r="O46" s="270">
        <f>N46*3375.12/1000</f>
        <v>116.104128</v>
      </c>
      <c r="P46" s="60">
        <v>1.86</v>
      </c>
      <c r="Q46" s="270">
        <f>P46*3375.12/1000</f>
        <v>6.2777232000000005</v>
      </c>
      <c r="R46" s="60">
        <v>52.17</v>
      </c>
      <c r="S46" s="270">
        <f>R46*38.52/1000</f>
        <v>2.0095884</v>
      </c>
      <c r="T46" s="81">
        <v>1345</v>
      </c>
      <c r="U46" s="271">
        <f t="shared" si="84"/>
        <v>6.761315000000001</v>
      </c>
      <c r="V46" s="60">
        <f>R46</f>
        <v>52.17</v>
      </c>
      <c r="W46" s="270">
        <f>V46*17.86/1000</f>
        <v>0.9317562</v>
      </c>
      <c r="X46" s="68">
        <f t="shared" si="85"/>
        <v>132.0845108</v>
      </c>
      <c r="Y46" s="96" t="s">
        <v>18</v>
      </c>
      <c r="Z46" s="60">
        <v>8.5</v>
      </c>
      <c r="AA46" s="270">
        <f>Z46*3375.12/1000</f>
        <v>28.68852</v>
      </c>
      <c r="AB46" s="60">
        <v>0.8</v>
      </c>
      <c r="AC46" s="270">
        <f>AB46*3375.12/1000</f>
        <v>2.700096</v>
      </c>
      <c r="AD46" s="60">
        <v>36.17</v>
      </c>
      <c r="AE46" s="270">
        <f>AD46*38.52/1000</f>
        <v>1.3932684000000002</v>
      </c>
      <c r="AF46" s="81">
        <v>787</v>
      </c>
      <c r="AG46" s="271">
        <f t="shared" si="86"/>
        <v>3.956249</v>
      </c>
      <c r="AH46" s="60">
        <f>AD46</f>
        <v>36.17</v>
      </c>
      <c r="AI46" s="270">
        <f>AH46*17.86/1000</f>
        <v>0.6459962</v>
      </c>
      <c r="AJ46" s="68">
        <f t="shared" si="87"/>
        <v>37.384129599999994</v>
      </c>
      <c r="AK46" s="96" t="s">
        <v>18</v>
      </c>
      <c r="AL46" s="60">
        <v>1.5</v>
      </c>
      <c r="AM46" s="279">
        <f>AL46*3748.14/1000</f>
        <v>5.62221</v>
      </c>
      <c r="AN46" s="60">
        <v>0.54</v>
      </c>
      <c r="AO46" s="279">
        <f>AN46*3748.14/1000</f>
        <v>2.0239956</v>
      </c>
      <c r="AP46" s="60">
        <v>28.17</v>
      </c>
      <c r="AQ46" s="279">
        <f>AP46*42.93/1000</f>
        <v>1.2093381</v>
      </c>
      <c r="AR46" s="81">
        <v>628</v>
      </c>
      <c r="AS46" s="293">
        <f t="shared" si="88"/>
        <v>3.4602799999999996</v>
      </c>
      <c r="AT46" s="60">
        <f>AP46</f>
        <v>28.17</v>
      </c>
      <c r="AU46" s="279">
        <f>AT46*19.14/1000</f>
        <v>0.5391738</v>
      </c>
      <c r="AV46" s="68">
        <f t="shared" si="89"/>
        <v>12.8549975</v>
      </c>
      <c r="AW46" s="96" t="s">
        <v>18</v>
      </c>
      <c r="AX46" s="60">
        <v>21.5</v>
      </c>
      <c r="AY46" s="279">
        <f>AX46*3748.14/1000</f>
        <v>80.58501</v>
      </c>
      <c r="AZ46" s="60">
        <v>1.42</v>
      </c>
      <c r="BA46" s="279">
        <f>AZ46*3748.14/1000</f>
        <v>5.3223588</v>
      </c>
      <c r="BB46" s="60">
        <v>143.56</v>
      </c>
      <c r="BC46" s="279">
        <f>BB46*42.93/1000</f>
        <v>6.1630308000000005</v>
      </c>
      <c r="BD46" s="81">
        <v>1034</v>
      </c>
      <c r="BE46" s="293">
        <f t="shared" si="90"/>
        <v>5.6973400000000005</v>
      </c>
      <c r="BF46" s="60">
        <f t="shared" si="91"/>
        <v>143.56</v>
      </c>
      <c r="BG46" s="279">
        <f>BF46*19.14/1000</f>
        <v>2.7477384000000002</v>
      </c>
      <c r="BH46" s="68">
        <f t="shared" si="92"/>
        <v>100.515478</v>
      </c>
    </row>
    <row r="47" spans="1:60" ht="15.75">
      <c r="A47" s="307" t="s">
        <v>27</v>
      </c>
      <c r="B47" s="78">
        <f t="shared" si="82"/>
        <v>1204.4</v>
      </c>
      <c r="C47" s="79">
        <f t="shared" si="82"/>
        <v>4666.702987</v>
      </c>
      <c r="D47" s="60">
        <f t="shared" si="82"/>
        <v>0</v>
      </c>
      <c r="E47" s="154">
        <f t="shared" si="82"/>
        <v>0</v>
      </c>
      <c r="F47" s="69">
        <f t="shared" si="82"/>
        <v>3412</v>
      </c>
      <c r="G47" s="150">
        <f t="shared" si="82"/>
        <v>142.17872</v>
      </c>
      <c r="H47" s="57">
        <f t="shared" si="82"/>
        <v>78064.2</v>
      </c>
      <c r="I47" s="79">
        <f t="shared" si="82"/>
        <v>411.2996883</v>
      </c>
      <c r="J47" s="69">
        <f t="shared" si="82"/>
        <v>666</v>
      </c>
      <c r="K47" s="79">
        <f t="shared" si="82"/>
        <v>0</v>
      </c>
      <c r="L47" s="165">
        <f t="shared" si="83"/>
        <v>5220.181395299999</v>
      </c>
      <c r="M47" s="148" t="s">
        <v>27</v>
      </c>
      <c r="N47" s="248">
        <v>542.8</v>
      </c>
      <c r="O47" s="276">
        <f>3831.34*N47/1000</f>
        <v>2079.651352</v>
      </c>
      <c r="P47" s="60">
        <v>0</v>
      </c>
      <c r="Q47" s="276">
        <f>3831.34*P47/1000</f>
        <v>0</v>
      </c>
      <c r="R47" s="60">
        <v>1541</v>
      </c>
      <c r="S47" s="276">
        <f>R47*40.96/1000</f>
        <v>63.11936</v>
      </c>
      <c r="T47" s="81">
        <v>21647.7</v>
      </c>
      <c r="U47" s="271">
        <f t="shared" si="84"/>
        <v>108.8229879</v>
      </c>
      <c r="V47" s="60">
        <v>0</v>
      </c>
      <c r="W47" s="276">
        <v>0</v>
      </c>
      <c r="X47" s="68">
        <f t="shared" si="85"/>
        <v>2251.5936999</v>
      </c>
      <c r="Y47" s="96" t="s">
        <v>27</v>
      </c>
      <c r="Z47" s="60">
        <v>223.7</v>
      </c>
      <c r="AA47" s="276">
        <f>3831.34*Z47/1000</f>
        <v>857.0707580000001</v>
      </c>
      <c r="AB47" s="60">
        <v>0</v>
      </c>
      <c r="AC47" s="276">
        <f>3831.34*AB47/1000</f>
        <v>0</v>
      </c>
      <c r="AD47" s="60">
        <v>831</v>
      </c>
      <c r="AE47" s="276">
        <f>AD47*40.96/1000</f>
        <v>34.03776</v>
      </c>
      <c r="AF47" s="81">
        <v>17346.2</v>
      </c>
      <c r="AG47" s="271">
        <f t="shared" si="86"/>
        <v>87.1993474</v>
      </c>
      <c r="AH47" s="60">
        <v>0</v>
      </c>
      <c r="AI47" s="276">
        <v>0</v>
      </c>
      <c r="AJ47" s="68">
        <f t="shared" si="87"/>
        <v>978.3078654000001</v>
      </c>
      <c r="AK47" s="96" t="s">
        <v>27</v>
      </c>
      <c r="AL47" s="60">
        <v>23.9</v>
      </c>
      <c r="AM47" s="276">
        <f>AL47*3950.63/1000</f>
        <v>94.420057</v>
      </c>
      <c r="AN47" s="60">
        <v>0</v>
      </c>
      <c r="AO47" s="276">
        <f>AN47*3950.63/1000</f>
        <v>0</v>
      </c>
      <c r="AP47" s="60">
        <v>374</v>
      </c>
      <c r="AQ47" s="276">
        <f>AP47*43.29/1000</f>
        <v>16.190459999999998</v>
      </c>
      <c r="AR47" s="81">
        <v>19155.3</v>
      </c>
      <c r="AS47" s="293">
        <f t="shared" si="88"/>
        <v>105.54570299999999</v>
      </c>
      <c r="AT47" s="60">
        <v>0</v>
      </c>
      <c r="AU47" s="276">
        <v>0</v>
      </c>
      <c r="AV47" s="68">
        <f t="shared" si="89"/>
        <v>216.15622</v>
      </c>
      <c r="AW47" s="96" t="s">
        <v>27</v>
      </c>
      <c r="AX47" s="60">
        <v>414</v>
      </c>
      <c r="AY47" s="276">
        <f>AX47*3950.63/1000</f>
        <v>1635.5608200000001</v>
      </c>
      <c r="AZ47" s="60">
        <v>0</v>
      </c>
      <c r="BA47" s="276">
        <f>AZ47*3950.63/1000</f>
        <v>0</v>
      </c>
      <c r="BB47" s="60">
        <v>666</v>
      </c>
      <c r="BC47" s="276">
        <f>BB47*43.29/1000</f>
        <v>28.831139999999998</v>
      </c>
      <c r="BD47" s="81">
        <v>19915</v>
      </c>
      <c r="BE47" s="293">
        <f t="shared" si="90"/>
        <v>109.73164999999999</v>
      </c>
      <c r="BF47" s="60">
        <f t="shared" si="91"/>
        <v>666</v>
      </c>
      <c r="BG47" s="276">
        <v>0</v>
      </c>
      <c r="BH47" s="68">
        <f t="shared" si="92"/>
        <v>1774.12361</v>
      </c>
    </row>
    <row r="48" spans="1:60" ht="15.75">
      <c r="A48" s="307" t="s">
        <v>48</v>
      </c>
      <c r="B48" s="78">
        <f t="shared" si="82"/>
        <v>0</v>
      </c>
      <c r="C48" s="79">
        <f t="shared" si="82"/>
        <v>0</v>
      </c>
      <c r="D48" s="60">
        <f t="shared" si="82"/>
        <v>0</v>
      </c>
      <c r="E48" s="154">
        <f t="shared" si="82"/>
        <v>0</v>
      </c>
      <c r="F48" s="69">
        <f t="shared" si="82"/>
        <v>0</v>
      </c>
      <c r="G48" s="150">
        <f t="shared" si="82"/>
        <v>0</v>
      </c>
      <c r="H48" s="57">
        <f t="shared" si="82"/>
        <v>4535.86</v>
      </c>
      <c r="I48" s="79">
        <f t="shared" si="82"/>
        <v>23.96631986</v>
      </c>
      <c r="J48" s="69">
        <f t="shared" si="82"/>
        <v>0</v>
      </c>
      <c r="K48" s="79">
        <f t="shared" si="82"/>
        <v>0</v>
      </c>
      <c r="L48" s="165">
        <f t="shared" si="83"/>
        <v>23.96631986</v>
      </c>
      <c r="M48" s="148" t="s">
        <v>48</v>
      </c>
      <c r="N48" s="248">
        <v>0</v>
      </c>
      <c r="O48" s="276">
        <f>3831.34*N48/1000</f>
        <v>0</v>
      </c>
      <c r="P48" s="60">
        <v>0</v>
      </c>
      <c r="Q48" s="276">
        <f>3831.34*P48/1000</f>
        <v>0</v>
      </c>
      <c r="R48" s="60">
        <v>0</v>
      </c>
      <c r="S48" s="276">
        <f>R48*40.96/1000</f>
        <v>0</v>
      </c>
      <c r="T48" s="81">
        <v>2025.84</v>
      </c>
      <c r="U48" s="271">
        <f t="shared" si="84"/>
        <v>10.18389768</v>
      </c>
      <c r="V48" s="60">
        <f>R48</f>
        <v>0</v>
      </c>
      <c r="W48" s="276">
        <v>0</v>
      </c>
      <c r="X48" s="68">
        <f t="shared" si="85"/>
        <v>10.18389768</v>
      </c>
      <c r="Y48" s="96" t="s">
        <v>48</v>
      </c>
      <c r="Z48" s="60">
        <v>0</v>
      </c>
      <c r="AA48" s="276">
        <f>3831.34*Z48/1000</f>
        <v>0</v>
      </c>
      <c r="AB48" s="60">
        <v>0</v>
      </c>
      <c r="AC48" s="276">
        <f>3831.34*AB48/1000</f>
        <v>0</v>
      </c>
      <c r="AD48" s="60">
        <v>0</v>
      </c>
      <c r="AE48" s="276">
        <f>AD48*40.96/1000</f>
        <v>0</v>
      </c>
      <c r="AF48" s="81">
        <v>98.94</v>
      </c>
      <c r="AG48" s="271">
        <f t="shared" si="86"/>
        <v>0.49737138</v>
      </c>
      <c r="AH48" s="60">
        <f>AD48</f>
        <v>0</v>
      </c>
      <c r="AI48" s="276">
        <v>0</v>
      </c>
      <c r="AJ48" s="68">
        <f t="shared" si="87"/>
        <v>0.49737138</v>
      </c>
      <c r="AK48" s="96" t="s">
        <v>48</v>
      </c>
      <c r="AL48" s="60">
        <v>0</v>
      </c>
      <c r="AM48" s="276">
        <f>AL48*3950.63/1000</f>
        <v>0</v>
      </c>
      <c r="AN48" s="60">
        <v>0</v>
      </c>
      <c r="AO48" s="276">
        <f>AN48*3950.63/1000</f>
        <v>0</v>
      </c>
      <c r="AP48" s="60">
        <v>0</v>
      </c>
      <c r="AQ48" s="276">
        <f>AP48*43.29/1000</f>
        <v>0</v>
      </c>
      <c r="AR48" s="81">
        <v>871.08</v>
      </c>
      <c r="AS48" s="293">
        <f t="shared" si="88"/>
        <v>4.7996508</v>
      </c>
      <c r="AT48" s="60">
        <f>AP48</f>
        <v>0</v>
      </c>
      <c r="AU48" s="276">
        <v>0</v>
      </c>
      <c r="AV48" s="68">
        <f t="shared" si="89"/>
        <v>4.7996508</v>
      </c>
      <c r="AW48" s="96" t="s">
        <v>48</v>
      </c>
      <c r="AX48" s="60">
        <v>0</v>
      </c>
      <c r="AY48" s="276">
        <f>AX48*3950.63/1000</f>
        <v>0</v>
      </c>
      <c r="AZ48" s="60">
        <v>0</v>
      </c>
      <c r="BA48" s="276">
        <f>AZ48*3950.63/1000</f>
        <v>0</v>
      </c>
      <c r="BB48" s="60">
        <v>0</v>
      </c>
      <c r="BC48" s="276">
        <f>BB48*43.29/1000</f>
        <v>0</v>
      </c>
      <c r="BD48" s="81">
        <v>1540</v>
      </c>
      <c r="BE48" s="293">
        <f t="shared" si="90"/>
        <v>8.4854</v>
      </c>
      <c r="BF48" s="60">
        <f t="shared" si="91"/>
        <v>0</v>
      </c>
      <c r="BG48" s="276">
        <v>0</v>
      </c>
      <c r="BH48" s="68">
        <f t="shared" si="92"/>
        <v>8.4854</v>
      </c>
    </row>
    <row r="49" spans="1:60" ht="15.75">
      <c r="A49" s="310" t="s">
        <v>83</v>
      </c>
      <c r="B49" s="78">
        <f t="shared" si="82"/>
        <v>1633.4499999999998</v>
      </c>
      <c r="C49" s="79">
        <f t="shared" si="82"/>
        <v>7706.8811061</v>
      </c>
      <c r="D49" s="60">
        <f t="shared" si="82"/>
        <v>672.6500000000001</v>
      </c>
      <c r="E49" s="154">
        <f t="shared" si="82"/>
        <v>235.63947064900003</v>
      </c>
      <c r="F49" s="69">
        <f t="shared" si="82"/>
        <v>508.99999999999994</v>
      </c>
      <c r="G49" s="150">
        <f t="shared" si="82"/>
        <v>25.984228</v>
      </c>
      <c r="H49" s="57">
        <f t="shared" si="82"/>
        <v>54973</v>
      </c>
      <c r="I49" s="79">
        <f t="shared" si="82"/>
        <v>285.973529</v>
      </c>
      <c r="J49" s="69">
        <f t="shared" si="82"/>
        <v>1181.65</v>
      </c>
      <c r="K49" s="79">
        <f t="shared" si="82"/>
        <v>8.5487438</v>
      </c>
      <c r="L49" s="165">
        <f>C49+E49+G49+I49+K49</f>
        <v>8263.027077549</v>
      </c>
      <c r="M49" s="277" t="s">
        <v>83</v>
      </c>
      <c r="N49" s="60">
        <v>783.87</v>
      </c>
      <c r="O49" s="280">
        <f>N49*4477.45/1000</f>
        <v>3509.7387314999996</v>
      </c>
      <c r="P49" s="60">
        <v>245.43</v>
      </c>
      <c r="Q49" s="281">
        <f>P49*332.25/1000</f>
        <v>81.54411750000001</v>
      </c>
      <c r="R49" s="60">
        <v>130</v>
      </c>
      <c r="S49" s="281">
        <f>R49*47.03/1000</f>
        <v>6.1139</v>
      </c>
      <c r="T49" s="81">
        <v>24066</v>
      </c>
      <c r="U49" s="271">
        <f t="shared" si="84"/>
        <v>120.979782</v>
      </c>
      <c r="V49" s="60">
        <f>R49+P49</f>
        <v>375.43</v>
      </c>
      <c r="W49" s="281">
        <f>V49*6.97/1000</f>
        <v>2.6167471</v>
      </c>
      <c r="X49" s="68">
        <f t="shared" si="85"/>
        <v>3720.9932780999993</v>
      </c>
      <c r="Y49" s="277" t="s">
        <v>83</v>
      </c>
      <c r="Z49" s="60">
        <v>228.38</v>
      </c>
      <c r="AA49" s="280">
        <f>Z49*4477.45/1000</f>
        <v>1022.560031</v>
      </c>
      <c r="AB49" s="60">
        <v>174.99</v>
      </c>
      <c r="AC49" s="281">
        <f>AB49*332.25/1000</f>
        <v>58.14042750000001</v>
      </c>
      <c r="AD49" s="60">
        <v>118.7</v>
      </c>
      <c r="AE49" s="281">
        <f>AD49*47.03/1000</f>
        <v>5.582461</v>
      </c>
      <c r="AF49" s="81">
        <v>10981</v>
      </c>
      <c r="AG49" s="271">
        <f t="shared" si="86"/>
        <v>55.201487</v>
      </c>
      <c r="AH49" s="60">
        <f>AD49+AB49</f>
        <v>293.69</v>
      </c>
      <c r="AI49" s="281">
        <f>AH49*6.97/1000</f>
        <v>2.0470193</v>
      </c>
      <c r="AJ49" s="68">
        <f t="shared" si="87"/>
        <v>1143.5314258</v>
      </c>
      <c r="AK49" s="277" t="s">
        <v>83</v>
      </c>
      <c r="AL49" s="60">
        <v>25.8</v>
      </c>
      <c r="AM49" s="280">
        <f>AL49*5110.403/1000</f>
        <v>131.8483974</v>
      </c>
      <c r="AN49" s="60">
        <v>48.73</v>
      </c>
      <c r="AO49" s="280">
        <f>AN49*380.4263/1000</f>
        <v>18.538173599</v>
      </c>
      <c r="AP49" s="60">
        <v>96.1</v>
      </c>
      <c r="AQ49" s="280">
        <f>AP49*54.89/1000</f>
        <v>5.274929</v>
      </c>
      <c r="AR49" s="81">
        <v>971</v>
      </c>
      <c r="AS49" s="293">
        <f t="shared" si="88"/>
        <v>5.35021</v>
      </c>
      <c r="AT49" s="60">
        <f>AP49+AN49</f>
        <v>144.82999999999998</v>
      </c>
      <c r="AU49" s="280">
        <f>AT49*7.58/1000</f>
        <v>1.0978113999999999</v>
      </c>
      <c r="AV49" s="68">
        <f t="shared" si="89"/>
        <v>162.10952139900002</v>
      </c>
      <c r="AW49" s="277" t="s">
        <v>83</v>
      </c>
      <c r="AX49" s="60">
        <v>595.4</v>
      </c>
      <c r="AY49" s="280">
        <f>AX49*5110.403/1000</f>
        <v>3042.7339462</v>
      </c>
      <c r="AZ49" s="60">
        <v>203.5</v>
      </c>
      <c r="BA49" s="280">
        <f>AZ49*380.4263/1000</f>
        <v>77.41675205000001</v>
      </c>
      <c r="BB49" s="60">
        <v>164.2</v>
      </c>
      <c r="BC49" s="280">
        <f>BB49*54.89/1000</f>
        <v>9.012938</v>
      </c>
      <c r="BD49" s="81">
        <v>18955</v>
      </c>
      <c r="BE49" s="293">
        <f t="shared" si="90"/>
        <v>104.44205000000001</v>
      </c>
      <c r="BF49" s="60">
        <f>BB49+AZ49</f>
        <v>367.7</v>
      </c>
      <c r="BG49" s="280">
        <f>BF49*7.58/1000</f>
        <v>2.787166</v>
      </c>
      <c r="BH49" s="68">
        <f>AY49+BA49+BC49+BE49+BG49</f>
        <v>3236.39285225</v>
      </c>
    </row>
    <row r="50" spans="1:60" ht="26.25">
      <c r="A50" s="307" t="s">
        <v>82</v>
      </c>
      <c r="B50" s="78">
        <f t="shared" si="82"/>
        <v>846.39</v>
      </c>
      <c r="C50" s="79">
        <f t="shared" si="82"/>
        <v>4006.5312623600003</v>
      </c>
      <c r="D50" s="60">
        <f t="shared" si="82"/>
        <v>1402.29</v>
      </c>
      <c r="E50" s="154">
        <f t="shared" si="82"/>
        <v>495.377886395</v>
      </c>
      <c r="F50" s="69">
        <f t="shared" si="82"/>
        <v>1515.46</v>
      </c>
      <c r="G50" s="150">
        <f t="shared" si="82"/>
        <v>77.5475864</v>
      </c>
      <c r="H50" s="57">
        <f t="shared" si="82"/>
        <v>82669</v>
      </c>
      <c r="I50" s="79">
        <f t="shared" si="82"/>
        <v>437.75159299999996</v>
      </c>
      <c r="J50" s="69">
        <f t="shared" si="82"/>
        <v>2917.75</v>
      </c>
      <c r="K50" s="79">
        <f t="shared" si="82"/>
        <v>21.1968541</v>
      </c>
      <c r="L50" s="165">
        <f>C50+E50+G50+I50+K50</f>
        <v>5038.405182255</v>
      </c>
      <c r="M50" s="10" t="s">
        <v>82</v>
      </c>
      <c r="N50" s="60">
        <v>382.91</v>
      </c>
      <c r="O50" s="280">
        <f>N50*4477.45/1000</f>
        <v>1714.4603795</v>
      </c>
      <c r="P50" s="60">
        <v>352.6</v>
      </c>
      <c r="Q50" s="281">
        <f>P50*332.25/1000</f>
        <v>117.15135000000001</v>
      </c>
      <c r="R50" s="60">
        <v>424.11</v>
      </c>
      <c r="S50" s="281">
        <f>R50*47.03/1000</f>
        <v>19.945893299999998</v>
      </c>
      <c r="T50" s="81">
        <v>19493</v>
      </c>
      <c r="U50" s="271">
        <f t="shared" si="84"/>
        <v>97.991311</v>
      </c>
      <c r="V50" s="60">
        <f>R50+P50</f>
        <v>776.71</v>
      </c>
      <c r="W50" s="281">
        <f>V50*6.97/1000</f>
        <v>5.4136687000000006</v>
      </c>
      <c r="X50" s="68">
        <f t="shared" si="85"/>
        <v>1954.9626025000002</v>
      </c>
      <c r="Y50" s="10" t="s">
        <v>82</v>
      </c>
      <c r="Z50" s="60">
        <v>120.86</v>
      </c>
      <c r="AA50" s="280">
        <f>Z50*4477.45/1000</f>
        <v>541.144607</v>
      </c>
      <c r="AB50" s="60">
        <v>438.04</v>
      </c>
      <c r="AC50" s="281">
        <f>AB50*332.25/1000</f>
        <v>145.53879</v>
      </c>
      <c r="AD50" s="60">
        <v>292.94</v>
      </c>
      <c r="AE50" s="281">
        <f>AD50*47.03/1000</f>
        <v>13.776968199999999</v>
      </c>
      <c r="AF50" s="81">
        <v>17266</v>
      </c>
      <c r="AG50" s="271">
        <f t="shared" si="86"/>
        <v>86.796182</v>
      </c>
      <c r="AH50" s="60">
        <f>AD50+AB50</f>
        <v>730.98</v>
      </c>
      <c r="AI50" s="281">
        <f>AH50*6.97/1000</f>
        <v>5.0949306</v>
      </c>
      <c r="AJ50" s="68">
        <f t="shared" si="87"/>
        <v>792.3514778000001</v>
      </c>
      <c r="AK50" s="10" t="s">
        <v>82</v>
      </c>
      <c r="AL50" s="60">
        <v>10.12</v>
      </c>
      <c r="AM50" s="280">
        <f>AL50*5110.403/1000</f>
        <v>51.717278359999995</v>
      </c>
      <c r="AN50" s="60">
        <v>226.25</v>
      </c>
      <c r="AO50" s="280">
        <f>AN50*380.4263/1000</f>
        <v>86.071450375</v>
      </c>
      <c r="AP50" s="60">
        <v>500.71</v>
      </c>
      <c r="AQ50" s="280">
        <f>AP50*54.89/1000</f>
        <v>27.4839719</v>
      </c>
      <c r="AR50" s="81">
        <v>20459</v>
      </c>
      <c r="AS50" s="293">
        <f t="shared" si="88"/>
        <v>112.72909</v>
      </c>
      <c r="AT50" s="60">
        <f>AP50+AN50</f>
        <v>726.96</v>
      </c>
      <c r="AU50" s="280">
        <f>AT50*7.58/1000</f>
        <v>5.5103568</v>
      </c>
      <c r="AV50" s="68">
        <f t="shared" si="89"/>
        <v>283.51214743500003</v>
      </c>
      <c r="AW50" s="10" t="s">
        <v>82</v>
      </c>
      <c r="AX50" s="60">
        <v>332.5</v>
      </c>
      <c r="AY50" s="280">
        <f>AX50*5110.403/1000</f>
        <v>1699.2089975000001</v>
      </c>
      <c r="AZ50" s="60">
        <v>385.4</v>
      </c>
      <c r="BA50" s="280">
        <f>AZ50*380.4263/1000</f>
        <v>146.61629602000002</v>
      </c>
      <c r="BB50" s="60">
        <v>297.7</v>
      </c>
      <c r="BC50" s="280">
        <f>BB50*54.89/1000</f>
        <v>16.340753</v>
      </c>
      <c r="BD50" s="81">
        <v>25451</v>
      </c>
      <c r="BE50" s="293">
        <f t="shared" si="90"/>
        <v>140.23501</v>
      </c>
      <c r="BF50" s="60">
        <f>BB50+AZ50</f>
        <v>683.0999999999999</v>
      </c>
      <c r="BG50" s="280">
        <f>BF50*7.58/1000</f>
        <v>5.177897999999999</v>
      </c>
      <c r="BH50" s="68">
        <f>AY50+BA50+BC50+BE50+BG50</f>
        <v>2007.57895452</v>
      </c>
    </row>
    <row r="51" spans="1:63" s="4" customFormat="1" ht="16.5" customHeight="1">
      <c r="A51" s="311" t="s">
        <v>28</v>
      </c>
      <c r="B51" s="78">
        <f t="shared" si="82"/>
        <v>1258.95</v>
      </c>
      <c r="C51" s="79">
        <f t="shared" si="82"/>
        <v>6681.8552633</v>
      </c>
      <c r="D51" s="60">
        <f t="shared" si="82"/>
        <v>106</v>
      </c>
      <c r="E51" s="154">
        <f t="shared" si="82"/>
        <v>559.0928668</v>
      </c>
      <c r="F51" s="69">
        <f t="shared" si="82"/>
        <v>3546.38</v>
      </c>
      <c r="G51" s="150">
        <f t="shared" si="82"/>
        <v>92.9268071</v>
      </c>
      <c r="H51" s="57">
        <f t="shared" si="82"/>
        <v>102851.75</v>
      </c>
      <c r="I51" s="79">
        <f t="shared" si="82"/>
        <v>543.56422279</v>
      </c>
      <c r="J51" s="69">
        <f t="shared" si="82"/>
        <v>3546.38</v>
      </c>
      <c r="K51" s="79">
        <f t="shared" si="82"/>
        <v>36.2678224</v>
      </c>
      <c r="L51" s="165">
        <f t="shared" si="83"/>
        <v>7913.706982389999</v>
      </c>
      <c r="M51" s="313" t="s">
        <v>28</v>
      </c>
      <c r="N51" s="248">
        <v>561.79</v>
      </c>
      <c r="O51" s="272">
        <f>N51*5143.95/1000</f>
        <v>2889.8196704999996</v>
      </c>
      <c r="P51" s="78">
        <v>44.36</v>
      </c>
      <c r="Q51" s="272">
        <f>P51*5143.95/1000</f>
        <v>228.185622</v>
      </c>
      <c r="R51" s="78">
        <v>1674.91</v>
      </c>
      <c r="S51" s="272">
        <f>R51*24.72/1000</f>
        <v>41.403775200000005</v>
      </c>
      <c r="T51" s="81">
        <v>27834.43</v>
      </c>
      <c r="U51" s="271">
        <f t="shared" si="84"/>
        <v>139.92367961</v>
      </c>
      <c r="V51" s="60">
        <f>R51</f>
        <v>1674.91</v>
      </c>
      <c r="W51" s="273">
        <f>V51*10.06/1000</f>
        <v>16.8495946</v>
      </c>
      <c r="X51" s="68">
        <f t="shared" si="85"/>
        <v>3316.182341909999</v>
      </c>
      <c r="Y51" s="285" t="s">
        <v>28</v>
      </c>
      <c r="Z51" s="60">
        <v>172.72</v>
      </c>
      <c r="AA51" s="272">
        <f>Z51*5143.95/1000</f>
        <v>888.463044</v>
      </c>
      <c r="AB51" s="78">
        <v>26.4</v>
      </c>
      <c r="AC51" s="272">
        <f>AB51*5143.95/1000</f>
        <v>135.80028</v>
      </c>
      <c r="AD51" s="78">
        <v>1002</v>
      </c>
      <c r="AE51" s="272">
        <f>AD51*24.72/1000</f>
        <v>24.76944</v>
      </c>
      <c r="AF51" s="81">
        <v>20092.94</v>
      </c>
      <c r="AG51" s="271">
        <f t="shared" si="86"/>
        <v>101.00720938</v>
      </c>
      <c r="AH51" s="60">
        <f>AD51</f>
        <v>1002</v>
      </c>
      <c r="AI51" s="273">
        <f>AH51*10.06/1000</f>
        <v>10.08012</v>
      </c>
      <c r="AJ51" s="68">
        <f t="shared" si="87"/>
        <v>1160.12009338</v>
      </c>
      <c r="AK51" s="285" t="s">
        <v>28</v>
      </c>
      <c r="AL51" s="60">
        <v>17.84</v>
      </c>
      <c r="AM51" s="273">
        <f>AL51*5536.52/1000</f>
        <v>98.77151680000001</v>
      </c>
      <c r="AN51" s="60">
        <v>3.14</v>
      </c>
      <c r="AO51" s="273">
        <f>AN51*5536.52/1000</f>
        <v>17.3846728</v>
      </c>
      <c r="AP51" s="60">
        <v>106.65</v>
      </c>
      <c r="AQ51" s="288">
        <f>AP51*30.77/1000</f>
        <v>3.2816205</v>
      </c>
      <c r="AR51" s="81">
        <v>21584.7</v>
      </c>
      <c r="AS51" s="293">
        <f t="shared" si="88"/>
        <v>118.931697</v>
      </c>
      <c r="AT51" s="60">
        <f>AP51</f>
        <v>106.65</v>
      </c>
      <c r="AU51" s="273">
        <f>AT51*10.74/1000</f>
        <v>1.145421</v>
      </c>
      <c r="AV51" s="68">
        <f t="shared" si="89"/>
        <v>239.51492810000002</v>
      </c>
      <c r="AW51" s="285" t="s">
        <v>28</v>
      </c>
      <c r="AX51" s="60">
        <v>506.6</v>
      </c>
      <c r="AY51" s="273">
        <f>AX51*5536.52/1000</f>
        <v>2804.8010320000003</v>
      </c>
      <c r="AZ51" s="60">
        <v>32.1</v>
      </c>
      <c r="BA51" s="273">
        <f>AZ51*5536.52/1000</f>
        <v>177.722292</v>
      </c>
      <c r="BB51" s="60">
        <v>762.82</v>
      </c>
      <c r="BC51" s="288">
        <f>BB51*30.77/1000</f>
        <v>23.4719714</v>
      </c>
      <c r="BD51" s="81">
        <v>33339.68</v>
      </c>
      <c r="BE51" s="293">
        <f t="shared" si="90"/>
        <v>183.70163680000002</v>
      </c>
      <c r="BF51" s="60">
        <f t="shared" si="91"/>
        <v>762.82</v>
      </c>
      <c r="BG51" s="273">
        <f>BF51*10.74/1000</f>
        <v>8.1926868</v>
      </c>
      <c r="BH51" s="68">
        <f t="shared" si="92"/>
        <v>3197.889619</v>
      </c>
      <c r="BI51" s="4" t="s">
        <v>35</v>
      </c>
      <c r="BK51" s="4" t="s">
        <v>35</v>
      </c>
    </row>
    <row r="52" spans="1:62" ht="16.5" thickBot="1">
      <c r="A52" s="312" t="s">
        <v>26</v>
      </c>
      <c r="B52" s="78">
        <f t="shared" si="82"/>
        <v>576.27</v>
      </c>
      <c r="C52" s="79">
        <f t="shared" si="82"/>
        <v>2618.4210497999993</v>
      </c>
      <c r="D52" s="60">
        <f t="shared" si="82"/>
        <v>0</v>
      </c>
      <c r="E52" s="154">
        <f t="shared" si="82"/>
        <v>0</v>
      </c>
      <c r="F52" s="69">
        <f t="shared" si="82"/>
        <v>393.7</v>
      </c>
      <c r="G52" s="150">
        <f t="shared" si="82"/>
        <v>12.95122</v>
      </c>
      <c r="H52" s="57">
        <f t="shared" si="82"/>
        <v>59686.8</v>
      </c>
      <c r="I52" s="79">
        <f t="shared" si="82"/>
        <v>316.2318396</v>
      </c>
      <c r="J52" s="69">
        <f t="shared" si="82"/>
        <v>188.7</v>
      </c>
      <c r="K52" s="79">
        <f t="shared" si="82"/>
        <v>0</v>
      </c>
      <c r="L52" s="165">
        <f t="shared" si="83"/>
        <v>2947.6041093999993</v>
      </c>
      <c r="M52" s="145" t="s">
        <v>26</v>
      </c>
      <c r="N52" s="248">
        <v>281.03</v>
      </c>
      <c r="O52" s="274">
        <f>4543.74*N52/1000</f>
        <v>1276.9272521999997</v>
      </c>
      <c r="P52" s="60">
        <v>0</v>
      </c>
      <c r="Q52" s="274">
        <f>4543.74*P52/1000</f>
        <v>0</v>
      </c>
      <c r="R52" s="60">
        <v>44</v>
      </c>
      <c r="S52" s="275">
        <f>R52*31.12/1000</f>
        <v>1.36928</v>
      </c>
      <c r="T52" s="81">
        <v>16325.8</v>
      </c>
      <c r="U52" s="271">
        <f t="shared" si="84"/>
        <v>82.0697966</v>
      </c>
      <c r="V52" s="60">
        <v>0</v>
      </c>
      <c r="W52" s="275">
        <v>0</v>
      </c>
      <c r="X52" s="68">
        <f t="shared" si="85"/>
        <v>1360.3663287999996</v>
      </c>
      <c r="Y52" s="126" t="s">
        <v>26</v>
      </c>
      <c r="Z52" s="60">
        <v>113.07</v>
      </c>
      <c r="AA52" s="274">
        <f>4543.74*Z52/1000</f>
        <v>513.7606817999999</v>
      </c>
      <c r="AB52" s="60">
        <v>0</v>
      </c>
      <c r="AC52" s="274">
        <f>4543.74*AB52/1000</f>
        <v>0</v>
      </c>
      <c r="AD52" s="60">
        <v>43</v>
      </c>
      <c r="AE52" s="275">
        <f>AD52*31.12/1000</f>
        <v>1.33816</v>
      </c>
      <c r="AF52" s="81">
        <v>9849</v>
      </c>
      <c r="AG52" s="271">
        <f t="shared" si="86"/>
        <v>49.510923000000005</v>
      </c>
      <c r="AH52" s="60">
        <v>0</v>
      </c>
      <c r="AI52" s="275">
        <v>0</v>
      </c>
      <c r="AJ52" s="68">
        <f t="shared" si="87"/>
        <v>564.6097648</v>
      </c>
      <c r="AK52" s="96" t="s">
        <v>26</v>
      </c>
      <c r="AL52" s="60">
        <v>10.16</v>
      </c>
      <c r="AM52" s="286">
        <f>AL52*4543.74/1000</f>
        <v>46.164398399999996</v>
      </c>
      <c r="AN52" s="60">
        <v>0</v>
      </c>
      <c r="AO52" s="286">
        <f>AN52*4543.74/1000</f>
        <v>0</v>
      </c>
      <c r="AP52" s="60">
        <v>118</v>
      </c>
      <c r="AQ52" s="275">
        <f>AP52*33.4/1000</f>
        <v>3.9412</v>
      </c>
      <c r="AR52" s="81">
        <v>14385</v>
      </c>
      <c r="AS52" s="293">
        <f t="shared" si="88"/>
        <v>79.26135</v>
      </c>
      <c r="AT52" s="60">
        <v>0</v>
      </c>
      <c r="AU52" s="275">
        <v>0</v>
      </c>
      <c r="AV52" s="68">
        <f t="shared" si="89"/>
        <v>129.36694839999998</v>
      </c>
      <c r="AW52" s="96" t="s">
        <v>26</v>
      </c>
      <c r="AX52" s="60">
        <v>172.01</v>
      </c>
      <c r="AY52" s="286">
        <f>AX52*4543.74/1000</f>
        <v>781.5687174</v>
      </c>
      <c r="AZ52" s="60">
        <v>0</v>
      </c>
      <c r="BA52" s="286">
        <f>AZ52*4543.74/1000</f>
        <v>0</v>
      </c>
      <c r="BB52" s="60">
        <v>188.7</v>
      </c>
      <c r="BC52" s="275">
        <f>BB52*33.4/1000</f>
        <v>6.302579999999999</v>
      </c>
      <c r="BD52" s="81">
        <v>19127</v>
      </c>
      <c r="BE52" s="293">
        <f t="shared" si="90"/>
        <v>105.38976999999998</v>
      </c>
      <c r="BF52" s="60">
        <f t="shared" si="91"/>
        <v>188.7</v>
      </c>
      <c r="BG52" s="275">
        <v>0</v>
      </c>
      <c r="BH52" s="68">
        <f t="shared" si="92"/>
        <v>893.2610674</v>
      </c>
      <c r="BJ52" s="1" t="s">
        <v>35</v>
      </c>
    </row>
    <row r="53" spans="1:61" s="9" customFormat="1" ht="15.75" customHeight="1" thickBot="1">
      <c r="A53" s="316" t="s">
        <v>24</v>
      </c>
      <c r="B53" s="171">
        <f>SUM(B42:B52)</f>
        <v>9369.670000000002</v>
      </c>
      <c r="C53" s="45">
        <f>SUM(C42:C52)</f>
        <v>39287.31143696001</v>
      </c>
      <c r="D53" s="171">
        <f>SUM(D42:D52)</f>
        <v>2481.86</v>
      </c>
      <c r="E53" s="49">
        <f>SUM(E42:E52)</f>
        <v>2360.906071444</v>
      </c>
      <c r="F53" s="58">
        <f t="shared" si="82"/>
        <v>25387.86</v>
      </c>
      <c r="G53" s="45">
        <f t="shared" si="82"/>
        <v>998.3290357999999</v>
      </c>
      <c r="H53" s="179">
        <f t="shared" si="82"/>
        <v>717277.47</v>
      </c>
      <c r="I53" s="49">
        <f t="shared" si="82"/>
        <v>3778.96696359</v>
      </c>
      <c r="J53" s="58">
        <f t="shared" si="82"/>
        <v>24511.8</v>
      </c>
      <c r="K53" s="172">
        <f t="shared" si="82"/>
        <v>360.67855870000005</v>
      </c>
      <c r="L53" s="55">
        <f t="shared" si="83"/>
        <v>46786.192066494004</v>
      </c>
      <c r="M53" s="28" t="s">
        <v>24</v>
      </c>
      <c r="N53" s="37">
        <f aca="true" t="shared" si="93" ref="N53:W53">SUM(N42:N52)</f>
        <v>4293.139999999999</v>
      </c>
      <c r="O53" s="44">
        <f t="shared" si="93"/>
        <v>17345.8037745</v>
      </c>
      <c r="P53" s="37">
        <f t="shared" si="93"/>
        <v>735.5100000000001</v>
      </c>
      <c r="Q53" s="44">
        <f t="shared" si="93"/>
        <v>741.1722639000001</v>
      </c>
      <c r="R53" s="37">
        <f t="shared" si="93"/>
        <v>8615.58</v>
      </c>
      <c r="S53" s="44">
        <f t="shared" si="93"/>
        <v>316.9082997</v>
      </c>
      <c r="T53" s="37">
        <f t="shared" si="93"/>
        <v>212524.16999999998</v>
      </c>
      <c r="U53" s="44">
        <f t="shared" si="93"/>
        <v>1068.35900259</v>
      </c>
      <c r="V53" s="37">
        <f t="shared" si="93"/>
        <v>7628.61</v>
      </c>
      <c r="W53" s="44">
        <f t="shared" si="93"/>
        <v>110.63587199999999</v>
      </c>
      <c r="X53" s="38">
        <f>O53+Q53+S53+U53+W53</f>
        <v>19582.87921269</v>
      </c>
      <c r="Y53" s="51" t="s">
        <v>24</v>
      </c>
      <c r="Z53" s="37">
        <f aca="true" t="shared" si="94" ref="Z53:AI53">SUM(Z42:Z52)</f>
        <v>1327.54</v>
      </c>
      <c r="AA53" s="44">
        <f t="shared" si="94"/>
        <v>5405.289129000001</v>
      </c>
      <c r="AB53" s="37">
        <f t="shared" si="94"/>
        <v>699.37</v>
      </c>
      <c r="AC53" s="44">
        <f t="shared" si="94"/>
        <v>541.7841903</v>
      </c>
      <c r="AD53" s="37">
        <f t="shared" si="94"/>
        <v>6698.209999999999</v>
      </c>
      <c r="AE53" s="44">
        <f t="shared" si="94"/>
        <v>249.3999456</v>
      </c>
      <c r="AF53" s="37">
        <f t="shared" si="94"/>
        <v>146134</v>
      </c>
      <c r="AG53" s="44">
        <f t="shared" si="94"/>
        <v>734.615618</v>
      </c>
      <c r="AH53" s="37">
        <f t="shared" si="94"/>
        <v>6437.24</v>
      </c>
      <c r="AI53" s="44">
        <f t="shared" si="94"/>
        <v>95.99485010000001</v>
      </c>
      <c r="AJ53" s="38">
        <f>AA53+AC53+AE53+AG53+AI53</f>
        <v>7027.083733</v>
      </c>
      <c r="AK53" s="28" t="s">
        <v>24</v>
      </c>
      <c r="AL53" s="37">
        <f aca="true" t="shared" si="95" ref="AL53:AU53">SUM(AL42:AL52)</f>
        <v>137.47</v>
      </c>
      <c r="AM53" s="44">
        <f t="shared" si="95"/>
        <v>609.01679896</v>
      </c>
      <c r="AN53" s="37">
        <f t="shared" si="95"/>
        <v>334.46999999999997</v>
      </c>
      <c r="AO53" s="44">
        <f t="shared" si="95"/>
        <v>333.201985774</v>
      </c>
      <c r="AP53" s="37">
        <f t="shared" si="95"/>
        <v>3639.9300000000003</v>
      </c>
      <c r="AQ53" s="44">
        <f t="shared" si="95"/>
        <v>161.1132785</v>
      </c>
      <c r="AR53" s="37">
        <f t="shared" si="95"/>
        <v>144536.62</v>
      </c>
      <c r="AS53" s="44">
        <f t="shared" si="95"/>
        <v>796.3967762</v>
      </c>
      <c r="AT53" s="37">
        <f t="shared" si="95"/>
        <v>3422.9100000000003</v>
      </c>
      <c r="AU53" s="44">
        <f t="shared" si="95"/>
        <v>54.540745</v>
      </c>
      <c r="AV53" s="38">
        <f>AM53+AO53+AQ53+AS53+AU53</f>
        <v>1954.2695844339999</v>
      </c>
      <c r="AW53" s="64" t="s">
        <v>24</v>
      </c>
      <c r="AX53" s="37">
        <f aca="true" t="shared" si="96" ref="AX53:BG53">SUM(AX42:AX52)</f>
        <v>3611.5200000000004</v>
      </c>
      <c r="AY53" s="44">
        <f t="shared" si="96"/>
        <v>15927.2017345</v>
      </c>
      <c r="AZ53" s="37">
        <f t="shared" si="96"/>
        <v>712.51</v>
      </c>
      <c r="BA53" s="44">
        <f t="shared" si="96"/>
        <v>744.7476314700001</v>
      </c>
      <c r="BB53" s="37">
        <f t="shared" si="96"/>
        <v>6434.139999999999</v>
      </c>
      <c r="BC53" s="44">
        <f t="shared" si="96"/>
        <v>270.907512</v>
      </c>
      <c r="BD53" s="37">
        <f t="shared" si="96"/>
        <v>214082.68</v>
      </c>
      <c r="BE53" s="44">
        <f t="shared" si="96"/>
        <v>1179.5955668</v>
      </c>
      <c r="BF53" s="37">
        <f t="shared" si="96"/>
        <v>7023.04</v>
      </c>
      <c r="BG53" s="44">
        <f t="shared" si="96"/>
        <v>99.50709160000001</v>
      </c>
      <c r="BH53" s="38">
        <f>AY53+BA53+BC53+BE53+BG53</f>
        <v>18221.959536370003</v>
      </c>
      <c r="BI53" s="8"/>
    </row>
    <row r="54" spans="1:61" ht="16.5" thickBot="1">
      <c r="A54" s="317" t="s">
        <v>49</v>
      </c>
      <c r="B54" s="35">
        <f aca="true" t="shared" si="97" ref="B54:K54">B17+B19+B28+B40+B53</f>
        <v>14831.170000000002</v>
      </c>
      <c r="C54" s="36">
        <f t="shared" si="97"/>
        <v>60511.37058829001</v>
      </c>
      <c r="D54" s="35">
        <f t="shared" si="97"/>
        <v>3995.53</v>
      </c>
      <c r="E54" s="53">
        <f t="shared" si="97"/>
        <v>3483.060349464</v>
      </c>
      <c r="F54" s="34">
        <f t="shared" si="97"/>
        <v>34734.41</v>
      </c>
      <c r="G54" s="36">
        <f t="shared" si="97"/>
        <v>1405.6201933999998</v>
      </c>
      <c r="H54" s="84">
        <f t="shared" si="97"/>
        <v>2019514.48</v>
      </c>
      <c r="I54" s="53">
        <f t="shared" si="97"/>
        <v>10624.58256971</v>
      </c>
      <c r="J54" s="34">
        <f t="shared" si="97"/>
        <v>35187.19</v>
      </c>
      <c r="K54" s="36">
        <f t="shared" si="97"/>
        <v>505.95550260000005</v>
      </c>
      <c r="L54" s="38">
        <f>L17+L19+L28+L40+L53</f>
        <v>76530.58920346401</v>
      </c>
      <c r="M54" s="182" t="s">
        <v>7</v>
      </c>
      <c r="N54" s="269">
        <f aca="true" t="shared" si="98" ref="N54:W54">N17+N19+N28+N40+N53</f>
        <v>6565.65</v>
      </c>
      <c r="O54" s="62">
        <f t="shared" si="98"/>
        <v>25768.2618511</v>
      </c>
      <c r="P54" s="269">
        <f t="shared" si="98"/>
        <v>1384.62</v>
      </c>
      <c r="Q54" s="62">
        <f t="shared" si="98"/>
        <v>1123.98429</v>
      </c>
      <c r="R54" s="269">
        <f t="shared" si="98"/>
        <v>11687.96</v>
      </c>
      <c r="S54" s="62">
        <f t="shared" si="98"/>
        <v>445.8378884</v>
      </c>
      <c r="T54" s="269">
        <f t="shared" si="98"/>
        <v>588692.47</v>
      </c>
      <c r="U54" s="62">
        <f t="shared" si="98"/>
        <v>2959.35704669</v>
      </c>
      <c r="V54" s="269">
        <f t="shared" si="98"/>
        <v>11295.849999999999</v>
      </c>
      <c r="W54" s="62">
        <f t="shared" si="98"/>
        <v>155.1846301</v>
      </c>
      <c r="X54" s="38">
        <f>O54+Q54+S54+U54+W54</f>
        <v>30452.62570629</v>
      </c>
      <c r="Y54" s="119" t="s">
        <v>7</v>
      </c>
      <c r="Z54" s="269">
        <f aca="true" t="shared" si="99" ref="Z54:AI54">Z17+Z19+Z28+Z40+Z53</f>
        <v>2105.33</v>
      </c>
      <c r="AA54" s="62">
        <f t="shared" si="99"/>
        <v>8326.9130824</v>
      </c>
      <c r="AB54" s="269">
        <f t="shared" si="99"/>
        <v>1130.32</v>
      </c>
      <c r="AC54" s="62">
        <f t="shared" si="99"/>
        <v>819.3775851</v>
      </c>
      <c r="AD54" s="269">
        <f t="shared" si="99"/>
        <v>8648.109999999999</v>
      </c>
      <c r="AE54" s="62">
        <f t="shared" si="99"/>
        <v>327.771305</v>
      </c>
      <c r="AF54" s="269">
        <f t="shared" si="99"/>
        <v>452595.76</v>
      </c>
      <c r="AG54" s="62">
        <f t="shared" si="99"/>
        <v>2275.1988855199997</v>
      </c>
      <c r="AH54" s="269">
        <f t="shared" si="99"/>
        <v>8774.72</v>
      </c>
      <c r="AI54" s="62">
        <f t="shared" si="99"/>
        <v>128.1719921</v>
      </c>
      <c r="AJ54" s="38">
        <f>AA54+AC54+AE54+AG54+AI54</f>
        <v>11877.432850120002</v>
      </c>
      <c r="AK54" s="116"/>
      <c r="AL54" s="269">
        <f aca="true" t="shared" si="100" ref="AL54:AU54">AL17+AL19+AL28+AL40+AL53</f>
        <v>297.91999999999996</v>
      </c>
      <c r="AM54" s="62">
        <f t="shared" si="100"/>
        <v>1236.67883429</v>
      </c>
      <c r="AN54" s="269">
        <f t="shared" si="100"/>
        <v>450.99</v>
      </c>
      <c r="AO54" s="62">
        <f t="shared" si="100"/>
        <v>498.128016214</v>
      </c>
      <c r="AP54" s="269">
        <f t="shared" si="100"/>
        <v>5361.05</v>
      </c>
      <c r="AQ54" s="62">
        <f t="shared" si="100"/>
        <v>240.3601145</v>
      </c>
      <c r="AR54" s="269">
        <f t="shared" si="100"/>
        <v>415006.55</v>
      </c>
      <c r="AS54" s="62">
        <f t="shared" si="100"/>
        <v>2286.6860905000003</v>
      </c>
      <c r="AT54" s="269">
        <f t="shared" si="100"/>
        <v>5224.83</v>
      </c>
      <c r="AU54" s="62">
        <f t="shared" si="100"/>
        <v>82.01144980000001</v>
      </c>
      <c r="AV54" s="38">
        <f>AM54+AO54+AQ54+AS54+AU54</f>
        <v>4343.864505304001</v>
      </c>
      <c r="AW54" s="105" t="s">
        <v>7</v>
      </c>
      <c r="AX54" s="269">
        <f aca="true" t="shared" si="101" ref="AX54:BG54">AX17+AX19+AX28+AX40+AX53</f>
        <v>5862.27</v>
      </c>
      <c r="AY54" s="62">
        <f t="shared" si="101"/>
        <v>25179.5068205</v>
      </c>
      <c r="AZ54" s="269">
        <f t="shared" si="101"/>
        <v>1029.6</v>
      </c>
      <c r="BA54" s="62">
        <f t="shared" si="101"/>
        <v>1041.5704581500001</v>
      </c>
      <c r="BB54" s="269">
        <f t="shared" si="101"/>
        <v>9037.289999999999</v>
      </c>
      <c r="BC54" s="62">
        <f t="shared" si="101"/>
        <v>391.6508855</v>
      </c>
      <c r="BD54" s="269">
        <f t="shared" si="101"/>
        <v>563219.7</v>
      </c>
      <c r="BE54" s="62">
        <f t="shared" si="101"/>
        <v>3103.340547</v>
      </c>
      <c r="BF54" s="269">
        <f t="shared" si="101"/>
        <v>9891.79</v>
      </c>
      <c r="BG54" s="62">
        <f t="shared" si="101"/>
        <v>140.5874306</v>
      </c>
      <c r="BH54" s="38">
        <f>AY54+BA54+BC54+BE54+BG54</f>
        <v>29856.656141749998</v>
      </c>
      <c r="BI54" s="1" t="s">
        <v>35</v>
      </c>
    </row>
    <row r="55" spans="1:60" ht="15.75">
      <c r="A55" s="326"/>
      <c r="B55" s="324"/>
      <c r="C55" s="324"/>
      <c r="D55" s="324"/>
      <c r="E55" s="324"/>
      <c r="F55" s="324"/>
      <c r="G55" s="324"/>
      <c r="H55" s="325"/>
      <c r="I55" s="324"/>
      <c r="J55" s="324"/>
      <c r="K55" s="324"/>
      <c r="L55" s="324">
        <f>C54+E54+G54+I54+K54</f>
        <v>76530.58920346401</v>
      </c>
      <c r="M55" s="11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6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7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11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</row>
    <row r="56" spans="1:60" ht="15.75">
      <c r="A56" s="496" t="s">
        <v>16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6" t="s">
        <v>16</v>
      </c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6" t="s">
        <v>43</v>
      </c>
      <c r="Z56" s="497"/>
      <c r="AA56" s="497"/>
      <c r="AB56" s="497"/>
      <c r="AC56" s="497"/>
      <c r="AD56" s="497"/>
      <c r="AE56" s="497"/>
      <c r="AF56" s="497"/>
      <c r="AG56" s="497"/>
      <c r="AH56" s="497"/>
      <c r="AI56" s="497"/>
      <c r="AJ56" s="497"/>
      <c r="AK56" s="496" t="s">
        <v>43</v>
      </c>
      <c r="AL56" s="497"/>
      <c r="AM56" s="497"/>
      <c r="AN56" s="497"/>
      <c r="AO56" s="497"/>
      <c r="AP56" s="497"/>
      <c r="AQ56" s="497"/>
      <c r="AR56" s="497"/>
      <c r="AS56" s="497"/>
      <c r="AT56" s="497"/>
      <c r="AU56" s="497"/>
      <c r="AV56" s="497"/>
      <c r="AW56" s="496" t="s">
        <v>43</v>
      </c>
      <c r="AX56" s="497"/>
      <c r="AY56" s="497"/>
      <c r="AZ56" s="497"/>
      <c r="BA56" s="497"/>
      <c r="BB56" s="497"/>
      <c r="BC56" s="497"/>
      <c r="BD56" s="497"/>
      <c r="BE56" s="497"/>
      <c r="BF56" s="497"/>
      <c r="BG56" s="497"/>
      <c r="BH56" s="497"/>
    </row>
    <row r="57" spans="1:60" ht="15.75" customHeight="1">
      <c r="A57" s="496" t="s">
        <v>0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6" t="s">
        <v>0</v>
      </c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6" t="s">
        <v>0</v>
      </c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6" t="s">
        <v>0</v>
      </c>
      <c r="AL57" s="497"/>
      <c r="AM57" s="497"/>
      <c r="AN57" s="497"/>
      <c r="AO57" s="497"/>
      <c r="AP57" s="497"/>
      <c r="AQ57" s="497"/>
      <c r="AR57" s="497"/>
      <c r="AS57" s="497"/>
      <c r="AT57" s="497"/>
      <c r="AU57" s="497"/>
      <c r="AV57" s="497"/>
      <c r="AW57" s="496" t="s">
        <v>0</v>
      </c>
      <c r="AX57" s="497"/>
      <c r="AY57" s="497"/>
      <c r="AZ57" s="497"/>
      <c r="BA57" s="497"/>
      <c r="BB57" s="497"/>
      <c r="BC57" s="497"/>
      <c r="BD57" s="497"/>
      <c r="BE57" s="497"/>
      <c r="BF57" s="497"/>
      <c r="BG57" s="497"/>
      <c r="BH57" s="497"/>
    </row>
    <row r="58" spans="1:60" ht="16.5" customHeight="1" thickBot="1">
      <c r="A58" s="498" t="s">
        <v>78</v>
      </c>
      <c r="B58" s="499"/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8" t="s">
        <v>79</v>
      </c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8" t="s">
        <v>80</v>
      </c>
      <c r="Z58" s="499"/>
      <c r="AA58" s="499"/>
      <c r="AB58" s="499"/>
      <c r="AC58" s="499"/>
      <c r="AD58" s="499"/>
      <c r="AE58" s="499"/>
      <c r="AF58" s="499"/>
      <c r="AG58" s="499"/>
      <c r="AH58" s="499"/>
      <c r="AI58" s="499"/>
      <c r="AJ58" s="499"/>
      <c r="AK58" s="498" t="s">
        <v>81</v>
      </c>
      <c r="AL58" s="499"/>
      <c r="AM58" s="499"/>
      <c r="AN58" s="499"/>
      <c r="AO58" s="499"/>
      <c r="AP58" s="499"/>
      <c r="AQ58" s="499"/>
      <c r="AR58" s="499"/>
      <c r="AS58" s="499"/>
      <c r="AT58" s="499"/>
      <c r="AU58" s="499"/>
      <c r="AV58" s="499"/>
      <c r="AW58" s="498" t="s">
        <v>85</v>
      </c>
      <c r="AX58" s="500"/>
      <c r="AY58" s="500"/>
      <c r="AZ58" s="500"/>
      <c r="BA58" s="500"/>
      <c r="BB58" s="500"/>
      <c r="BC58" s="500"/>
      <c r="BD58" s="500"/>
      <c r="BE58" s="500"/>
      <c r="BF58" s="500"/>
      <c r="BG58" s="500"/>
      <c r="BH58" s="500"/>
    </row>
    <row r="59" spans="1:60" ht="16.5" customHeight="1" thickBot="1">
      <c r="A59" s="43"/>
      <c r="B59" s="186"/>
      <c r="C59" s="186"/>
      <c r="D59" s="42"/>
      <c r="E59" s="42"/>
      <c r="F59" s="42"/>
      <c r="G59" s="42"/>
      <c r="H59" s="42"/>
      <c r="I59" s="42"/>
      <c r="J59" s="42"/>
      <c r="K59" s="42"/>
      <c r="L59" s="41"/>
      <c r="M59" s="43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1"/>
      <c r="Y59" s="43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1"/>
      <c r="AK59" s="43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1"/>
      <c r="AW59" s="87"/>
      <c r="AX59" s="41"/>
      <c r="AY59" s="42"/>
      <c r="AZ59" s="41"/>
      <c r="BA59" s="42"/>
      <c r="BB59" s="41"/>
      <c r="BC59" s="42"/>
      <c r="BD59" s="41"/>
      <c r="BE59" s="42"/>
      <c r="BF59" s="41"/>
      <c r="BG59" s="42"/>
      <c r="BH59" s="41"/>
    </row>
    <row r="60" spans="1:62" ht="32.25" customHeight="1" thickBot="1">
      <c r="A60" s="180" t="s">
        <v>1</v>
      </c>
      <c r="B60" s="489" t="s">
        <v>2</v>
      </c>
      <c r="C60" s="495"/>
      <c r="D60" s="489" t="s">
        <v>3</v>
      </c>
      <c r="E60" s="490"/>
      <c r="F60" s="489" t="s">
        <v>4</v>
      </c>
      <c r="G60" s="490"/>
      <c r="H60" s="489" t="s">
        <v>5</v>
      </c>
      <c r="I60" s="490"/>
      <c r="J60" s="489" t="s">
        <v>6</v>
      </c>
      <c r="K60" s="490"/>
      <c r="L60" s="22" t="s">
        <v>7</v>
      </c>
      <c r="M60" s="493" t="s">
        <v>1</v>
      </c>
      <c r="N60" s="489" t="s">
        <v>2</v>
      </c>
      <c r="O60" s="490"/>
      <c r="P60" s="489" t="s">
        <v>3</v>
      </c>
      <c r="Q60" s="490"/>
      <c r="R60" s="489" t="s">
        <v>4</v>
      </c>
      <c r="S60" s="490"/>
      <c r="T60" s="489" t="s">
        <v>5</v>
      </c>
      <c r="U60" s="490"/>
      <c r="V60" s="489" t="s">
        <v>6</v>
      </c>
      <c r="W60" s="490"/>
      <c r="X60" s="22" t="s">
        <v>7</v>
      </c>
      <c r="Y60" s="493" t="s">
        <v>1</v>
      </c>
      <c r="Z60" s="489" t="s">
        <v>2</v>
      </c>
      <c r="AA60" s="490"/>
      <c r="AB60" s="489" t="s">
        <v>3</v>
      </c>
      <c r="AC60" s="490"/>
      <c r="AD60" s="489" t="s">
        <v>4</v>
      </c>
      <c r="AE60" s="490"/>
      <c r="AF60" s="489" t="s">
        <v>5</v>
      </c>
      <c r="AG60" s="490"/>
      <c r="AH60" s="489" t="s">
        <v>6</v>
      </c>
      <c r="AI60" s="490"/>
      <c r="AJ60" s="22" t="s">
        <v>7</v>
      </c>
      <c r="AK60" s="21" t="s">
        <v>1</v>
      </c>
      <c r="AL60" s="489" t="s">
        <v>2</v>
      </c>
      <c r="AM60" s="490"/>
      <c r="AN60" s="489" t="s">
        <v>3</v>
      </c>
      <c r="AO60" s="490"/>
      <c r="AP60" s="489" t="s">
        <v>4</v>
      </c>
      <c r="AQ60" s="490"/>
      <c r="AR60" s="489" t="s">
        <v>5</v>
      </c>
      <c r="AS60" s="490"/>
      <c r="AT60" s="489" t="s">
        <v>6</v>
      </c>
      <c r="AU60" s="491"/>
      <c r="AV60" s="22" t="s">
        <v>7</v>
      </c>
      <c r="AW60" s="21" t="s">
        <v>1</v>
      </c>
      <c r="AX60" s="489" t="s">
        <v>2</v>
      </c>
      <c r="AY60" s="490"/>
      <c r="AZ60" s="489" t="s">
        <v>3</v>
      </c>
      <c r="BA60" s="490"/>
      <c r="BB60" s="489" t="s">
        <v>4</v>
      </c>
      <c r="BC60" s="490"/>
      <c r="BD60" s="489" t="s">
        <v>5</v>
      </c>
      <c r="BE60" s="490"/>
      <c r="BF60" s="489" t="s">
        <v>6</v>
      </c>
      <c r="BG60" s="491"/>
      <c r="BH60" s="22" t="s">
        <v>7</v>
      </c>
      <c r="BI60" s="492"/>
      <c r="BJ60" s="492"/>
    </row>
    <row r="61" spans="1:60" ht="29.25" customHeight="1" thickBot="1">
      <c r="A61" s="328"/>
      <c r="B61" s="129" t="s">
        <v>8</v>
      </c>
      <c r="C61" s="48" t="s">
        <v>9</v>
      </c>
      <c r="D61" s="131" t="s">
        <v>8</v>
      </c>
      <c r="E61" s="48" t="s">
        <v>9</v>
      </c>
      <c r="F61" s="129" t="s">
        <v>10</v>
      </c>
      <c r="G61" s="48" t="s">
        <v>9</v>
      </c>
      <c r="H61" s="131" t="s">
        <v>11</v>
      </c>
      <c r="I61" s="130" t="s">
        <v>9</v>
      </c>
      <c r="J61" s="129" t="s">
        <v>10</v>
      </c>
      <c r="K61" s="48" t="s">
        <v>9</v>
      </c>
      <c r="L61" s="132" t="s">
        <v>9</v>
      </c>
      <c r="M61" s="494"/>
      <c r="N61" s="129" t="s">
        <v>8</v>
      </c>
      <c r="O61" s="130" t="s">
        <v>9</v>
      </c>
      <c r="P61" s="131" t="s">
        <v>8</v>
      </c>
      <c r="Q61" s="130" t="s">
        <v>9</v>
      </c>
      <c r="R61" s="129" t="s">
        <v>10</v>
      </c>
      <c r="S61" s="130" t="s">
        <v>9</v>
      </c>
      <c r="T61" s="131" t="s">
        <v>11</v>
      </c>
      <c r="U61" s="130" t="s">
        <v>9</v>
      </c>
      <c r="V61" s="129" t="s">
        <v>10</v>
      </c>
      <c r="W61" s="130" t="s">
        <v>9</v>
      </c>
      <c r="X61" s="132" t="s">
        <v>9</v>
      </c>
      <c r="Y61" s="494"/>
      <c r="Z61" s="129" t="s">
        <v>8</v>
      </c>
      <c r="AA61" s="130" t="s">
        <v>9</v>
      </c>
      <c r="AB61" s="131" t="s">
        <v>8</v>
      </c>
      <c r="AC61" s="130" t="s">
        <v>9</v>
      </c>
      <c r="AD61" s="129" t="s">
        <v>10</v>
      </c>
      <c r="AE61" s="130" t="s">
        <v>9</v>
      </c>
      <c r="AF61" s="131" t="s">
        <v>11</v>
      </c>
      <c r="AG61" s="130" t="s">
        <v>9</v>
      </c>
      <c r="AH61" s="129" t="s">
        <v>10</v>
      </c>
      <c r="AI61" s="130" t="s">
        <v>9</v>
      </c>
      <c r="AJ61" s="132" t="s">
        <v>9</v>
      </c>
      <c r="AK61" s="329"/>
      <c r="AL61" s="129" t="s">
        <v>8</v>
      </c>
      <c r="AM61" s="330" t="s">
        <v>9</v>
      </c>
      <c r="AN61" s="331" t="s">
        <v>8</v>
      </c>
      <c r="AO61" s="130" t="s">
        <v>9</v>
      </c>
      <c r="AP61" s="129" t="s">
        <v>10</v>
      </c>
      <c r="AQ61" s="130" t="s">
        <v>9</v>
      </c>
      <c r="AR61" s="131" t="s">
        <v>11</v>
      </c>
      <c r="AS61" s="130" t="s">
        <v>9</v>
      </c>
      <c r="AT61" s="129" t="s">
        <v>10</v>
      </c>
      <c r="AU61" s="130" t="s">
        <v>9</v>
      </c>
      <c r="AV61" s="132" t="s">
        <v>9</v>
      </c>
      <c r="AW61" s="329"/>
      <c r="AX61" s="129" t="s">
        <v>8</v>
      </c>
      <c r="AY61" s="330" t="s">
        <v>9</v>
      </c>
      <c r="AZ61" s="331" t="s">
        <v>8</v>
      </c>
      <c r="BA61" s="130" t="s">
        <v>9</v>
      </c>
      <c r="BB61" s="129" t="s">
        <v>10</v>
      </c>
      <c r="BC61" s="130" t="s">
        <v>9</v>
      </c>
      <c r="BD61" s="131" t="s">
        <v>11</v>
      </c>
      <c r="BE61" s="130" t="s">
        <v>9</v>
      </c>
      <c r="BF61" s="129" t="s">
        <v>10</v>
      </c>
      <c r="BG61" s="130" t="s">
        <v>9</v>
      </c>
      <c r="BH61" s="132" t="s">
        <v>9</v>
      </c>
    </row>
    <row r="62" spans="1:60" s="86" customFormat="1" ht="15">
      <c r="A62" s="339" t="s">
        <v>66</v>
      </c>
      <c r="B62" s="65">
        <f>B17+B19+B28+B30+B31+B32+B33+B34+B35+B36+B37+B42+B43+B44+B45+B46</f>
        <v>7747.57</v>
      </c>
      <c r="C62" s="151">
        <f>C17+C19+C28+C30+C31+C32+C33+C34+C35+C36+C37+C42+C43+C44+C45+C46</f>
        <v>27348.3298228</v>
      </c>
      <c r="D62" s="67">
        <f aca="true" t="shared" si="102" ref="D62:L62">D17+D19+D28+D30+D31+D32+D33+D34+D35+D36+D37+D42+D43+D44+D45+D46</f>
        <v>481.47</v>
      </c>
      <c r="E62" s="164">
        <f t="shared" si="102"/>
        <v>1712.0595132</v>
      </c>
      <c r="F62" s="65">
        <f t="shared" si="102"/>
        <v>22017.260000000002</v>
      </c>
      <c r="G62" s="151">
        <f t="shared" si="102"/>
        <v>890.5568381999999</v>
      </c>
      <c r="H62" s="67">
        <f t="shared" si="102"/>
        <v>837865.54</v>
      </c>
      <c r="I62" s="164">
        <f t="shared" si="102"/>
        <v>4401.14437187</v>
      </c>
      <c r="J62" s="65">
        <f t="shared" si="102"/>
        <v>22017.260000000002</v>
      </c>
      <c r="K62" s="151">
        <f t="shared" si="102"/>
        <v>405.5499276</v>
      </c>
      <c r="L62" s="340">
        <f t="shared" si="102"/>
        <v>34757.640473670006</v>
      </c>
      <c r="M62" s="138"/>
      <c r="N62" s="65">
        <f>N17+N19+N28+N30+N31+N32+N33+N34+N35+N36+N37+N42+N43+N44+N45+N46</f>
        <v>3334.8700000000003</v>
      </c>
      <c r="O62" s="151">
        <f>O17+O19+O28+O30+O31+O32+O33+O34+O35+O36+O37+O42+O43+O44+O45+O46</f>
        <v>11255.5864344</v>
      </c>
      <c r="P62" s="67">
        <f aca="true" t="shared" si="103" ref="P62:X62">P17+P19+P28+P30+P31+P32+P33+P34+P35+P36+P37+P42+P43+P44+P45+P46</f>
        <v>146.20000000000002</v>
      </c>
      <c r="Q62" s="164">
        <f t="shared" si="103"/>
        <v>493.442544</v>
      </c>
      <c r="R62" s="65">
        <f t="shared" si="103"/>
        <v>6534.83</v>
      </c>
      <c r="S62" s="151">
        <f t="shared" si="103"/>
        <v>251.72165160000003</v>
      </c>
      <c r="T62" s="67">
        <f t="shared" si="103"/>
        <v>261718.93999999997</v>
      </c>
      <c r="U62" s="164">
        <f t="shared" si="103"/>
        <v>1315.6611113800002</v>
      </c>
      <c r="V62" s="65">
        <f t="shared" si="103"/>
        <v>6534.83</v>
      </c>
      <c r="W62" s="151">
        <f t="shared" si="103"/>
        <v>116.71206379999998</v>
      </c>
      <c r="X62" s="340">
        <f t="shared" si="103"/>
        <v>13433.123805179997</v>
      </c>
      <c r="Y62" s="138"/>
      <c r="Z62" s="65">
        <f>Z17+Z19+Z28+Z30+Z31+Z32+Z33+Z34+Z35+Z36+Z37+Z42+Z43+Z44+Z45+Z46</f>
        <v>1001.6800000000001</v>
      </c>
      <c r="AA62" s="151">
        <f>AA17+AA19+AA28+AA30+AA31+AA32+AA33+AA34+AA35+AA36+AA37+AA42+AA43+AA44+AA45+AA46</f>
        <v>3380.7902016000003</v>
      </c>
      <c r="AB62" s="67">
        <f aca="true" t="shared" si="104" ref="AB62:AJ62">AB17+AB19+AB28+AB30+AB31+AB32+AB33+AB34+AB35+AB36+AB37+AB42+AB43+AB44+AB45+AB46</f>
        <v>101.92999999999999</v>
      </c>
      <c r="AC62" s="164">
        <f t="shared" si="104"/>
        <v>344.02598159999997</v>
      </c>
      <c r="AD62" s="65">
        <f t="shared" si="104"/>
        <v>5856.13</v>
      </c>
      <c r="AE62" s="151">
        <f t="shared" si="104"/>
        <v>225.57812760000002</v>
      </c>
      <c r="AF62" s="67">
        <f t="shared" si="104"/>
        <v>184439.96999999997</v>
      </c>
      <c r="AG62" s="164">
        <f t="shared" si="104"/>
        <v>927.1797291899999</v>
      </c>
      <c r="AH62" s="65">
        <f t="shared" si="104"/>
        <v>5856.13</v>
      </c>
      <c r="AI62" s="151">
        <f t="shared" si="104"/>
        <v>104.5904818</v>
      </c>
      <c r="AJ62" s="340">
        <f t="shared" si="104"/>
        <v>4982.1645217899995</v>
      </c>
      <c r="AK62" s="138"/>
      <c r="AL62" s="65">
        <f>AL17+AL19+AL28+AL30+AL31+AL32+AL33+AL34+AL35+AL36+AL37+AL42+AL43+AL44+AL45+AL46</f>
        <v>188.08999999999995</v>
      </c>
      <c r="AM62" s="151">
        <f>AM17+AM19+AM28+AM30+AM31+AM32+AM33+AM34+AM35+AM36+AM37+AM42+AM43+AM44+AM45+AM46</f>
        <v>697.8256686</v>
      </c>
      <c r="AN62" s="67">
        <f aca="true" t="shared" si="105" ref="AN62:AV62">AN17+AN19+AN28+AN30+AN31+AN32+AN33+AN34+AN35+AN36+AN37+AN42+AN43+AN44+AN45+AN46</f>
        <v>91.90000000000002</v>
      </c>
      <c r="AO62" s="164">
        <f t="shared" si="105"/>
        <v>344.45406599999995</v>
      </c>
      <c r="AP62" s="65">
        <f t="shared" si="105"/>
        <v>3627.0299999999997</v>
      </c>
      <c r="AQ62" s="151">
        <f t="shared" si="105"/>
        <v>155.7083979</v>
      </c>
      <c r="AR62" s="67">
        <f t="shared" si="105"/>
        <v>160234.40999999997</v>
      </c>
      <c r="AS62" s="164">
        <f t="shared" si="105"/>
        <v>882.8915990999998</v>
      </c>
      <c r="AT62" s="65">
        <f t="shared" si="105"/>
        <v>3627.0299999999997</v>
      </c>
      <c r="AU62" s="151">
        <f t="shared" si="105"/>
        <v>69.4213542</v>
      </c>
      <c r="AV62" s="340">
        <f t="shared" si="105"/>
        <v>2150.3010858000002</v>
      </c>
      <c r="AW62" s="138"/>
      <c r="AX62" s="65">
        <f>AX17+AX19+AX28+AX30+AX31+AX32+AX33+AX34+AX35+AX36+AX37+AX42+AX43+AX44+AX45+AX46</f>
        <v>3222.93</v>
      </c>
      <c r="AY62" s="151">
        <f>AY17+AY19+AY28+AY30+AY31+AY32+AY33+AY34+AY35+AY36+AY37+AY42+AY43+AY44+AY45+AY46</f>
        <v>12014.1175182</v>
      </c>
      <c r="AZ62" s="67">
        <f aca="true" t="shared" si="106" ref="AZ62:BH62">AZ17+AZ19+AZ28+AZ30+AZ31+AZ32+AZ33+AZ34+AZ35+AZ36+AZ37+AZ42+AZ43+AZ44+AZ45+AZ46</f>
        <v>141.43999999999997</v>
      </c>
      <c r="BA62" s="164">
        <f t="shared" si="106"/>
        <v>530.1369215999999</v>
      </c>
      <c r="BB62" s="65">
        <f t="shared" si="106"/>
        <v>5999.27</v>
      </c>
      <c r="BC62" s="151">
        <f t="shared" si="106"/>
        <v>257.5486611</v>
      </c>
      <c r="BD62" s="67">
        <f t="shared" si="106"/>
        <v>231472.22</v>
      </c>
      <c r="BE62" s="164">
        <f t="shared" si="106"/>
        <v>1275.4119322</v>
      </c>
      <c r="BF62" s="65">
        <f t="shared" si="106"/>
        <v>5999.27</v>
      </c>
      <c r="BG62" s="151">
        <f t="shared" si="106"/>
        <v>114.82602780000002</v>
      </c>
      <c r="BH62" s="340">
        <f t="shared" si="106"/>
        <v>14192.0410609</v>
      </c>
    </row>
    <row r="63" spans="1:60" s="86" customFormat="1" ht="15">
      <c r="A63" s="339" t="s">
        <v>87</v>
      </c>
      <c r="B63" s="60">
        <f>B47+B48</f>
        <v>1204.4</v>
      </c>
      <c r="C63" s="79">
        <f>C47+C48</f>
        <v>4666.702987</v>
      </c>
      <c r="D63" s="69">
        <f aca="true" t="shared" si="107" ref="D63:L63">D47+D48</f>
        <v>0</v>
      </c>
      <c r="E63" s="153">
        <f t="shared" si="107"/>
        <v>0</v>
      </c>
      <c r="F63" s="60">
        <f t="shared" si="107"/>
        <v>3412</v>
      </c>
      <c r="G63" s="79">
        <f t="shared" si="107"/>
        <v>142.17872</v>
      </c>
      <c r="H63" s="69">
        <f t="shared" si="107"/>
        <v>82600.06</v>
      </c>
      <c r="I63" s="153">
        <f t="shared" si="107"/>
        <v>435.26600816</v>
      </c>
      <c r="J63" s="60">
        <f t="shared" si="107"/>
        <v>666</v>
      </c>
      <c r="K63" s="79">
        <f t="shared" si="107"/>
        <v>0</v>
      </c>
      <c r="L63" s="341">
        <f t="shared" si="107"/>
        <v>5244.147715159999</v>
      </c>
      <c r="M63" s="139"/>
      <c r="N63" s="60">
        <f>N47+N48</f>
        <v>542.8</v>
      </c>
      <c r="O63" s="79">
        <f>O47+O48</f>
        <v>2079.651352</v>
      </c>
      <c r="P63" s="69">
        <f aca="true" t="shared" si="108" ref="P63:X63">P47+P48</f>
        <v>0</v>
      </c>
      <c r="Q63" s="153">
        <f t="shared" si="108"/>
        <v>0</v>
      </c>
      <c r="R63" s="60">
        <f t="shared" si="108"/>
        <v>1541</v>
      </c>
      <c r="S63" s="79">
        <f t="shared" si="108"/>
        <v>63.11936</v>
      </c>
      <c r="T63" s="69">
        <f t="shared" si="108"/>
        <v>23673.54</v>
      </c>
      <c r="U63" s="153">
        <f t="shared" si="108"/>
        <v>119.00688558</v>
      </c>
      <c r="V63" s="60">
        <f t="shared" si="108"/>
        <v>0</v>
      </c>
      <c r="W63" s="79">
        <f t="shared" si="108"/>
        <v>0</v>
      </c>
      <c r="X63" s="341">
        <f t="shared" si="108"/>
        <v>2261.77759758</v>
      </c>
      <c r="Y63" s="139"/>
      <c r="Z63" s="60">
        <f>Z47+Z48</f>
        <v>223.7</v>
      </c>
      <c r="AA63" s="79">
        <f>AA47+AA48</f>
        <v>857.0707580000001</v>
      </c>
      <c r="AB63" s="69">
        <f aca="true" t="shared" si="109" ref="AB63:AJ63">AB47+AB48</f>
        <v>0</v>
      </c>
      <c r="AC63" s="153">
        <f t="shared" si="109"/>
        <v>0</v>
      </c>
      <c r="AD63" s="60">
        <f t="shared" si="109"/>
        <v>831</v>
      </c>
      <c r="AE63" s="79">
        <f t="shared" si="109"/>
        <v>34.03776</v>
      </c>
      <c r="AF63" s="69">
        <f t="shared" si="109"/>
        <v>17445.14</v>
      </c>
      <c r="AG63" s="153">
        <f t="shared" si="109"/>
        <v>87.69671878</v>
      </c>
      <c r="AH63" s="60">
        <f t="shared" si="109"/>
        <v>0</v>
      </c>
      <c r="AI63" s="79">
        <f t="shared" si="109"/>
        <v>0</v>
      </c>
      <c r="AJ63" s="341">
        <f t="shared" si="109"/>
        <v>978.8052367800001</v>
      </c>
      <c r="AK63" s="139"/>
      <c r="AL63" s="60">
        <f>AL47+AL48</f>
        <v>23.9</v>
      </c>
      <c r="AM63" s="79">
        <f>AM47+AM48</f>
        <v>94.420057</v>
      </c>
      <c r="AN63" s="69">
        <f aca="true" t="shared" si="110" ref="AN63:AV63">AN47+AN48</f>
        <v>0</v>
      </c>
      <c r="AO63" s="153">
        <f t="shared" si="110"/>
        <v>0</v>
      </c>
      <c r="AP63" s="60">
        <f t="shared" si="110"/>
        <v>374</v>
      </c>
      <c r="AQ63" s="79">
        <f t="shared" si="110"/>
        <v>16.190459999999998</v>
      </c>
      <c r="AR63" s="69">
        <f t="shared" si="110"/>
        <v>20026.38</v>
      </c>
      <c r="AS63" s="153">
        <f t="shared" si="110"/>
        <v>110.34535379999998</v>
      </c>
      <c r="AT63" s="60">
        <f t="shared" si="110"/>
        <v>0</v>
      </c>
      <c r="AU63" s="79">
        <f t="shared" si="110"/>
        <v>0</v>
      </c>
      <c r="AV63" s="341">
        <f t="shared" si="110"/>
        <v>220.95587079999999</v>
      </c>
      <c r="AW63" s="139"/>
      <c r="AX63" s="60">
        <f>AX47+AX48</f>
        <v>414</v>
      </c>
      <c r="AY63" s="79">
        <f>AY47+AY48</f>
        <v>1635.5608200000001</v>
      </c>
      <c r="AZ63" s="69">
        <f aca="true" t="shared" si="111" ref="AZ63:BH63">AZ47+AZ48</f>
        <v>0</v>
      </c>
      <c r="BA63" s="153">
        <f t="shared" si="111"/>
        <v>0</v>
      </c>
      <c r="BB63" s="60">
        <f t="shared" si="111"/>
        <v>666</v>
      </c>
      <c r="BC63" s="79">
        <f t="shared" si="111"/>
        <v>28.831139999999998</v>
      </c>
      <c r="BD63" s="69">
        <f t="shared" si="111"/>
        <v>21455</v>
      </c>
      <c r="BE63" s="153">
        <f t="shared" si="111"/>
        <v>118.21704999999999</v>
      </c>
      <c r="BF63" s="60">
        <f t="shared" si="111"/>
        <v>666</v>
      </c>
      <c r="BG63" s="79">
        <f t="shared" si="111"/>
        <v>0</v>
      </c>
      <c r="BH63" s="341">
        <f t="shared" si="111"/>
        <v>1782.6090100000001</v>
      </c>
    </row>
    <row r="64" spans="1:60" s="86" customFormat="1" ht="15">
      <c r="A64" s="339" t="s">
        <v>68</v>
      </c>
      <c r="B64" s="60">
        <f>B39+B51</f>
        <v>1405.45</v>
      </c>
      <c r="C64" s="79">
        <f>C39+C51</f>
        <v>7474.5949444</v>
      </c>
      <c r="D64" s="69">
        <f aca="true" t="shared" si="112" ref="D64:L64">D39+D51</f>
        <v>110.28</v>
      </c>
      <c r="E64" s="153">
        <f t="shared" si="112"/>
        <v>581.7881189</v>
      </c>
      <c r="F64" s="60">
        <f t="shared" si="112"/>
        <v>3776.54</v>
      </c>
      <c r="G64" s="79">
        <f t="shared" si="112"/>
        <v>99.5084953</v>
      </c>
      <c r="H64" s="69">
        <f t="shared" si="112"/>
        <v>113142.08</v>
      </c>
      <c r="I64" s="153">
        <f t="shared" si="112"/>
        <v>597.7028480800001</v>
      </c>
      <c r="J64" s="60">
        <f t="shared" si="112"/>
        <v>3776.54</v>
      </c>
      <c r="K64" s="79">
        <f t="shared" si="112"/>
        <v>38.6835048</v>
      </c>
      <c r="L64" s="341">
        <f t="shared" si="112"/>
        <v>8792.27791148</v>
      </c>
      <c r="M64" s="139"/>
      <c r="N64" s="60">
        <f>N39+N51</f>
        <v>568.79</v>
      </c>
      <c r="O64" s="79">
        <f>O39+O51</f>
        <v>2925.8273204999996</v>
      </c>
      <c r="P64" s="69">
        <f aca="true" t="shared" si="113" ref="P64:X64">P39+P51</f>
        <v>45.53</v>
      </c>
      <c r="Q64" s="153">
        <f t="shared" si="113"/>
        <v>234.20404349999998</v>
      </c>
      <c r="R64" s="60">
        <f t="shared" si="113"/>
        <v>1711.41</v>
      </c>
      <c r="S64" s="79">
        <f t="shared" si="113"/>
        <v>42.3060552</v>
      </c>
      <c r="T64" s="69">
        <f t="shared" si="113"/>
        <v>30915.190000000002</v>
      </c>
      <c r="U64" s="153">
        <f t="shared" si="113"/>
        <v>155.41066013</v>
      </c>
      <c r="V64" s="60">
        <f t="shared" si="113"/>
        <v>1711.41</v>
      </c>
      <c r="W64" s="79">
        <f t="shared" si="113"/>
        <v>17.2167846</v>
      </c>
      <c r="X64" s="341">
        <f t="shared" si="113"/>
        <v>3374.9648639299994</v>
      </c>
      <c r="Y64" s="139"/>
      <c r="Z64" s="60">
        <f>Z39+Z51</f>
        <v>212.49</v>
      </c>
      <c r="AA64" s="79">
        <f>AA39+AA51</f>
        <v>1093.0379355</v>
      </c>
      <c r="AB64" s="69">
        <f aca="true" t="shared" si="114" ref="AB64:AJ64">AB39+AB51</f>
        <v>27.779999999999998</v>
      </c>
      <c r="AC64" s="153">
        <f t="shared" si="114"/>
        <v>142.89893099999998</v>
      </c>
      <c r="AD64" s="60">
        <f t="shared" si="114"/>
        <v>1048.2</v>
      </c>
      <c r="AE64" s="79">
        <f t="shared" si="114"/>
        <v>25.911504</v>
      </c>
      <c r="AF64" s="69">
        <f t="shared" si="114"/>
        <v>22314.649999999998</v>
      </c>
      <c r="AG64" s="153">
        <f t="shared" si="114"/>
        <v>112.17574555</v>
      </c>
      <c r="AH64" s="60">
        <f t="shared" si="114"/>
        <v>1048.2</v>
      </c>
      <c r="AI64" s="79">
        <f t="shared" si="114"/>
        <v>10.544892</v>
      </c>
      <c r="AJ64" s="341">
        <f t="shared" si="114"/>
        <v>1384.56900805</v>
      </c>
      <c r="AK64" s="139"/>
      <c r="AL64" s="60">
        <f>AL39+AL51</f>
        <v>25.939999999999998</v>
      </c>
      <c r="AM64" s="79">
        <f>AM39+AM51</f>
        <v>143.6173288</v>
      </c>
      <c r="AN64" s="69">
        <f aca="true" t="shared" si="115" ref="AN64:AV64">AN39+AN51</f>
        <v>3.31</v>
      </c>
      <c r="AO64" s="153">
        <f t="shared" si="115"/>
        <v>18.3258812</v>
      </c>
      <c r="AP64" s="60">
        <f t="shared" si="115"/>
        <v>151.51</v>
      </c>
      <c r="AQ64" s="79">
        <f t="shared" si="115"/>
        <v>4.6619627</v>
      </c>
      <c r="AR64" s="69">
        <f t="shared" si="115"/>
        <v>24230.760000000002</v>
      </c>
      <c r="AS64" s="153">
        <f t="shared" si="115"/>
        <v>133.5114876</v>
      </c>
      <c r="AT64" s="60">
        <f t="shared" si="115"/>
        <v>151.51</v>
      </c>
      <c r="AU64" s="79">
        <f t="shared" si="115"/>
        <v>1.6272174000000001</v>
      </c>
      <c r="AV64" s="341">
        <f t="shared" si="115"/>
        <v>301.74387770000004</v>
      </c>
      <c r="AW64" s="139"/>
      <c r="AX64" s="60">
        <f>AX39+AX51</f>
        <v>598.23</v>
      </c>
      <c r="AY64" s="79">
        <f>AY39+AY51</f>
        <v>3312.1123596</v>
      </c>
      <c r="AZ64" s="69">
        <f aca="true" t="shared" si="116" ref="AZ64:BH64">AZ39+AZ51</f>
        <v>33.660000000000004</v>
      </c>
      <c r="BA64" s="153">
        <f t="shared" si="116"/>
        <v>186.35926320000002</v>
      </c>
      <c r="BB64" s="60">
        <f t="shared" si="116"/>
        <v>865.4200000000001</v>
      </c>
      <c r="BC64" s="79">
        <f t="shared" si="116"/>
        <v>26.6289734</v>
      </c>
      <c r="BD64" s="69">
        <f t="shared" si="116"/>
        <v>35681.48</v>
      </c>
      <c r="BE64" s="153">
        <f t="shared" si="116"/>
        <v>196.60495480000003</v>
      </c>
      <c r="BF64" s="60">
        <f t="shared" si="116"/>
        <v>865.4200000000001</v>
      </c>
      <c r="BG64" s="79">
        <f t="shared" si="116"/>
        <v>9.294610800000001</v>
      </c>
      <c r="BH64" s="341">
        <f t="shared" si="116"/>
        <v>3731.0001618</v>
      </c>
    </row>
    <row r="65" spans="1:60" s="86" customFormat="1" ht="15">
      <c r="A65" s="339" t="s">
        <v>69</v>
      </c>
      <c r="B65" s="60">
        <f>B52</f>
        <v>576.27</v>
      </c>
      <c r="C65" s="79">
        <f>C52</f>
        <v>2618.4210497999993</v>
      </c>
      <c r="D65" s="69">
        <f aca="true" t="shared" si="117" ref="D65:L65">D52</f>
        <v>0</v>
      </c>
      <c r="E65" s="153">
        <f t="shared" si="117"/>
        <v>0</v>
      </c>
      <c r="F65" s="60">
        <f t="shared" si="117"/>
        <v>393.7</v>
      </c>
      <c r="G65" s="79">
        <f t="shared" si="117"/>
        <v>12.95122</v>
      </c>
      <c r="H65" s="69">
        <f t="shared" si="117"/>
        <v>59686.8</v>
      </c>
      <c r="I65" s="153">
        <f t="shared" si="117"/>
        <v>316.2318396</v>
      </c>
      <c r="J65" s="60">
        <f t="shared" si="117"/>
        <v>188.7</v>
      </c>
      <c r="K65" s="79">
        <f t="shared" si="117"/>
        <v>0</v>
      </c>
      <c r="L65" s="341">
        <f t="shared" si="117"/>
        <v>2947.6041093999993</v>
      </c>
      <c r="M65" s="139"/>
      <c r="N65" s="60">
        <f>N52</f>
        <v>281.03</v>
      </c>
      <c r="O65" s="79">
        <f>O52</f>
        <v>1276.9272521999997</v>
      </c>
      <c r="P65" s="69">
        <f aca="true" t="shared" si="118" ref="P65:X65">P52</f>
        <v>0</v>
      </c>
      <c r="Q65" s="153">
        <f t="shared" si="118"/>
        <v>0</v>
      </c>
      <c r="R65" s="60">
        <f t="shared" si="118"/>
        <v>44</v>
      </c>
      <c r="S65" s="79">
        <f t="shared" si="118"/>
        <v>1.36928</v>
      </c>
      <c r="T65" s="69">
        <f t="shared" si="118"/>
        <v>16325.8</v>
      </c>
      <c r="U65" s="153">
        <f t="shared" si="118"/>
        <v>82.0697966</v>
      </c>
      <c r="V65" s="60">
        <f t="shared" si="118"/>
        <v>0</v>
      </c>
      <c r="W65" s="79">
        <f t="shared" si="118"/>
        <v>0</v>
      </c>
      <c r="X65" s="341">
        <f t="shared" si="118"/>
        <v>1360.3663287999996</v>
      </c>
      <c r="Y65" s="139"/>
      <c r="Z65" s="60">
        <f>Z52</f>
        <v>113.07</v>
      </c>
      <c r="AA65" s="79">
        <f>AA52</f>
        <v>513.7606817999999</v>
      </c>
      <c r="AB65" s="69">
        <f aca="true" t="shared" si="119" ref="AB65:AJ65">AB52</f>
        <v>0</v>
      </c>
      <c r="AC65" s="153">
        <f t="shared" si="119"/>
        <v>0</v>
      </c>
      <c r="AD65" s="60">
        <f t="shared" si="119"/>
        <v>43</v>
      </c>
      <c r="AE65" s="79">
        <f t="shared" si="119"/>
        <v>1.33816</v>
      </c>
      <c r="AF65" s="69">
        <f t="shared" si="119"/>
        <v>9849</v>
      </c>
      <c r="AG65" s="153">
        <f t="shared" si="119"/>
        <v>49.510923000000005</v>
      </c>
      <c r="AH65" s="60">
        <f t="shared" si="119"/>
        <v>0</v>
      </c>
      <c r="AI65" s="79">
        <f t="shared" si="119"/>
        <v>0</v>
      </c>
      <c r="AJ65" s="341">
        <f t="shared" si="119"/>
        <v>564.6097648</v>
      </c>
      <c r="AK65" s="139"/>
      <c r="AL65" s="60">
        <f>AL52</f>
        <v>10.16</v>
      </c>
      <c r="AM65" s="79">
        <f>AM52</f>
        <v>46.164398399999996</v>
      </c>
      <c r="AN65" s="69">
        <f aca="true" t="shared" si="120" ref="AN65:AV65">AN52</f>
        <v>0</v>
      </c>
      <c r="AO65" s="153">
        <f t="shared" si="120"/>
        <v>0</v>
      </c>
      <c r="AP65" s="60">
        <f t="shared" si="120"/>
        <v>118</v>
      </c>
      <c r="AQ65" s="79">
        <f t="shared" si="120"/>
        <v>3.9412</v>
      </c>
      <c r="AR65" s="69">
        <f t="shared" si="120"/>
        <v>14385</v>
      </c>
      <c r="AS65" s="153">
        <f t="shared" si="120"/>
        <v>79.26135</v>
      </c>
      <c r="AT65" s="60">
        <f t="shared" si="120"/>
        <v>0</v>
      </c>
      <c r="AU65" s="79">
        <f t="shared" si="120"/>
        <v>0</v>
      </c>
      <c r="AV65" s="341">
        <f t="shared" si="120"/>
        <v>129.36694839999998</v>
      </c>
      <c r="AW65" s="139"/>
      <c r="AX65" s="60">
        <f>AX52</f>
        <v>172.01</v>
      </c>
      <c r="AY65" s="79">
        <f>AY52</f>
        <v>781.5687174</v>
      </c>
      <c r="AZ65" s="69">
        <f aca="true" t="shared" si="121" ref="AZ65:BH65">AZ52</f>
        <v>0</v>
      </c>
      <c r="BA65" s="153">
        <f t="shared" si="121"/>
        <v>0</v>
      </c>
      <c r="BB65" s="60">
        <f t="shared" si="121"/>
        <v>188.7</v>
      </c>
      <c r="BC65" s="79">
        <f t="shared" si="121"/>
        <v>6.302579999999999</v>
      </c>
      <c r="BD65" s="69">
        <f t="shared" si="121"/>
        <v>19127</v>
      </c>
      <c r="BE65" s="153">
        <f t="shared" si="121"/>
        <v>105.38976999999998</v>
      </c>
      <c r="BF65" s="60">
        <f t="shared" si="121"/>
        <v>188.7</v>
      </c>
      <c r="BG65" s="79">
        <f t="shared" si="121"/>
        <v>0</v>
      </c>
      <c r="BH65" s="341">
        <f t="shared" si="121"/>
        <v>893.2610674</v>
      </c>
    </row>
    <row r="66" spans="1:60" s="86" customFormat="1" ht="15">
      <c r="A66" s="339"/>
      <c r="B66" s="342"/>
      <c r="C66" s="343"/>
      <c r="D66" s="344"/>
      <c r="E66" s="98"/>
      <c r="F66" s="342"/>
      <c r="G66" s="343"/>
      <c r="H66" s="344"/>
      <c r="I66" s="98"/>
      <c r="J66" s="342"/>
      <c r="K66" s="343"/>
      <c r="L66" s="345"/>
      <c r="M66" s="139"/>
      <c r="N66" s="342"/>
      <c r="O66" s="343"/>
      <c r="P66" s="344"/>
      <c r="Q66" s="98"/>
      <c r="R66" s="342"/>
      <c r="S66" s="343"/>
      <c r="T66" s="344"/>
      <c r="U66" s="98"/>
      <c r="V66" s="342"/>
      <c r="W66" s="343"/>
      <c r="X66" s="345"/>
      <c r="Y66" s="139"/>
      <c r="Z66" s="342"/>
      <c r="AA66" s="343"/>
      <c r="AB66" s="344"/>
      <c r="AC66" s="98"/>
      <c r="AD66" s="342"/>
      <c r="AE66" s="343"/>
      <c r="AF66" s="344"/>
      <c r="AG66" s="98"/>
      <c r="AH66" s="342"/>
      <c r="AI66" s="343"/>
      <c r="AJ66" s="345"/>
      <c r="AK66" s="139"/>
      <c r="AL66" s="342"/>
      <c r="AM66" s="343"/>
      <c r="AN66" s="344"/>
      <c r="AO66" s="98"/>
      <c r="AP66" s="342"/>
      <c r="AQ66" s="343"/>
      <c r="AR66" s="344"/>
      <c r="AS66" s="98"/>
      <c r="AT66" s="342"/>
      <c r="AU66" s="343"/>
      <c r="AV66" s="345"/>
      <c r="AW66" s="139"/>
      <c r="AX66" s="342"/>
      <c r="AY66" s="343"/>
      <c r="AZ66" s="344"/>
      <c r="BA66" s="98"/>
      <c r="BB66" s="342"/>
      <c r="BC66" s="343"/>
      <c r="BD66" s="344"/>
      <c r="BE66" s="98"/>
      <c r="BF66" s="342"/>
      <c r="BG66" s="343"/>
      <c r="BH66" s="345"/>
    </row>
    <row r="67" spans="1:60" s="86" customFormat="1" ht="15">
      <c r="A67" s="339" t="s">
        <v>65</v>
      </c>
      <c r="B67" s="60">
        <f>B38+B49+B50</f>
        <v>3897.4799999999996</v>
      </c>
      <c r="C67" s="79">
        <f>C38+C49+C50</f>
        <v>18403.32178429</v>
      </c>
      <c r="D67" s="69">
        <f aca="true" t="shared" si="122" ref="D67:L67">D38+D49+D50</f>
        <v>3403.78</v>
      </c>
      <c r="E67" s="153">
        <f t="shared" si="122"/>
        <v>1189.2127173640001</v>
      </c>
      <c r="F67" s="60">
        <f t="shared" si="122"/>
        <v>5134.91</v>
      </c>
      <c r="G67" s="79">
        <f t="shared" si="122"/>
        <v>260.4249199</v>
      </c>
      <c r="H67" s="69">
        <f t="shared" si="122"/>
        <v>926220</v>
      </c>
      <c r="I67" s="153">
        <f t="shared" si="122"/>
        <v>4874.237502</v>
      </c>
      <c r="J67" s="60">
        <f t="shared" si="122"/>
        <v>8538.689999999999</v>
      </c>
      <c r="K67" s="79">
        <f t="shared" si="122"/>
        <v>61.72207019999999</v>
      </c>
      <c r="L67" s="341">
        <f t="shared" si="122"/>
        <v>24788.918993754003</v>
      </c>
      <c r="M67" s="139"/>
      <c r="N67" s="60">
        <f>N38+N49+N50</f>
        <v>1838.16</v>
      </c>
      <c r="O67" s="79">
        <f>O38+O49+O50</f>
        <v>8230.269492</v>
      </c>
      <c r="P67" s="69">
        <f aca="true" t="shared" si="123" ref="P67:X67">P38+P49+P50</f>
        <v>1192.8899999999999</v>
      </c>
      <c r="Q67" s="153">
        <f t="shared" si="123"/>
        <v>396.3377025000001</v>
      </c>
      <c r="R67" s="60">
        <f t="shared" si="123"/>
        <v>1856.7199999999998</v>
      </c>
      <c r="S67" s="79">
        <f t="shared" si="123"/>
        <v>87.32154159999999</v>
      </c>
      <c r="T67" s="69">
        <f t="shared" si="123"/>
        <v>256059</v>
      </c>
      <c r="U67" s="153">
        <f t="shared" si="123"/>
        <v>1287.208593</v>
      </c>
      <c r="V67" s="60">
        <f t="shared" si="123"/>
        <v>3049.6099999999997</v>
      </c>
      <c r="W67" s="79">
        <f t="shared" si="123"/>
        <v>21.2557817</v>
      </c>
      <c r="X67" s="341">
        <f t="shared" si="123"/>
        <v>10022.393110799998</v>
      </c>
      <c r="Y67" s="139"/>
      <c r="Z67" s="60">
        <f>Z38+Z49+Z50</f>
        <v>554.39</v>
      </c>
      <c r="AA67" s="79">
        <f>AA38+AA49+AA50</f>
        <v>2482.2535055</v>
      </c>
      <c r="AB67" s="69">
        <f aca="true" t="shared" si="124" ref="AB67:AJ67">AB38+AB49+AB50</f>
        <v>1000.6099999999999</v>
      </c>
      <c r="AC67" s="153">
        <f t="shared" si="124"/>
        <v>332.45267250000006</v>
      </c>
      <c r="AD67" s="60">
        <f t="shared" si="124"/>
        <v>869.78</v>
      </c>
      <c r="AE67" s="79">
        <f t="shared" si="124"/>
        <v>40.9057534</v>
      </c>
      <c r="AF67" s="69">
        <f t="shared" si="124"/>
        <v>218547</v>
      </c>
      <c r="AG67" s="153">
        <f t="shared" si="124"/>
        <v>1098.635769</v>
      </c>
      <c r="AH67" s="60">
        <f t="shared" si="124"/>
        <v>1870.39</v>
      </c>
      <c r="AI67" s="79">
        <f t="shared" si="124"/>
        <v>13.036618299999999</v>
      </c>
      <c r="AJ67" s="341">
        <f t="shared" si="124"/>
        <v>3967.2843187</v>
      </c>
      <c r="AK67" s="139"/>
      <c r="AL67" s="60">
        <f>AL38+AL49+AL50</f>
        <v>49.83</v>
      </c>
      <c r="AM67" s="79">
        <f>AM38+AM49+AM50</f>
        <v>254.65138149</v>
      </c>
      <c r="AN67" s="69">
        <f aca="true" t="shared" si="125" ref="AN67:AV67">AN38+AN49+AN50</f>
        <v>355.78</v>
      </c>
      <c r="AO67" s="153">
        <f t="shared" si="125"/>
        <v>135.348069014</v>
      </c>
      <c r="AP67" s="60">
        <f t="shared" si="125"/>
        <v>1090.51</v>
      </c>
      <c r="AQ67" s="79">
        <f t="shared" si="125"/>
        <v>59.8580939</v>
      </c>
      <c r="AR67" s="69">
        <f t="shared" si="125"/>
        <v>196130</v>
      </c>
      <c r="AS67" s="153">
        <f t="shared" si="125"/>
        <v>1080.6762999999999</v>
      </c>
      <c r="AT67" s="60">
        <f t="shared" si="125"/>
        <v>1446.29</v>
      </c>
      <c r="AU67" s="79">
        <f t="shared" si="125"/>
        <v>10.9628782</v>
      </c>
      <c r="AV67" s="341">
        <f t="shared" si="125"/>
        <v>1541.496722604</v>
      </c>
      <c r="AW67" s="139"/>
      <c r="AX67" s="60">
        <f>AX38+AX49+AX50</f>
        <v>1455.1</v>
      </c>
      <c r="AY67" s="79">
        <f>AY38+AY49+AY50</f>
        <v>7436.1474053</v>
      </c>
      <c r="AZ67" s="69">
        <f aca="true" t="shared" si="126" ref="AZ67:BH67">AZ38+AZ49+AZ50</f>
        <v>854.5</v>
      </c>
      <c r="BA67" s="153">
        <f t="shared" si="126"/>
        <v>325.07427335000006</v>
      </c>
      <c r="BB67" s="60">
        <f t="shared" si="126"/>
        <v>1317.9</v>
      </c>
      <c r="BC67" s="79">
        <f t="shared" si="126"/>
        <v>72.339531</v>
      </c>
      <c r="BD67" s="69">
        <f t="shared" si="126"/>
        <v>255484</v>
      </c>
      <c r="BE67" s="153">
        <f t="shared" si="126"/>
        <v>1407.71684</v>
      </c>
      <c r="BF67" s="60">
        <f t="shared" si="126"/>
        <v>2172.3999999999996</v>
      </c>
      <c r="BG67" s="79">
        <f t="shared" si="126"/>
        <v>16.466791999999998</v>
      </c>
      <c r="BH67" s="341">
        <f t="shared" si="126"/>
        <v>9257.744841650001</v>
      </c>
    </row>
    <row r="68" spans="1:60" s="86" customFormat="1" ht="15">
      <c r="A68" s="339"/>
      <c r="B68" s="342"/>
      <c r="C68" s="343"/>
      <c r="D68" s="344"/>
      <c r="E68" s="98"/>
      <c r="F68" s="342"/>
      <c r="G68" s="343"/>
      <c r="H68" s="344"/>
      <c r="I68" s="98"/>
      <c r="J68" s="342"/>
      <c r="K68" s="343"/>
      <c r="L68" s="345"/>
      <c r="M68" s="139"/>
      <c r="N68" s="342"/>
      <c r="O68" s="343"/>
      <c r="P68" s="344"/>
      <c r="Q68" s="98"/>
      <c r="R68" s="342"/>
      <c r="S68" s="343"/>
      <c r="T68" s="344"/>
      <c r="U68" s="98"/>
      <c r="V68" s="342"/>
      <c r="W68" s="343"/>
      <c r="X68" s="345"/>
      <c r="Y68" s="139"/>
      <c r="Z68" s="342"/>
      <c r="AA68" s="343"/>
      <c r="AB68" s="344"/>
      <c r="AC68" s="98"/>
      <c r="AD68" s="342"/>
      <c r="AE68" s="343"/>
      <c r="AF68" s="344"/>
      <c r="AG68" s="98"/>
      <c r="AH68" s="342"/>
      <c r="AI68" s="343"/>
      <c r="AJ68" s="345"/>
      <c r="AK68" s="139"/>
      <c r="AL68" s="342"/>
      <c r="AM68" s="343"/>
      <c r="AN68" s="344"/>
      <c r="AO68" s="98"/>
      <c r="AP68" s="342"/>
      <c r="AQ68" s="343"/>
      <c r="AR68" s="344"/>
      <c r="AS68" s="98"/>
      <c r="AT68" s="342"/>
      <c r="AU68" s="343"/>
      <c r="AV68" s="345"/>
      <c r="AW68" s="139"/>
      <c r="AX68" s="342"/>
      <c r="AY68" s="343"/>
      <c r="AZ68" s="344"/>
      <c r="BA68" s="98"/>
      <c r="BB68" s="342"/>
      <c r="BC68" s="343"/>
      <c r="BD68" s="344"/>
      <c r="BE68" s="98"/>
      <c r="BF68" s="342"/>
      <c r="BG68" s="343"/>
      <c r="BH68" s="345"/>
    </row>
    <row r="69" spans="1:60" s="86" customFormat="1" ht="15">
      <c r="A69" s="339" t="s">
        <v>88</v>
      </c>
      <c r="B69" s="60">
        <f aca="true" t="shared" si="127" ref="B69:L69">SUM(B62:B68)</f>
        <v>14831.17</v>
      </c>
      <c r="C69" s="79">
        <f t="shared" si="127"/>
        <v>60511.37058829001</v>
      </c>
      <c r="D69" s="69">
        <f t="shared" si="127"/>
        <v>3995.53</v>
      </c>
      <c r="E69" s="153">
        <f t="shared" si="127"/>
        <v>3483.060349464</v>
      </c>
      <c r="F69" s="60">
        <f t="shared" si="127"/>
        <v>34734.41</v>
      </c>
      <c r="G69" s="79">
        <f t="shared" si="127"/>
        <v>1405.6201934</v>
      </c>
      <c r="H69" s="69">
        <f t="shared" si="127"/>
        <v>2019514.48</v>
      </c>
      <c r="I69" s="153">
        <f t="shared" si="127"/>
        <v>10624.58256971</v>
      </c>
      <c r="J69" s="60">
        <f t="shared" si="127"/>
        <v>35187.19</v>
      </c>
      <c r="K69" s="79">
        <f t="shared" si="127"/>
        <v>505.95550259999993</v>
      </c>
      <c r="L69" s="341">
        <f t="shared" si="127"/>
        <v>76530.58920346401</v>
      </c>
      <c r="M69" s="139"/>
      <c r="N69" s="60">
        <f>SUM(N62:N68)</f>
        <v>6565.65</v>
      </c>
      <c r="O69" s="79">
        <f>SUM(O62:O68)</f>
        <v>25768.2618511</v>
      </c>
      <c r="P69" s="69">
        <f aca="true" t="shared" si="128" ref="P69:X69">SUM(P62:P68)</f>
        <v>1384.62</v>
      </c>
      <c r="Q69" s="153">
        <f t="shared" si="128"/>
        <v>1123.98429</v>
      </c>
      <c r="R69" s="60">
        <f t="shared" si="128"/>
        <v>11687.96</v>
      </c>
      <c r="S69" s="79">
        <f t="shared" si="128"/>
        <v>445.8378884</v>
      </c>
      <c r="T69" s="69">
        <f t="shared" si="128"/>
        <v>588692.47</v>
      </c>
      <c r="U69" s="153">
        <f t="shared" si="128"/>
        <v>2959.35704669</v>
      </c>
      <c r="V69" s="60">
        <f t="shared" si="128"/>
        <v>11295.849999999999</v>
      </c>
      <c r="W69" s="79">
        <f t="shared" si="128"/>
        <v>155.1846301</v>
      </c>
      <c r="X69" s="341">
        <f t="shared" si="128"/>
        <v>30452.625706289997</v>
      </c>
      <c r="Y69" s="139"/>
      <c r="Z69" s="60">
        <f aca="true" t="shared" si="129" ref="Z69:AJ69">SUM(Z62:Z68)</f>
        <v>2105.33</v>
      </c>
      <c r="AA69" s="79">
        <f t="shared" si="129"/>
        <v>8326.913082400002</v>
      </c>
      <c r="AB69" s="69">
        <f t="shared" si="129"/>
        <v>1130.32</v>
      </c>
      <c r="AC69" s="153">
        <f t="shared" si="129"/>
        <v>819.3775851</v>
      </c>
      <c r="AD69" s="60">
        <f t="shared" si="129"/>
        <v>8648.11</v>
      </c>
      <c r="AE69" s="79">
        <f t="shared" si="129"/>
        <v>327.771305</v>
      </c>
      <c r="AF69" s="69">
        <f t="shared" si="129"/>
        <v>452595.76</v>
      </c>
      <c r="AG69" s="153">
        <f t="shared" si="129"/>
        <v>2275.1988855199997</v>
      </c>
      <c r="AH69" s="60">
        <f t="shared" si="129"/>
        <v>8774.72</v>
      </c>
      <c r="AI69" s="79">
        <f t="shared" si="129"/>
        <v>128.1719921</v>
      </c>
      <c r="AJ69" s="341">
        <f t="shared" si="129"/>
        <v>11877.43285012</v>
      </c>
      <c r="AK69" s="139"/>
      <c r="AL69" s="60">
        <f aca="true" t="shared" si="130" ref="AL69:AV69">SUM(AL62:AL68)</f>
        <v>297.91999999999996</v>
      </c>
      <c r="AM69" s="79">
        <f t="shared" si="130"/>
        <v>1236.67883429</v>
      </c>
      <c r="AN69" s="69">
        <f t="shared" si="130"/>
        <v>450.99</v>
      </c>
      <c r="AO69" s="153">
        <f t="shared" si="130"/>
        <v>498.128016214</v>
      </c>
      <c r="AP69" s="60">
        <f t="shared" si="130"/>
        <v>5361.05</v>
      </c>
      <c r="AQ69" s="79">
        <f t="shared" si="130"/>
        <v>240.3601145</v>
      </c>
      <c r="AR69" s="69">
        <f t="shared" si="130"/>
        <v>415006.55</v>
      </c>
      <c r="AS69" s="153">
        <f t="shared" si="130"/>
        <v>2286.6860904999994</v>
      </c>
      <c r="AT69" s="60">
        <f t="shared" si="130"/>
        <v>5224.83</v>
      </c>
      <c r="AU69" s="79">
        <f t="shared" si="130"/>
        <v>82.01144980000001</v>
      </c>
      <c r="AV69" s="341">
        <f t="shared" si="130"/>
        <v>4343.864505304001</v>
      </c>
      <c r="AW69" s="139"/>
      <c r="AX69" s="60">
        <f aca="true" t="shared" si="131" ref="AX69:BH69">SUM(AX62:AX68)</f>
        <v>5862.27</v>
      </c>
      <c r="AY69" s="79">
        <f t="shared" si="131"/>
        <v>25179.506820500006</v>
      </c>
      <c r="AZ69" s="69">
        <f t="shared" si="131"/>
        <v>1029.6</v>
      </c>
      <c r="BA69" s="153">
        <f t="shared" si="131"/>
        <v>1041.57045815</v>
      </c>
      <c r="BB69" s="60">
        <f t="shared" si="131"/>
        <v>9037.29</v>
      </c>
      <c r="BC69" s="79">
        <f t="shared" si="131"/>
        <v>391.65088549999996</v>
      </c>
      <c r="BD69" s="69">
        <f t="shared" si="131"/>
        <v>563219.7</v>
      </c>
      <c r="BE69" s="153">
        <f t="shared" si="131"/>
        <v>3103.340547</v>
      </c>
      <c r="BF69" s="60">
        <f t="shared" si="131"/>
        <v>9891.79</v>
      </c>
      <c r="BG69" s="79">
        <f t="shared" si="131"/>
        <v>140.5874306</v>
      </c>
      <c r="BH69" s="341">
        <f t="shared" si="131"/>
        <v>29856.656141749998</v>
      </c>
    </row>
    <row r="70" spans="1:60" s="86" customFormat="1" ht="15">
      <c r="A70" s="332"/>
      <c r="B70" s="342"/>
      <c r="C70" s="343"/>
      <c r="D70" s="344"/>
      <c r="E70" s="98"/>
      <c r="F70" s="342"/>
      <c r="G70" s="343"/>
      <c r="H70" s="344"/>
      <c r="I70" s="98"/>
      <c r="J70" s="342"/>
      <c r="K70" s="343"/>
      <c r="L70" s="345"/>
      <c r="M70" s="139"/>
      <c r="N70" s="342"/>
      <c r="O70" s="343"/>
      <c r="P70" s="344"/>
      <c r="Q70" s="98"/>
      <c r="R70" s="342"/>
      <c r="S70" s="343"/>
      <c r="T70" s="344"/>
      <c r="U70" s="98"/>
      <c r="V70" s="342"/>
      <c r="W70" s="343"/>
      <c r="X70" s="345"/>
      <c r="Y70" s="139"/>
      <c r="Z70" s="342"/>
      <c r="AA70" s="343"/>
      <c r="AB70" s="344"/>
      <c r="AC70" s="98"/>
      <c r="AD70" s="342"/>
      <c r="AE70" s="343"/>
      <c r="AF70" s="344"/>
      <c r="AG70" s="98"/>
      <c r="AH70" s="342"/>
      <c r="AI70" s="343"/>
      <c r="AJ70" s="345"/>
      <c r="AK70" s="139"/>
      <c r="AL70" s="342"/>
      <c r="AM70" s="343"/>
      <c r="AN70" s="344"/>
      <c r="AO70" s="98"/>
      <c r="AP70" s="342"/>
      <c r="AQ70" s="343"/>
      <c r="AR70" s="344"/>
      <c r="AS70" s="98"/>
      <c r="AT70" s="342"/>
      <c r="AU70" s="343"/>
      <c r="AV70" s="345"/>
      <c r="AW70" s="139"/>
      <c r="AX70" s="342"/>
      <c r="AY70" s="343"/>
      <c r="AZ70" s="344"/>
      <c r="BA70" s="98"/>
      <c r="BB70" s="342"/>
      <c r="BC70" s="343"/>
      <c r="BD70" s="344"/>
      <c r="BE70" s="98"/>
      <c r="BF70" s="342"/>
      <c r="BG70" s="343"/>
      <c r="BH70" s="345"/>
    </row>
    <row r="71" spans="1:60" s="86" customFormat="1" ht="15.75" thickBot="1">
      <c r="A71" s="332"/>
      <c r="B71" s="346"/>
      <c r="C71" s="347"/>
      <c r="D71" s="348"/>
      <c r="E71" s="349"/>
      <c r="F71" s="346"/>
      <c r="G71" s="347"/>
      <c r="H71" s="348"/>
      <c r="I71" s="349"/>
      <c r="J71" s="346"/>
      <c r="K71" s="347"/>
      <c r="L71" s="350"/>
      <c r="M71" s="351"/>
      <c r="N71" s="346"/>
      <c r="O71" s="347"/>
      <c r="P71" s="348"/>
      <c r="Q71" s="349"/>
      <c r="R71" s="346"/>
      <c r="S71" s="347"/>
      <c r="T71" s="348"/>
      <c r="U71" s="349"/>
      <c r="V71" s="346"/>
      <c r="W71" s="347"/>
      <c r="X71" s="350"/>
      <c r="Y71" s="351"/>
      <c r="Z71" s="346"/>
      <c r="AA71" s="347"/>
      <c r="AB71" s="348"/>
      <c r="AC71" s="349"/>
      <c r="AD71" s="346"/>
      <c r="AE71" s="347"/>
      <c r="AF71" s="348"/>
      <c r="AG71" s="349"/>
      <c r="AH71" s="346"/>
      <c r="AI71" s="347"/>
      <c r="AJ71" s="350"/>
      <c r="AK71" s="351"/>
      <c r="AL71" s="346"/>
      <c r="AM71" s="347"/>
      <c r="AN71" s="348"/>
      <c r="AO71" s="349"/>
      <c r="AP71" s="346"/>
      <c r="AQ71" s="347"/>
      <c r="AR71" s="348"/>
      <c r="AS71" s="349"/>
      <c r="AT71" s="346"/>
      <c r="AU71" s="347"/>
      <c r="AV71" s="350"/>
      <c r="AW71" s="351"/>
      <c r="AX71" s="346"/>
      <c r="AY71" s="347"/>
      <c r="AZ71" s="348"/>
      <c r="BA71" s="349"/>
      <c r="BB71" s="346"/>
      <c r="BC71" s="347"/>
      <c r="BD71" s="348"/>
      <c r="BE71" s="349"/>
      <c r="BF71" s="346"/>
      <c r="BG71" s="347"/>
      <c r="BH71" s="350"/>
    </row>
    <row r="72" spans="1:49" ht="15.75">
      <c r="A72" s="1"/>
      <c r="L72" s="4"/>
      <c r="T72" s="1"/>
      <c r="Y72" s="1"/>
      <c r="AF72" s="1"/>
      <c r="AW72" s="1"/>
    </row>
    <row r="73" spans="1:49" ht="15.75">
      <c r="A73" s="1"/>
      <c r="L73" s="4"/>
      <c r="T73" s="1"/>
      <c r="Y73" s="1"/>
      <c r="AF73" s="1"/>
      <c r="AW73" s="1"/>
    </row>
    <row r="74" spans="1:49" ht="15.75">
      <c r="A74" s="1"/>
      <c r="L74" s="4"/>
      <c r="T74" s="1"/>
      <c r="Y74" s="1"/>
      <c r="AF74" s="1"/>
      <c r="AW74" s="1"/>
    </row>
    <row r="75" spans="1:49" ht="15.75">
      <c r="A75" s="1"/>
      <c r="L75" s="4"/>
      <c r="T75" s="1"/>
      <c r="Y75" s="1"/>
      <c r="AF75" s="1"/>
      <c r="AW75" s="1"/>
    </row>
    <row r="76" spans="1:49" ht="15.75">
      <c r="A76" s="1"/>
      <c r="L76" s="4"/>
      <c r="T76" s="1"/>
      <c r="Y76" s="1"/>
      <c r="AF76" s="1"/>
      <c r="AW76" s="1"/>
    </row>
    <row r="77" spans="1:49" ht="15.75">
      <c r="A77" s="1"/>
      <c r="L77" s="4"/>
      <c r="T77" s="1"/>
      <c r="Y77" s="1"/>
      <c r="AF77" s="1"/>
      <c r="AW77" s="1"/>
    </row>
    <row r="78" spans="1:49" ht="15.75">
      <c r="A78" s="1"/>
      <c r="L78" s="4"/>
      <c r="T78" s="1"/>
      <c r="Y78" s="1"/>
      <c r="AF78" s="1"/>
      <c r="AW78" s="1"/>
    </row>
    <row r="79" spans="1:49" ht="15.75">
      <c r="A79" s="1"/>
      <c r="L79" s="4"/>
      <c r="T79" s="1"/>
      <c r="Y79" s="1"/>
      <c r="AF79" s="1"/>
      <c r="AW79" s="1"/>
    </row>
    <row r="80" spans="1:49" ht="15.75">
      <c r="A80" s="1"/>
      <c r="L80" s="4"/>
      <c r="T80" s="1"/>
      <c r="Y80" s="1"/>
      <c r="AF80" s="1"/>
      <c r="AW80" s="1"/>
    </row>
    <row r="81" spans="1:49" ht="15.75">
      <c r="A81" s="1"/>
      <c r="L81" s="4"/>
      <c r="T81" s="1"/>
      <c r="Y81" s="1"/>
      <c r="AF81" s="1"/>
      <c r="AW81" s="1"/>
    </row>
    <row r="82" spans="1:49" ht="15.75">
      <c r="A82" s="1"/>
      <c r="L82" s="4"/>
      <c r="T82" s="1"/>
      <c r="Y82" s="1"/>
      <c r="AF82" s="1"/>
      <c r="AW82" s="1"/>
    </row>
    <row r="83" spans="1:49" ht="15.75">
      <c r="A83" s="1"/>
      <c r="L83" s="4"/>
      <c r="T83" s="1"/>
      <c r="Y83" s="1"/>
      <c r="AF83" s="1"/>
      <c r="AW83" s="1"/>
    </row>
    <row r="84" spans="1:49" ht="15.75">
      <c r="A84" s="1"/>
      <c r="L84" s="4"/>
      <c r="T84" s="1"/>
      <c r="Y84" s="1"/>
      <c r="AF84" s="1"/>
      <c r="AW84" s="1"/>
    </row>
    <row r="85" spans="1:49" ht="15.75">
      <c r="A85" s="1"/>
      <c r="L85" s="4"/>
      <c r="T85" s="1"/>
      <c r="Y85" s="1"/>
      <c r="AF85" s="1"/>
      <c r="AW85" s="1"/>
    </row>
    <row r="86" spans="1:49" ht="15.75">
      <c r="A86" s="1"/>
      <c r="L86" s="4"/>
      <c r="T86" s="1"/>
      <c r="Y86" s="1"/>
      <c r="AF86" s="1"/>
      <c r="AW86" s="1"/>
    </row>
    <row r="87" spans="1:49" ht="15.75">
      <c r="A87" s="1"/>
      <c r="L87" s="4"/>
      <c r="T87" s="1"/>
      <c r="Y87" s="1"/>
      <c r="AF87" s="1"/>
      <c r="AW87" s="1"/>
    </row>
    <row r="88" spans="1:49" ht="15.75">
      <c r="A88" s="1"/>
      <c r="L88" s="4"/>
      <c r="T88" s="1"/>
      <c r="Y88" s="1"/>
      <c r="AF88" s="1"/>
      <c r="AW88" s="1"/>
    </row>
    <row r="89" spans="1:49" ht="15.75">
      <c r="A89" s="1"/>
      <c r="L89" s="4"/>
      <c r="T89" s="1"/>
      <c r="Y89" s="1"/>
      <c r="AF89" s="1"/>
      <c r="AW89" s="1"/>
    </row>
    <row r="90" spans="1:49" ht="15.75">
      <c r="A90" s="1"/>
      <c r="L90" s="4"/>
      <c r="T90" s="1"/>
      <c r="Y90" s="1"/>
      <c r="AF90" s="1"/>
      <c r="AW90" s="1"/>
    </row>
    <row r="91" spans="1:49" ht="15.75">
      <c r="A91" s="1"/>
      <c r="L91" s="4"/>
      <c r="T91" s="1"/>
      <c r="Y91" s="1"/>
      <c r="AF91" s="1"/>
      <c r="AW91" s="1"/>
    </row>
    <row r="92" spans="1:49" ht="15.75">
      <c r="A92" s="1"/>
      <c r="L92" s="4"/>
      <c r="T92" s="1"/>
      <c r="Y92" s="1"/>
      <c r="AF92" s="1"/>
      <c r="AW92" s="1"/>
    </row>
    <row r="93" spans="1:49" ht="15.75">
      <c r="A93" s="1"/>
      <c r="L93" s="4"/>
      <c r="T93" s="1"/>
      <c r="Y93" s="1"/>
      <c r="AF93" s="1"/>
      <c r="AW93" s="1"/>
    </row>
    <row r="94" spans="1:49" ht="15.75">
      <c r="A94" s="1"/>
      <c r="L94" s="4"/>
      <c r="T94" s="1"/>
      <c r="Y94" s="1"/>
      <c r="AF94" s="1"/>
      <c r="AW94" s="1"/>
    </row>
    <row r="95" spans="1:49" ht="15.75">
      <c r="A95" s="1"/>
      <c r="L95" s="4"/>
      <c r="T95" s="1"/>
      <c r="Y95" s="1"/>
      <c r="AF95" s="1"/>
      <c r="AW95" s="1"/>
    </row>
    <row r="96" spans="1:49" ht="15.75">
      <c r="A96" s="1"/>
      <c r="L96" s="4"/>
      <c r="T96" s="1"/>
      <c r="Y96" s="1"/>
      <c r="AF96" s="1"/>
      <c r="AW96" s="1"/>
    </row>
    <row r="97" spans="1:49" ht="15.75">
      <c r="A97" s="1"/>
      <c r="L97" s="4"/>
      <c r="T97" s="1"/>
      <c r="Y97" s="1"/>
      <c r="AF97" s="1"/>
      <c r="AW97" s="1"/>
    </row>
    <row r="98" spans="1:49" ht="15.75">
      <c r="A98" s="1"/>
      <c r="L98" s="4"/>
      <c r="T98" s="1"/>
      <c r="Y98" s="1"/>
      <c r="AF98" s="1"/>
      <c r="AW98" s="1"/>
    </row>
    <row r="99" spans="1:49" ht="15.75">
      <c r="A99" s="1"/>
      <c r="L99" s="4"/>
      <c r="T99" s="1"/>
      <c r="Y99" s="1"/>
      <c r="AF99" s="1"/>
      <c r="AW99" s="1"/>
    </row>
    <row r="100" spans="1:49" ht="15.75">
      <c r="A100" s="1"/>
      <c r="L100" s="4"/>
      <c r="T100" s="1"/>
      <c r="Y100" s="1"/>
      <c r="AF100" s="1"/>
      <c r="AW100" s="1"/>
    </row>
    <row r="101" spans="1:49" ht="15.75">
      <c r="A101" s="1"/>
      <c r="L101" s="4"/>
      <c r="T101" s="1"/>
      <c r="Y101" s="1"/>
      <c r="AF101" s="1"/>
      <c r="AW101" s="1"/>
    </row>
    <row r="102" spans="1:49" ht="15.75">
      <c r="A102" s="1"/>
      <c r="L102" s="4"/>
      <c r="T102" s="1"/>
      <c r="Y102" s="1"/>
      <c r="AF102" s="1"/>
      <c r="AW102" s="1"/>
    </row>
    <row r="103" spans="1:49" ht="15.75">
      <c r="A103" s="1"/>
      <c r="L103" s="4"/>
      <c r="T103" s="1"/>
      <c r="Y103" s="1"/>
      <c r="AF103" s="1"/>
      <c r="AW103" s="1"/>
    </row>
    <row r="104" spans="1:49" ht="15.75">
      <c r="A104" s="1"/>
      <c r="L104" s="4"/>
      <c r="T104" s="1"/>
      <c r="Y104" s="1"/>
      <c r="AF104" s="1"/>
      <c r="AW104" s="1"/>
    </row>
    <row r="105" spans="1:49" ht="15.75">
      <c r="A105" s="1"/>
      <c r="L105" s="4"/>
      <c r="T105" s="1"/>
      <c r="Y105" s="1"/>
      <c r="AF105" s="1"/>
      <c r="AW105" s="1"/>
    </row>
    <row r="106" spans="1:49" ht="15.75">
      <c r="A106" s="1"/>
      <c r="L106" s="4"/>
      <c r="T106" s="1"/>
      <c r="Y106" s="1"/>
      <c r="AF106" s="1"/>
      <c r="AW106" s="1"/>
    </row>
    <row r="107" spans="1:49" ht="15.75">
      <c r="A107" s="1"/>
      <c r="L107" s="4"/>
      <c r="T107" s="1"/>
      <c r="Y107" s="1"/>
      <c r="AF107" s="1"/>
      <c r="AW107" s="1"/>
    </row>
    <row r="108" spans="1:49" ht="15.75">
      <c r="A108" s="1"/>
      <c r="L108" s="4"/>
      <c r="T108" s="1"/>
      <c r="Y108" s="1"/>
      <c r="AF108" s="1"/>
      <c r="AW108" s="1"/>
    </row>
    <row r="109" spans="1:49" ht="15.75">
      <c r="A109" s="1"/>
      <c r="L109" s="4"/>
      <c r="T109" s="1"/>
      <c r="Y109" s="1"/>
      <c r="AF109" s="1"/>
      <c r="AW109" s="1"/>
    </row>
    <row r="110" spans="1:49" ht="15.75">
      <c r="A110" s="1"/>
      <c r="L110" s="4"/>
      <c r="T110" s="1"/>
      <c r="Y110" s="1"/>
      <c r="AF110" s="1"/>
      <c r="AW110" s="1"/>
    </row>
    <row r="111" spans="1:49" ht="15.75">
      <c r="A111" s="1"/>
      <c r="L111" s="4"/>
      <c r="T111" s="1"/>
      <c r="Y111" s="1"/>
      <c r="AF111" s="1"/>
      <c r="AW111" s="1"/>
    </row>
    <row r="112" spans="1:49" ht="15.75">
      <c r="A112" s="1"/>
      <c r="L112" s="4"/>
      <c r="T112" s="1"/>
      <c r="Y112" s="1"/>
      <c r="AF112" s="1"/>
      <c r="AW112" s="1"/>
    </row>
    <row r="113" spans="1:49" ht="15.75">
      <c r="A113" s="1"/>
      <c r="L113" s="4"/>
      <c r="T113" s="1"/>
      <c r="Y113" s="1"/>
      <c r="AF113" s="1"/>
      <c r="AW113" s="1"/>
    </row>
    <row r="114" spans="1:49" ht="15.75">
      <c r="A114" s="1"/>
      <c r="L114" s="4"/>
      <c r="T114" s="1"/>
      <c r="Y114" s="1"/>
      <c r="AF114" s="1"/>
      <c r="AW114" s="1"/>
    </row>
    <row r="115" spans="1:49" ht="15.75">
      <c r="A115" s="1"/>
      <c r="L115" s="4"/>
      <c r="T115" s="1"/>
      <c r="Y115" s="1"/>
      <c r="AF115" s="1"/>
      <c r="AW115" s="1"/>
    </row>
    <row r="116" spans="1:49" ht="15.75">
      <c r="A116" s="1"/>
      <c r="L116" s="4"/>
      <c r="T116" s="1"/>
      <c r="Y116" s="1"/>
      <c r="AF116" s="1"/>
      <c r="AW116" s="1"/>
    </row>
    <row r="117" spans="1:49" ht="15.75">
      <c r="A117" s="1"/>
      <c r="L117" s="4"/>
      <c r="T117" s="1"/>
      <c r="Y117" s="1"/>
      <c r="AF117" s="1"/>
      <c r="AW117" s="1"/>
    </row>
    <row r="118" spans="1:49" ht="15.75">
      <c r="A118" s="1"/>
      <c r="L118" s="4"/>
      <c r="T118" s="1"/>
      <c r="Y118" s="1"/>
      <c r="AF118" s="1"/>
      <c r="AW118" s="1"/>
    </row>
    <row r="119" spans="1:49" ht="15.75">
      <c r="A119" s="1"/>
      <c r="L119" s="4"/>
      <c r="T119" s="1"/>
      <c r="Y119" s="1"/>
      <c r="AF119" s="1"/>
      <c r="AW119" s="1"/>
    </row>
    <row r="120" spans="1:49" ht="15.75">
      <c r="A120" s="1"/>
      <c r="L120" s="4"/>
      <c r="T120" s="1"/>
      <c r="Y120" s="1"/>
      <c r="AF120" s="1"/>
      <c r="AW120" s="1"/>
    </row>
    <row r="121" spans="1:49" ht="15.75">
      <c r="A121" s="1"/>
      <c r="L121" s="4"/>
      <c r="T121" s="1"/>
      <c r="Y121" s="1"/>
      <c r="AF121" s="1"/>
      <c r="AW121" s="1"/>
    </row>
    <row r="122" spans="1:49" ht="15.75">
      <c r="A122" s="1"/>
      <c r="L122" s="4"/>
      <c r="T122" s="1"/>
      <c r="Y122" s="1"/>
      <c r="AF122" s="1"/>
      <c r="AW122" s="1"/>
    </row>
    <row r="123" spans="1:49" ht="15.75">
      <c r="A123" s="1"/>
      <c r="L123" s="4"/>
      <c r="T123" s="1"/>
      <c r="Y123" s="1"/>
      <c r="AF123" s="1"/>
      <c r="AW123" s="1"/>
    </row>
    <row r="124" spans="1:49" ht="15.75">
      <c r="A124" s="1"/>
      <c r="L124" s="4"/>
      <c r="T124" s="1"/>
      <c r="Y124" s="1"/>
      <c r="AF124" s="1"/>
      <c r="AW124" s="1"/>
    </row>
    <row r="125" spans="1:49" ht="15.75">
      <c r="A125" s="1"/>
      <c r="L125" s="4"/>
      <c r="T125" s="1"/>
      <c r="Y125" s="1"/>
      <c r="AF125" s="1"/>
      <c r="AW125" s="1"/>
    </row>
    <row r="126" spans="1:49" ht="15.75">
      <c r="A126" s="1"/>
      <c r="L126" s="4"/>
      <c r="T126" s="1"/>
      <c r="Y126" s="1"/>
      <c r="AF126" s="1"/>
      <c r="AW126" s="1"/>
    </row>
    <row r="127" spans="1:49" ht="15.75">
      <c r="A127" s="1"/>
      <c r="L127" s="4"/>
      <c r="T127" s="1"/>
      <c r="Y127" s="1"/>
      <c r="AF127" s="1"/>
      <c r="AW127" s="1"/>
    </row>
    <row r="128" spans="1:49" ht="15.75">
      <c r="A128" s="1"/>
      <c r="L128" s="4"/>
      <c r="T128" s="1"/>
      <c r="Y128" s="1"/>
      <c r="AF128" s="1"/>
      <c r="AW128" s="1"/>
    </row>
    <row r="129" spans="1:49" ht="15.75">
      <c r="A129" s="1"/>
      <c r="L129" s="4"/>
      <c r="T129" s="1"/>
      <c r="Y129" s="1"/>
      <c r="AF129" s="1"/>
      <c r="AW129" s="1"/>
    </row>
    <row r="130" spans="1:49" ht="15.75">
      <c r="A130" s="1"/>
      <c r="L130" s="4"/>
      <c r="T130" s="1"/>
      <c r="Y130" s="1"/>
      <c r="AF130" s="1"/>
      <c r="AW130" s="1"/>
    </row>
    <row r="131" spans="1:49" ht="15.75">
      <c r="A131" s="1"/>
      <c r="L131" s="4"/>
      <c r="T131" s="1"/>
      <c r="Y131" s="1"/>
      <c r="AF131" s="1"/>
      <c r="AW131" s="1"/>
    </row>
    <row r="132" spans="1:49" ht="15.75">
      <c r="A132" s="1"/>
      <c r="L132" s="4"/>
      <c r="T132" s="1"/>
      <c r="Y132" s="1"/>
      <c r="AF132" s="1"/>
      <c r="AW132" s="1"/>
    </row>
    <row r="133" spans="1:49" ht="15.75">
      <c r="A133" s="1"/>
      <c r="L133" s="4"/>
      <c r="T133" s="1"/>
      <c r="Y133" s="1"/>
      <c r="AF133" s="1"/>
      <c r="AW133" s="1"/>
    </row>
    <row r="134" spans="1:49" ht="15.75">
      <c r="A134" s="1"/>
      <c r="L134" s="4"/>
      <c r="T134" s="1"/>
      <c r="Y134" s="1"/>
      <c r="AF134" s="1"/>
      <c r="AW134" s="1"/>
    </row>
    <row r="135" spans="1:49" ht="15.75">
      <c r="A135" s="1"/>
      <c r="L135" s="4"/>
      <c r="T135" s="1"/>
      <c r="Y135" s="1"/>
      <c r="AF135" s="1"/>
      <c r="AW135" s="1"/>
    </row>
    <row r="136" spans="1:49" ht="15.75">
      <c r="A136" s="1"/>
      <c r="L136" s="4"/>
      <c r="T136" s="1"/>
      <c r="Y136" s="1"/>
      <c r="AF136" s="1"/>
      <c r="AW136" s="1"/>
    </row>
    <row r="137" spans="1:49" ht="15.75">
      <c r="A137" s="1"/>
      <c r="L137" s="4"/>
      <c r="T137" s="1"/>
      <c r="Y137" s="1"/>
      <c r="AF137" s="1"/>
      <c r="AW137" s="1"/>
    </row>
    <row r="138" spans="1:49" ht="15.75">
      <c r="A138" s="1"/>
      <c r="L138" s="4"/>
      <c r="T138" s="1"/>
      <c r="Y138" s="1"/>
      <c r="AF138" s="1"/>
      <c r="AW138" s="1"/>
    </row>
    <row r="139" spans="1:49" ht="15.75">
      <c r="A139" s="1"/>
      <c r="L139" s="4"/>
      <c r="T139" s="1"/>
      <c r="Y139" s="1"/>
      <c r="AF139" s="1"/>
      <c r="AW139" s="1"/>
    </row>
    <row r="140" spans="1:49" ht="15.75">
      <c r="A140" s="1"/>
      <c r="L140" s="4"/>
      <c r="T140" s="1"/>
      <c r="Y140" s="1"/>
      <c r="AF140" s="1"/>
      <c r="AW140" s="1"/>
    </row>
    <row r="141" spans="1:49" ht="15.75">
      <c r="A141" s="1"/>
      <c r="L141" s="4"/>
      <c r="T141" s="1"/>
      <c r="Y141" s="1"/>
      <c r="AF141" s="1"/>
      <c r="AW141" s="1"/>
    </row>
    <row r="142" spans="1:49" ht="15.75">
      <c r="A142" s="1"/>
      <c r="L142" s="4"/>
      <c r="T142" s="1"/>
      <c r="Y142" s="1"/>
      <c r="AF142" s="1"/>
      <c r="AW142" s="1"/>
    </row>
    <row r="143" spans="1:49" ht="15.75">
      <c r="A143" s="1"/>
      <c r="L143" s="4"/>
      <c r="T143" s="1"/>
      <c r="Y143" s="1"/>
      <c r="AF143" s="1"/>
      <c r="AW143" s="1"/>
    </row>
    <row r="144" spans="1:49" ht="15.75">
      <c r="A144" s="1"/>
      <c r="L144" s="4"/>
      <c r="T144" s="1"/>
      <c r="Y144" s="1"/>
      <c r="AF144" s="1"/>
      <c r="AW144" s="1"/>
    </row>
    <row r="145" spans="1:49" ht="15.75">
      <c r="A145" s="1"/>
      <c r="L145" s="4"/>
      <c r="T145" s="1"/>
      <c r="Y145" s="1"/>
      <c r="AF145" s="1"/>
      <c r="AW145" s="1"/>
    </row>
    <row r="146" spans="1:49" ht="15.75">
      <c r="A146" s="1"/>
      <c r="L146" s="4"/>
      <c r="T146" s="1"/>
      <c r="Y146" s="1"/>
      <c r="AF146" s="1"/>
      <c r="AW146" s="1"/>
    </row>
    <row r="147" spans="1:49" ht="15.75">
      <c r="A147" s="1"/>
      <c r="L147" s="4"/>
      <c r="T147" s="1"/>
      <c r="Y147" s="1"/>
      <c r="AF147" s="1"/>
      <c r="AW147" s="1"/>
    </row>
    <row r="148" spans="1:49" ht="15.75">
      <c r="A148" s="1"/>
      <c r="L148" s="4"/>
      <c r="T148" s="1"/>
      <c r="Y148" s="1"/>
      <c r="AF148" s="1"/>
      <c r="AW148" s="1"/>
    </row>
    <row r="149" spans="1:49" ht="15.75">
      <c r="A149" s="1"/>
      <c r="L149" s="4"/>
      <c r="T149" s="1"/>
      <c r="Y149" s="1"/>
      <c r="AF149" s="1"/>
      <c r="AW149" s="1"/>
    </row>
    <row r="150" spans="1:49" ht="15.75">
      <c r="A150" s="1"/>
      <c r="L150" s="4"/>
      <c r="T150" s="1"/>
      <c r="Y150" s="1"/>
      <c r="AF150" s="1"/>
      <c r="AW150" s="1"/>
    </row>
    <row r="151" spans="1:49" ht="15.75">
      <c r="A151" s="1"/>
      <c r="L151" s="4"/>
      <c r="T151" s="1"/>
      <c r="Y151" s="1"/>
      <c r="AF151" s="1"/>
      <c r="AW151" s="1"/>
    </row>
    <row r="152" spans="1:49" ht="15.75">
      <c r="A152" s="1"/>
      <c r="L152" s="4"/>
      <c r="T152" s="1"/>
      <c r="Y152" s="1"/>
      <c r="AF152" s="1"/>
      <c r="AW152" s="1"/>
    </row>
    <row r="153" spans="1:49" ht="15.75">
      <c r="A153" s="1"/>
      <c r="L153" s="4"/>
      <c r="T153" s="1"/>
      <c r="Y153" s="1"/>
      <c r="AF153" s="1"/>
      <c r="AW153" s="1"/>
    </row>
    <row r="154" spans="1:49" ht="15.75">
      <c r="A154" s="1"/>
      <c r="L154" s="4"/>
      <c r="T154" s="1"/>
      <c r="Y154" s="1"/>
      <c r="AF154" s="1"/>
      <c r="AW154" s="1"/>
    </row>
    <row r="155" spans="1:49" ht="15.75">
      <c r="A155" s="1"/>
      <c r="L155" s="4"/>
      <c r="T155" s="1"/>
      <c r="Y155" s="1"/>
      <c r="AF155" s="1"/>
      <c r="AW155" s="1"/>
    </row>
    <row r="156" spans="1:49" ht="15.75">
      <c r="A156" s="1"/>
      <c r="L156" s="4"/>
      <c r="T156" s="1"/>
      <c r="Y156" s="1"/>
      <c r="AF156" s="1"/>
      <c r="AW156" s="1"/>
    </row>
    <row r="157" spans="1:49" ht="15.75">
      <c r="A157" s="1"/>
      <c r="L157" s="4"/>
      <c r="T157" s="1"/>
      <c r="Y157" s="1"/>
      <c r="AF157" s="1"/>
      <c r="AW157" s="1"/>
    </row>
    <row r="158" spans="1:49" ht="15.75">
      <c r="A158" s="1"/>
      <c r="L158" s="4"/>
      <c r="T158" s="1"/>
      <c r="Y158" s="1"/>
      <c r="AF158" s="1"/>
      <c r="AW158" s="1"/>
    </row>
    <row r="159" spans="1:49" ht="15.75">
      <c r="A159" s="1"/>
      <c r="L159" s="4"/>
      <c r="T159" s="1"/>
      <c r="Y159" s="1"/>
      <c r="AF159" s="1"/>
      <c r="AW159" s="1"/>
    </row>
    <row r="160" spans="1:49" ht="15.75">
      <c r="A160" s="1"/>
      <c r="L160" s="4"/>
      <c r="T160" s="1"/>
      <c r="Y160" s="1"/>
      <c r="AF160" s="1"/>
      <c r="AW160" s="1"/>
    </row>
    <row r="161" spans="1:49" ht="15.75">
      <c r="A161" s="1"/>
      <c r="L161" s="4"/>
      <c r="T161" s="1"/>
      <c r="Y161" s="1"/>
      <c r="AF161" s="1"/>
      <c r="AW161" s="1"/>
    </row>
    <row r="162" spans="1:49" ht="15.75">
      <c r="A162" s="1"/>
      <c r="L162" s="4"/>
      <c r="T162" s="1"/>
      <c r="Y162" s="1"/>
      <c r="AF162" s="1"/>
      <c r="AW162" s="1"/>
    </row>
    <row r="163" spans="1:49" ht="15.75">
      <c r="A163" s="1"/>
      <c r="L163" s="4"/>
      <c r="T163" s="1"/>
      <c r="Y163" s="1"/>
      <c r="AF163" s="1"/>
      <c r="AW163" s="1"/>
    </row>
    <row r="164" spans="1:49" ht="15.75">
      <c r="A164" s="1"/>
      <c r="L164" s="4"/>
      <c r="T164" s="1"/>
      <c r="Y164" s="1"/>
      <c r="AF164" s="1"/>
      <c r="AW164" s="1"/>
    </row>
    <row r="165" spans="1:49" ht="15.75">
      <c r="A165" s="1"/>
      <c r="L165" s="4"/>
      <c r="T165" s="1"/>
      <c r="Y165" s="1"/>
      <c r="AF165" s="1"/>
      <c r="AW165" s="1"/>
    </row>
    <row r="166" spans="1:49" ht="15.75">
      <c r="A166" s="1"/>
      <c r="L166" s="4"/>
      <c r="T166" s="1"/>
      <c r="Y166" s="1"/>
      <c r="AF166" s="1"/>
      <c r="AW166" s="1"/>
    </row>
    <row r="167" spans="1:49" ht="15.75">
      <c r="A167" s="1"/>
      <c r="L167" s="4"/>
      <c r="T167" s="1"/>
      <c r="Y167" s="1"/>
      <c r="AF167" s="1"/>
      <c r="AW167" s="1"/>
    </row>
    <row r="168" spans="1:49" ht="15.75">
      <c r="A168" s="1"/>
      <c r="L168" s="4"/>
      <c r="T168" s="1"/>
      <c r="Y168" s="1"/>
      <c r="AF168" s="1"/>
      <c r="AW168" s="1"/>
    </row>
    <row r="169" spans="1:49" ht="15.75">
      <c r="A169" s="1"/>
      <c r="L169" s="4"/>
      <c r="T169" s="1"/>
      <c r="Y169" s="1"/>
      <c r="AF169" s="1"/>
      <c r="AW169" s="1"/>
    </row>
    <row r="170" spans="1:49" ht="15.75">
      <c r="A170" s="1"/>
      <c r="L170" s="4"/>
      <c r="T170" s="1"/>
      <c r="Y170" s="1"/>
      <c r="AF170" s="1"/>
      <c r="AW170" s="1"/>
    </row>
    <row r="171" spans="1:49" ht="15.75">
      <c r="A171" s="1"/>
      <c r="L171" s="4"/>
      <c r="T171" s="1"/>
      <c r="Y171" s="1"/>
      <c r="AF171" s="1"/>
      <c r="AW171" s="1"/>
    </row>
    <row r="172" spans="1:49" ht="15.75">
      <c r="A172" s="1"/>
      <c r="L172" s="4"/>
      <c r="T172" s="1"/>
      <c r="Y172" s="1"/>
      <c r="AF172" s="1"/>
      <c r="AW172" s="1"/>
    </row>
    <row r="173" spans="1:49" ht="15.75">
      <c r="A173" s="1"/>
      <c r="L173" s="4"/>
      <c r="T173" s="1"/>
      <c r="Y173" s="1"/>
      <c r="AF173" s="1"/>
      <c r="AW173" s="1"/>
    </row>
    <row r="174" spans="1:49" ht="15.75">
      <c r="A174" s="1"/>
      <c r="L174" s="4"/>
      <c r="T174" s="1"/>
      <c r="Y174" s="1"/>
      <c r="AF174" s="1"/>
      <c r="AW174" s="1"/>
    </row>
    <row r="175" spans="1:49" ht="15.75">
      <c r="A175" s="1"/>
      <c r="L175" s="4"/>
      <c r="T175" s="1"/>
      <c r="Y175" s="1"/>
      <c r="AF175" s="1"/>
      <c r="AW175" s="1"/>
    </row>
    <row r="176" spans="1:49" ht="15.75">
      <c r="A176" s="1"/>
      <c r="L176" s="4"/>
      <c r="T176" s="1"/>
      <c r="Y176" s="1"/>
      <c r="AF176" s="1"/>
      <c r="AW176" s="1"/>
    </row>
    <row r="177" spans="1:49" ht="15.75">
      <c r="A177" s="1"/>
      <c r="L177" s="4"/>
      <c r="T177" s="1"/>
      <c r="Y177" s="1"/>
      <c r="AF177" s="1"/>
      <c r="AW177" s="1"/>
    </row>
    <row r="178" spans="1:49" ht="15.75">
      <c r="A178" s="1"/>
      <c r="L178" s="4"/>
      <c r="T178" s="1"/>
      <c r="Y178" s="1"/>
      <c r="AF178" s="1"/>
      <c r="AW178" s="1"/>
    </row>
    <row r="179" spans="1:49" ht="15.75">
      <c r="A179" s="1"/>
      <c r="L179" s="4"/>
      <c r="T179" s="1"/>
      <c r="Y179" s="1"/>
      <c r="AF179" s="1"/>
      <c r="AW179" s="1"/>
    </row>
    <row r="180" spans="1:49" ht="15.75">
      <c r="A180" s="1"/>
      <c r="L180" s="4"/>
      <c r="T180" s="1"/>
      <c r="Y180" s="1"/>
      <c r="AF180" s="1"/>
      <c r="AW180" s="1"/>
    </row>
    <row r="181" spans="1:49" ht="15.75">
      <c r="A181" s="1"/>
      <c r="L181" s="4"/>
      <c r="T181" s="1"/>
      <c r="Y181" s="1"/>
      <c r="AF181" s="1"/>
      <c r="AW181" s="1"/>
    </row>
    <row r="182" spans="1:49" ht="15.75">
      <c r="A182" s="1"/>
      <c r="L182" s="4"/>
      <c r="T182" s="1"/>
      <c r="Y182" s="1"/>
      <c r="AF182" s="1"/>
      <c r="AW182" s="1"/>
    </row>
    <row r="183" spans="1:49" ht="15.75">
      <c r="A183" s="1"/>
      <c r="L183" s="4"/>
      <c r="T183" s="1"/>
      <c r="Y183" s="1"/>
      <c r="AF183" s="1"/>
      <c r="AW183" s="1"/>
    </row>
    <row r="184" spans="1:49" ht="15.75">
      <c r="A184" s="1"/>
      <c r="L184" s="4"/>
      <c r="T184" s="1"/>
      <c r="Y184" s="1"/>
      <c r="AF184" s="1"/>
      <c r="AW184" s="1"/>
    </row>
    <row r="185" spans="1:49" ht="15.75">
      <c r="A185" s="1"/>
      <c r="L185" s="4"/>
      <c r="T185" s="1"/>
      <c r="Y185" s="1"/>
      <c r="AF185" s="1"/>
      <c r="AW185" s="1"/>
    </row>
    <row r="186" spans="1:49" ht="15.75">
      <c r="A186" s="1"/>
      <c r="L186" s="4"/>
      <c r="T186" s="1"/>
      <c r="Y186" s="1"/>
      <c r="AF186" s="1"/>
      <c r="AW186" s="1"/>
    </row>
    <row r="187" spans="1:49" ht="15.75">
      <c r="A187" s="1"/>
      <c r="L187" s="4"/>
      <c r="T187" s="1"/>
      <c r="Y187" s="1"/>
      <c r="AF187" s="1"/>
      <c r="AW187" s="1"/>
    </row>
    <row r="188" spans="1:49" ht="15.75">
      <c r="A188" s="1"/>
      <c r="L188" s="4"/>
      <c r="T188" s="1"/>
      <c r="Y188" s="1"/>
      <c r="AF188" s="1"/>
      <c r="AW188" s="1"/>
    </row>
    <row r="189" spans="1:49" ht="15.75">
      <c r="A189" s="1"/>
      <c r="L189" s="4"/>
      <c r="T189" s="1"/>
      <c r="Y189" s="1"/>
      <c r="AF189" s="1"/>
      <c r="AW189" s="1"/>
    </row>
    <row r="190" spans="1:49" ht="15.75">
      <c r="A190" s="1"/>
      <c r="L190" s="4"/>
      <c r="T190" s="1"/>
      <c r="Y190" s="1"/>
      <c r="AF190" s="1"/>
      <c r="AW190" s="1"/>
    </row>
    <row r="191" spans="1:49" ht="15.75">
      <c r="A191" s="1"/>
      <c r="L191" s="4"/>
      <c r="T191" s="1"/>
      <c r="Y191" s="1"/>
      <c r="AF191" s="1"/>
      <c r="AW191" s="1"/>
    </row>
    <row r="192" spans="1:49" ht="15.75">
      <c r="A192" s="1"/>
      <c r="L192" s="4"/>
      <c r="T192" s="1"/>
      <c r="Y192" s="1"/>
      <c r="AF192" s="1"/>
      <c r="AW192" s="1"/>
    </row>
    <row r="193" spans="1:49" ht="15.75">
      <c r="A193" s="1"/>
      <c r="L193" s="4"/>
      <c r="T193" s="1"/>
      <c r="Y193" s="1"/>
      <c r="AF193" s="1"/>
      <c r="AW193" s="1"/>
    </row>
    <row r="194" spans="1:49" ht="15.75">
      <c r="A194" s="1"/>
      <c r="L194" s="4"/>
      <c r="T194" s="1"/>
      <c r="Y194" s="1"/>
      <c r="AF194" s="1"/>
      <c r="AW194" s="1"/>
    </row>
    <row r="195" spans="1:49" ht="15.75">
      <c r="A195" s="1"/>
      <c r="L195" s="4"/>
      <c r="T195" s="1"/>
      <c r="Y195" s="1"/>
      <c r="AF195" s="1"/>
      <c r="AW195" s="1"/>
    </row>
    <row r="196" spans="1:49" ht="15.75">
      <c r="A196" s="1"/>
      <c r="L196" s="4"/>
      <c r="T196" s="1"/>
      <c r="Y196" s="1"/>
      <c r="AF196" s="1"/>
      <c r="AW196" s="1"/>
    </row>
    <row r="197" spans="1:49" ht="15.75">
      <c r="A197" s="1"/>
      <c r="L197" s="4"/>
      <c r="T197" s="1"/>
      <c r="Y197" s="1"/>
      <c r="AF197" s="1"/>
      <c r="AW197" s="1"/>
    </row>
    <row r="198" spans="1:49" ht="15.75">
      <c r="A198" s="1"/>
      <c r="L198" s="4"/>
      <c r="T198" s="1"/>
      <c r="Y198" s="1"/>
      <c r="AF198" s="1"/>
      <c r="AW198" s="1"/>
    </row>
    <row r="199" spans="1:49" ht="15.75">
      <c r="A199" s="1"/>
      <c r="L199" s="4"/>
      <c r="T199" s="1"/>
      <c r="Y199" s="1"/>
      <c r="AF199" s="1"/>
      <c r="AW199" s="1"/>
    </row>
    <row r="200" spans="1:49" ht="15.75">
      <c r="A200" s="1"/>
      <c r="L200" s="4"/>
      <c r="T200" s="1"/>
      <c r="Y200" s="1"/>
      <c r="AF200" s="1"/>
      <c r="AW200" s="1"/>
    </row>
    <row r="201" spans="1:49" ht="15.75">
      <c r="A201" s="1"/>
      <c r="L201" s="4"/>
      <c r="T201" s="1"/>
      <c r="Y201" s="1"/>
      <c r="AF201" s="1"/>
      <c r="AW201" s="1"/>
    </row>
    <row r="202" spans="1:49" ht="15.75">
      <c r="A202" s="1"/>
      <c r="L202" s="4"/>
      <c r="T202" s="1"/>
      <c r="Y202" s="1"/>
      <c r="AF202" s="1"/>
      <c r="AW202" s="1"/>
    </row>
    <row r="203" spans="1:49" ht="15.75">
      <c r="A203" s="1"/>
      <c r="L203" s="4"/>
      <c r="T203" s="1"/>
      <c r="Y203" s="1"/>
      <c r="AF203" s="1"/>
      <c r="AW203" s="1"/>
    </row>
    <row r="204" spans="1:49" ht="15.75">
      <c r="A204" s="1"/>
      <c r="L204" s="4"/>
      <c r="T204" s="1"/>
      <c r="Y204" s="1"/>
      <c r="AF204" s="1"/>
      <c r="AW204" s="1"/>
    </row>
    <row r="205" spans="1:49" ht="15.75">
      <c r="A205" s="1"/>
      <c r="L205" s="4"/>
      <c r="T205" s="1"/>
      <c r="Y205" s="1"/>
      <c r="AF205" s="1"/>
      <c r="AW205" s="1"/>
    </row>
    <row r="206" spans="1:49" ht="15.75">
      <c r="A206" s="1"/>
      <c r="L206" s="4"/>
      <c r="T206" s="1"/>
      <c r="Y206" s="1"/>
      <c r="AF206" s="1"/>
      <c r="AW206" s="1"/>
    </row>
    <row r="207" spans="1:49" ht="15.75">
      <c r="A207" s="1"/>
      <c r="L207" s="4"/>
      <c r="T207" s="1"/>
      <c r="Y207" s="1"/>
      <c r="AF207" s="1"/>
      <c r="AW207" s="1"/>
    </row>
    <row r="208" spans="1:49" ht="15.75">
      <c r="A208" s="1"/>
      <c r="L208" s="4"/>
      <c r="T208" s="1"/>
      <c r="Y208" s="1"/>
      <c r="AF208" s="1"/>
      <c r="AW208" s="1"/>
    </row>
    <row r="209" spans="1:49" ht="15.75">
      <c r="A209" s="1"/>
      <c r="L209" s="4"/>
      <c r="T209" s="1"/>
      <c r="Y209" s="1"/>
      <c r="AF209" s="1"/>
      <c r="AW209" s="1"/>
    </row>
    <row r="210" spans="1:49" ht="15.75">
      <c r="A210" s="1"/>
      <c r="L210" s="4"/>
      <c r="T210" s="1"/>
      <c r="Y210" s="1"/>
      <c r="AF210" s="1"/>
      <c r="AW210" s="1"/>
    </row>
    <row r="211" spans="1:49" ht="15.75">
      <c r="A211" s="1"/>
      <c r="L211" s="4"/>
      <c r="T211" s="1"/>
      <c r="Y211" s="1"/>
      <c r="AF211" s="1"/>
      <c r="AW211" s="1"/>
    </row>
    <row r="212" spans="1:49" ht="15.75">
      <c r="A212" s="1"/>
      <c r="L212" s="4"/>
      <c r="T212" s="1"/>
      <c r="Y212" s="1"/>
      <c r="AF212" s="1"/>
      <c r="AW212" s="1"/>
    </row>
    <row r="213" spans="1:49" ht="15.75">
      <c r="A213" s="1"/>
      <c r="L213" s="4"/>
      <c r="T213" s="1"/>
      <c r="Y213" s="1"/>
      <c r="AF213" s="1"/>
      <c r="AW213" s="1"/>
    </row>
    <row r="214" spans="1:49" ht="15.75">
      <c r="A214" s="1"/>
      <c r="L214" s="4"/>
      <c r="T214" s="1"/>
      <c r="Y214" s="1"/>
      <c r="AF214" s="1"/>
      <c r="AW214" s="1"/>
    </row>
    <row r="215" spans="1:49" ht="15.75">
      <c r="A215" s="1"/>
      <c r="L215" s="4"/>
      <c r="T215" s="1"/>
      <c r="Y215" s="1"/>
      <c r="AF215" s="1"/>
      <c r="AW215" s="1"/>
    </row>
    <row r="216" spans="1:49" ht="15.75">
      <c r="A216" s="1"/>
      <c r="L216" s="4"/>
      <c r="T216" s="1"/>
      <c r="Y216" s="1"/>
      <c r="AF216" s="1"/>
      <c r="AW216" s="1"/>
    </row>
    <row r="217" spans="1:49" ht="15.75">
      <c r="A217" s="1"/>
      <c r="L217" s="4"/>
      <c r="T217" s="1"/>
      <c r="Y217" s="1"/>
      <c r="AF217" s="1"/>
      <c r="AW217" s="1"/>
    </row>
    <row r="218" spans="1:49" ht="15.75">
      <c r="A218" s="1"/>
      <c r="L218" s="4"/>
      <c r="T218" s="1"/>
      <c r="Y218" s="1"/>
      <c r="AF218" s="1"/>
      <c r="AW218" s="1"/>
    </row>
    <row r="219" spans="1:49" ht="15.75">
      <c r="A219" s="1"/>
      <c r="L219" s="4"/>
      <c r="T219" s="1"/>
      <c r="Y219" s="1"/>
      <c r="AF219" s="1"/>
      <c r="AW219" s="1"/>
    </row>
    <row r="220" spans="1:49" ht="15.75">
      <c r="A220" s="1"/>
      <c r="L220" s="4"/>
      <c r="T220" s="1"/>
      <c r="Y220" s="1"/>
      <c r="AF220" s="1"/>
      <c r="AW220" s="1"/>
    </row>
    <row r="221" spans="1:49" ht="15.75">
      <c r="A221" s="1"/>
      <c r="L221" s="4"/>
      <c r="T221" s="1"/>
      <c r="Y221" s="1"/>
      <c r="AF221" s="1"/>
      <c r="AW221" s="1"/>
    </row>
    <row r="222" spans="1:49" ht="15.75">
      <c r="A222" s="1"/>
      <c r="L222" s="4"/>
      <c r="T222" s="1"/>
      <c r="Y222" s="1"/>
      <c r="AF222" s="1"/>
      <c r="AW222" s="1"/>
    </row>
    <row r="223" spans="1:49" ht="15.75">
      <c r="A223" s="1"/>
      <c r="L223" s="4"/>
      <c r="T223" s="1"/>
      <c r="Y223" s="1"/>
      <c r="AF223" s="1"/>
      <c r="AW223" s="1"/>
    </row>
    <row r="224" spans="1:49" ht="15.75">
      <c r="A224" s="1"/>
      <c r="L224" s="4"/>
      <c r="T224" s="1"/>
      <c r="Y224" s="1"/>
      <c r="AF224" s="1"/>
      <c r="AW224" s="1"/>
    </row>
    <row r="225" spans="1:49" ht="15.75">
      <c r="A225" s="1"/>
      <c r="L225" s="4"/>
      <c r="T225" s="1"/>
      <c r="Y225" s="1"/>
      <c r="AF225" s="1"/>
      <c r="AW225" s="1"/>
    </row>
    <row r="226" spans="1:49" ht="15.75">
      <c r="A226" s="1"/>
      <c r="L226" s="4"/>
      <c r="T226" s="1"/>
      <c r="Y226" s="1"/>
      <c r="AF226" s="1"/>
      <c r="AW226" s="1"/>
    </row>
    <row r="227" spans="1:49" ht="15.75">
      <c r="A227" s="1"/>
      <c r="L227" s="4"/>
      <c r="T227" s="1"/>
      <c r="Y227" s="1"/>
      <c r="AF227" s="1"/>
      <c r="AW227" s="1"/>
    </row>
    <row r="228" spans="1:49" ht="15.75">
      <c r="A228" s="1"/>
      <c r="L228" s="4"/>
      <c r="T228" s="1"/>
      <c r="Y228" s="1"/>
      <c r="AF228" s="1"/>
      <c r="AW228" s="1"/>
    </row>
    <row r="229" spans="1:49" ht="15.75">
      <c r="A229" s="1"/>
      <c r="L229" s="4"/>
      <c r="T229" s="1"/>
      <c r="Y229" s="1"/>
      <c r="AF229" s="1"/>
      <c r="AW229" s="1"/>
    </row>
    <row r="230" spans="1:49" ht="15.75">
      <c r="A230" s="1"/>
      <c r="L230" s="4"/>
      <c r="T230" s="1"/>
      <c r="Y230" s="1"/>
      <c r="AF230" s="1"/>
      <c r="AW230" s="1"/>
    </row>
    <row r="231" spans="1:49" ht="15.75">
      <c r="A231" s="1"/>
      <c r="L231" s="4"/>
      <c r="T231" s="1"/>
      <c r="Y231" s="1"/>
      <c r="AF231" s="1"/>
      <c r="AW231" s="1"/>
    </row>
    <row r="232" spans="1:49" ht="15.75">
      <c r="A232" s="1"/>
      <c r="L232" s="4"/>
      <c r="T232" s="1"/>
      <c r="Y232" s="1"/>
      <c r="AF232" s="1"/>
      <c r="AW232" s="1"/>
    </row>
    <row r="233" spans="1:49" ht="15.75">
      <c r="A233" s="1"/>
      <c r="L233" s="4"/>
      <c r="T233" s="1"/>
      <c r="Y233" s="1"/>
      <c r="AF233" s="1"/>
      <c r="AW233" s="1"/>
    </row>
    <row r="234" spans="1:49" ht="15.75">
      <c r="A234" s="1"/>
      <c r="L234" s="4"/>
      <c r="T234" s="1"/>
      <c r="Y234" s="1"/>
      <c r="AF234" s="1"/>
      <c r="AW234" s="1"/>
    </row>
    <row r="235" spans="1:49" ht="15.75">
      <c r="A235" s="1"/>
      <c r="L235" s="4"/>
      <c r="T235" s="1"/>
      <c r="Y235" s="1"/>
      <c r="AF235" s="1"/>
      <c r="AW235" s="1"/>
    </row>
    <row r="236" spans="1:49" ht="15.75">
      <c r="A236" s="1"/>
      <c r="L236" s="4"/>
      <c r="T236" s="1"/>
      <c r="Y236" s="1"/>
      <c r="AF236" s="1"/>
      <c r="AW236" s="1"/>
    </row>
    <row r="237" spans="1:49" ht="15.75">
      <c r="A237" s="1"/>
      <c r="L237" s="4"/>
      <c r="T237" s="1"/>
      <c r="Y237" s="1"/>
      <c r="AF237" s="1"/>
      <c r="AW237" s="1"/>
    </row>
    <row r="238" spans="1:49" ht="15.75">
      <c r="A238" s="1"/>
      <c r="L238" s="4"/>
      <c r="T238" s="1"/>
      <c r="Y238" s="1"/>
      <c r="AF238" s="1"/>
      <c r="AW238" s="1"/>
    </row>
    <row r="239" spans="1:49" ht="15.75">
      <c r="A239" s="1"/>
      <c r="L239" s="4"/>
      <c r="T239" s="1"/>
      <c r="Y239" s="1"/>
      <c r="AF239" s="1"/>
      <c r="AW239" s="1"/>
    </row>
    <row r="240" spans="1:49" ht="15.75">
      <c r="A240" s="1"/>
      <c r="L240" s="4"/>
      <c r="T240" s="1"/>
      <c r="Y240" s="1"/>
      <c r="AF240" s="1"/>
      <c r="AW240" s="1"/>
    </row>
    <row r="241" spans="1:49" ht="15.75">
      <c r="A241" s="1"/>
      <c r="L241" s="4"/>
      <c r="T241" s="1"/>
      <c r="Y241" s="1"/>
      <c r="AF241" s="1"/>
      <c r="AW241" s="1"/>
    </row>
    <row r="242" spans="1:49" ht="15.75">
      <c r="A242" s="1"/>
      <c r="L242" s="4"/>
      <c r="T242" s="1"/>
      <c r="Y242" s="1"/>
      <c r="AF242" s="1"/>
      <c r="AW242" s="1"/>
    </row>
    <row r="243" spans="1:49" ht="15.75">
      <c r="A243" s="1"/>
      <c r="L243" s="4"/>
      <c r="T243" s="1"/>
      <c r="Y243" s="1"/>
      <c r="AF243" s="1"/>
      <c r="AW243" s="1"/>
    </row>
    <row r="244" spans="1:49" ht="15.75">
      <c r="A244" s="1"/>
      <c r="L244" s="4"/>
      <c r="T244" s="1"/>
      <c r="Y244" s="1"/>
      <c r="AF244" s="1"/>
      <c r="AW244" s="1"/>
    </row>
    <row r="245" spans="1:49" ht="15.75">
      <c r="A245" s="1"/>
      <c r="L245" s="4"/>
      <c r="T245" s="1"/>
      <c r="Y245" s="1"/>
      <c r="AF245" s="1"/>
      <c r="AW245" s="1"/>
    </row>
    <row r="246" spans="1:49" ht="15.75">
      <c r="A246" s="1"/>
      <c r="L246" s="4"/>
      <c r="T246" s="1"/>
      <c r="Y246" s="1"/>
      <c r="AF246" s="1"/>
      <c r="AW246" s="1"/>
    </row>
    <row r="247" spans="1:49" ht="15.75">
      <c r="A247" s="1"/>
      <c r="L247" s="4"/>
      <c r="T247" s="1"/>
      <c r="Y247" s="1"/>
      <c r="AF247" s="1"/>
      <c r="AW247" s="1"/>
    </row>
    <row r="248" spans="1:49" ht="15.75">
      <c r="A248" s="1"/>
      <c r="L248" s="4"/>
      <c r="T248" s="1"/>
      <c r="Y248" s="1"/>
      <c r="AF248" s="1"/>
      <c r="AW248" s="1"/>
    </row>
    <row r="249" spans="1:49" ht="15.75">
      <c r="A249" s="1"/>
      <c r="L249" s="4"/>
      <c r="T249" s="1"/>
      <c r="Y249" s="1"/>
      <c r="AF249" s="1"/>
      <c r="AW249" s="1"/>
    </row>
    <row r="250" spans="1:49" ht="15.75">
      <c r="A250" s="1"/>
      <c r="L250" s="4"/>
      <c r="T250" s="1"/>
      <c r="Y250" s="1"/>
      <c r="AF250" s="1"/>
      <c r="AW250" s="1"/>
    </row>
    <row r="251" spans="1:49" ht="15.75">
      <c r="A251" s="1"/>
      <c r="L251" s="4"/>
      <c r="T251" s="1"/>
      <c r="Y251" s="1"/>
      <c r="AF251" s="1"/>
      <c r="AW251" s="1"/>
    </row>
    <row r="252" spans="1:49" ht="15.75">
      <c r="A252" s="1"/>
      <c r="L252" s="4"/>
      <c r="T252" s="1"/>
      <c r="Y252" s="1"/>
      <c r="AF252" s="1"/>
      <c r="AW252" s="1"/>
    </row>
    <row r="253" spans="1:49" ht="15.75">
      <c r="A253" s="1"/>
      <c r="L253" s="4"/>
      <c r="T253" s="1"/>
      <c r="Y253" s="1"/>
      <c r="AF253" s="1"/>
      <c r="AW253" s="1"/>
    </row>
    <row r="254" spans="1:49" ht="15.75">
      <c r="A254" s="1"/>
      <c r="L254" s="4"/>
      <c r="T254" s="1"/>
      <c r="Y254" s="1"/>
      <c r="AF254" s="1"/>
      <c r="AW254" s="1"/>
    </row>
    <row r="255" spans="1:49" ht="15.75">
      <c r="A255" s="1"/>
      <c r="L255" s="4"/>
      <c r="T255" s="1"/>
      <c r="Y255" s="1"/>
      <c r="AF255" s="1"/>
      <c r="AW255" s="1"/>
    </row>
    <row r="256" spans="1:49" ht="15.75">
      <c r="A256" s="1"/>
      <c r="L256" s="4"/>
      <c r="T256" s="1"/>
      <c r="Y256" s="1"/>
      <c r="AF256" s="1"/>
      <c r="AW256" s="1"/>
    </row>
    <row r="257" spans="1:49" ht="15.75">
      <c r="A257" s="1"/>
      <c r="L257" s="4"/>
      <c r="T257" s="1"/>
      <c r="Y257" s="1"/>
      <c r="AF257" s="1"/>
      <c r="AW257" s="1"/>
    </row>
    <row r="258" spans="1:49" ht="15.75">
      <c r="A258" s="1"/>
      <c r="L258" s="4"/>
      <c r="T258" s="1"/>
      <c r="Y258" s="1"/>
      <c r="AF258" s="1"/>
      <c r="AW258" s="1"/>
    </row>
    <row r="259" spans="1:49" ht="15.75">
      <c r="A259" s="1"/>
      <c r="L259" s="4"/>
      <c r="T259" s="1"/>
      <c r="Y259" s="1"/>
      <c r="AF259" s="1"/>
      <c r="AW259" s="1"/>
    </row>
    <row r="260" spans="1:49" ht="15.75">
      <c r="A260" s="1"/>
      <c r="L260" s="4"/>
      <c r="T260" s="1"/>
      <c r="Y260" s="1"/>
      <c r="AF260" s="1"/>
      <c r="AW260" s="1"/>
    </row>
    <row r="261" spans="1:49" ht="15.75">
      <c r="A261" s="1"/>
      <c r="L261" s="4"/>
      <c r="T261" s="1"/>
      <c r="Y261" s="1"/>
      <c r="AF261" s="1"/>
      <c r="AW261" s="1"/>
    </row>
    <row r="262" spans="1:49" ht="15.75">
      <c r="A262" s="1"/>
      <c r="L262" s="4"/>
      <c r="T262" s="1"/>
      <c r="Y262" s="1"/>
      <c r="AF262" s="1"/>
      <c r="AW262" s="1"/>
    </row>
    <row r="263" spans="1:49" ht="15.75">
      <c r="A263" s="1"/>
      <c r="L263" s="4"/>
      <c r="T263" s="1"/>
      <c r="Y263" s="1"/>
      <c r="AF263" s="1"/>
      <c r="AW263" s="1"/>
    </row>
    <row r="264" spans="1:49" ht="15.75">
      <c r="A264" s="1"/>
      <c r="L264" s="4"/>
      <c r="T264" s="1"/>
      <c r="Y264" s="1"/>
      <c r="AF264" s="1"/>
      <c r="AW264" s="1"/>
    </row>
    <row r="265" spans="1:49" ht="15.75">
      <c r="A265" s="1"/>
      <c r="L265" s="4"/>
      <c r="T265" s="1"/>
      <c r="Y265" s="1"/>
      <c r="AF265" s="1"/>
      <c r="AW265" s="1"/>
    </row>
    <row r="266" spans="1:49" ht="15.75">
      <c r="A266" s="1"/>
      <c r="L266" s="4"/>
      <c r="T266" s="1"/>
      <c r="Y266" s="1"/>
      <c r="AF266" s="1"/>
      <c r="AW266" s="1"/>
    </row>
    <row r="267" spans="1:49" ht="15.75">
      <c r="A267" s="1"/>
      <c r="L267" s="4"/>
      <c r="T267" s="1"/>
      <c r="Y267" s="1"/>
      <c r="AF267" s="1"/>
      <c r="AW267" s="1"/>
    </row>
    <row r="268" spans="1:49" ht="15.75">
      <c r="A268" s="1"/>
      <c r="L268" s="4"/>
      <c r="T268" s="1"/>
      <c r="Y268" s="1"/>
      <c r="AF268" s="1"/>
      <c r="AW268" s="1"/>
    </row>
    <row r="269" spans="1:49" ht="15.75">
      <c r="A269" s="1"/>
      <c r="L269" s="4"/>
      <c r="T269" s="1"/>
      <c r="Y269" s="1"/>
      <c r="AF269" s="1"/>
      <c r="AW269" s="1"/>
    </row>
    <row r="270" spans="1:49" ht="15.75">
      <c r="A270" s="1"/>
      <c r="L270" s="4"/>
      <c r="T270" s="1"/>
      <c r="Y270" s="1"/>
      <c r="AF270" s="1"/>
      <c r="AW270" s="1"/>
    </row>
    <row r="271" spans="1:49" ht="15.75">
      <c r="A271" s="1"/>
      <c r="L271" s="4"/>
      <c r="T271" s="1"/>
      <c r="Y271" s="1"/>
      <c r="AF271" s="1"/>
      <c r="AW271" s="1"/>
    </row>
    <row r="272" spans="1:49" ht="15.75">
      <c r="A272" s="1"/>
      <c r="L272" s="4"/>
      <c r="T272" s="1"/>
      <c r="Y272" s="1"/>
      <c r="AF272" s="1"/>
      <c r="AW272" s="1"/>
    </row>
    <row r="273" spans="1:49" ht="15.75">
      <c r="A273" s="1"/>
      <c r="L273" s="4"/>
      <c r="T273" s="1"/>
      <c r="Y273" s="1"/>
      <c r="AF273" s="1"/>
      <c r="AW273" s="1"/>
    </row>
    <row r="274" spans="1:49" ht="15.75">
      <c r="A274" s="1"/>
      <c r="L274" s="4"/>
      <c r="T274" s="1"/>
      <c r="Y274" s="1"/>
      <c r="AF274" s="1"/>
      <c r="AW274" s="1"/>
    </row>
    <row r="275" spans="1:49" ht="15.75">
      <c r="A275" s="1"/>
      <c r="L275" s="4"/>
      <c r="T275" s="1"/>
      <c r="Y275" s="1"/>
      <c r="AF275" s="1"/>
      <c r="AW275" s="1"/>
    </row>
    <row r="276" spans="1:49" ht="15.75">
      <c r="A276" s="1"/>
      <c r="L276" s="4"/>
      <c r="T276" s="1"/>
      <c r="Y276" s="1"/>
      <c r="AF276" s="1"/>
      <c r="AW276" s="1"/>
    </row>
    <row r="277" spans="1:49" ht="15.75">
      <c r="A277" s="1"/>
      <c r="L277" s="4"/>
      <c r="T277" s="1"/>
      <c r="Y277" s="1"/>
      <c r="AF277" s="1"/>
      <c r="AW277" s="1"/>
    </row>
    <row r="278" spans="1:49" ht="15.75">
      <c r="A278" s="1"/>
      <c r="L278" s="4"/>
      <c r="T278" s="1"/>
      <c r="Y278" s="1"/>
      <c r="AF278" s="1"/>
      <c r="AW278" s="1"/>
    </row>
    <row r="279" spans="1:49" ht="15.75">
      <c r="A279" s="1"/>
      <c r="L279" s="4"/>
      <c r="T279" s="1"/>
      <c r="Y279" s="1"/>
      <c r="AF279" s="1"/>
      <c r="AW279" s="1"/>
    </row>
    <row r="280" spans="1:49" ht="15.75">
      <c r="A280" s="1"/>
      <c r="L280" s="4"/>
      <c r="T280" s="1"/>
      <c r="Y280" s="1"/>
      <c r="AF280" s="1"/>
      <c r="AW280" s="1"/>
    </row>
    <row r="281" spans="1:49" ht="15.75">
      <c r="A281" s="1"/>
      <c r="L281" s="4"/>
      <c r="T281" s="1"/>
      <c r="Y281" s="1"/>
      <c r="AF281" s="1"/>
      <c r="AW281" s="1"/>
    </row>
    <row r="282" spans="1:49" ht="15.75">
      <c r="A282" s="1"/>
      <c r="L282" s="4"/>
      <c r="T282" s="1"/>
      <c r="Y282" s="1"/>
      <c r="AF282" s="1"/>
      <c r="AW282" s="1"/>
    </row>
    <row r="283" spans="1:49" ht="15.75">
      <c r="A283" s="1"/>
      <c r="L283" s="4"/>
      <c r="T283" s="1"/>
      <c r="Y283" s="1"/>
      <c r="AF283" s="1"/>
      <c r="AW283" s="1"/>
    </row>
    <row r="284" spans="1:49" ht="15.75">
      <c r="A284" s="1"/>
      <c r="L284" s="4"/>
      <c r="T284" s="1"/>
      <c r="Y284" s="1"/>
      <c r="AF284" s="1"/>
      <c r="AW284" s="1"/>
    </row>
    <row r="285" spans="1:49" ht="15.75">
      <c r="A285" s="1"/>
      <c r="L285" s="4"/>
      <c r="T285" s="1"/>
      <c r="Y285" s="1"/>
      <c r="AF285" s="1"/>
      <c r="AW285" s="1"/>
    </row>
    <row r="286" spans="1:49" ht="15.75">
      <c r="A286" s="1"/>
      <c r="L286" s="4"/>
      <c r="T286" s="1"/>
      <c r="Y286" s="1"/>
      <c r="AF286" s="1"/>
      <c r="AW286" s="1"/>
    </row>
    <row r="287" spans="1:49" ht="15.75">
      <c r="A287" s="1"/>
      <c r="L287" s="4"/>
      <c r="T287" s="1"/>
      <c r="Y287" s="1"/>
      <c r="AF287" s="1"/>
      <c r="AW287" s="1"/>
    </row>
    <row r="288" spans="1:49" ht="15.75">
      <c r="A288" s="1"/>
      <c r="L288" s="4"/>
      <c r="T288" s="1"/>
      <c r="Y288" s="1"/>
      <c r="AF288" s="1"/>
      <c r="AW288" s="1"/>
    </row>
    <row r="289" spans="1:49" ht="15.75">
      <c r="A289" s="1"/>
      <c r="L289" s="4"/>
      <c r="T289" s="1"/>
      <c r="Y289" s="1"/>
      <c r="AF289" s="1"/>
      <c r="AW289" s="1"/>
    </row>
    <row r="290" spans="1:49" ht="15.75">
      <c r="A290" s="1"/>
      <c r="L290" s="4"/>
      <c r="T290" s="1"/>
      <c r="Y290" s="1"/>
      <c r="AF290" s="1"/>
      <c r="AW290" s="1"/>
    </row>
    <row r="291" spans="1:49" ht="15.75">
      <c r="A291" s="1"/>
      <c r="L291" s="4"/>
      <c r="T291" s="1"/>
      <c r="Y291" s="1"/>
      <c r="AF291" s="1"/>
      <c r="AW291" s="1"/>
    </row>
    <row r="292" spans="1:49" ht="15.75">
      <c r="A292" s="1"/>
      <c r="L292" s="4"/>
      <c r="T292" s="1"/>
      <c r="Y292" s="1"/>
      <c r="AF292" s="1"/>
      <c r="AW292" s="1"/>
    </row>
    <row r="293" spans="1:49" ht="15.75">
      <c r="A293" s="1"/>
      <c r="L293" s="4"/>
      <c r="T293" s="1"/>
      <c r="Y293" s="1"/>
      <c r="AF293" s="1"/>
      <c r="AW293" s="1"/>
    </row>
    <row r="294" spans="1:49" ht="15.75">
      <c r="A294" s="1"/>
      <c r="L294" s="4"/>
      <c r="T294" s="1"/>
      <c r="Y294" s="1"/>
      <c r="AF294" s="1"/>
      <c r="AW294" s="1"/>
    </row>
    <row r="295" spans="1:49" ht="15.75">
      <c r="A295" s="1"/>
      <c r="L295" s="4"/>
      <c r="T295" s="1"/>
      <c r="Y295" s="1"/>
      <c r="AF295" s="1"/>
      <c r="AW295" s="1"/>
    </row>
    <row r="296" spans="1:49" ht="15.75">
      <c r="A296" s="1"/>
      <c r="L296" s="4"/>
      <c r="T296" s="1"/>
      <c r="Y296" s="1"/>
      <c r="AF296" s="1"/>
      <c r="AW296" s="1"/>
    </row>
    <row r="297" spans="1:49" ht="15.75">
      <c r="A297" s="1"/>
      <c r="L297" s="4"/>
      <c r="T297" s="1"/>
      <c r="Y297" s="1"/>
      <c r="AF297" s="1"/>
      <c r="AW297" s="1"/>
    </row>
    <row r="298" spans="1:49" ht="15.75">
      <c r="A298" s="1"/>
      <c r="L298" s="4"/>
      <c r="T298" s="1"/>
      <c r="Y298" s="1"/>
      <c r="AF298" s="1"/>
      <c r="AW298" s="1"/>
    </row>
    <row r="299" spans="1:49" ht="15.75">
      <c r="A299" s="1"/>
      <c r="L299" s="4"/>
      <c r="T299" s="1"/>
      <c r="Y299" s="1"/>
      <c r="AF299" s="1"/>
      <c r="AW299" s="1"/>
    </row>
    <row r="300" spans="1:49" ht="15.75">
      <c r="A300" s="1"/>
      <c r="L300" s="4"/>
      <c r="T300" s="1"/>
      <c r="Y300" s="1"/>
      <c r="AF300" s="1"/>
      <c r="AW300" s="1"/>
    </row>
    <row r="301" spans="1:49" ht="15.75">
      <c r="A301" s="1"/>
      <c r="L301" s="4"/>
      <c r="T301" s="1"/>
      <c r="Y301" s="1"/>
      <c r="AF301" s="1"/>
      <c r="AW301" s="1"/>
    </row>
    <row r="302" spans="1:49" ht="15.75">
      <c r="A302" s="1"/>
      <c r="L302" s="4"/>
      <c r="T302" s="1"/>
      <c r="Y302" s="1"/>
      <c r="AF302" s="1"/>
      <c r="AW302" s="1"/>
    </row>
    <row r="303" spans="1:49" ht="15.75">
      <c r="A303" s="1"/>
      <c r="L303" s="4"/>
      <c r="T303" s="1"/>
      <c r="Y303" s="1"/>
      <c r="AF303" s="1"/>
      <c r="AW303" s="1"/>
    </row>
    <row r="304" spans="1:49" ht="15.75">
      <c r="A304" s="1"/>
      <c r="L304" s="4"/>
      <c r="T304" s="1"/>
      <c r="Y304" s="1"/>
      <c r="AF304" s="1"/>
      <c r="AW304" s="1"/>
    </row>
    <row r="305" spans="1:49" ht="15.75">
      <c r="A305" s="1"/>
      <c r="L305" s="4"/>
      <c r="T305" s="1"/>
      <c r="Y305" s="1"/>
      <c r="AF305" s="1"/>
      <c r="AW305" s="1"/>
    </row>
    <row r="306" spans="1:49" ht="15.75">
      <c r="A306" s="1"/>
      <c r="L306" s="4"/>
      <c r="T306" s="1"/>
      <c r="Y306" s="1"/>
      <c r="AF306" s="1"/>
      <c r="AW306" s="1"/>
    </row>
    <row r="307" spans="1:49" ht="15.75">
      <c r="A307" s="1"/>
      <c r="L307" s="4"/>
      <c r="T307" s="1"/>
      <c r="Y307" s="1"/>
      <c r="AF307" s="1"/>
      <c r="AW307" s="1"/>
    </row>
    <row r="308" spans="1:49" ht="15.75">
      <c r="A308" s="1"/>
      <c r="L308" s="4"/>
      <c r="T308" s="1"/>
      <c r="Y308" s="1"/>
      <c r="AF308" s="1"/>
      <c r="AW308" s="1"/>
    </row>
    <row r="309" spans="1:49" ht="15.75">
      <c r="A309" s="1"/>
      <c r="L309" s="4"/>
      <c r="T309" s="1"/>
      <c r="Y309" s="1"/>
      <c r="AF309" s="1"/>
      <c r="AW309" s="1"/>
    </row>
    <row r="310" spans="1:49" ht="15.75">
      <c r="A310" s="1"/>
      <c r="L310" s="4"/>
      <c r="T310" s="1"/>
      <c r="Y310" s="1"/>
      <c r="AF310" s="1"/>
      <c r="AW310" s="1"/>
    </row>
    <row r="311" spans="1:49" ht="15.75">
      <c r="A311" s="1"/>
      <c r="L311" s="4"/>
      <c r="T311" s="1"/>
      <c r="Y311" s="1"/>
      <c r="AF311" s="1"/>
      <c r="AW311" s="1"/>
    </row>
    <row r="312" spans="1:49" ht="15.75">
      <c r="A312" s="1"/>
      <c r="L312" s="4"/>
      <c r="T312" s="1"/>
      <c r="Y312" s="1"/>
      <c r="AF312" s="1"/>
      <c r="AW312" s="1"/>
    </row>
    <row r="313" spans="1:49" ht="15.75">
      <c r="A313" s="1"/>
      <c r="L313" s="4"/>
      <c r="T313" s="1"/>
      <c r="Y313" s="1"/>
      <c r="AF313" s="1"/>
      <c r="AW313" s="1"/>
    </row>
    <row r="314" spans="1:49" ht="15.75">
      <c r="A314" s="1"/>
      <c r="L314" s="4"/>
      <c r="T314" s="1"/>
      <c r="Y314" s="1"/>
      <c r="AF314" s="1"/>
      <c r="AW314" s="1"/>
    </row>
    <row r="315" spans="1:49" ht="15.75">
      <c r="A315" s="1"/>
      <c r="L315" s="4"/>
      <c r="T315" s="1"/>
      <c r="Y315" s="1"/>
      <c r="AF315" s="1"/>
      <c r="AW315" s="1"/>
    </row>
    <row r="316" spans="1:49" ht="15.75">
      <c r="A316" s="1"/>
      <c r="L316" s="4"/>
      <c r="T316" s="1"/>
      <c r="Y316" s="1"/>
      <c r="AF316" s="1"/>
      <c r="AW316" s="1"/>
    </row>
    <row r="317" spans="1:49" ht="15.75">
      <c r="A317" s="1"/>
      <c r="L317" s="4"/>
      <c r="T317" s="1"/>
      <c r="Y317" s="1"/>
      <c r="AF317" s="1"/>
      <c r="AW317" s="1"/>
    </row>
    <row r="318" spans="1:49" ht="15.75">
      <c r="A318" s="1"/>
      <c r="L318" s="4"/>
      <c r="T318" s="1"/>
      <c r="Y318" s="1"/>
      <c r="AF318" s="1"/>
      <c r="AW318" s="1"/>
    </row>
    <row r="319" spans="1:49" ht="15.75">
      <c r="A319" s="1"/>
      <c r="L319" s="4"/>
      <c r="T319" s="1"/>
      <c r="Y319" s="1"/>
      <c r="AF319" s="1"/>
      <c r="AW319" s="1"/>
    </row>
    <row r="320" spans="1:49" ht="15.75">
      <c r="A320" s="1"/>
      <c r="L320" s="4"/>
      <c r="T320" s="1"/>
      <c r="Y320" s="1"/>
      <c r="AF320" s="1"/>
      <c r="AW320" s="1"/>
    </row>
    <row r="321" spans="1:49" ht="15.75">
      <c r="A321" s="1"/>
      <c r="L321" s="4"/>
      <c r="T321" s="1"/>
      <c r="Y321" s="1"/>
      <c r="AF321" s="1"/>
      <c r="AW321" s="1"/>
    </row>
    <row r="322" spans="1:49" ht="15.75">
      <c r="A322" s="1"/>
      <c r="L322" s="4"/>
      <c r="T322" s="1"/>
      <c r="Y322" s="1"/>
      <c r="AF322" s="1"/>
      <c r="AW322" s="1"/>
    </row>
    <row r="323" spans="1:49" ht="15.75">
      <c r="A323" s="1"/>
      <c r="L323" s="4"/>
      <c r="T323" s="1"/>
      <c r="Y323" s="1"/>
      <c r="AF323" s="1"/>
      <c r="AW323" s="1"/>
    </row>
    <row r="324" spans="1:49" ht="15.75">
      <c r="A324" s="1"/>
      <c r="L324" s="4"/>
      <c r="T324" s="1"/>
      <c r="Y324" s="1"/>
      <c r="AF324" s="1"/>
      <c r="AW324" s="1"/>
    </row>
    <row r="325" spans="1:49" ht="15.75">
      <c r="A325" s="1"/>
      <c r="L325" s="4"/>
      <c r="T325" s="1"/>
      <c r="Y325" s="1"/>
      <c r="AF325" s="1"/>
      <c r="AW325" s="1"/>
    </row>
    <row r="326" spans="1:49" ht="15.75">
      <c r="A326" s="1"/>
      <c r="L326" s="4"/>
      <c r="T326" s="1"/>
      <c r="Y326" s="1"/>
      <c r="AF326" s="1"/>
      <c r="AW326" s="1"/>
    </row>
    <row r="327" spans="1:49" ht="15.75">
      <c r="A327" s="1"/>
      <c r="L327" s="4"/>
      <c r="T327" s="1"/>
      <c r="Y327" s="1"/>
      <c r="AF327" s="1"/>
      <c r="AW327" s="1"/>
    </row>
    <row r="328" spans="1:49" ht="15.75">
      <c r="A328" s="1"/>
      <c r="L328" s="4"/>
      <c r="T328" s="1"/>
      <c r="Y328" s="1"/>
      <c r="AF328" s="1"/>
      <c r="AW328" s="1"/>
    </row>
    <row r="329" spans="1:49" ht="15.75">
      <c r="A329" s="1"/>
      <c r="L329" s="4"/>
      <c r="T329" s="1"/>
      <c r="Y329" s="1"/>
      <c r="AF329" s="1"/>
      <c r="AW329" s="1"/>
    </row>
    <row r="330" spans="1:49" ht="15.75">
      <c r="A330" s="1"/>
      <c r="L330" s="4"/>
      <c r="T330" s="1"/>
      <c r="Y330" s="1"/>
      <c r="AF330" s="1"/>
      <c r="AW330" s="1"/>
    </row>
    <row r="331" spans="1:49" ht="15.75">
      <c r="A331" s="1"/>
      <c r="L331" s="4"/>
      <c r="T331" s="1"/>
      <c r="Y331" s="1"/>
      <c r="AF331" s="1"/>
      <c r="AW331" s="1"/>
    </row>
    <row r="332" spans="1:49" ht="15.75">
      <c r="A332" s="1"/>
      <c r="L332" s="4"/>
      <c r="T332" s="1"/>
      <c r="Y332" s="1"/>
      <c r="AF332" s="1"/>
      <c r="AW332" s="1"/>
    </row>
    <row r="333" spans="1:49" ht="15.75">
      <c r="A333" s="1"/>
      <c r="L333" s="4"/>
      <c r="T333" s="1"/>
      <c r="Y333" s="1"/>
      <c r="AF333" s="1"/>
      <c r="AW333" s="1"/>
    </row>
    <row r="334" spans="1:49" ht="15.75">
      <c r="A334" s="1"/>
      <c r="L334" s="4"/>
      <c r="T334" s="1"/>
      <c r="Y334" s="1"/>
      <c r="AF334" s="1"/>
      <c r="AW334" s="1"/>
    </row>
    <row r="335" spans="1:49" ht="15.75">
      <c r="A335" s="1"/>
      <c r="L335" s="4"/>
      <c r="T335" s="1"/>
      <c r="Y335" s="1"/>
      <c r="AF335" s="1"/>
      <c r="AW335" s="1"/>
    </row>
    <row r="336" spans="1:49" ht="15.75">
      <c r="A336" s="1"/>
      <c r="L336" s="4"/>
      <c r="T336" s="1"/>
      <c r="Y336" s="1"/>
      <c r="AF336" s="1"/>
      <c r="AW336" s="1"/>
    </row>
    <row r="337" spans="1:49" ht="15.75">
      <c r="A337" s="1"/>
      <c r="L337" s="4"/>
      <c r="T337" s="1"/>
      <c r="Y337" s="1"/>
      <c r="AF337" s="1"/>
      <c r="AW337" s="1"/>
    </row>
    <row r="338" spans="1:49" ht="15.75">
      <c r="A338" s="1"/>
      <c r="L338" s="4"/>
      <c r="T338" s="1"/>
      <c r="Y338" s="1"/>
      <c r="AF338" s="1"/>
      <c r="AW338" s="1"/>
    </row>
    <row r="339" spans="1:49" ht="15.75">
      <c r="A339" s="1"/>
      <c r="L339" s="4"/>
      <c r="T339" s="1"/>
      <c r="Y339" s="1"/>
      <c r="AF339" s="1"/>
      <c r="AW339" s="1"/>
    </row>
    <row r="340" spans="1:49" ht="15.75">
      <c r="A340" s="1"/>
      <c r="L340" s="4"/>
      <c r="T340" s="1"/>
      <c r="Y340" s="1"/>
      <c r="AF340" s="1"/>
      <c r="AW340" s="1"/>
    </row>
    <row r="341" spans="1:49" ht="15.75">
      <c r="A341" s="1"/>
      <c r="L341" s="4"/>
      <c r="T341" s="1"/>
      <c r="Y341" s="1"/>
      <c r="AF341" s="1"/>
      <c r="AW341" s="1"/>
    </row>
    <row r="342" spans="1:49" ht="15.75">
      <c r="A342" s="1"/>
      <c r="L342" s="4"/>
      <c r="T342" s="1"/>
      <c r="Y342" s="1"/>
      <c r="AF342" s="1"/>
      <c r="AW342" s="1"/>
    </row>
    <row r="343" spans="1:49" ht="15.75">
      <c r="A343" s="1"/>
      <c r="L343" s="4"/>
      <c r="T343" s="1"/>
      <c r="Y343" s="1"/>
      <c r="AF343" s="1"/>
      <c r="AW343" s="1"/>
    </row>
    <row r="344" spans="1:49" ht="15.75">
      <c r="A344" s="1"/>
      <c r="L344" s="4"/>
      <c r="T344" s="1"/>
      <c r="Y344" s="1"/>
      <c r="AF344" s="1"/>
      <c r="AW344" s="1"/>
    </row>
    <row r="345" spans="1:49" ht="15.75">
      <c r="A345" s="1"/>
      <c r="L345" s="4"/>
      <c r="T345" s="1"/>
      <c r="Y345" s="1"/>
      <c r="AF345" s="1"/>
      <c r="AW345" s="1"/>
    </row>
    <row r="346" spans="1:49" ht="15.75">
      <c r="A346" s="1"/>
      <c r="L346" s="4"/>
      <c r="T346" s="1"/>
      <c r="Y346" s="1"/>
      <c r="AF346" s="1"/>
      <c r="AW346" s="1"/>
    </row>
    <row r="347" spans="1:49" ht="15.75">
      <c r="A347" s="1"/>
      <c r="L347" s="4"/>
      <c r="T347" s="1"/>
      <c r="Y347" s="1"/>
      <c r="AF347" s="1"/>
      <c r="AW347" s="1"/>
    </row>
    <row r="348" spans="1:49" ht="15.75">
      <c r="A348" s="1"/>
      <c r="L348" s="4"/>
      <c r="T348" s="1"/>
      <c r="Y348" s="1"/>
      <c r="AF348" s="1"/>
      <c r="AW348" s="1"/>
    </row>
    <row r="349" spans="1:49" ht="15.75">
      <c r="A349" s="1"/>
      <c r="L349" s="4"/>
      <c r="T349" s="1"/>
      <c r="Y349" s="1"/>
      <c r="AF349" s="1"/>
      <c r="AW349" s="1"/>
    </row>
    <row r="350" spans="1:49" ht="15.75">
      <c r="A350" s="1"/>
      <c r="L350" s="4"/>
      <c r="T350" s="1"/>
      <c r="Y350" s="1"/>
      <c r="AF350" s="1"/>
      <c r="AW350" s="1"/>
    </row>
    <row r="351" spans="1:49" ht="15.75">
      <c r="A351" s="1"/>
      <c r="L351" s="4"/>
      <c r="T351" s="1"/>
      <c r="Y351" s="1"/>
      <c r="AF351" s="1"/>
      <c r="AW351" s="1"/>
    </row>
    <row r="352" spans="1:49" ht="15.75">
      <c r="A352" s="1"/>
      <c r="L352" s="4"/>
      <c r="T352" s="1"/>
      <c r="Y352" s="1"/>
      <c r="AF352" s="1"/>
      <c r="AW352" s="1"/>
    </row>
    <row r="353" spans="1:49" ht="15.75">
      <c r="A353" s="1"/>
      <c r="L353" s="4"/>
      <c r="T353" s="1"/>
      <c r="Y353" s="1"/>
      <c r="AF353" s="1"/>
      <c r="AW353" s="1"/>
    </row>
    <row r="354" spans="1:49" ht="15.75">
      <c r="A354" s="1"/>
      <c r="L354" s="4"/>
      <c r="T354" s="1"/>
      <c r="Y354" s="1"/>
      <c r="AF354" s="1"/>
      <c r="AW354" s="1"/>
    </row>
    <row r="355" spans="1:49" ht="15.75">
      <c r="A355" s="1"/>
      <c r="L355" s="4"/>
      <c r="T355" s="1"/>
      <c r="Y355" s="1"/>
      <c r="AF355" s="1"/>
      <c r="AW355" s="1"/>
    </row>
    <row r="356" spans="1:49" ht="15.75">
      <c r="A356" s="1"/>
      <c r="L356" s="4"/>
      <c r="T356" s="1"/>
      <c r="Y356" s="1"/>
      <c r="AF356" s="1"/>
      <c r="AW356" s="1"/>
    </row>
    <row r="357" spans="1:49" ht="15.75">
      <c r="A357" s="1"/>
      <c r="L357" s="4"/>
      <c r="T357" s="1"/>
      <c r="Y357" s="1"/>
      <c r="AF357" s="1"/>
      <c r="AW357" s="1"/>
    </row>
    <row r="358" spans="1:49" ht="15.75">
      <c r="A358" s="1"/>
      <c r="L358" s="4"/>
      <c r="T358" s="1"/>
      <c r="Y358" s="1"/>
      <c r="AF358" s="1"/>
      <c r="AW358" s="1"/>
    </row>
    <row r="359" spans="1:49" ht="15.75">
      <c r="A359" s="1"/>
      <c r="L359" s="4"/>
      <c r="T359" s="1"/>
      <c r="Y359" s="1"/>
      <c r="AF359" s="1"/>
      <c r="AW359" s="1"/>
    </row>
    <row r="360" spans="1:49" ht="15.75">
      <c r="A360" s="1"/>
      <c r="L360" s="4"/>
      <c r="T360" s="1"/>
      <c r="Y360" s="1"/>
      <c r="AF360" s="1"/>
      <c r="AW360" s="1"/>
    </row>
    <row r="361" spans="1:49" ht="15.75">
      <c r="A361" s="1"/>
      <c r="L361" s="4"/>
      <c r="T361" s="1"/>
      <c r="Y361" s="1"/>
      <c r="AF361" s="1"/>
      <c r="AW361" s="1"/>
    </row>
    <row r="362" spans="1:49" ht="15.75">
      <c r="A362" s="1"/>
      <c r="L362" s="4"/>
      <c r="T362" s="1"/>
      <c r="Y362" s="1"/>
      <c r="AF362" s="1"/>
      <c r="AW362" s="1"/>
    </row>
    <row r="363" spans="1:49" ht="15.75">
      <c r="A363" s="1"/>
      <c r="L363" s="4"/>
      <c r="T363" s="1"/>
      <c r="Y363" s="1"/>
      <c r="AF363" s="1"/>
      <c r="AW363" s="1"/>
    </row>
    <row r="364" spans="1:49" ht="15.75">
      <c r="A364" s="1"/>
      <c r="L364" s="4"/>
      <c r="T364" s="1"/>
      <c r="Y364" s="1"/>
      <c r="AF364" s="1"/>
      <c r="AW364" s="1"/>
    </row>
    <row r="365" spans="1:49" ht="15.75">
      <c r="A365" s="1"/>
      <c r="L365" s="4"/>
      <c r="T365" s="1"/>
      <c r="Y365" s="1"/>
      <c r="AF365" s="1"/>
      <c r="AW365" s="1"/>
    </row>
    <row r="366" spans="1:49" ht="15.75">
      <c r="A366" s="1"/>
      <c r="L366" s="4"/>
      <c r="T366" s="1"/>
      <c r="Y366" s="1"/>
      <c r="AF366" s="1"/>
      <c r="AW366" s="1"/>
    </row>
    <row r="367" spans="1:49" ht="15.75">
      <c r="A367" s="1"/>
      <c r="L367" s="4"/>
      <c r="T367" s="1"/>
      <c r="Y367" s="1"/>
      <c r="AF367" s="1"/>
      <c r="AW367" s="1"/>
    </row>
    <row r="368" spans="1:49" ht="15.75">
      <c r="A368" s="1"/>
      <c r="L368" s="4"/>
      <c r="T368" s="1"/>
      <c r="Y368" s="1"/>
      <c r="AF368" s="1"/>
      <c r="AW368" s="1"/>
    </row>
    <row r="369" spans="1:49" ht="15.75">
      <c r="A369" s="1"/>
      <c r="L369" s="4"/>
      <c r="T369" s="1"/>
      <c r="Y369" s="1"/>
      <c r="AF369" s="1"/>
      <c r="AW369" s="1"/>
    </row>
    <row r="370" spans="1:49" ht="15.75">
      <c r="A370" s="1"/>
      <c r="L370" s="4"/>
      <c r="T370" s="1"/>
      <c r="Y370" s="1"/>
      <c r="AF370" s="1"/>
      <c r="AW370" s="1"/>
    </row>
    <row r="371" spans="1:49" ht="15.75">
      <c r="A371" s="1"/>
      <c r="L371" s="4"/>
      <c r="T371" s="1"/>
      <c r="Y371" s="1"/>
      <c r="AF371" s="1"/>
      <c r="AW371" s="1"/>
    </row>
    <row r="372" spans="1:49" ht="15.75">
      <c r="A372" s="1"/>
      <c r="L372" s="4"/>
      <c r="T372" s="1"/>
      <c r="Y372" s="1"/>
      <c r="AF372" s="1"/>
      <c r="AW372" s="1"/>
    </row>
    <row r="373" spans="1:49" ht="15.75">
      <c r="A373" s="1"/>
      <c r="L373" s="4"/>
      <c r="T373" s="1"/>
      <c r="Y373" s="1"/>
      <c r="AF373" s="1"/>
      <c r="AW373" s="1"/>
    </row>
    <row r="374" spans="1:49" ht="15.75">
      <c r="A374" s="1"/>
      <c r="L374" s="4"/>
      <c r="T374" s="1"/>
      <c r="Y374" s="1"/>
      <c r="AF374" s="1"/>
      <c r="AW374" s="1"/>
    </row>
    <row r="375" spans="1:49" ht="15.75">
      <c r="A375" s="1"/>
      <c r="L375" s="4"/>
      <c r="T375" s="1"/>
      <c r="Y375" s="1"/>
      <c r="AF375" s="1"/>
      <c r="AW375" s="1"/>
    </row>
    <row r="376" spans="1:49" ht="15.75">
      <c r="A376" s="1"/>
      <c r="L376" s="4"/>
      <c r="T376" s="1"/>
      <c r="Y376" s="1"/>
      <c r="AF376" s="1"/>
      <c r="AW376" s="1"/>
    </row>
    <row r="377" spans="1:49" ht="15.75">
      <c r="A377" s="1"/>
      <c r="L377" s="4"/>
      <c r="T377" s="1"/>
      <c r="Y377" s="1"/>
      <c r="AF377" s="1"/>
      <c r="AW377" s="1"/>
    </row>
    <row r="378" spans="1:49" ht="15.75">
      <c r="A378" s="1"/>
      <c r="L378" s="4"/>
      <c r="T378" s="1"/>
      <c r="Y378" s="1"/>
      <c r="AF378" s="1"/>
      <c r="AW378" s="1"/>
    </row>
    <row r="379" spans="1:49" ht="15.75">
      <c r="A379" s="1"/>
      <c r="L379" s="4"/>
      <c r="T379" s="1"/>
      <c r="Y379" s="1"/>
      <c r="AF379" s="1"/>
      <c r="AW379" s="1"/>
    </row>
    <row r="380" spans="1:49" ht="15.75">
      <c r="A380" s="1"/>
      <c r="L380" s="4"/>
      <c r="T380" s="1"/>
      <c r="Y380" s="1"/>
      <c r="AF380" s="1"/>
      <c r="AW380" s="1"/>
    </row>
    <row r="381" spans="1:49" ht="15.75">
      <c r="A381" s="1"/>
      <c r="L381" s="4"/>
      <c r="T381" s="1"/>
      <c r="Y381" s="1"/>
      <c r="AF381" s="1"/>
      <c r="AW381" s="1"/>
    </row>
    <row r="382" spans="1:49" ht="15.75">
      <c r="A382" s="1"/>
      <c r="L382" s="4"/>
      <c r="T382" s="1"/>
      <c r="Y382" s="1"/>
      <c r="AF382" s="1"/>
      <c r="AW382" s="1"/>
    </row>
    <row r="383" spans="1:49" ht="15.75">
      <c r="A383" s="1"/>
      <c r="L383" s="4"/>
      <c r="T383" s="1"/>
      <c r="Y383" s="1"/>
      <c r="AF383" s="1"/>
      <c r="AW383" s="1"/>
    </row>
    <row r="384" spans="1:49" ht="15.75">
      <c r="A384" s="1"/>
      <c r="L384" s="4"/>
      <c r="T384" s="1"/>
      <c r="Y384" s="1"/>
      <c r="AF384" s="1"/>
      <c r="AW384" s="1"/>
    </row>
    <row r="385" spans="1:49" ht="15.75">
      <c r="A385" s="1"/>
      <c r="L385" s="4"/>
      <c r="T385" s="1"/>
      <c r="Y385" s="1"/>
      <c r="AF385" s="1"/>
      <c r="AW385" s="1"/>
    </row>
    <row r="386" spans="1:49" ht="15.75">
      <c r="A386" s="1"/>
      <c r="L386" s="4"/>
      <c r="T386" s="1"/>
      <c r="Y386" s="1"/>
      <c r="AF386" s="1"/>
      <c r="AW386" s="1"/>
    </row>
    <row r="387" spans="1:49" ht="15.75">
      <c r="A387" s="1"/>
      <c r="L387" s="4"/>
      <c r="T387" s="1"/>
      <c r="Y387" s="1"/>
      <c r="AF387" s="1"/>
      <c r="AW387" s="1"/>
    </row>
    <row r="388" spans="1:49" ht="15.75">
      <c r="A388" s="1"/>
      <c r="L388" s="4"/>
      <c r="T388" s="1"/>
      <c r="Y388" s="1"/>
      <c r="AF388" s="1"/>
      <c r="AW388" s="1"/>
    </row>
    <row r="389" spans="1:49" ht="15.75">
      <c r="A389" s="1"/>
      <c r="L389" s="4"/>
      <c r="T389" s="1"/>
      <c r="Y389" s="1"/>
      <c r="AF389" s="1"/>
      <c r="AW389" s="1"/>
    </row>
    <row r="390" spans="1:49" ht="15.75">
      <c r="A390" s="1"/>
      <c r="L390" s="4"/>
      <c r="T390" s="1"/>
      <c r="Y390" s="1"/>
      <c r="AF390" s="1"/>
      <c r="AW390" s="1"/>
    </row>
    <row r="391" spans="1:49" ht="15.75">
      <c r="A391" s="1"/>
      <c r="L391" s="4"/>
      <c r="T391" s="1"/>
      <c r="Y391" s="1"/>
      <c r="AF391" s="1"/>
      <c r="AW391" s="1"/>
    </row>
    <row r="392" spans="1:49" ht="15.75">
      <c r="A392" s="1"/>
      <c r="L392" s="4"/>
      <c r="T392" s="1"/>
      <c r="Y392" s="1"/>
      <c r="AF392" s="1"/>
      <c r="AW392" s="1"/>
    </row>
    <row r="393" spans="1:49" ht="15.75">
      <c r="A393" s="1"/>
      <c r="L393" s="4"/>
      <c r="T393" s="1"/>
      <c r="Y393" s="1"/>
      <c r="AF393" s="1"/>
      <c r="AW393" s="1"/>
    </row>
    <row r="394" spans="1:49" ht="15.75">
      <c r="A394" s="1"/>
      <c r="L394" s="4"/>
      <c r="T394" s="1"/>
      <c r="Y394" s="1"/>
      <c r="AF394" s="1"/>
      <c r="AW394" s="1"/>
    </row>
    <row r="395" spans="1:49" ht="15.75">
      <c r="A395" s="1"/>
      <c r="L395" s="4"/>
      <c r="T395" s="1"/>
      <c r="Y395" s="1"/>
      <c r="AF395" s="1"/>
      <c r="AW395" s="1"/>
    </row>
    <row r="396" spans="1:49" ht="15.75">
      <c r="A396" s="1"/>
      <c r="L396" s="4"/>
      <c r="T396" s="1"/>
      <c r="Y396" s="1"/>
      <c r="AF396" s="1"/>
      <c r="AW396" s="1"/>
    </row>
    <row r="397" spans="1:49" ht="15.75">
      <c r="A397" s="1"/>
      <c r="L397" s="4"/>
      <c r="T397" s="1"/>
      <c r="Y397" s="1"/>
      <c r="AF397" s="1"/>
      <c r="AW397" s="1"/>
    </row>
    <row r="398" spans="1:49" ht="15.75">
      <c r="A398" s="1"/>
      <c r="L398" s="4"/>
      <c r="T398" s="1"/>
      <c r="Y398" s="1"/>
      <c r="AF398" s="1"/>
      <c r="AW398" s="1"/>
    </row>
    <row r="399" spans="1:49" ht="15.75">
      <c r="A399" s="1"/>
      <c r="L399" s="4"/>
      <c r="T399" s="1"/>
      <c r="Y399" s="1"/>
      <c r="AF399" s="1"/>
      <c r="AW399" s="1"/>
    </row>
    <row r="400" spans="1:49" ht="15.75">
      <c r="A400" s="1"/>
      <c r="L400" s="4"/>
      <c r="T400" s="1"/>
      <c r="Y400" s="1"/>
      <c r="AF400" s="1"/>
      <c r="AW400" s="1"/>
    </row>
    <row r="401" spans="1:49" ht="15.75">
      <c r="A401" s="1"/>
      <c r="L401" s="4"/>
      <c r="T401" s="1"/>
      <c r="Y401" s="1"/>
      <c r="AF401" s="1"/>
      <c r="AW401" s="1"/>
    </row>
    <row r="402" spans="1:49" ht="15.75">
      <c r="A402" s="1"/>
      <c r="L402" s="4"/>
      <c r="T402" s="1"/>
      <c r="Y402" s="1"/>
      <c r="AF402" s="1"/>
      <c r="AW402" s="1"/>
    </row>
    <row r="403" spans="1:49" ht="15.75">
      <c r="A403" s="1"/>
      <c r="L403" s="4"/>
      <c r="T403" s="1"/>
      <c r="Y403" s="1"/>
      <c r="AF403" s="1"/>
      <c r="AW403" s="1"/>
    </row>
    <row r="404" spans="1:49" ht="15.75">
      <c r="A404" s="1"/>
      <c r="L404" s="4"/>
      <c r="T404" s="1"/>
      <c r="Y404" s="1"/>
      <c r="AF404" s="1"/>
      <c r="AW404" s="1"/>
    </row>
    <row r="405" spans="1:49" ht="15.75">
      <c r="A405" s="1"/>
      <c r="L405" s="4"/>
      <c r="T405" s="1"/>
      <c r="Y405" s="1"/>
      <c r="AF405" s="1"/>
      <c r="AW405" s="1"/>
    </row>
    <row r="406" spans="1:49" ht="15.75">
      <c r="A406" s="1"/>
      <c r="L406" s="4"/>
      <c r="T406" s="1"/>
      <c r="Y406" s="1"/>
      <c r="AF406" s="1"/>
      <c r="AW406" s="1"/>
    </row>
    <row r="407" spans="1:49" ht="15.75">
      <c r="A407" s="1"/>
      <c r="L407" s="4"/>
      <c r="T407" s="1"/>
      <c r="Y407" s="1"/>
      <c r="AF407" s="1"/>
      <c r="AW407" s="1"/>
    </row>
    <row r="408" spans="1:49" ht="15.75">
      <c r="A408" s="1"/>
      <c r="L408" s="4"/>
      <c r="T408" s="1"/>
      <c r="Y408" s="1"/>
      <c r="AF408" s="1"/>
      <c r="AW408" s="1"/>
    </row>
    <row r="409" spans="1:49" ht="15.75">
      <c r="A409" s="1"/>
      <c r="L409" s="4"/>
      <c r="T409" s="1"/>
      <c r="Y409" s="1"/>
      <c r="AF409" s="1"/>
      <c r="AW409" s="1"/>
    </row>
    <row r="410" spans="1:49" ht="15.75">
      <c r="A410" s="1"/>
      <c r="L410" s="4"/>
      <c r="T410" s="1"/>
      <c r="Y410" s="1"/>
      <c r="AF410" s="1"/>
      <c r="AW410" s="1"/>
    </row>
    <row r="411" spans="1:49" ht="15.75">
      <c r="A411" s="1"/>
      <c r="L411" s="4"/>
      <c r="T411" s="1"/>
      <c r="Y411" s="1"/>
      <c r="AF411" s="1"/>
      <c r="AW411" s="1"/>
    </row>
    <row r="412" spans="1:49" ht="15.75">
      <c r="A412" s="1"/>
      <c r="L412" s="4"/>
      <c r="T412" s="1"/>
      <c r="Y412" s="1"/>
      <c r="AF412" s="1"/>
      <c r="AW412" s="1"/>
    </row>
    <row r="413" spans="1:49" ht="15.75">
      <c r="A413" s="1"/>
      <c r="L413" s="4"/>
      <c r="T413" s="1"/>
      <c r="Y413" s="1"/>
      <c r="AF413" s="1"/>
      <c r="AW413" s="1"/>
    </row>
    <row r="414" spans="1:49" ht="15.75">
      <c r="A414" s="1"/>
      <c r="L414" s="4"/>
      <c r="T414" s="1"/>
      <c r="Y414" s="1"/>
      <c r="AF414" s="1"/>
      <c r="AW414" s="1"/>
    </row>
    <row r="415" spans="1:49" ht="15.75">
      <c r="A415" s="1"/>
      <c r="L415" s="4"/>
      <c r="T415" s="1"/>
      <c r="Y415" s="1"/>
      <c r="AF415" s="1"/>
      <c r="AW415" s="1"/>
    </row>
    <row r="416" spans="1:49" ht="15.75">
      <c r="A416" s="1"/>
      <c r="L416" s="4"/>
      <c r="T416" s="1"/>
      <c r="Y416" s="1"/>
      <c r="AF416" s="1"/>
      <c r="AW416" s="1"/>
    </row>
    <row r="417" spans="1:49" ht="15.75">
      <c r="A417" s="1"/>
      <c r="L417" s="4"/>
      <c r="T417" s="1"/>
      <c r="Y417" s="1"/>
      <c r="AF417" s="1"/>
      <c r="AW417" s="1"/>
    </row>
    <row r="418" spans="1:49" ht="15.75">
      <c r="A418" s="1"/>
      <c r="L418" s="4"/>
      <c r="T418" s="1"/>
      <c r="Y418" s="1"/>
      <c r="AF418" s="1"/>
      <c r="AW418" s="1"/>
    </row>
    <row r="419" spans="1:49" ht="15.75">
      <c r="A419" s="1"/>
      <c r="L419" s="4"/>
      <c r="T419" s="1"/>
      <c r="Y419" s="1"/>
      <c r="AF419" s="1"/>
      <c r="AW419" s="1"/>
    </row>
    <row r="420" spans="1:49" ht="15.75">
      <c r="A420" s="1"/>
      <c r="L420" s="4"/>
      <c r="T420" s="1"/>
      <c r="Y420" s="1"/>
      <c r="AF420" s="1"/>
      <c r="AW420" s="1"/>
    </row>
    <row r="421" spans="1:49" ht="15.75">
      <c r="A421" s="1"/>
      <c r="L421" s="4"/>
      <c r="T421" s="1"/>
      <c r="Y421" s="1"/>
      <c r="AF421" s="1"/>
      <c r="AW421" s="1"/>
    </row>
    <row r="422" spans="1:49" ht="15.75">
      <c r="A422" s="1"/>
      <c r="L422" s="4"/>
      <c r="T422" s="1"/>
      <c r="Y422" s="1"/>
      <c r="AF422" s="1"/>
      <c r="AW422" s="1"/>
    </row>
    <row r="423" spans="1:49" ht="15.75">
      <c r="A423" s="1"/>
      <c r="L423" s="4"/>
      <c r="T423" s="1"/>
      <c r="Y423" s="1"/>
      <c r="AF423" s="1"/>
      <c r="AW423" s="1"/>
    </row>
    <row r="424" spans="1:49" ht="15.75">
      <c r="A424" s="1"/>
      <c r="L424" s="4"/>
      <c r="T424" s="1"/>
      <c r="Y424" s="1"/>
      <c r="AF424" s="1"/>
      <c r="AW424" s="1"/>
    </row>
    <row r="425" spans="1:49" ht="15.75">
      <c r="A425" s="1"/>
      <c r="L425" s="4"/>
      <c r="T425" s="1"/>
      <c r="Y425" s="1"/>
      <c r="AF425" s="1"/>
      <c r="AW425" s="1"/>
    </row>
    <row r="426" spans="1:49" ht="15.75">
      <c r="A426" s="1"/>
      <c r="L426" s="4"/>
      <c r="T426" s="1"/>
      <c r="Y426" s="1"/>
      <c r="AF426" s="1"/>
      <c r="AW426" s="1"/>
    </row>
    <row r="427" spans="1:49" ht="15.75">
      <c r="A427" s="1"/>
      <c r="L427" s="4"/>
      <c r="T427" s="1"/>
      <c r="Y427" s="1"/>
      <c r="AF427" s="1"/>
      <c r="AW427" s="1"/>
    </row>
    <row r="428" spans="1:49" ht="15.75">
      <c r="A428" s="1"/>
      <c r="L428" s="4"/>
      <c r="T428" s="1"/>
      <c r="Y428" s="1"/>
      <c r="AF428" s="1"/>
      <c r="AW428" s="1"/>
    </row>
    <row r="429" spans="1:49" ht="15.75">
      <c r="A429" s="1"/>
      <c r="L429" s="4"/>
      <c r="T429" s="1"/>
      <c r="Y429" s="1"/>
      <c r="AF429" s="1"/>
      <c r="AW429" s="1"/>
    </row>
    <row r="430" spans="1:49" ht="15.75">
      <c r="A430" s="1"/>
      <c r="L430" s="4"/>
      <c r="T430" s="1"/>
      <c r="Y430" s="1"/>
      <c r="AF430" s="1"/>
      <c r="AW430" s="1"/>
    </row>
    <row r="431" spans="1:49" ht="15.75">
      <c r="A431" s="1"/>
      <c r="L431" s="4"/>
      <c r="T431" s="1"/>
      <c r="Y431" s="1"/>
      <c r="AF431" s="1"/>
      <c r="AW431" s="1"/>
    </row>
    <row r="432" spans="1:49" ht="15.75">
      <c r="A432" s="1"/>
      <c r="L432" s="4"/>
      <c r="T432" s="1"/>
      <c r="Y432" s="1"/>
      <c r="AF432" s="1"/>
      <c r="AW432" s="1"/>
    </row>
    <row r="433" spans="1:49" ht="15.75">
      <c r="A433" s="1"/>
      <c r="L433" s="4"/>
      <c r="T433" s="1"/>
      <c r="Y433" s="1"/>
      <c r="AF433" s="1"/>
      <c r="AW433" s="1"/>
    </row>
    <row r="434" spans="1:49" ht="15.75">
      <c r="A434" s="1"/>
      <c r="L434" s="4"/>
      <c r="T434" s="1"/>
      <c r="Y434" s="1"/>
      <c r="AF434" s="1"/>
      <c r="AW434" s="1"/>
    </row>
    <row r="435" spans="1:49" ht="15.75">
      <c r="A435" s="1"/>
      <c r="L435" s="4"/>
      <c r="T435" s="1"/>
      <c r="Y435" s="1"/>
      <c r="AF435" s="1"/>
      <c r="AW435" s="1"/>
    </row>
    <row r="436" spans="1:49" ht="15.75">
      <c r="A436" s="1"/>
      <c r="L436" s="4"/>
      <c r="T436" s="1"/>
      <c r="Y436" s="1"/>
      <c r="AF436" s="1"/>
      <c r="AW436" s="1"/>
    </row>
    <row r="437" spans="1:49" ht="15.75">
      <c r="A437" s="1"/>
      <c r="L437" s="4"/>
      <c r="T437" s="1"/>
      <c r="Y437" s="1"/>
      <c r="AF437" s="1"/>
      <c r="AW437" s="1"/>
    </row>
    <row r="438" spans="1:49" ht="15.75">
      <c r="A438" s="1"/>
      <c r="L438" s="4"/>
      <c r="T438" s="1"/>
      <c r="Y438" s="1"/>
      <c r="AF438" s="1"/>
      <c r="AW438" s="1"/>
    </row>
    <row r="439" spans="1:49" ht="15.75">
      <c r="A439" s="1"/>
      <c r="L439" s="4"/>
      <c r="T439" s="1"/>
      <c r="Y439" s="1"/>
      <c r="AF439" s="1"/>
      <c r="AW439" s="1"/>
    </row>
    <row r="440" spans="1:49" ht="15.75">
      <c r="A440" s="1"/>
      <c r="L440" s="4"/>
      <c r="T440" s="1"/>
      <c r="Y440" s="1"/>
      <c r="AF440" s="1"/>
      <c r="AW440" s="1"/>
    </row>
    <row r="441" spans="1:49" ht="15.75">
      <c r="A441" s="1"/>
      <c r="L441" s="4"/>
      <c r="T441" s="1"/>
      <c r="Y441" s="1"/>
      <c r="AF441" s="1"/>
      <c r="AW441" s="1"/>
    </row>
    <row r="442" spans="1:49" ht="15.75">
      <c r="A442" s="1"/>
      <c r="L442" s="4"/>
      <c r="T442" s="1"/>
      <c r="Y442" s="1"/>
      <c r="AF442" s="1"/>
      <c r="AW442" s="1"/>
    </row>
    <row r="443" spans="1:49" ht="15.75">
      <c r="A443" s="1"/>
      <c r="L443" s="4"/>
      <c r="T443" s="1"/>
      <c r="Y443" s="1"/>
      <c r="AF443" s="1"/>
      <c r="AW443" s="1"/>
    </row>
    <row r="444" spans="1:49" ht="15.75">
      <c r="A444" s="1"/>
      <c r="L444" s="4"/>
      <c r="T444" s="1"/>
      <c r="Y444" s="1"/>
      <c r="AF444" s="1"/>
      <c r="AW444" s="1"/>
    </row>
    <row r="445" spans="1:49" ht="15.75">
      <c r="A445" s="1"/>
      <c r="L445" s="4"/>
      <c r="T445" s="1"/>
      <c r="Y445" s="1"/>
      <c r="AF445" s="1"/>
      <c r="AW445" s="1"/>
    </row>
    <row r="446" spans="1:49" ht="15.75">
      <c r="A446" s="1"/>
      <c r="L446" s="4"/>
      <c r="T446" s="1"/>
      <c r="Y446" s="1"/>
      <c r="AF446" s="1"/>
      <c r="AW446" s="1"/>
    </row>
    <row r="447" spans="1:49" ht="15.75">
      <c r="A447" s="1"/>
      <c r="L447" s="4"/>
      <c r="T447" s="1"/>
      <c r="Y447" s="1"/>
      <c r="AF447" s="1"/>
      <c r="AW447" s="1"/>
    </row>
    <row r="448" spans="1:49" ht="15.75">
      <c r="A448" s="1"/>
      <c r="L448" s="4"/>
      <c r="T448" s="1"/>
      <c r="Y448" s="1"/>
      <c r="AF448" s="1"/>
      <c r="AW448" s="1"/>
    </row>
    <row r="449" spans="1:49" ht="15.75">
      <c r="A449" s="1"/>
      <c r="L449" s="4"/>
      <c r="T449" s="1"/>
      <c r="Y449" s="1"/>
      <c r="AF449" s="1"/>
      <c r="AW449" s="1"/>
    </row>
    <row r="450" spans="1:49" ht="15.75">
      <c r="A450" s="1"/>
      <c r="L450" s="4"/>
      <c r="T450" s="1"/>
      <c r="Y450" s="1"/>
      <c r="AF450" s="1"/>
      <c r="AW450" s="1"/>
    </row>
    <row r="451" spans="1:49" ht="15.75">
      <c r="A451" s="1"/>
      <c r="L451" s="4"/>
      <c r="T451" s="1"/>
      <c r="Y451" s="1"/>
      <c r="AF451" s="1"/>
      <c r="AW451" s="1"/>
    </row>
    <row r="452" spans="1:49" ht="15.75">
      <c r="A452" s="1"/>
      <c r="L452" s="4"/>
      <c r="T452" s="1"/>
      <c r="Y452" s="1"/>
      <c r="AF452" s="1"/>
      <c r="AW452" s="1"/>
    </row>
    <row r="453" spans="1:49" ht="15.75">
      <c r="A453" s="1"/>
      <c r="L453" s="4"/>
      <c r="T453" s="1"/>
      <c r="Y453" s="1"/>
      <c r="AF453" s="1"/>
      <c r="AW453" s="1"/>
    </row>
    <row r="454" spans="1:49" ht="15.75">
      <c r="A454" s="1"/>
      <c r="L454" s="4"/>
      <c r="T454" s="1"/>
      <c r="Y454" s="1"/>
      <c r="AF454" s="1"/>
      <c r="AW454" s="1"/>
    </row>
    <row r="455" spans="1:49" ht="15.75">
      <c r="A455" s="1"/>
      <c r="L455" s="4"/>
      <c r="T455" s="1"/>
      <c r="Y455" s="1"/>
      <c r="AF455" s="1"/>
      <c r="AW455" s="1"/>
    </row>
    <row r="456" spans="1:49" ht="15.75">
      <c r="A456" s="1"/>
      <c r="L456" s="4"/>
      <c r="T456" s="1"/>
      <c r="Y456" s="1"/>
      <c r="AF456" s="1"/>
      <c r="AW456" s="1"/>
    </row>
    <row r="457" spans="1:49" ht="15.75">
      <c r="A457" s="1"/>
      <c r="L457" s="4"/>
      <c r="T457" s="1"/>
      <c r="Y457" s="1"/>
      <c r="AF457" s="1"/>
      <c r="AW457" s="1"/>
    </row>
    <row r="458" spans="1:49" ht="15.75">
      <c r="A458" s="1"/>
      <c r="L458" s="4"/>
      <c r="T458" s="1"/>
      <c r="Y458" s="1"/>
      <c r="AF458" s="1"/>
      <c r="AW458" s="1"/>
    </row>
    <row r="459" spans="1:49" ht="15.75">
      <c r="A459" s="1"/>
      <c r="L459" s="4"/>
      <c r="T459" s="1"/>
      <c r="Y459" s="1"/>
      <c r="AF459" s="1"/>
      <c r="AW459" s="1"/>
    </row>
    <row r="460" spans="1:49" ht="15.75">
      <c r="A460" s="1"/>
      <c r="L460" s="4"/>
      <c r="T460" s="1"/>
      <c r="Y460" s="1"/>
      <c r="AF460" s="1"/>
      <c r="AW460" s="1"/>
    </row>
    <row r="461" spans="1:49" ht="15.75">
      <c r="A461" s="1"/>
      <c r="L461" s="4"/>
      <c r="T461" s="1"/>
      <c r="Y461" s="1"/>
      <c r="AF461" s="1"/>
      <c r="AW461" s="1"/>
    </row>
    <row r="462" spans="1:49" ht="15.75">
      <c r="A462" s="1"/>
      <c r="L462" s="4"/>
      <c r="T462" s="1"/>
      <c r="Y462" s="1"/>
      <c r="AF462" s="1"/>
      <c r="AW462" s="1"/>
    </row>
    <row r="463" spans="1:49" ht="15.75">
      <c r="A463" s="1"/>
      <c r="L463" s="4"/>
      <c r="T463" s="1"/>
      <c r="Y463" s="1"/>
      <c r="AF463" s="1"/>
      <c r="AW463" s="1"/>
    </row>
    <row r="464" spans="1:49" ht="15.75">
      <c r="A464" s="1"/>
      <c r="L464" s="4"/>
      <c r="T464" s="1"/>
      <c r="Y464" s="1"/>
      <c r="AF464" s="1"/>
      <c r="AW464" s="1"/>
    </row>
    <row r="465" spans="1:49" ht="15.75">
      <c r="A465" s="1"/>
      <c r="L465" s="4"/>
      <c r="T465" s="1"/>
      <c r="Y465" s="1"/>
      <c r="AF465" s="1"/>
      <c r="AW465" s="1"/>
    </row>
    <row r="466" spans="1:49" ht="15.75">
      <c r="A466" s="1"/>
      <c r="L466" s="4"/>
      <c r="T466" s="1"/>
      <c r="Y466" s="1"/>
      <c r="AF466" s="1"/>
      <c r="AW466" s="1"/>
    </row>
    <row r="467" spans="1:49" ht="15.75">
      <c r="A467" s="1"/>
      <c r="L467" s="4"/>
      <c r="T467" s="1"/>
      <c r="Y467" s="1"/>
      <c r="AF467" s="1"/>
      <c r="AW467" s="1"/>
    </row>
    <row r="468" spans="1:49" ht="15.75">
      <c r="A468" s="1"/>
      <c r="L468" s="4"/>
      <c r="T468" s="1"/>
      <c r="Y468" s="1"/>
      <c r="AF468" s="1"/>
      <c r="AW468" s="1"/>
    </row>
    <row r="469" spans="1:49" ht="15.75">
      <c r="A469" s="1"/>
      <c r="L469" s="4"/>
      <c r="T469" s="1"/>
      <c r="Y469" s="1"/>
      <c r="AF469" s="1"/>
      <c r="AW469" s="1"/>
    </row>
    <row r="470" spans="1:49" ht="15.75">
      <c r="A470" s="1"/>
      <c r="L470" s="4"/>
      <c r="T470" s="1"/>
      <c r="Y470" s="1"/>
      <c r="AF470" s="1"/>
      <c r="AW470" s="1"/>
    </row>
    <row r="471" spans="1:49" ht="15.75">
      <c r="A471" s="1"/>
      <c r="L471" s="4"/>
      <c r="T471" s="1"/>
      <c r="Y471" s="1"/>
      <c r="AF471" s="1"/>
      <c r="AW471" s="1"/>
    </row>
    <row r="472" spans="1:49" ht="15.75">
      <c r="A472" s="1"/>
      <c r="L472" s="4"/>
      <c r="T472" s="1"/>
      <c r="Y472" s="1"/>
      <c r="AF472" s="1"/>
      <c r="AW472" s="1"/>
    </row>
    <row r="473" spans="1:49" ht="15.75">
      <c r="A473" s="1"/>
      <c r="L473" s="4"/>
      <c r="T473" s="1"/>
      <c r="Y473" s="1"/>
      <c r="AF473" s="1"/>
      <c r="AW473" s="1"/>
    </row>
    <row r="474" spans="1:49" ht="15.75">
      <c r="A474" s="1"/>
      <c r="L474" s="4"/>
      <c r="T474" s="1"/>
      <c r="Y474" s="1"/>
      <c r="AF474" s="1"/>
      <c r="AW474" s="1"/>
    </row>
    <row r="475" spans="1:49" ht="15.75">
      <c r="A475" s="1"/>
      <c r="L475" s="4"/>
      <c r="T475" s="1"/>
      <c r="Y475" s="1"/>
      <c r="AF475" s="1"/>
      <c r="AW475" s="1"/>
    </row>
    <row r="476" spans="1:49" ht="15.75">
      <c r="A476" s="1"/>
      <c r="L476" s="4"/>
      <c r="T476" s="1"/>
      <c r="Y476" s="1"/>
      <c r="AF476" s="1"/>
      <c r="AW476" s="1"/>
    </row>
    <row r="477" spans="1:49" ht="15.75">
      <c r="A477" s="1"/>
      <c r="L477" s="4"/>
      <c r="T477" s="1"/>
      <c r="Y477" s="1"/>
      <c r="AF477" s="1"/>
      <c r="AW477" s="1"/>
    </row>
    <row r="478" spans="1:49" ht="15.75">
      <c r="A478" s="1"/>
      <c r="L478" s="4"/>
      <c r="T478" s="1"/>
      <c r="Y478" s="1"/>
      <c r="AF478" s="1"/>
      <c r="AW478" s="1"/>
    </row>
    <row r="479" spans="1:49" ht="15.75">
      <c r="A479" s="1"/>
      <c r="L479" s="4"/>
      <c r="T479" s="1"/>
      <c r="Y479" s="1"/>
      <c r="AF479" s="1"/>
      <c r="AW479" s="1"/>
    </row>
    <row r="480" spans="1:49" ht="15.75">
      <c r="A480" s="1"/>
      <c r="L480" s="4"/>
      <c r="T480" s="1"/>
      <c r="Y480" s="1"/>
      <c r="AF480" s="1"/>
      <c r="AW480" s="1"/>
    </row>
    <row r="481" spans="1:49" ht="15.75">
      <c r="A481" s="1"/>
      <c r="L481" s="4"/>
      <c r="T481" s="1"/>
      <c r="Y481" s="1"/>
      <c r="AF481" s="1"/>
      <c r="AW481" s="1"/>
    </row>
    <row r="482" spans="1:49" ht="15.75">
      <c r="A482" s="1"/>
      <c r="L482" s="4"/>
      <c r="T482" s="1"/>
      <c r="Y482" s="1"/>
      <c r="AF482" s="1"/>
      <c r="AW482" s="1"/>
    </row>
    <row r="483" spans="1:49" ht="15.75">
      <c r="A483" s="1"/>
      <c r="L483" s="4"/>
      <c r="T483" s="1"/>
      <c r="Y483" s="1"/>
      <c r="AF483" s="1"/>
      <c r="AW483" s="1"/>
    </row>
    <row r="484" spans="1:49" ht="15.75">
      <c r="A484" s="1"/>
      <c r="L484" s="4"/>
      <c r="T484" s="1"/>
      <c r="Y484" s="1"/>
      <c r="AF484" s="1"/>
      <c r="AW484" s="1"/>
    </row>
    <row r="485" spans="1:49" ht="15.75">
      <c r="A485" s="1"/>
      <c r="L485" s="4"/>
      <c r="T485" s="1"/>
      <c r="Y485" s="1"/>
      <c r="AF485" s="1"/>
      <c r="AW485" s="1"/>
    </row>
    <row r="486" spans="1:49" ht="15.75">
      <c r="A486" s="1"/>
      <c r="L486" s="4"/>
      <c r="T486" s="1"/>
      <c r="Y486" s="1"/>
      <c r="AF486" s="1"/>
      <c r="AW486" s="1"/>
    </row>
    <row r="487" spans="1:49" ht="15.75">
      <c r="A487" s="1"/>
      <c r="L487" s="4"/>
      <c r="T487" s="1"/>
      <c r="Y487" s="1"/>
      <c r="AF487" s="1"/>
      <c r="AW487" s="1"/>
    </row>
    <row r="488" spans="1:49" ht="15.75">
      <c r="A488" s="1"/>
      <c r="L488" s="4"/>
      <c r="T488" s="1"/>
      <c r="Y488" s="1"/>
      <c r="AF488" s="1"/>
      <c r="AW488" s="1"/>
    </row>
    <row r="489" spans="1:49" ht="15.75">
      <c r="A489" s="1"/>
      <c r="L489" s="4"/>
      <c r="T489" s="1"/>
      <c r="Y489" s="1"/>
      <c r="AF489" s="1"/>
      <c r="AW489" s="1"/>
    </row>
    <row r="490" spans="1:49" ht="15.75">
      <c r="A490" s="1"/>
      <c r="L490" s="4"/>
      <c r="T490" s="1"/>
      <c r="Y490" s="1"/>
      <c r="AF490" s="1"/>
      <c r="AW490" s="1"/>
    </row>
    <row r="491" spans="1:49" ht="15.75">
      <c r="A491" s="1"/>
      <c r="L491" s="4"/>
      <c r="T491" s="1"/>
      <c r="Y491" s="1"/>
      <c r="AF491" s="1"/>
      <c r="AW491" s="1"/>
    </row>
    <row r="492" spans="1:49" ht="15.75">
      <c r="A492" s="1"/>
      <c r="L492" s="4"/>
      <c r="T492" s="1"/>
      <c r="Y492" s="1"/>
      <c r="AF492" s="1"/>
      <c r="AW492" s="1"/>
    </row>
    <row r="493" spans="1:49" ht="15.75">
      <c r="A493" s="1"/>
      <c r="L493" s="4"/>
      <c r="T493" s="1"/>
      <c r="Y493" s="1"/>
      <c r="AF493" s="1"/>
      <c r="AW493" s="1"/>
    </row>
    <row r="494" spans="1:49" ht="15.75">
      <c r="A494" s="1"/>
      <c r="L494" s="4"/>
      <c r="T494" s="1"/>
      <c r="Y494" s="1"/>
      <c r="AF494" s="1"/>
      <c r="AW494" s="1"/>
    </row>
    <row r="495" spans="1:49" ht="15.75">
      <c r="A495" s="1"/>
      <c r="L495" s="4"/>
      <c r="T495" s="1"/>
      <c r="Y495" s="1"/>
      <c r="AF495" s="1"/>
      <c r="AW495" s="1"/>
    </row>
    <row r="496" spans="1:49" ht="15.75">
      <c r="A496" s="1"/>
      <c r="L496" s="4"/>
      <c r="T496" s="1"/>
      <c r="Y496" s="1"/>
      <c r="AF496" s="1"/>
      <c r="AW496" s="1"/>
    </row>
    <row r="497" spans="1:49" ht="15.75">
      <c r="A497" s="1"/>
      <c r="L497" s="4"/>
      <c r="T497" s="1"/>
      <c r="Y497" s="1"/>
      <c r="AF497" s="1"/>
      <c r="AW497" s="1"/>
    </row>
    <row r="498" spans="1:49" ht="15.75">
      <c r="A498" s="1"/>
      <c r="L498" s="4"/>
      <c r="T498" s="1"/>
      <c r="Y498" s="1"/>
      <c r="AF498" s="1"/>
      <c r="AW498" s="1"/>
    </row>
    <row r="499" spans="1:49" ht="15.75">
      <c r="A499" s="1"/>
      <c r="L499" s="4"/>
      <c r="T499" s="1"/>
      <c r="Y499" s="1"/>
      <c r="AF499" s="1"/>
      <c r="AW499" s="1"/>
    </row>
    <row r="500" spans="1:49" ht="15.75">
      <c r="A500" s="1"/>
      <c r="L500" s="4"/>
      <c r="T500" s="1"/>
      <c r="Y500" s="1"/>
      <c r="AF500" s="1"/>
      <c r="AW500" s="1"/>
    </row>
    <row r="501" spans="1:49" ht="15.75">
      <c r="A501" s="1"/>
      <c r="L501" s="4"/>
      <c r="T501" s="1"/>
      <c r="Y501" s="1"/>
      <c r="AF501" s="1"/>
      <c r="AW501" s="1"/>
    </row>
    <row r="502" spans="1:49" ht="15.75">
      <c r="A502" s="1"/>
      <c r="L502" s="4"/>
      <c r="T502" s="1"/>
      <c r="Y502" s="1"/>
      <c r="AF502" s="1"/>
      <c r="AW502" s="1"/>
    </row>
    <row r="503" spans="1:49" ht="15.75">
      <c r="A503" s="1"/>
      <c r="L503" s="4"/>
      <c r="T503" s="1"/>
      <c r="Y503" s="1"/>
      <c r="AF503" s="1"/>
      <c r="AW503" s="1"/>
    </row>
    <row r="504" spans="1:49" ht="15.75">
      <c r="A504" s="1"/>
      <c r="L504" s="4"/>
      <c r="T504" s="1"/>
      <c r="Y504" s="1"/>
      <c r="AF504" s="1"/>
      <c r="AW504" s="1"/>
    </row>
    <row r="505" spans="1:49" ht="15.75">
      <c r="A505" s="1"/>
      <c r="L505" s="4"/>
      <c r="T505" s="1"/>
      <c r="Y505" s="1"/>
      <c r="AF505" s="1"/>
      <c r="AW505" s="1"/>
    </row>
    <row r="506" spans="1:49" ht="15.75">
      <c r="A506" s="1"/>
      <c r="L506" s="4"/>
      <c r="T506" s="1"/>
      <c r="Y506" s="1"/>
      <c r="AF506" s="1"/>
      <c r="AW506" s="1"/>
    </row>
    <row r="507" spans="1:49" ht="15.75">
      <c r="A507" s="1"/>
      <c r="L507" s="4"/>
      <c r="T507" s="1"/>
      <c r="Y507" s="1"/>
      <c r="AF507" s="1"/>
      <c r="AW507" s="1"/>
    </row>
    <row r="508" spans="1:49" ht="15.75">
      <c r="A508" s="1"/>
      <c r="L508" s="4"/>
      <c r="T508" s="1"/>
      <c r="Y508" s="1"/>
      <c r="AF508" s="1"/>
      <c r="AW508" s="1"/>
    </row>
    <row r="509" spans="1:49" ht="15.75">
      <c r="A509" s="1"/>
      <c r="L509" s="4"/>
      <c r="T509" s="1"/>
      <c r="Y509" s="1"/>
      <c r="AF509" s="1"/>
      <c r="AW509" s="1"/>
    </row>
    <row r="510" spans="1:49" ht="15.75">
      <c r="A510" s="1"/>
      <c r="L510" s="4"/>
      <c r="T510" s="1"/>
      <c r="Y510" s="1"/>
      <c r="AF510" s="1"/>
      <c r="AW510" s="1"/>
    </row>
    <row r="511" spans="1:49" ht="15.75">
      <c r="A511" s="1"/>
      <c r="L511" s="4"/>
      <c r="T511" s="1"/>
      <c r="Y511" s="1"/>
      <c r="AF511" s="1"/>
      <c r="AW511" s="1"/>
    </row>
    <row r="512" spans="1:49" ht="15.75">
      <c r="A512" s="1"/>
      <c r="L512" s="4"/>
      <c r="T512" s="1"/>
      <c r="Y512" s="1"/>
      <c r="AF512" s="1"/>
      <c r="AW512" s="1"/>
    </row>
    <row r="513" spans="1:49" ht="15.75">
      <c r="A513" s="1"/>
      <c r="L513" s="4"/>
      <c r="T513" s="1"/>
      <c r="Y513" s="1"/>
      <c r="AF513" s="1"/>
      <c r="AW513" s="1"/>
    </row>
    <row r="514" spans="1:49" ht="15.75">
      <c r="A514" s="1"/>
      <c r="L514" s="4"/>
      <c r="T514" s="1"/>
      <c r="Y514" s="1"/>
      <c r="AF514" s="1"/>
      <c r="AW514" s="1"/>
    </row>
    <row r="515" spans="1:49" ht="15.75">
      <c r="A515" s="1"/>
      <c r="L515" s="4"/>
      <c r="T515" s="1"/>
      <c r="Y515" s="1"/>
      <c r="AF515" s="1"/>
      <c r="AW515" s="1"/>
    </row>
    <row r="516" spans="1:49" ht="15.75">
      <c r="A516" s="1"/>
      <c r="L516" s="4"/>
      <c r="T516" s="1"/>
      <c r="Y516" s="1"/>
      <c r="AF516" s="1"/>
      <c r="AW516" s="1"/>
    </row>
    <row r="517" spans="1:49" ht="15.75">
      <c r="A517" s="1"/>
      <c r="L517" s="4"/>
      <c r="T517" s="1"/>
      <c r="Y517" s="1"/>
      <c r="AF517" s="1"/>
      <c r="AW517" s="1"/>
    </row>
    <row r="518" spans="1:49" ht="15.75">
      <c r="A518" s="1"/>
      <c r="L518" s="4"/>
      <c r="T518" s="1"/>
      <c r="Y518" s="1"/>
      <c r="AF518" s="1"/>
      <c r="AW518" s="1"/>
    </row>
    <row r="519" spans="1:49" ht="15.75">
      <c r="A519" s="1"/>
      <c r="L519" s="4"/>
      <c r="T519" s="1"/>
      <c r="Y519" s="1"/>
      <c r="AF519" s="1"/>
      <c r="AW519" s="1"/>
    </row>
    <row r="520" spans="1:49" ht="15.75">
      <c r="A520" s="1"/>
      <c r="L520" s="4"/>
      <c r="T520" s="1"/>
      <c r="Y520" s="1"/>
      <c r="AF520" s="1"/>
      <c r="AW520" s="1"/>
    </row>
    <row r="521" spans="1:49" ht="15.75">
      <c r="A521" s="1"/>
      <c r="L521" s="4"/>
      <c r="T521" s="1"/>
      <c r="Y521" s="1"/>
      <c r="AF521" s="1"/>
      <c r="AW521" s="1"/>
    </row>
    <row r="522" spans="1:49" ht="15.75">
      <c r="A522" s="1"/>
      <c r="L522" s="4"/>
      <c r="T522" s="1"/>
      <c r="Y522" s="1"/>
      <c r="AF522" s="1"/>
      <c r="AW522" s="1"/>
    </row>
    <row r="523" spans="1:49" ht="15.75">
      <c r="A523" s="1"/>
      <c r="L523" s="4"/>
      <c r="T523" s="1"/>
      <c r="Y523" s="1"/>
      <c r="AF523" s="1"/>
      <c r="AW523" s="1"/>
    </row>
    <row r="524" spans="1:49" ht="15.75">
      <c r="A524" s="1"/>
      <c r="L524" s="4"/>
      <c r="T524" s="1"/>
      <c r="Y524" s="1"/>
      <c r="AF524" s="1"/>
      <c r="AW524" s="1"/>
    </row>
    <row r="525" spans="1:49" ht="15.75">
      <c r="A525" s="1"/>
      <c r="L525" s="4"/>
      <c r="T525" s="1"/>
      <c r="Y525" s="1"/>
      <c r="AF525" s="1"/>
      <c r="AW525" s="1"/>
    </row>
    <row r="526" spans="1:49" ht="15.75">
      <c r="A526" s="1"/>
      <c r="L526" s="4"/>
      <c r="T526" s="1"/>
      <c r="Y526" s="1"/>
      <c r="AF526" s="1"/>
      <c r="AW526" s="1"/>
    </row>
    <row r="527" spans="1:49" ht="15.75">
      <c r="A527" s="1"/>
      <c r="L527" s="4"/>
      <c r="T527" s="1"/>
      <c r="Y527" s="1"/>
      <c r="AF527" s="1"/>
      <c r="AW527" s="1"/>
    </row>
    <row r="528" spans="1:49" ht="15.75">
      <c r="A528" s="1"/>
      <c r="L528" s="4"/>
      <c r="T528" s="1"/>
      <c r="Y528" s="1"/>
      <c r="AF528" s="1"/>
      <c r="AW528" s="1"/>
    </row>
    <row r="529" spans="1:49" ht="15.75">
      <c r="A529" s="1"/>
      <c r="L529" s="4"/>
      <c r="T529" s="1"/>
      <c r="Y529" s="1"/>
      <c r="AF529" s="1"/>
      <c r="AW529" s="1"/>
    </row>
    <row r="530" spans="1:49" ht="15.75">
      <c r="A530" s="1"/>
      <c r="L530" s="4"/>
      <c r="T530" s="1"/>
      <c r="Y530" s="1"/>
      <c r="AF530" s="1"/>
      <c r="AW530" s="1"/>
    </row>
    <row r="531" spans="1:49" ht="15.75">
      <c r="A531" s="1"/>
      <c r="L531" s="4"/>
      <c r="T531" s="1"/>
      <c r="Y531" s="1"/>
      <c r="AF531" s="1"/>
      <c r="AW531" s="1"/>
    </row>
    <row r="532" spans="1:49" ht="15.75">
      <c r="A532" s="1"/>
      <c r="L532" s="4"/>
      <c r="T532" s="1"/>
      <c r="Y532" s="1"/>
      <c r="AF532" s="1"/>
      <c r="AW532" s="1"/>
    </row>
    <row r="533" spans="1:49" ht="15.75">
      <c r="A533" s="1"/>
      <c r="L533" s="4"/>
      <c r="T533" s="1"/>
      <c r="Y533" s="1"/>
      <c r="AF533" s="1"/>
      <c r="AW533" s="1"/>
    </row>
    <row r="534" spans="1:49" ht="15.75">
      <c r="A534" s="1"/>
      <c r="L534" s="4"/>
      <c r="T534" s="1"/>
      <c r="Y534" s="1"/>
      <c r="AF534" s="1"/>
      <c r="AW534" s="1"/>
    </row>
    <row r="535" spans="1:49" ht="15.75">
      <c r="A535" s="1"/>
      <c r="L535" s="4"/>
      <c r="T535" s="1"/>
      <c r="Y535" s="1"/>
      <c r="AF535" s="1"/>
      <c r="AW535" s="1"/>
    </row>
    <row r="536" spans="1:49" ht="15.75">
      <c r="A536" s="1"/>
      <c r="L536" s="4"/>
      <c r="T536" s="1"/>
      <c r="Y536" s="1"/>
      <c r="AF536" s="1"/>
      <c r="AW536" s="1"/>
    </row>
    <row r="537" spans="1:49" ht="15.75">
      <c r="A537" s="1"/>
      <c r="L537" s="4"/>
      <c r="T537" s="1"/>
      <c r="Y537" s="1"/>
      <c r="AF537" s="1"/>
      <c r="AW537" s="1"/>
    </row>
    <row r="538" spans="1:49" ht="15.75">
      <c r="A538" s="1"/>
      <c r="L538" s="4"/>
      <c r="T538" s="1"/>
      <c r="Y538" s="1"/>
      <c r="AF538" s="1"/>
      <c r="AW538" s="1"/>
    </row>
    <row r="539" spans="1:49" ht="15.75">
      <c r="A539" s="1"/>
      <c r="L539" s="4"/>
      <c r="T539" s="1"/>
      <c r="Y539" s="1"/>
      <c r="AF539" s="1"/>
      <c r="AW539" s="1"/>
    </row>
    <row r="540" spans="1:49" ht="15.75">
      <c r="A540" s="1"/>
      <c r="L540" s="4"/>
      <c r="T540" s="1"/>
      <c r="Y540" s="1"/>
      <c r="AF540" s="1"/>
      <c r="AW540" s="1"/>
    </row>
    <row r="541" spans="1:49" ht="15.75">
      <c r="A541" s="1"/>
      <c r="L541" s="4"/>
      <c r="T541" s="1"/>
      <c r="Y541" s="1"/>
      <c r="AF541" s="1"/>
      <c r="AW541" s="1"/>
    </row>
    <row r="542" spans="1:49" ht="15.75">
      <c r="A542" s="1"/>
      <c r="L542" s="4"/>
      <c r="T542" s="1"/>
      <c r="Y542" s="1"/>
      <c r="AF542" s="1"/>
      <c r="AW542" s="1"/>
    </row>
    <row r="543" spans="1:49" ht="15.75">
      <c r="A543" s="1"/>
      <c r="L543" s="4"/>
      <c r="T543" s="1"/>
      <c r="Y543" s="1"/>
      <c r="AF543" s="1"/>
      <c r="AW543" s="1"/>
    </row>
    <row r="544" spans="1:49" ht="15.75">
      <c r="A544" s="1"/>
      <c r="L544" s="4"/>
      <c r="T544" s="1"/>
      <c r="Y544" s="1"/>
      <c r="AF544" s="1"/>
      <c r="AW544" s="1"/>
    </row>
    <row r="545" spans="1:49" ht="15.75">
      <c r="A545" s="1"/>
      <c r="L545" s="4"/>
      <c r="T545" s="1"/>
      <c r="Y545" s="1"/>
      <c r="AF545" s="1"/>
      <c r="AW545" s="1"/>
    </row>
    <row r="546" spans="1:49" ht="15.75">
      <c r="A546" s="1"/>
      <c r="L546" s="4"/>
      <c r="T546" s="1"/>
      <c r="Y546" s="1"/>
      <c r="AF546" s="1"/>
      <c r="AW546" s="1"/>
    </row>
    <row r="547" spans="1:49" ht="15.75">
      <c r="A547" s="1"/>
      <c r="L547" s="4"/>
      <c r="T547" s="1"/>
      <c r="Y547" s="1"/>
      <c r="AF547" s="1"/>
      <c r="AW547" s="1"/>
    </row>
    <row r="548" spans="1:49" ht="15.75">
      <c r="A548" s="1"/>
      <c r="L548" s="4"/>
      <c r="T548" s="1"/>
      <c r="Y548" s="1"/>
      <c r="AF548" s="1"/>
      <c r="AW548" s="1"/>
    </row>
    <row r="549" spans="1:49" ht="15.75">
      <c r="A549" s="1"/>
      <c r="L549" s="4"/>
      <c r="T549" s="1"/>
      <c r="Y549" s="1"/>
      <c r="AF549" s="1"/>
      <c r="AW549" s="1"/>
    </row>
    <row r="550" spans="1:49" ht="15.75">
      <c r="A550" s="1"/>
      <c r="L550" s="4"/>
      <c r="T550" s="1"/>
      <c r="Y550" s="1"/>
      <c r="AF550" s="1"/>
      <c r="AW550" s="1"/>
    </row>
    <row r="551" spans="1:49" ht="15.75">
      <c r="A551" s="1"/>
      <c r="L551" s="4"/>
      <c r="T551" s="1"/>
      <c r="Y551" s="1"/>
      <c r="AF551" s="1"/>
      <c r="AW551" s="1"/>
    </row>
    <row r="552" spans="1:49" ht="15.75">
      <c r="A552" s="1"/>
      <c r="L552" s="4"/>
      <c r="T552" s="1"/>
      <c r="Y552" s="1"/>
      <c r="AF552" s="1"/>
      <c r="AW552" s="1"/>
    </row>
    <row r="553" spans="1:49" ht="15.75">
      <c r="A553" s="1"/>
      <c r="L553" s="4"/>
      <c r="T553" s="1"/>
      <c r="Y553" s="1"/>
      <c r="AF553" s="1"/>
      <c r="AW553" s="1"/>
    </row>
    <row r="554" spans="1:49" ht="15.75">
      <c r="A554" s="1"/>
      <c r="L554" s="4"/>
      <c r="T554" s="1"/>
      <c r="Y554" s="1"/>
      <c r="AF554" s="1"/>
      <c r="AW554" s="1"/>
    </row>
    <row r="555" spans="1:49" ht="15.75">
      <c r="A555" s="1"/>
      <c r="L555" s="4"/>
      <c r="T555" s="1"/>
      <c r="Y555" s="1"/>
      <c r="AF555" s="1"/>
      <c r="AW555" s="1"/>
    </row>
    <row r="556" spans="1:49" ht="15.75">
      <c r="A556" s="1"/>
      <c r="L556" s="4"/>
      <c r="T556" s="1"/>
      <c r="Y556" s="1"/>
      <c r="AF556" s="1"/>
      <c r="AW556" s="1"/>
    </row>
    <row r="557" spans="1:49" ht="15.75">
      <c r="A557" s="1"/>
      <c r="L557" s="4"/>
      <c r="T557" s="1"/>
      <c r="Y557" s="1"/>
      <c r="AF557" s="1"/>
      <c r="AW557" s="1"/>
    </row>
    <row r="558" spans="1:49" ht="15.75">
      <c r="A558" s="1"/>
      <c r="L558" s="4"/>
      <c r="T558" s="1"/>
      <c r="Y558" s="1"/>
      <c r="AF558" s="1"/>
      <c r="AW558" s="1"/>
    </row>
    <row r="559" spans="1:49" ht="15.75">
      <c r="A559" s="1"/>
      <c r="L559" s="4"/>
      <c r="T559" s="1"/>
      <c r="Y559" s="1"/>
      <c r="AF559" s="1"/>
      <c r="AW559" s="1"/>
    </row>
    <row r="560" spans="1:49" ht="15.75">
      <c r="A560" s="1"/>
      <c r="L560" s="4"/>
      <c r="T560" s="1"/>
      <c r="Y560" s="1"/>
      <c r="AF560" s="1"/>
      <c r="AW560" s="1"/>
    </row>
    <row r="561" spans="1:49" ht="15.75">
      <c r="A561" s="1"/>
      <c r="L561" s="4"/>
      <c r="T561" s="1"/>
      <c r="Y561" s="1"/>
      <c r="AF561" s="1"/>
      <c r="AW561" s="1"/>
    </row>
    <row r="562" spans="1:49" ht="15.75">
      <c r="A562" s="1"/>
      <c r="L562" s="4"/>
      <c r="T562" s="1"/>
      <c r="Y562" s="1"/>
      <c r="AF562" s="1"/>
      <c r="AW562" s="1"/>
    </row>
    <row r="563" spans="1:49" ht="15.75">
      <c r="A563" s="1"/>
      <c r="L563" s="4"/>
      <c r="T563" s="1"/>
      <c r="Y563" s="1"/>
      <c r="AF563" s="1"/>
      <c r="AW563" s="1"/>
    </row>
    <row r="564" spans="1:49" ht="15.75">
      <c r="A564" s="1"/>
      <c r="L564" s="4"/>
      <c r="T564" s="1"/>
      <c r="Y564" s="1"/>
      <c r="AF564" s="1"/>
      <c r="AW564" s="1"/>
    </row>
    <row r="565" spans="1:49" ht="15.75">
      <c r="A565" s="1"/>
      <c r="L565" s="4"/>
      <c r="T565" s="1"/>
      <c r="Y565" s="1"/>
      <c r="AF565" s="1"/>
      <c r="AW565" s="1"/>
    </row>
    <row r="566" spans="1:49" ht="15.75">
      <c r="A566" s="1"/>
      <c r="L566" s="4"/>
      <c r="T566" s="1"/>
      <c r="Y566" s="1"/>
      <c r="AF566" s="1"/>
      <c r="AW566" s="1"/>
    </row>
    <row r="567" spans="1:49" ht="15.75">
      <c r="A567" s="1"/>
      <c r="L567" s="4"/>
      <c r="T567" s="1"/>
      <c r="Y567" s="1"/>
      <c r="AF567" s="1"/>
      <c r="AW567" s="1"/>
    </row>
    <row r="568" spans="1:49" ht="15.75">
      <c r="A568" s="1"/>
      <c r="L568" s="4"/>
      <c r="T568" s="1"/>
      <c r="Y568" s="1"/>
      <c r="AF568" s="1"/>
      <c r="AW568" s="1"/>
    </row>
    <row r="569" spans="1:49" ht="15.75">
      <c r="A569" s="1"/>
      <c r="L569" s="4"/>
      <c r="T569" s="1"/>
      <c r="Y569" s="1"/>
      <c r="AF569" s="1"/>
      <c r="AW569" s="1"/>
    </row>
    <row r="570" spans="1:49" ht="15.75">
      <c r="A570" s="1"/>
      <c r="L570" s="4"/>
      <c r="T570" s="1"/>
      <c r="Y570" s="1"/>
      <c r="AF570" s="1"/>
      <c r="AW570" s="1"/>
    </row>
    <row r="571" spans="1:49" ht="15.75">
      <c r="A571" s="1"/>
      <c r="L571" s="4"/>
      <c r="T571" s="1"/>
      <c r="Y571" s="1"/>
      <c r="AF571" s="1"/>
      <c r="AW571" s="1"/>
    </row>
    <row r="572" spans="1:49" ht="15.75">
      <c r="A572" s="1"/>
      <c r="L572" s="4"/>
      <c r="T572" s="1"/>
      <c r="Y572" s="1"/>
      <c r="AF572" s="1"/>
      <c r="AW572" s="1"/>
    </row>
    <row r="573" spans="1:49" ht="15.75">
      <c r="A573" s="1"/>
      <c r="L573" s="4"/>
      <c r="T573" s="1"/>
      <c r="Y573" s="1"/>
      <c r="AF573" s="1"/>
      <c r="AW573" s="1"/>
    </row>
    <row r="574" spans="1:49" ht="15.75">
      <c r="A574" s="1"/>
      <c r="L574" s="4"/>
      <c r="T574" s="1"/>
      <c r="Y574" s="1"/>
      <c r="AF574" s="1"/>
      <c r="AW574" s="1"/>
    </row>
    <row r="575" spans="1:49" ht="15.75">
      <c r="A575" s="1"/>
      <c r="L575" s="4"/>
      <c r="T575" s="1"/>
      <c r="Y575" s="1"/>
      <c r="AF575" s="1"/>
      <c r="AW575" s="1"/>
    </row>
    <row r="576" spans="1:49" ht="15.75">
      <c r="A576" s="1"/>
      <c r="L576" s="4"/>
      <c r="T576" s="1"/>
      <c r="Y576" s="1"/>
      <c r="AF576" s="1"/>
      <c r="AW576" s="1"/>
    </row>
    <row r="577" spans="1:49" ht="15.75">
      <c r="A577" s="1"/>
      <c r="L577" s="4"/>
      <c r="T577" s="1"/>
      <c r="Y577" s="1"/>
      <c r="AF577" s="1"/>
      <c r="AW577" s="1"/>
    </row>
    <row r="578" spans="1:49" ht="15.75">
      <c r="A578" s="1"/>
      <c r="L578" s="4"/>
      <c r="T578" s="1"/>
      <c r="Y578" s="1"/>
      <c r="AF578" s="1"/>
      <c r="AW578" s="1"/>
    </row>
    <row r="579" spans="1:49" ht="15.75">
      <c r="A579" s="1"/>
      <c r="L579" s="4"/>
      <c r="T579" s="1"/>
      <c r="Y579" s="1"/>
      <c r="AF579" s="1"/>
      <c r="AW579" s="1"/>
    </row>
    <row r="580" spans="1:49" ht="15.75">
      <c r="A580" s="1"/>
      <c r="L580" s="4"/>
      <c r="T580" s="1"/>
      <c r="Y580" s="1"/>
      <c r="AF580" s="1"/>
      <c r="AW580" s="1"/>
    </row>
    <row r="581" spans="1:49" ht="15.75">
      <c r="A581" s="1"/>
      <c r="L581" s="4"/>
      <c r="T581" s="1"/>
      <c r="Y581" s="1"/>
      <c r="AF581" s="1"/>
      <c r="AW581" s="1"/>
    </row>
    <row r="582" spans="1:49" ht="15.75">
      <c r="A582" s="1"/>
      <c r="L582" s="4"/>
      <c r="T582" s="1"/>
      <c r="Y582" s="1"/>
      <c r="AF582" s="1"/>
      <c r="AW582" s="1"/>
    </row>
    <row r="583" spans="1:49" ht="15.75">
      <c r="A583" s="1"/>
      <c r="L583" s="4"/>
      <c r="T583" s="1"/>
      <c r="Y583" s="1"/>
      <c r="AF583" s="1"/>
      <c r="AW583" s="1"/>
    </row>
    <row r="584" spans="1:49" ht="15.75">
      <c r="A584" s="1"/>
      <c r="L584" s="4"/>
      <c r="T584" s="1"/>
      <c r="Y584" s="1"/>
      <c r="AF584" s="1"/>
      <c r="AW584" s="1"/>
    </row>
    <row r="585" spans="1:49" ht="15.75">
      <c r="A585" s="1"/>
      <c r="L585" s="4"/>
      <c r="T585" s="1"/>
      <c r="Y585" s="1"/>
      <c r="AF585" s="1"/>
      <c r="AW585" s="1"/>
    </row>
    <row r="586" spans="1:49" ht="15.75">
      <c r="A586" s="1"/>
      <c r="L586" s="4"/>
      <c r="T586" s="1"/>
      <c r="Y586" s="1"/>
      <c r="AF586" s="1"/>
      <c r="AW586" s="1"/>
    </row>
    <row r="587" spans="1:49" ht="15.75">
      <c r="A587" s="1"/>
      <c r="L587" s="4"/>
      <c r="T587" s="1"/>
      <c r="Y587" s="1"/>
      <c r="AF587" s="1"/>
      <c r="AW587" s="1"/>
    </row>
    <row r="588" spans="1:49" ht="15.75">
      <c r="A588" s="1"/>
      <c r="L588" s="4"/>
      <c r="T588" s="1"/>
      <c r="Y588" s="1"/>
      <c r="AF588" s="1"/>
      <c r="AW588" s="1"/>
    </row>
    <row r="589" spans="1:49" ht="15.75">
      <c r="A589" s="1"/>
      <c r="L589" s="4"/>
      <c r="T589" s="1"/>
      <c r="Y589" s="1"/>
      <c r="AF589" s="1"/>
      <c r="AW589" s="1"/>
    </row>
    <row r="590" spans="1:49" ht="15.75">
      <c r="A590" s="1"/>
      <c r="L590" s="4"/>
      <c r="T590" s="1"/>
      <c r="Y590" s="1"/>
      <c r="AF590" s="1"/>
      <c r="AW590" s="1"/>
    </row>
    <row r="591" spans="1:49" ht="15.75">
      <c r="A591" s="1"/>
      <c r="L591" s="4"/>
      <c r="T591" s="1"/>
      <c r="Y591" s="1"/>
      <c r="AF591" s="1"/>
      <c r="AW591" s="1"/>
    </row>
    <row r="592" spans="1:49" ht="15.75">
      <c r="A592" s="1"/>
      <c r="L592" s="4"/>
      <c r="T592" s="1"/>
      <c r="Y592" s="1"/>
      <c r="AF592" s="1"/>
      <c r="AW592" s="1"/>
    </row>
    <row r="593" spans="1:49" ht="15.75">
      <c r="A593" s="1"/>
      <c r="L593" s="4"/>
      <c r="T593" s="1"/>
      <c r="Y593" s="1"/>
      <c r="AF593" s="1"/>
      <c r="AW593" s="1"/>
    </row>
    <row r="594" spans="1:49" ht="15.75">
      <c r="A594" s="1"/>
      <c r="L594" s="4"/>
      <c r="T594" s="1"/>
      <c r="Y594" s="1"/>
      <c r="AF594" s="1"/>
      <c r="AW594" s="1"/>
    </row>
    <row r="595" spans="1:49" ht="15.75">
      <c r="A595" s="1"/>
      <c r="L595" s="4"/>
      <c r="T595" s="1"/>
      <c r="Y595" s="1"/>
      <c r="AF595" s="1"/>
      <c r="AW595" s="1"/>
    </row>
    <row r="596" spans="1:49" ht="15.75">
      <c r="A596" s="1"/>
      <c r="L596" s="4"/>
      <c r="T596" s="1"/>
      <c r="Y596" s="1"/>
      <c r="AF596" s="1"/>
      <c r="AW596" s="1"/>
    </row>
    <row r="597" spans="1:49" ht="15.75">
      <c r="A597" s="1"/>
      <c r="L597" s="4"/>
      <c r="T597" s="1"/>
      <c r="Y597" s="1"/>
      <c r="AF597" s="1"/>
      <c r="AW597" s="1"/>
    </row>
    <row r="598" spans="1:49" ht="15.75">
      <c r="A598" s="1"/>
      <c r="L598" s="4"/>
      <c r="T598" s="1"/>
      <c r="Y598" s="1"/>
      <c r="AF598" s="1"/>
      <c r="AW598" s="1"/>
    </row>
    <row r="599" spans="1:49" ht="15.75">
      <c r="A599" s="1"/>
      <c r="L599" s="4"/>
      <c r="T599" s="1"/>
      <c r="Y599" s="1"/>
      <c r="AF599" s="1"/>
      <c r="AW599" s="1"/>
    </row>
    <row r="600" spans="1:49" ht="15.75">
      <c r="A600" s="1"/>
      <c r="L600" s="4"/>
      <c r="T600" s="1"/>
      <c r="Y600" s="1"/>
      <c r="AF600" s="1"/>
      <c r="AW600" s="1"/>
    </row>
    <row r="601" spans="1:49" ht="15.75">
      <c r="A601" s="1"/>
      <c r="L601" s="4"/>
      <c r="T601" s="1"/>
      <c r="Y601" s="1"/>
      <c r="AF601" s="1"/>
      <c r="AW601" s="1"/>
    </row>
    <row r="602" spans="1:49" ht="15.75">
      <c r="A602" s="1"/>
      <c r="L602" s="4"/>
      <c r="T602" s="1"/>
      <c r="Y602" s="1"/>
      <c r="AF602" s="1"/>
      <c r="AW602" s="1"/>
    </row>
    <row r="603" spans="1:49" ht="15.75">
      <c r="A603" s="1"/>
      <c r="L603" s="4"/>
      <c r="T603" s="1"/>
      <c r="Y603" s="1"/>
      <c r="AF603" s="1"/>
      <c r="AW603" s="1"/>
    </row>
    <row r="604" spans="1:49" ht="15.75">
      <c r="A604" s="1"/>
      <c r="L604" s="4"/>
      <c r="T604" s="1"/>
      <c r="Y604" s="1"/>
      <c r="AF604" s="1"/>
      <c r="AW604" s="1"/>
    </row>
    <row r="605" spans="1:49" ht="15.75">
      <c r="A605" s="1"/>
      <c r="L605" s="4"/>
      <c r="T605" s="1"/>
      <c r="Y605" s="1"/>
      <c r="AF605" s="1"/>
      <c r="AW605" s="1"/>
    </row>
    <row r="606" spans="1:49" ht="15.75">
      <c r="A606" s="1"/>
      <c r="L606" s="4"/>
      <c r="T606" s="1"/>
      <c r="Y606" s="1"/>
      <c r="AF606" s="1"/>
      <c r="AW606" s="1"/>
    </row>
    <row r="607" spans="1:49" ht="15.75">
      <c r="A607" s="1"/>
      <c r="L607" s="4"/>
      <c r="T607" s="1"/>
      <c r="Y607" s="1"/>
      <c r="AF607" s="1"/>
      <c r="AW607" s="1"/>
    </row>
    <row r="608" spans="1:49" ht="15.75">
      <c r="A608" s="1"/>
      <c r="L608" s="4"/>
      <c r="T608" s="1"/>
      <c r="Y608" s="1"/>
      <c r="AF608" s="1"/>
      <c r="AW608" s="1"/>
    </row>
    <row r="609" spans="1:49" ht="15.75">
      <c r="A609" s="1"/>
      <c r="L609" s="4"/>
      <c r="T609" s="1"/>
      <c r="Y609" s="1"/>
      <c r="AF609" s="1"/>
      <c r="AW609" s="1"/>
    </row>
    <row r="610" spans="1:49" ht="15.75">
      <c r="A610" s="1"/>
      <c r="L610" s="4"/>
      <c r="T610" s="1"/>
      <c r="Y610" s="1"/>
      <c r="AF610" s="1"/>
      <c r="AW610" s="1"/>
    </row>
    <row r="611" spans="1:49" ht="15.75">
      <c r="A611" s="1"/>
      <c r="L611" s="4"/>
      <c r="T611" s="1"/>
      <c r="Y611" s="1"/>
      <c r="AF611" s="1"/>
      <c r="AW611" s="1"/>
    </row>
    <row r="612" spans="1:49" ht="15.75">
      <c r="A612" s="1"/>
      <c r="L612" s="4"/>
      <c r="T612" s="1"/>
      <c r="Y612" s="1"/>
      <c r="AF612" s="1"/>
      <c r="AW612" s="1"/>
    </row>
    <row r="613" spans="1:49" ht="15.75">
      <c r="A613" s="1"/>
      <c r="L613" s="4"/>
      <c r="T613" s="1"/>
      <c r="Y613" s="1"/>
      <c r="AF613" s="1"/>
      <c r="AW613" s="1"/>
    </row>
    <row r="614" spans="1:49" ht="15.75">
      <c r="A614" s="1"/>
      <c r="L614" s="4"/>
      <c r="T614" s="1"/>
      <c r="Y614" s="1"/>
      <c r="AF614" s="1"/>
      <c r="AW614" s="1"/>
    </row>
    <row r="615" spans="1:49" ht="15.75">
      <c r="A615" s="1"/>
      <c r="L615" s="4"/>
      <c r="T615" s="1"/>
      <c r="Y615" s="1"/>
      <c r="AF615" s="1"/>
      <c r="AW615" s="1"/>
    </row>
    <row r="616" spans="1:49" ht="15.75">
      <c r="A616" s="1"/>
      <c r="L616" s="4"/>
      <c r="T616" s="1"/>
      <c r="Y616" s="1"/>
      <c r="AF616" s="1"/>
      <c r="AW616" s="1"/>
    </row>
    <row r="617" spans="1:49" ht="15.75">
      <c r="A617" s="1"/>
      <c r="L617" s="4"/>
      <c r="T617" s="1"/>
      <c r="Y617" s="1"/>
      <c r="AF617" s="1"/>
      <c r="AW617" s="1"/>
    </row>
    <row r="618" spans="1:49" ht="15.75">
      <c r="A618" s="1"/>
      <c r="L618" s="4"/>
      <c r="T618" s="1"/>
      <c r="Y618" s="1"/>
      <c r="AF618" s="1"/>
      <c r="AW618" s="1"/>
    </row>
    <row r="619" spans="1:49" ht="15.75">
      <c r="A619" s="1"/>
      <c r="L619" s="4"/>
      <c r="T619" s="1"/>
      <c r="Y619" s="1"/>
      <c r="AF619" s="1"/>
      <c r="AW619" s="1"/>
    </row>
    <row r="620" spans="1:49" ht="15.75">
      <c r="A620" s="1"/>
      <c r="L620" s="4"/>
      <c r="T620" s="1"/>
      <c r="Y620" s="1"/>
      <c r="AF620" s="1"/>
      <c r="AW620" s="1"/>
    </row>
    <row r="621" spans="1:49" ht="15.75">
      <c r="A621" s="1"/>
      <c r="L621" s="4"/>
      <c r="T621" s="1"/>
      <c r="Y621" s="1"/>
      <c r="AF621" s="1"/>
      <c r="AW621" s="1"/>
    </row>
    <row r="622" spans="1:49" ht="15.75">
      <c r="A622" s="1"/>
      <c r="L622" s="4"/>
      <c r="T622" s="1"/>
      <c r="Y622" s="1"/>
      <c r="AF622" s="1"/>
      <c r="AW622" s="1"/>
    </row>
    <row r="623" spans="1:49" ht="15.75">
      <c r="A623" s="1"/>
      <c r="L623" s="4"/>
      <c r="T623" s="1"/>
      <c r="Y623" s="1"/>
      <c r="AF623" s="1"/>
      <c r="AW623" s="1"/>
    </row>
    <row r="624" spans="1:49" ht="15.75">
      <c r="A624" s="1"/>
      <c r="L624" s="4"/>
      <c r="T624" s="1"/>
      <c r="Y624" s="1"/>
      <c r="AF624" s="1"/>
      <c r="AW624" s="1"/>
    </row>
    <row r="625" spans="1:49" ht="15.75">
      <c r="A625" s="1"/>
      <c r="L625" s="4"/>
      <c r="T625" s="1"/>
      <c r="Y625" s="1"/>
      <c r="AF625" s="1"/>
      <c r="AW625" s="1"/>
    </row>
    <row r="626" spans="1:49" ht="15.75">
      <c r="A626" s="1"/>
      <c r="L626" s="4"/>
      <c r="T626" s="1"/>
      <c r="Y626" s="1"/>
      <c r="AF626" s="1"/>
      <c r="AW626" s="1"/>
    </row>
    <row r="627" spans="1:49" ht="15.75">
      <c r="A627" s="1"/>
      <c r="L627" s="4"/>
      <c r="T627" s="1"/>
      <c r="Y627" s="1"/>
      <c r="AF627" s="1"/>
      <c r="AW627" s="1"/>
    </row>
    <row r="628" spans="1:49" ht="15.75">
      <c r="A628" s="1"/>
      <c r="L628" s="4"/>
      <c r="T628" s="1"/>
      <c r="Y628" s="1"/>
      <c r="AF628" s="1"/>
      <c r="AW628" s="1"/>
    </row>
    <row r="629" spans="1:49" ht="15.75">
      <c r="A629" s="1"/>
      <c r="L629" s="4"/>
      <c r="T629" s="1"/>
      <c r="Y629" s="1"/>
      <c r="AF629" s="1"/>
      <c r="AW629" s="1"/>
    </row>
    <row r="630" spans="1:49" ht="15.75">
      <c r="A630" s="1"/>
      <c r="L630" s="4"/>
      <c r="T630" s="1"/>
      <c r="Y630" s="1"/>
      <c r="AF630" s="1"/>
      <c r="AW630" s="1"/>
    </row>
    <row r="631" spans="1:49" ht="15.75">
      <c r="A631" s="1"/>
      <c r="L631" s="4"/>
      <c r="T631" s="1"/>
      <c r="Y631" s="1"/>
      <c r="AF631" s="1"/>
      <c r="AW631" s="1"/>
    </row>
    <row r="632" spans="1:49" ht="15.75">
      <c r="A632" s="1"/>
      <c r="L632" s="4"/>
      <c r="T632" s="1"/>
      <c r="Y632" s="1"/>
      <c r="AF632" s="1"/>
      <c r="AW632" s="1"/>
    </row>
    <row r="633" spans="1:49" ht="15.75">
      <c r="A633" s="1"/>
      <c r="L633" s="4"/>
      <c r="T633" s="1"/>
      <c r="Y633" s="1"/>
      <c r="AF633" s="1"/>
      <c r="AW633" s="1"/>
    </row>
    <row r="634" spans="1:49" ht="15.75">
      <c r="A634" s="1"/>
      <c r="L634" s="4"/>
      <c r="T634" s="1"/>
      <c r="Y634" s="1"/>
      <c r="AF634" s="1"/>
      <c r="AW634" s="1"/>
    </row>
    <row r="635" spans="1:49" ht="15.75">
      <c r="A635" s="1"/>
      <c r="L635" s="4"/>
      <c r="T635" s="1"/>
      <c r="Y635" s="1"/>
      <c r="AF635" s="1"/>
      <c r="AW635" s="1"/>
    </row>
    <row r="636" spans="1:49" ht="15.75">
      <c r="A636" s="1"/>
      <c r="L636" s="4"/>
      <c r="T636" s="1"/>
      <c r="Y636" s="1"/>
      <c r="AF636" s="1"/>
      <c r="AW636" s="1"/>
    </row>
    <row r="637" spans="1:49" ht="15.75">
      <c r="A637" s="1"/>
      <c r="L637" s="4"/>
      <c r="T637" s="1"/>
      <c r="Y637" s="1"/>
      <c r="AF637" s="1"/>
      <c r="AW637" s="1"/>
    </row>
    <row r="638" spans="1:49" ht="15.75">
      <c r="A638" s="1"/>
      <c r="L638" s="4"/>
      <c r="T638" s="1"/>
      <c r="Y638" s="1"/>
      <c r="AF638" s="1"/>
      <c r="AW638" s="1"/>
    </row>
    <row r="639" spans="1:49" ht="15.75">
      <c r="A639" s="1"/>
      <c r="L639" s="4"/>
      <c r="T639" s="1"/>
      <c r="Y639" s="1"/>
      <c r="AF639" s="1"/>
      <c r="AW639" s="1"/>
    </row>
    <row r="640" spans="1:49" ht="15.75">
      <c r="A640" s="1"/>
      <c r="L640" s="4"/>
      <c r="T640" s="1"/>
      <c r="Y640" s="1"/>
      <c r="AF640" s="1"/>
      <c r="AW640" s="1"/>
    </row>
    <row r="641" spans="1:49" ht="15.75">
      <c r="A641" s="1"/>
      <c r="L641" s="4"/>
      <c r="T641" s="1"/>
      <c r="Y641" s="1"/>
      <c r="AF641" s="1"/>
      <c r="AW641" s="1"/>
    </row>
    <row r="642" spans="1:49" ht="15.75">
      <c r="A642" s="1"/>
      <c r="L642" s="4"/>
      <c r="T642" s="1"/>
      <c r="Y642" s="1"/>
      <c r="AF642" s="1"/>
      <c r="AW642" s="1"/>
    </row>
    <row r="643" spans="1:49" ht="15.75">
      <c r="A643" s="1"/>
      <c r="L643" s="4"/>
      <c r="T643" s="1"/>
      <c r="Y643" s="1"/>
      <c r="AF643" s="1"/>
      <c r="AW643" s="1"/>
    </row>
    <row r="644" spans="1:49" ht="15.75">
      <c r="A644" s="1"/>
      <c r="L644" s="4"/>
      <c r="T644" s="1"/>
      <c r="Y644" s="1"/>
      <c r="AF644" s="1"/>
      <c r="AW644" s="1"/>
    </row>
    <row r="645" spans="1:49" ht="15.75">
      <c r="A645" s="1"/>
      <c r="L645" s="4"/>
      <c r="T645" s="1"/>
      <c r="Y645" s="1"/>
      <c r="AF645" s="1"/>
      <c r="AW645" s="1"/>
    </row>
    <row r="646" spans="1:49" ht="15.75">
      <c r="A646" s="1"/>
      <c r="L646" s="4"/>
      <c r="T646" s="1"/>
      <c r="Y646" s="1"/>
      <c r="AF646" s="1"/>
      <c r="AW646" s="1"/>
    </row>
    <row r="647" spans="1:49" ht="15.75">
      <c r="A647" s="1"/>
      <c r="L647" s="4"/>
      <c r="T647" s="1"/>
      <c r="Y647" s="1"/>
      <c r="AF647" s="1"/>
      <c r="AW647" s="1"/>
    </row>
    <row r="648" spans="1:49" ht="15.75">
      <c r="A648" s="1"/>
      <c r="L648" s="4"/>
      <c r="T648" s="1"/>
      <c r="Y648" s="1"/>
      <c r="AF648" s="1"/>
      <c r="AW648" s="1"/>
    </row>
    <row r="649" spans="1:49" ht="15.75">
      <c r="A649" s="1"/>
      <c r="L649" s="4"/>
      <c r="T649" s="1"/>
      <c r="Y649" s="1"/>
      <c r="AF649" s="1"/>
      <c r="AW649" s="1"/>
    </row>
    <row r="650" spans="1:49" ht="15.75">
      <c r="A650" s="1"/>
      <c r="L650" s="4"/>
      <c r="T650" s="1"/>
      <c r="Y650" s="1"/>
      <c r="AF650" s="1"/>
      <c r="AW650" s="1"/>
    </row>
    <row r="651" spans="1:49" ht="15.75">
      <c r="A651" s="1"/>
      <c r="L651" s="4"/>
      <c r="T651" s="1"/>
      <c r="Y651" s="1"/>
      <c r="AF651" s="1"/>
      <c r="AW651" s="1"/>
    </row>
    <row r="652" spans="1:49" ht="15.75">
      <c r="A652" s="1"/>
      <c r="L652" s="4"/>
      <c r="T652" s="1"/>
      <c r="Y652" s="1"/>
      <c r="AF652" s="1"/>
      <c r="AW652" s="1"/>
    </row>
    <row r="653" spans="1:49" ht="15.75">
      <c r="A653" s="1"/>
      <c r="L653" s="4"/>
      <c r="T653" s="1"/>
      <c r="Y653" s="1"/>
      <c r="AF653" s="1"/>
      <c r="AW653" s="1"/>
    </row>
    <row r="654" spans="1:49" ht="15.75">
      <c r="A654" s="1"/>
      <c r="L654" s="4"/>
      <c r="T654" s="1"/>
      <c r="Y654" s="1"/>
      <c r="AF654" s="1"/>
      <c r="AW654" s="1"/>
    </row>
    <row r="655" spans="1:49" ht="15.75">
      <c r="A655" s="1"/>
      <c r="L655" s="4"/>
      <c r="T655" s="1"/>
      <c r="Y655" s="1"/>
      <c r="AF655" s="1"/>
      <c r="AW655" s="1"/>
    </row>
    <row r="656" spans="1:49" ht="15.75">
      <c r="A656" s="1"/>
      <c r="L656" s="4"/>
      <c r="T656" s="1"/>
      <c r="Y656" s="1"/>
      <c r="AF656" s="1"/>
      <c r="AW656" s="1"/>
    </row>
    <row r="657" spans="1:49" ht="15.75">
      <c r="A657" s="1"/>
      <c r="L657" s="4"/>
      <c r="T657" s="1"/>
      <c r="Y657" s="1"/>
      <c r="AF657" s="1"/>
      <c r="AW657" s="1"/>
    </row>
    <row r="658" spans="1:49" ht="15.75">
      <c r="A658" s="1"/>
      <c r="L658" s="4"/>
      <c r="T658" s="1"/>
      <c r="Y658" s="1"/>
      <c r="AF658" s="1"/>
      <c r="AW658" s="1"/>
    </row>
    <row r="659" spans="1:49" ht="15.75">
      <c r="A659" s="1"/>
      <c r="L659" s="4"/>
      <c r="T659" s="1"/>
      <c r="Y659" s="1"/>
      <c r="AF659" s="1"/>
      <c r="AW659" s="1"/>
    </row>
    <row r="660" spans="1:49" ht="15.75">
      <c r="A660" s="1"/>
      <c r="L660" s="4"/>
      <c r="T660" s="1"/>
      <c r="Y660" s="1"/>
      <c r="AF660" s="1"/>
      <c r="AW660" s="1"/>
    </row>
    <row r="661" spans="1:49" ht="15.75">
      <c r="A661" s="1"/>
      <c r="L661" s="4"/>
      <c r="T661" s="1"/>
      <c r="Y661" s="1"/>
      <c r="AF661" s="1"/>
      <c r="AW661" s="1"/>
    </row>
    <row r="662" spans="1:49" ht="15.75">
      <c r="A662" s="1"/>
      <c r="L662" s="4"/>
      <c r="T662" s="1"/>
      <c r="Y662" s="1"/>
      <c r="AF662" s="1"/>
      <c r="AW662" s="1"/>
    </row>
    <row r="663" spans="1:49" ht="15.75">
      <c r="A663" s="1"/>
      <c r="L663" s="4"/>
      <c r="T663" s="1"/>
      <c r="Y663" s="1"/>
      <c r="AF663" s="1"/>
      <c r="AW663" s="1"/>
    </row>
    <row r="664" spans="1:49" ht="15.75">
      <c r="A664" s="1"/>
      <c r="L664" s="4"/>
      <c r="T664" s="1"/>
      <c r="Y664" s="1"/>
      <c r="AF664" s="1"/>
      <c r="AW664" s="1"/>
    </row>
    <row r="665" spans="1:49" ht="15.75">
      <c r="A665" s="1"/>
      <c r="L665" s="4"/>
      <c r="T665" s="1"/>
      <c r="Y665" s="1"/>
      <c r="AF665" s="1"/>
      <c r="AW665" s="1"/>
    </row>
    <row r="666" spans="1:49" ht="15.75">
      <c r="A666" s="1"/>
      <c r="L666" s="4"/>
      <c r="T666" s="1"/>
      <c r="Y666" s="1"/>
      <c r="AF666" s="1"/>
      <c r="AW666" s="1"/>
    </row>
    <row r="667" spans="1:49" ht="15.75">
      <c r="A667" s="1"/>
      <c r="L667" s="4"/>
      <c r="T667" s="1"/>
      <c r="Y667" s="1"/>
      <c r="AF667" s="1"/>
      <c r="AW667" s="1"/>
    </row>
    <row r="668" spans="1:49" ht="15.75">
      <c r="A668" s="1"/>
      <c r="L668" s="4"/>
      <c r="T668" s="1"/>
      <c r="Y668" s="1"/>
      <c r="AF668" s="1"/>
      <c r="AW668" s="1"/>
    </row>
    <row r="669" spans="1:49" ht="15.75">
      <c r="A669" s="1"/>
      <c r="L669" s="4"/>
      <c r="T669" s="1"/>
      <c r="Y669" s="1"/>
      <c r="AF669" s="1"/>
      <c r="AW669" s="1"/>
    </row>
    <row r="670" spans="1:49" ht="15.75">
      <c r="A670" s="1"/>
      <c r="L670" s="4"/>
      <c r="T670" s="1"/>
      <c r="Y670" s="1"/>
      <c r="AF670" s="1"/>
      <c r="AW670" s="1"/>
    </row>
    <row r="671" spans="1:49" ht="15.75">
      <c r="A671" s="1"/>
      <c r="L671" s="4"/>
      <c r="T671" s="1"/>
      <c r="Y671" s="1"/>
      <c r="AF671" s="1"/>
      <c r="AW671" s="1"/>
    </row>
    <row r="672" spans="1:49" ht="15.75">
      <c r="A672" s="1"/>
      <c r="L672" s="4"/>
      <c r="T672" s="1"/>
      <c r="Y672" s="1"/>
      <c r="AF672" s="1"/>
      <c r="AW672" s="1"/>
    </row>
    <row r="673" spans="1:49" ht="15.75">
      <c r="A673" s="1"/>
      <c r="L673" s="4"/>
      <c r="T673" s="1"/>
      <c r="Y673" s="1"/>
      <c r="AF673" s="1"/>
      <c r="AW673" s="1"/>
    </row>
    <row r="674" spans="1:49" ht="15.75">
      <c r="A674" s="1"/>
      <c r="L674" s="4"/>
      <c r="T674" s="1"/>
      <c r="Y674" s="1"/>
      <c r="AF674" s="1"/>
      <c r="AW674" s="1"/>
    </row>
    <row r="675" spans="1:49" ht="15.75">
      <c r="A675" s="1"/>
      <c r="L675" s="4"/>
      <c r="T675" s="1"/>
      <c r="Y675" s="1"/>
      <c r="AF675" s="1"/>
      <c r="AW675" s="1"/>
    </row>
    <row r="676" spans="1:49" ht="15.75">
      <c r="A676" s="1"/>
      <c r="L676" s="4"/>
      <c r="T676" s="1"/>
      <c r="Y676" s="1"/>
      <c r="AF676" s="1"/>
      <c r="AW676" s="1"/>
    </row>
    <row r="677" spans="1:49" ht="15.75">
      <c r="A677" s="1"/>
      <c r="L677" s="4"/>
      <c r="T677" s="1"/>
      <c r="Y677" s="1"/>
      <c r="AF677" s="1"/>
      <c r="AW677" s="1"/>
    </row>
    <row r="678" spans="1:49" ht="15.75">
      <c r="A678" s="1"/>
      <c r="L678" s="4"/>
      <c r="T678" s="1"/>
      <c r="Y678" s="1"/>
      <c r="AF678" s="1"/>
      <c r="AW678" s="1"/>
    </row>
    <row r="679" spans="1:49" ht="15.75">
      <c r="A679" s="1"/>
      <c r="L679" s="4"/>
      <c r="T679" s="1"/>
      <c r="Y679" s="1"/>
      <c r="AF679" s="1"/>
      <c r="AW679" s="1"/>
    </row>
    <row r="680" spans="1:49" ht="15.75">
      <c r="A680" s="1"/>
      <c r="L680" s="4"/>
      <c r="T680" s="1"/>
      <c r="Y680" s="1"/>
      <c r="AF680" s="1"/>
      <c r="AW680" s="1"/>
    </row>
    <row r="681" spans="1:49" ht="15.75">
      <c r="A681" s="1"/>
      <c r="L681" s="4"/>
      <c r="T681" s="1"/>
      <c r="Y681" s="1"/>
      <c r="AF681" s="1"/>
      <c r="AW681" s="1"/>
    </row>
    <row r="682" spans="1:49" ht="15.75">
      <c r="A682" s="1"/>
      <c r="L682" s="4"/>
      <c r="T682" s="1"/>
      <c r="Y682" s="1"/>
      <c r="AF682" s="1"/>
      <c r="AW682" s="1"/>
    </row>
    <row r="683" spans="1:49" ht="15.75">
      <c r="A683" s="1"/>
      <c r="L683" s="4"/>
      <c r="T683" s="1"/>
      <c r="Y683" s="1"/>
      <c r="AF683" s="1"/>
      <c r="AW683" s="1"/>
    </row>
    <row r="684" spans="1:49" ht="15.75">
      <c r="A684" s="1"/>
      <c r="L684" s="4"/>
      <c r="T684" s="1"/>
      <c r="Y684" s="1"/>
      <c r="AF684" s="1"/>
      <c r="AW684" s="1"/>
    </row>
    <row r="685" spans="1:49" ht="15.75">
      <c r="A685" s="1"/>
      <c r="L685" s="4"/>
      <c r="T685" s="1"/>
      <c r="Y685" s="1"/>
      <c r="AF685" s="1"/>
      <c r="AW685" s="1"/>
    </row>
    <row r="686" spans="1:49" ht="15.75">
      <c r="A686" s="1"/>
      <c r="L686" s="4"/>
      <c r="T686" s="1"/>
      <c r="Y686" s="1"/>
      <c r="AF686" s="1"/>
      <c r="AW686" s="1"/>
    </row>
    <row r="687" spans="1:49" ht="15.75">
      <c r="A687" s="1"/>
      <c r="L687" s="4"/>
      <c r="T687" s="1"/>
      <c r="Y687" s="1"/>
      <c r="AF687" s="1"/>
      <c r="AW687" s="1"/>
    </row>
    <row r="688" spans="1:49" ht="15.75">
      <c r="A688" s="1"/>
      <c r="L688" s="4"/>
      <c r="T688" s="1"/>
      <c r="Y688" s="1"/>
      <c r="AF688" s="1"/>
      <c r="AW688" s="1"/>
    </row>
    <row r="689" spans="1:49" ht="15.75">
      <c r="A689" s="1"/>
      <c r="L689" s="4"/>
      <c r="T689" s="1"/>
      <c r="Y689" s="1"/>
      <c r="AF689" s="1"/>
      <c r="AW689" s="1"/>
    </row>
    <row r="690" spans="1:49" ht="15.75">
      <c r="A690" s="1"/>
      <c r="L690" s="4"/>
      <c r="T690" s="1"/>
      <c r="Y690" s="1"/>
      <c r="AF690" s="1"/>
      <c r="AW690" s="1"/>
    </row>
    <row r="691" spans="1:49" ht="15.75">
      <c r="A691" s="1"/>
      <c r="L691" s="4"/>
      <c r="T691" s="1"/>
      <c r="Y691" s="1"/>
      <c r="AF691" s="1"/>
      <c r="AW691" s="1"/>
    </row>
    <row r="692" spans="1:49" ht="15.75">
      <c r="A692" s="1"/>
      <c r="L692" s="4"/>
      <c r="T692" s="1"/>
      <c r="Y692" s="1"/>
      <c r="AF692" s="1"/>
      <c r="AW692" s="1"/>
    </row>
    <row r="693" spans="1:49" ht="15.75">
      <c r="A693" s="1"/>
      <c r="L693" s="4"/>
      <c r="T693" s="1"/>
      <c r="Y693" s="1"/>
      <c r="AF693" s="1"/>
      <c r="AW693" s="1"/>
    </row>
    <row r="694" spans="1:49" ht="15.75">
      <c r="A694" s="1"/>
      <c r="L694" s="4"/>
      <c r="T694" s="1"/>
      <c r="Y694" s="1"/>
      <c r="AF694" s="1"/>
      <c r="AW694" s="1"/>
    </row>
    <row r="695" spans="1:49" ht="15.75">
      <c r="A695" s="1"/>
      <c r="L695" s="4"/>
      <c r="T695" s="1"/>
      <c r="Y695" s="1"/>
      <c r="AF695" s="1"/>
      <c r="AW695" s="1"/>
    </row>
    <row r="696" spans="1:49" ht="15.75">
      <c r="A696" s="1"/>
      <c r="L696" s="4"/>
      <c r="T696" s="1"/>
      <c r="Y696" s="1"/>
      <c r="AF696" s="1"/>
      <c r="AW696" s="1"/>
    </row>
    <row r="697" spans="1:49" ht="15.75">
      <c r="A697" s="1"/>
      <c r="L697" s="4"/>
      <c r="T697" s="1"/>
      <c r="Y697" s="1"/>
      <c r="AF697" s="1"/>
      <c r="AW697" s="1"/>
    </row>
    <row r="698" spans="1:49" ht="15.75">
      <c r="A698" s="1"/>
      <c r="L698" s="4"/>
      <c r="T698" s="1"/>
      <c r="Y698" s="1"/>
      <c r="AF698" s="1"/>
      <c r="AW698" s="1"/>
    </row>
    <row r="699" spans="1:49" ht="15.75">
      <c r="A699" s="1"/>
      <c r="L699" s="4"/>
      <c r="T699" s="1"/>
      <c r="Y699" s="1"/>
      <c r="AF699" s="1"/>
      <c r="AW699" s="1"/>
    </row>
    <row r="700" spans="1:49" ht="15.75">
      <c r="A700" s="1"/>
      <c r="L700" s="4"/>
      <c r="T700" s="1"/>
      <c r="Y700" s="1"/>
      <c r="AF700" s="1"/>
      <c r="AW700" s="1"/>
    </row>
    <row r="701" spans="1:49" ht="15.75">
      <c r="A701" s="1"/>
      <c r="L701" s="4"/>
      <c r="T701" s="1"/>
      <c r="Y701" s="1"/>
      <c r="AF701" s="1"/>
      <c r="AW701" s="1"/>
    </row>
    <row r="702" spans="1:49" ht="15.75">
      <c r="A702" s="1"/>
      <c r="L702" s="4"/>
      <c r="T702" s="1"/>
      <c r="Y702" s="1"/>
      <c r="AF702" s="1"/>
      <c r="AW702" s="1"/>
    </row>
    <row r="703" spans="1:49" ht="15.75">
      <c r="A703" s="1"/>
      <c r="L703" s="4"/>
      <c r="T703" s="1"/>
      <c r="Y703" s="1"/>
      <c r="AF703" s="1"/>
      <c r="AW703" s="1"/>
    </row>
    <row r="704" spans="1:49" ht="15.75">
      <c r="A704" s="1"/>
      <c r="L704" s="4"/>
      <c r="T704" s="1"/>
      <c r="Y704" s="1"/>
      <c r="AF704" s="1"/>
      <c r="AW704" s="1"/>
    </row>
    <row r="705" spans="1:49" ht="15.75">
      <c r="A705" s="1"/>
      <c r="L705" s="4"/>
      <c r="T705" s="1"/>
      <c r="Y705" s="1"/>
      <c r="AF705" s="1"/>
      <c r="AW705" s="1"/>
    </row>
    <row r="706" spans="1:49" ht="15.75">
      <c r="A706" s="1"/>
      <c r="L706" s="4"/>
      <c r="T706" s="1"/>
      <c r="Y706" s="1"/>
      <c r="AF706" s="1"/>
      <c r="AW706" s="1"/>
    </row>
    <row r="707" spans="1:49" ht="15.75">
      <c r="A707" s="1"/>
      <c r="L707" s="4"/>
      <c r="T707" s="1"/>
      <c r="Y707" s="1"/>
      <c r="AF707" s="1"/>
      <c r="AW707" s="1"/>
    </row>
    <row r="708" spans="1:49" ht="15.75">
      <c r="A708" s="1"/>
      <c r="L708" s="4"/>
      <c r="T708" s="1"/>
      <c r="Y708" s="1"/>
      <c r="AF708" s="1"/>
      <c r="AW708" s="1"/>
    </row>
    <row r="709" spans="1:49" ht="15.75">
      <c r="A709" s="1"/>
      <c r="L709" s="4"/>
      <c r="T709" s="1"/>
      <c r="Y709" s="1"/>
      <c r="AF709" s="1"/>
      <c r="AW709" s="1"/>
    </row>
    <row r="710" spans="1:49" ht="15.75">
      <c r="A710" s="1"/>
      <c r="L710" s="4"/>
      <c r="T710" s="1"/>
      <c r="Y710" s="1"/>
      <c r="AF710" s="1"/>
      <c r="AW710" s="1"/>
    </row>
    <row r="711" spans="1:49" ht="15.75">
      <c r="A711" s="1"/>
      <c r="L711" s="4"/>
      <c r="T711" s="1"/>
      <c r="Y711" s="1"/>
      <c r="AF711" s="1"/>
      <c r="AW711" s="1"/>
    </row>
    <row r="712" spans="1:49" ht="15.75">
      <c r="A712" s="1"/>
      <c r="L712" s="4"/>
      <c r="T712" s="1"/>
      <c r="Y712" s="1"/>
      <c r="AF712" s="1"/>
      <c r="AW712" s="1"/>
    </row>
    <row r="713" spans="1:49" ht="15.75">
      <c r="A713" s="1"/>
      <c r="L713" s="4"/>
      <c r="T713" s="1"/>
      <c r="Y713" s="1"/>
      <c r="AF713" s="1"/>
      <c r="AW713" s="1"/>
    </row>
    <row r="714" spans="1:49" ht="15.75">
      <c r="A714" s="1"/>
      <c r="L714" s="4"/>
      <c r="T714" s="1"/>
      <c r="Y714" s="1"/>
      <c r="AF714" s="1"/>
      <c r="AW714" s="1"/>
    </row>
    <row r="715" spans="1:49" ht="15.75">
      <c r="A715" s="1"/>
      <c r="L715" s="4"/>
      <c r="T715" s="1"/>
      <c r="Y715" s="1"/>
      <c r="AF715" s="1"/>
      <c r="AW715" s="1"/>
    </row>
    <row r="716" spans="1:49" ht="15.75">
      <c r="A716" s="1"/>
      <c r="L716" s="4"/>
      <c r="T716" s="1"/>
      <c r="Y716" s="1"/>
      <c r="AF716" s="1"/>
      <c r="AW716" s="1"/>
    </row>
    <row r="717" spans="1:49" ht="15.75">
      <c r="A717" s="1"/>
      <c r="L717" s="4"/>
      <c r="T717" s="1"/>
      <c r="Y717" s="1"/>
      <c r="AF717" s="1"/>
      <c r="AW717" s="1"/>
    </row>
    <row r="718" spans="1:49" ht="15.75">
      <c r="A718" s="1"/>
      <c r="L718" s="4"/>
      <c r="T718" s="1"/>
      <c r="Y718" s="1"/>
      <c r="AF718" s="1"/>
      <c r="AW718" s="1"/>
    </row>
    <row r="719" spans="1:49" ht="15.75">
      <c r="A719" s="1"/>
      <c r="L719" s="4"/>
      <c r="T719" s="1"/>
      <c r="Y719" s="1"/>
      <c r="AF719" s="1"/>
      <c r="AW719" s="1"/>
    </row>
    <row r="720" spans="1:49" ht="15.75">
      <c r="A720" s="1"/>
      <c r="L720" s="4"/>
      <c r="T720" s="1"/>
      <c r="Y720" s="1"/>
      <c r="AF720" s="1"/>
      <c r="AW720" s="1"/>
    </row>
    <row r="721" spans="1:49" ht="15.75">
      <c r="A721" s="1"/>
      <c r="L721" s="4"/>
      <c r="T721" s="1"/>
      <c r="Y721" s="1"/>
      <c r="AF721" s="1"/>
      <c r="AW721" s="1"/>
    </row>
    <row r="722" spans="1:49" ht="15.75">
      <c r="A722" s="1"/>
      <c r="L722" s="4"/>
      <c r="T722" s="1"/>
      <c r="Y722" s="1"/>
      <c r="AF722" s="1"/>
      <c r="AW722" s="1"/>
    </row>
    <row r="723" spans="1:49" ht="15.75">
      <c r="A723" s="1"/>
      <c r="L723" s="4"/>
      <c r="T723" s="1"/>
      <c r="Y723" s="1"/>
      <c r="AF723" s="1"/>
      <c r="AW723" s="1"/>
    </row>
    <row r="724" spans="1:49" ht="15.75">
      <c r="A724" s="1"/>
      <c r="L724" s="4"/>
      <c r="T724" s="1"/>
      <c r="Y724" s="1"/>
      <c r="AF724" s="1"/>
      <c r="AW724" s="1"/>
    </row>
    <row r="725" spans="1:49" ht="15.75">
      <c r="A725" s="1"/>
      <c r="L725" s="4"/>
      <c r="T725" s="1"/>
      <c r="Y725" s="1"/>
      <c r="AF725" s="1"/>
      <c r="AW725" s="1"/>
    </row>
    <row r="726" spans="1:49" ht="15.75">
      <c r="A726" s="1"/>
      <c r="L726" s="4"/>
      <c r="T726" s="1"/>
      <c r="Y726" s="1"/>
      <c r="AF726" s="1"/>
      <c r="AW726" s="1"/>
    </row>
    <row r="727" spans="1:49" ht="15.75">
      <c r="A727" s="1"/>
      <c r="L727" s="4"/>
      <c r="T727" s="1"/>
      <c r="Y727" s="1"/>
      <c r="AF727" s="1"/>
      <c r="AW727" s="1"/>
    </row>
    <row r="728" spans="1:49" ht="15.75">
      <c r="A728" s="1"/>
      <c r="L728" s="4"/>
      <c r="T728" s="1"/>
      <c r="Y728" s="1"/>
      <c r="AF728" s="1"/>
      <c r="AW728" s="1"/>
    </row>
    <row r="729" spans="1:49" ht="15.75">
      <c r="A729" s="1"/>
      <c r="L729" s="4"/>
      <c r="T729" s="1"/>
      <c r="Y729" s="1"/>
      <c r="AF729" s="1"/>
      <c r="AW729" s="1"/>
    </row>
    <row r="730" spans="1:49" ht="15.75">
      <c r="A730" s="1"/>
      <c r="L730" s="4"/>
      <c r="T730" s="1"/>
      <c r="Y730" s="1"/>
      <c r="AF730" s="1"/>
      <c r="AW730" s="1"/>
    </row>
    <row r="731" spans="1:49" ht="15.75">
      <c r="A731" s="1"/>
      <c r="L731" s="4"/>
      <c r="T731" s="1"/>
      <c r="Y731" s="1"/>
      <c r="AF731" s="1"/>
      <c r="AW731" s="1"/>
    </row>
    <row r="732" spans="1:49" ht="15.75">
      <c r="A732" s="1"/>
      <c r="L732" s="4"/>
      <c r="T732" s="1"/>
      <c r="Y732" s="1"/>
      <c r="AF732" s="1"/>
      <c r="AW732" s="1"/>
    </row>
    <row r="733" spans="1:49" ht="15.75">
      <c r="A733" s="1"/>
      <c r="L733" s="4"/>
      <c r="T733" s="1"/>
      <c r="Y733" s="1"/>
      <c r="AF733" s="1"/>
      <c r="AW733" s="1"/>
    </row>
    <row r="734" spans="1:49" ht="15.75">
      <c r="A734" s="1"/>
      <c r="L734" s="4"/>
      <c r="T734" s="1"/>
      <c r="Y734" s="1"/>
      <c r="AF734" s="1"/>
      <c r="AW734" s="1"/>
    </row>
    <row r="735" spans="1:49" ht="15.75">
      <c r="A735" s="1"/>
      <c r="L735" s="4"/>
      <c r="T735" s="1"/>
      <c r="Y735" s="1"/>
      <c r="AF735" s="1"/>
      <c r="AW735" s="1"/>
    </row>
    <row r="736" spans="1:49" ht="15.75">
      <c r="A736" s="1"/>
      <c r="L736" s="4"/>
      <c r="T736" s="1"/>
      <c r="Y736" s="1"/>
      <c r="AF736" s="1"/>
      <c r="AW736" s="1"/>
    </row>
    <row r="737" spans="1:49" ht="15.75">
      <c r="A737" s="1"/>
      <c r="L737" s="4"/>
      <c r="T737" s="1"/>
      <c r="Y737" s="1"/>
      <c r="AF737" s="1"/>
      <c r="AW737" s="1"/>
    </row>
    <row r="738" spans="1:49" ht="15.75">
      <c r="A738" s="1"/>
      <c r="L738" s="4"/>
      <c r="T738" s="1"/>
      <c r="Y738" s="1"/>
      <c r="AF738" s="1"/>
      <c r="AW738" s="1"/>
    </row>
    <row r="739" spans="1:49" ht="15.75">
      <c r="A739" s="1"/>
      <c r="L739" s="4"/>
      <c r="T739" s="1"/>
      <c r="Y739" s="1"/>
      <c r="AF739" s="1"/>
      <c r="AW739" s="1"/>
    </row>
    <row r="740" spans="1:49" ht="15.75">
      <c r="A740" s="1"/>
      <c r="L740" s="4"/>
      <c r="T740" s="1"/>
      <c r="Y740" s="1"/>
      <c r="AF740" s="1"/>
      <c r="AW740" s="1"/>
    </row>
    <row r="741" spans="1:49" ht="15.75">
      <c r="A741" s="1"/>
      <c r="L741" s="4"/>
      <c r="T741" s="1"/>
      <c r="Y741" s="1"/>
      <c r="AF741" s="1"/>
      <c r="AW741" s="1"/>
    </row>
    <row r="742" spans="1:49" ht="15.75">
      <c r="A742" s="1"/>
      <c r="L742" s="4"/>
      <c r="T742" s="1"/>
      <c r="Y742" s="1"/>
      <c r="AF742" s="1"/>
      <c r="AW742" s="1"/>
    </row>
    <row r="743" spans="1:49" ht="15.75">
      <c r="A743" s="1"/>
      <c r="L743" s="4"/>
      <c r="T743" s="1"/>
      <c r="Y743" s="1"/>
      <c r="AF743" s="1"/>
      <c r="AW743" s="1"/>
    </row>
    <row r="744" spans="1:49" ht="15.75">
      <c r="A744" s="1"/>
      <c r="L744" s="4"/>
      <c r="T744" s="1"/>
      <c r="Y744" s="1"/>
      <c r="AF744" s="1"/>
      <c r="AW744" s="1"/>
    </row>
    <row r="745" spans="1:49" ht="15.75">
      <c r="A745" s="1"/>
      <c r="L745" s="4"/>
      <c r="T745" s="1"/>
      <c r="Y745" s="1"/>
      <c r="AF745" s="1"/>
      <c r="AW745" s="1"/>
    </row>
    <row r="746" spans="1:49" ht="15.75">
      <c r="A746" s="1"/>
      <c r="L746" s="4"/>
      <c r="T746" s="1"/>
      <c r="Y746" s="1"/>
      <c r="AF746" s="1"/>
      <c r="AW746" s="1"/>
    </row>
    <row r="747" spans="1:49" ht="15.75">
      <c r="A747" s="1"/>
      <c r="L747" s="4"/>
      <c r="T747" s="1"/>
      <c r="Y747" s="1"/>
      <c r="AF747" s="1"/>
      <c r="AW747" s="1"/>
    </row>
    <row r="748" spans="1:49" ht="15.75">
      <c r="A748" s="1"/>
      <c r="L748" s="4"/>
      <c r="T748" s="1"/>
      <c r="Y748" s="1"/>
      <c r="AF748" s="1"/>
      <c r="AW748" s="1"/>
    </row>
    <row r="749" spans="1:49" ht="15.75">
      <c r="A749" s="1"/>
      <c r="L749" s="4"/>
      <c r="T749" s="1"/>
      <c r="Y749" s="1"/>
      <c r="AF749" s="1"/>
      <c r="AW749" s="1"/>
    </row>
    <row r="750" spans="1:49" ht="15.75">
      <c r="A750" s="1"/>
      <c r="L750" s="4"/>
      <c r="T750" s="1"/>
      <c r="Y750" s="1"/>
      <c r="AF750" s="1"/>
      <c r="AW750" s="1"/>
    </row>
    <row r="751" spans="1:49" ht="15.75">
      <c r="A751" s="1"/>
      <c r="L751" s="4"/>
      <c r="T751" s="1"/>
      <c r="Y751" s="1"/>
      <c r="AF751" s="1"/>
      <c r="AW751" s="1"/>
    </row>
    <row r="752" spans="1:49" ht="15.75">
      <c r="A752" s="1"/>
      <c r="L752" s="4"/>
      <c r="T752" s="1"/>
      <c r="Y752" s="1"/>
      <c r="AF752" s="1"/>
      <c r="AW752" s="1"/>
    </row>
    <row r="753" spans="1:49" ht="15.75">
      <c r="A753" s="1"/>
      <c r="L753" s="4"/>
      <c r="T753" s="1"/>
      <c r="Y753" s="1"/>
      <c r="AF753" s="1"/>
      <c r="AW753" s="1"/>
    </row>
    <row r="754" spans="1:49" ht="15.75">
      <c r="A754" s="1"/>
      <c r="L754" s="4"/>
      <c r="T754" s="1"/>
      <c r="Y754" s="1"/>
      <c r="AF754" s="1"/>
      <c r="AW754" s="1"/>
    </row>
    <row r="755" spans="1:49" ht="15.75">
      <c r="A755" s="1"/>
      <c r="L755" s="4"/>
      <c r="T755" s="1"/>
      <c r="Y755" s="1"/>
      <c r="AF755" s="1"/>
      <c r="AW755" s="1"/>
    </row>
    <row r="756" spans="1:49" ht="15.75">
      <c r="A756" s="1"/>
      <c r="L756" s="4"/>
      <c r="T756" s="1"/>
      <c r="Y756" s="1"/>
      <c r="AF756" s="1"/>
      <c r="AW756" s="1"/>
    </row>
    <row r="757" spans="1:49" ht="15.75">
      <c r="A757" s="1"/>
      <c r="L757" s="4"/>
      <c r="T757" s="1"/>
      <c r="Y757" s="1"/>
      <c r="AF757" s="1"/>
      <c r="AW757" s="1"/>
    </row>
    <row r="758" spans="1:49" ht="15.75">
      <c r="A758" s="1"/>
      <c r="L758" s="4"/>
      <c r="T758" s="1"/>
      <c r="Y758" s="1"/>
      <c r="AF758" s="1"/>
      <c r="AW758" s="1"/>
    </row>
    <row r="759" spans="1:49" ht="15.75">
      <c r="A759" s="1"/>
      <c r="L759" s="4"/>
      <c r="T759" s="1"/>
      <c r="Y759" s="1"/>
      <c r="AF759" s="1"/>
      <c r="AW759" s="1"/>
    </row>
    <row r="760" spans="1:49" ht="15.75">
      <c r="A760" s="1"/>
      <c r="L760" s="4"/>
      <c r="T760" s="1"/>
      <c r="Y760" s="1"/>
      <c r="AF760" s="1"/>
      <c r="AW760" s="1"/>
    </row>
    <row r="761" spans="1:49" ht="15.75">
      <c r="A761" s="1"/>
      <c r="L761" s="4"/>
      <c r="T761" s="1"/>
      <c r="Y761" s="1"/>
      <c r="AF761" s="1"/>
      <c r="AW761" s="1"/>
    </row>
    <row r="762" spans="1:49" ht="15.75">
      <c r="A762" s="1"/>
      <c r="L762" s="4"/>
      <c r="T762" s="1"/>
      <c r="Y762" s="1"/>
      <c r="AF762" s="1"/>
      <c r="AW762" s="1"/>
    </row>
    <row r="763" spans="1:49" ht="15.75">
      <c r="A763" s="1"/>
      <c r="L763" s="4"/>
      <c r="T763" s="1"/>
      <c r="Y763" s="1"/>
      <c r="AF763" s="1"/>
      <c r="AW763" s="1"/>
    </row>
    <row r="764" spans="1:49" ht="15.75">
      <c r="A764" s="1"/>
      <c r="L764" s="4"/>
      <c r="T764" s="1"/>
      <c r="Y764" s="1"/>
      <c r="AF764" s="1"/>
      <c r="AW764" s="1"/>
    </row>
    <row r="765" spans="1:49" ht="15.75">
      <c r="A765" s="1"/>
      <c r="L765" s="4"/>
      <c r="T765" s="1"/>
      <c r="Y765" s="1"/>
      <c r="AF765" s="1"/>
      <c r="AW765" s="1"/>
    </row>
    <row r="766" spans="1:49" ht="15.75">
      <c r="A766" s="1"/>
      <c r="L766" s="4"/>
      <c r="T766" s="1"/>
      <c r="Y766" s="1"/>
      <c r="AF766" s="1"/>
      <c r="AW766" s="1"/>
    </row>
    <row r="767" spans="1:49" ht="15.75">
      <c r="A767" s="1"/>
      <c r="L767" s="4"/>
      <c r="T767" s="1"/>
      <c r="Y767" s="1"/>
      <c r="AF767" s="1"/>
      <c r="AW767" s="1"/>
    </row>
    <row r="768" spans="1:49" ht="15.75">
      <c r="A768" s="1"/>
      <c r="L768" s="4"/>
      <c r="T768" s="1"/>
      <c r="Y768" s="1"/>
      <c r="AF768" s="1"/>
      <c r="AW768" s="1"/>
    </row>
    <row r="769" spans="1:49" ht="15.75">
      <c r="A769" s="1"/>
      <c r="L769" s="4"/>
      <c r="T769" s="1"/>
      <c r="Y769" s="1"/>
      <c r="AF769" s="1"/>
      <c r="AW769" s="1"/>
    </row>
    <row r="770" spans="1:49" ht="15.75">
      <c r="A770" s="1"/>
      <c r="L770" s="4"/>
      <c r="T770" s="1"/>
      <c r="Y770" s="1"/>
      <c r="AF770" s="1"/>
      <c r="AW770" s="1"/>
    </row>
    <row r="771" spans="1:49" ht="15.75">
      <c r="A771" s="1"/>
      <c r="L771" s="4"/>
      <c r="T771" s="1"/>
      <c r="Y771" s="1"/>
      <c r="AF771" s="1"/>
      <c r="AW771" s="1"/>
    </row>
    <row r="772" spans="1:49" ht="15.75">
      <c r="A772" s="1"/>
      <c r="L772" s="4"/>
      <c r="T772" s="1"/>
      <c r="Y772" s="1"/>
      <c r="AF772" s="1"/>
      <c r="AW772" s="1"/>
    </row>
    <row r="773" spans="1:49" ht="15.75">
      <c r="A773" s="1"/>
      <c r="L773" s="4"/>
      <c r="T773" s="1"/>
      <c r="Y773" s="1"/>
      <c r="AF773" s="1"/>
      <c r="AW773" s="1"/>
    </row>
    <row r="774" spans="1:49" ht="15.75">
      <c r="A774" s="1"/>
      <c r="L774" s="4"/>
      <c r="T774" s="1"/>
      <c r="Y774" s="1"/>
      <c r="AF774" s="1"/>
      <c r="AW774" s="1"/>
    </row>
    <row r="775" spans="1:49" ht="15.75">
      <c r="A775" s="1"/>
      <c r="L775" s="4"/>
      <c r="T775" s="1"/>
      <c r="Y775" s="1"/>
      <c r="AF775" s="1"/>
      <c r="AW775" s="1"/>
    </row>
    <row r="776" spans="1:49" ht="15.75">
      <c r="A776" s="1"/>
      <c r="L776" s="4"/>
      <c r="T776" s="1"/>
      <c r="Y776" s="1"/>
      <c r="AF776" s="1"/>
      <c r="AW776" s="1"/>
    </row>
    <row r="777" spans="1:49" ht="15.75">
      <c r="A777" s="1"/>
      <c r="L777" s="4"/>
      <c r="T777" s="1"/>
      <c r="Y777" s="1"/>
      <c r="AF777" s="1"/>
      <c r="AW777" s="1"/>
    </row>
    <row r="778" spans="1:49" ht="15.75">
      <c r="A778" s="1"/>
      <c r="L778" s="4"/>
      <c r="T778" s="1"/>
      <c r="Y778" s="1"/>
      <c r="AF778" s="1"/>
      <c r="AW778" s="1"/>
    </row>
    <row r="779" spans="1:49" ht="15.75">
      <c r="A779" s="1"/>
      <c r="L779" s="4"/>
      <c r="T779" s="1"/>
      <c r="Y779" s="1"/>
      <c r="AF779" s="1"/>
      <c r="AW779" s="1"/>
    </row>
    <row r="780" spans="1:49" ht="15.75">
      <c r="A780" s="1"/>
      <c r="L780" s="4"/>
      <c r="T780" s="1"/>
      <c r="Y780" s="1"/>
      <c r="AF780" s="1"/>
      <c r="AW780" s="1"/>
    </row>
    <row r="781" spans="1:49" ht="15.75">
      <c r="A781" s="1"/>
      <c r="L781" s="4"/>
      <c r="T781" s="1"/>
      <c r="Y781" s="1"/>
      <c r="AF781" s="1"/>
      <c r="AW781" s="1"/>
    </row>
    <row r="782" spans="1:49" ht="15.75">
      <c r="A782" s="1"/>
      <c r="L782" s="4"/>
      <c r="T782" s="1"/>
      <c r="Y782" s="1"/>
      <c r="AF782" s="1"/>
      <c r="AW782" s="1"/>
    </row>
    <row r="783" spans="1:49" ht="15.75">
      <c r="A783" s="1"/>
      <c r="L783" s="4"/>
      <c r="T783" s="1"/>
      <c r="Y783" s="1"/>
      <c r="AF783" s="1"/>
      <c r="AW783" s="1"/>
    </row>
    <row r="784" spans="1:49" ht="15.75">
      <c r="A784" s="1"/>
      <c r="L784" s="4"/>
      <c r="T784" s="1"/>
      <c r="Y784" s="1"/>
      <c r="AF784" s="1"/>
      <c r="AW784" s="1"/>
    </row>
    <row r="785" spans="1:49" ht="15.75">
      <c r="A785" s="1"/>
      <c r="L785" s="4"/>
      <c r="T785" s="1"/>
      <c r="Y785" s="1"/>
      <c r="AF785" s="1"/>
      <c r="AW785" s="1"/>
    </row>
    <row r="786" spans="1:49" ht="15.75">
      <c r="A786" s="1"/>
      <c r="L786" s="4"/>
      <c r="T786" s="1"/>
      <c r="Y786" s="1"/>
      <c r="AF786" s="1"/>
      <c r="AW786" s="1"/>
    </row>
    <row r="787" spans="1:49" ht="15.75">
      <c r="A787" s="1"/>
      <c r="L787" s="4"/>
      <c r="T787" s="1"/>
      <c r="Y787" s="1"/>
      <c r="AF787" s="1"/>
      <c r="AW787" s="1"/>
    </row>
    <row r="788" spans="1:49" ht="15.75">
      <c r="A788" s="1"/>
      <c r="L788" s="4"/>
      <c r="T788" s="1"/>
      <c r="Y788" s="1"/>
      <c r="AF788" s="1"/>
      <c r="AW788" s="1"/>
    </row>
    <row r="789" spans="1:49" ht="15.75">
      <c r="A789" s="1"/>
      <c r="L789" s="4"/>
      <c r="T789" s="1"/>
      <c r="Y789" s="1"/>
      <c r="AF789" s="1"/>
      <c r="AW789" s="1"/>
    </row>
    <row r="790" spans="1:49" ht="15.75">
      <c r="A790" s="1"/>
      <c r="L790" s="4"/>
      <c r="T790" s="1"/>
      <c r="Y790" s="1"/>
      <c r="AF790" s="1"/>
      <c r="AW790" s="1"/>
    </row>
    <row r="791" spans="1:49" ht="15.75">
      <c r="A791" s="1"/>
      <c r="L791" s="4"/>
      <c r="T791" s="1"/>
      <c r="Y791" s="1"/>
      <c r="AF791" s="1"/>
      <c r="AW791" s="1"/>
    </row>
    <row r="792" spans="1:49" ht="15.75">
      <c r="A792" s="1"/>
      <c r="L792" s="4"/>
      <c r="T792" s="1"/>
      <c r="Y792" s="1"/>
      <c r="AF792" s="1"/>
      <c r="AW792" s="1"/>
    </row>
    <row r="793" spans="1:49" ht="15.75">
      <c r="A793" s="1"/>
      <c r="L793" s="4"/>
      <c r="T793" s="1"/>
      <c r="Y793" s="1"/>
      <c r="AF793" s="1"/>
      <c r="AW793" s="1"/>
    </row>
    <row r="794" spans="1:49" ht="15.75">
      <c r="A794" s="1"/>
      <c r="L794" s="4"/>
      <c r="T794" s="1"/>
      <c r="Y794" s="1"/>
      <c r="AF794" s="1"/>
      <c r="AW794" s="1"/>
    </row>
    <row r="795" spans="1:49" ht="15.75">
      <c r="A795" s="1"/>
      <c r="L795" s="4"/>
      <c r="T795" s="1"/>
      <c r="Y795" s="1"/>
      <c r="AF795" s="1"/>
      <c r="AW795" s="1"/>
    </row>
    <row r="796" spans="1:49" ht="15.75">
      <c r="A796" s="1"/>
      <c r="L796" s="4"/>
      <c r="T796" s="1"/>
      <c r="Y796" s="1"/>
      <c r="AF796" s="1"/>
      <c r="AW796" s="1"/>
    </row>
    <row r="797" spans="1:49" ht="15.75">
      <c r="A797" s="1"/>
      <c r="L797" s="4"/>
      <c r="T797" s="1"/>
      <c r="Y797" s="1"/>
      <c r="AF797" s="1"/>
      <c r="AW797" s="1"/>
    </row>
    <row r="798" spans="1:49" ht="15.75">
      <c r="A798" s="1"/>
      <c r="L798" s="4"/>
      <c r="T798" s="1"/>
      <c r="Y798" s="1"/>
      <c r="AF798" s="1"/>
      <c r="AW798" s="1"/>
    </row>
    <row r="799" spans="1:49" ht="15.75">
      <c r="A799" s="1"/>
      <c r="L799" s="4"/>
      <c r="T799" s="1"/>
      <c r="Y799" s="1"/>
      <c r="AF799" s="1"/>
      <c r="AW799" s="1"/>
    </row>
    <row r="800" spans="1:49" ht="15.75">
      <c r="A800" s="1"/>
      <c r="L800" s="4"/>
      <c r="T800" s="1"/>
      <c r="Y800" s="1"/>
      <c r="AF800" s="1"/>
      <c r="AW800" s="1"/>
    </row>
    <row r="801" spans="1:49" ht="15.75">
      <c r="A801" s="1"/>
      <c r="L801" s="4"/>
      <c r="T801" s="1"/>
      <c r="Y801" s="1"/>
      <c r="AF801" s="1"/>
      <c r="AW801" s="1"/>
    </row>
    <row r="802" spans="1:49" ht="15.75">
      <c r="A802" s="1"/>
      <c r="L802" s="4"/>
      <c r="T802" s="1"/>
      <c r="Y802" s="1"/>
      <c r="AF802" s="1"/>
      <c r="AW802" s="1"/>
    </row>
    <row r="803" spans="1:49" ht="15.75">
      <c r="A803" s="1"/>
      <c r="L803" s="4"/>
      <c r="T803" s="1"/>
      <c r="Y803" s="1"/>
      <c r="AF803" s="1"/>
      <c r="AW803" s="1"/>
    </row>
    <row r="804" spans="1:49" ht="15.75">
      <c r="A804" s="1"/>
      <c r="L804" s="4"/>
      <c r="T804" s="1"/>
      <c r="Y804" s="1"/>
      <c r="AF804" s="1"/>
      <c r="AW804" s="1"/>
    </row>
    <row r="805" spans="1:49" ht="15.75">
      <c r="A805" s="1"/>
      <c r="L805" s="4"/>
      <c r="T805" s="1"/>
      <c r="Y805" s="1"/>
      <c r="AF805" s="1"/>
      <c r="AW805" s="1"/>
    </row>
    <row r="806" spans="1:49" ht="15.75">
      <c r="A806" s="1"/>
      <c r="L806" s="4"/>
      <c r="T806" s="1"/>
      <c r="Y806" s="1"/>
      <c r="AF806" s="1"/>
      <c r="AW806" s="1"/>
    </row>
    <row r="807" spans="1:49" ht="15.75">
      <c r="A807" s="1"/>
      <c r="L807" s="4"/>
      <c r="T807" s="1"/>
      <c r="Y807" s="1"/>
      <c r="AF807" s="1"/>
      <c r="AW807" s="1"/>
    </row>
    <row r="808" spans="1:49" ht="15.75">
      <c r="A808" s="1"/>
      <c r="L808" s="4"/>
      <c r="T808" s="1"/>
      <c r="Y808" s="1"/>
      <c r="AF808" s="1"/>
      <c r="AW808" s="1"/>
    </row>
    <row r="809" spans="1:49" ht="15.75">
      <c r="A809" s="1"/>
      <c r="L809" s="4"/>
      <c r="T809" s="1"/>
      <c r="Y809" s="1"/>
      <c r="AF809" s="1"/>
      <c r="AW809" s="1"/>
    </row>
    <row r="810" spans="1:49" ht="15.75">
      <c r="A810" s="1"/>
      <c r="L810" s="4"/>
      <c r="T810" s="1"/>
      <c r="Y810" s="1"/>
      <c r="AF810" s="1"/>
      <c r="AW810" s="1"/>
    </row>
    <row r="811" spans="1:49" ht="15.75">
      <c r="A811" s="1"/>
      <c r="L811" s="4"/>
      <c r="T811" s="1"/>
      <c r="Y811" s="1"/>
      <c r="AF811" s="1"/>
      <c r="AW811" s="1"/>
    </row>
    <row r="812" spans="1:49" ht="15.75">
      <c r="A812" s="1"/>
      <c r="L812" s="4"/>
      <c r="T812" s="1"/>
      <c r="Y812" s="1"/>
      <c r="AF812" s="1"/>
      <c r="AW812" s="1"/>
    </row>
    <row r="813" spans="1:49" ht="15.75">
      <c r="A813" s="1"/>
      <c r="L813" s="4"/>
      <c r="T813" s="1"/>
      <c r="Y813" s="1"/>
      <c r="AF813" s="1"/>
      <c r="AW813" s="1"/>
    </row>
    <row r="814" spans="1:49" ht="15.75">
      <c r="A814" s="1"/>
      <c r="L814" s="4"/>
      <c r="T814" s="1"/>
      <c r="Y814" s="1"/>
      <c r="AF814" s="1"/>
      <c r="AW814" s="1"/>
    </row>
    <row r="815" spans="1:49" ht="15.75">
      <c r="A815" s="1"/>
      <c r="L815" s="4"/>
      <c r="T815" s="1"/>
      <c r="Y815" s="1"/>
      <c r="AF815" s="1"/>
      <c r="AW815" s="1"/>
    </row>
    <row r="816" spans="1:49" ht="15.75">
      <c r="A816" s="1"/>
      <c r="L816" s="4"/>
      <c r="T816" s="1"/>
      <c r="Y816" s="1"/>
      <c r="AF816" s="1"/>
      <c r="AW816" s="1"/>
    </row>
    <row r="817" spans="1:49" ht="15.75">
      <c r="A817" s="1"/>
      <c r="L817" s="4"/>
      <c r="T817" s="1"/>
      <c r="Y817" s="1"/>
      <c r="AF817" s="1"/>
      <c r="AW817" s="1"/>
    </row>
    <row r="818" spans="1:49" ht="15.75">
      <c r="A818" s="1"/>
      <c r="L818" s="4"/>
      <c r="T818" s="1"/>
      <c r="Y818" s="1"/>
      <c r="AF818" s="1"/>
      <c r="AW818" s="1"/>
    </row>
    <row r="819" spans="1:49" ht="15.75">
      <c r="A819" s="1"/>
      <c r="L819" s="4"/>
      <c r="T819" s="1"/>
      <c r="Y819" s="1"/>
      <c r="AF819" s="1"/>
      <c r="AW819" s="1"/>
    </row>
    <row r="820" spans="1:49" ht="15.75">
      <c r="A820" s="1"/>
      <c r="L820" s="4"/>
      <c r="T820" s="1"/>
      <c r="Y820" s="1"/>
      <c r="AF820" s="1"/>
      <c r="AW820" s="1"/>
    </row>
    <row r="821" spans="1:49" ht="15.75">
      <c r="A821" s="1"/>
      <c r="L821" s="4"/>
      <c r="T821" s="1"/>
      <c r="Y821" s="1"/>
      <c r="AF821" s="1"/>
      <c r="AW821" s="1"/>
    </row>
    <row r="822" spans="1:49" ht="15.75">
      <c r="A822" s="1"/>
      <c r="L822" s="4"/>
      <c r="T822" s="1"/>
      <c r="Y822" s="1"/>
      <c r="AF822" s="1"/>
      <c r="AW822" s="1"/>
    </row>
    <row r="823" spans="1:49" ht="15.75">
      <c r="A823" s="1"/>
      <c r="L823" s="4"/>
      <c r="T823" s="1"/>
      <c r="Y823" s="1"/>
      <c r="AF823" s="1"/>
      <c r="AW823" s="1"/>
    </row>
    <row r="824" spans="1:49" ht="15.75">
      <c r="A824" s="1"/>
      <c r="L824" s="4"/>
      <c r="T824" s="1"/>
      <c r="Y824" s="1"/>
      <c r="AF824" s="1"/>
      <c r="AW824" s="1"/>
    </row>
    <row r="825" spans="1:49" ht="15.75">
      <c r="A825" s="1"/>
      <c r="L825" s="4"/>
      <c r="T825" s="1"/>
      <c r="Y825" s="1"/>
      <c r="AF825" s="1"/>
      <c r="AW825" s="1"/>
    </row>
    <row r="826" spans="1:49" ht="15.75">
      <c r="A826" s="1"/>
      <c r="L826" s="4"/>
      <c r="T826" s="1"/>
      <c r="Y826" s="1"/>
      <c r="AF826" s="1"/>
      <c r="AW826" s="1"/>
    </row>
    <row r="827" spans="1:49" ht="15.75">
      <c r="A827" s="1"/>
      <c r="L827" s="4"/>
      <c r="T827" s="1"/>
      <c r="Y827" s="1"/>
      <c r="AF827" s="1"/>
      <c r="AW827" s="1"/>
    </row>
    <row r="828" spans="1:49" ht="15.75">
      <c r="A828" s="1"/>
      <c r="L828" s="4"/>
      <c r="T828" s="1"/>
      <c r="Y828" s="1"/>
      <c r="AF828" s="1"/>
      <c r="AW828" s="1"/>
    </row>
    <row r="829" spans="1:49" ht="15.75">
      <c r="A829" s="1"/>
      <c r="L829" s="4"/>
      <c r="T829" s="1"/>
      <c r="Y829" s="1"/>
      <c r="AF829" s="1"/>
      <c r="AW829" s="1"/>
    </row>
    <row r="830" spans="1:49" ht="15.75">
      <c r="A830" s="1"/>
      <c r="L830" s="4"/>
      <c r="T830" s="1"/>
      <c r="Y830" s="1"/>
      <c r="AF830" s="1"/>
      <c r="AW830" s="1"/>
    </row>
    <row r="831" spans="1:49" ht="15.75">
      <c r="A831" s="1"/>
      <c r="L831" s="4"/>
      <c r="T831" s="1"/>
      <c r="Y831" s="1"/>
      <c r="AF831" s="1"/>
      <c r="AW831" s="1"/>
    </row>
    <row r="832" spans="1:49" ht="15.75">
      <c r="A832" s="1"/>
      <c r="L832" s="4"/>
      <c r="T832" s="1"/>
      <c r="Y832" s="1"/>
      <c r="AF832" s="1"/>
      <c r="AW832" s="1"/>
    </row>
    <row r="833" spans="1:49" ht="15.75">
      <c r="A833" s="1"/>
      <c r="L833" s="4"/>
      <c r="T833" s="1"/>
      <c r="Y833" s="1"/>
      <c r="AF833" s="1"/>
      <c r="AW833" s="1"/>
    </row>
    <row r="834" spans="1:49" ht="15.75">
      <c r="A834" s="1"/>
      <c r="L834" s="4"/>
      <c r="T834" s="1"/>
      <c r="Y834" s="1"/>
      <c r="AF834" s="1"/>
      <c r="AW834" s="1"/>
    </row>
    <row r="835" spans="1:49" ht="15.75">
      <c r="A835" s="1"/>
      <c r="L835" s="4"/>
      <c r="T835" s="1"/>
      <c r="Y835" s="1"/>
      <c r="AF835" s="1"/>
      <c r="AW835" s="1"/>
    </row>
    <row r="836" spans="1:49" ht="15.75">
      <c r="A836" s="1"/>
      <c r="L836" s="4"/>
      <c r="T836" s="1"/>
      <c r="Y836" s="1"/>
      <c r="AF836" s="1"/>
      <c r="AW836" s="1"/>
    </row>
    <row r="837" spans="1:49" ht="15.75">
      <c r="A837" s="1"/>
      <c r="L837" s="4"/>
      <c r="T837" s="1"/>
      <c r="Y837" s="1"/>
      <c r="AF837" s="1"/>
      <c r="AW837" s="1"/>
    </row>
    <row r="838" spans="1:49" ht="15.75">
      <c r="A838" s="1"/>
      <c r="L838" s="4"/>
      <c r="T838" s="1"/>
      <c r="Y838" s="1"/>
      <c r="AF838" s="1"/>
      <c r="AW838" s="1"/>
    </row>
    <row r="839" spans="1:49" ht="15.75">
      <c r="A839" s="1"/>
      <c r="L839" s="4"/>
      <c r="T839" s="1"/>
      <c r="Y839" s="1"/>
      <c r="AF839" s="1"/>
      <c r="AW839" s="1"/>
    </row>
    <row r="840" spans="1:49" ht="15.75">
      <c r="A840" s="1"/>
      <c r="L840" s="4"/>
      <c r="T840" s="1"/>
      <c r="Y840" s="1"/>
      <c r="AF840" s="1"/>
      <c r="AW840" s="1"/>
    </row>
    <row r="841" spans="1:49" ht="15.75">
      <c r="A841" s="1"/>
      <c r="L841" s="4"/>
      <c r="T841" s="1"/>
      <c r="Y841" s="1"/>
      <c r="AF841" s="1"/>
      <c r="AW841" s="1"/>
    </row>
    <row r="842" spans="1:49" ht="15.75">
      <c r="A842" s="1"/>
      <c r="L842" s="4"/>
      <c r="T842" s="1"/>
      <c r="Y842" s="1"/>
      <c r="AF842" s="1"/>
      <c r="AW842" s="1"/>
    </row>
    <row r="843" spans="1:49" ht="15.75">
      <c r="A843" s="1"/>
      <c r="L843" s="4"/>
      <c r="T843" s="1"/>
      <c r="Y843" s="1"/>
      <c r="AF843" s="1"/>
      <c r="AW843" s="1"/>
    </row>
    <row r="844" spans="1:49" ht="15.75">
      <c r="A844" s="1"/>
      <c r="L844" s="4"/>
      <c r="T844" s="1"/>
      <c r="Y844" s="1"/>
      <c r="AF844" s="1"/>
      <c r="AW844" s="1"/>
    </row>
    <row r="845" spans="1:49" ht="15.75">
      <c r="A845" s="1"/>
      <c r="L845" s="4"/>
      <c r="T845" s="1"/>
      <c r="Y845" s="1"/>
      <c r="AF845" s="1"/>
      <c r="AW845" s="1"/>
    </row>
    <row r="846" spans="1:49" ht="15.75">
      <c r="A846" s="1"/>
      <c r="L846" s="4"/>
      <c r="T846" s="1"/>
      <c r="Y846" s="1"/>
      <c r="AF846" s="1"/>
      <c r="AW846" s="1"/>
    </row>
    <row r="847" spans="1:49" ht="15.75">
      <c r="A847" s="1"/>
      <c r="L847" s="4"/>
      <c r="T847" s="1"/>
      <c r="Y847" s="1"/>
      <c r="AF847" s="1"/>
      <c r="AW847" s="1"/>
    </row>
    <row r="848" spans="1:49" ht="15.75">
      <c r="A848" s="1"/>
      <c r="L848" s="4"/>
      <c r="T848" s="1"/>
      <c r="Y848" s="1"/>
      <c r="AF848" s="1"/>
      <c r="AW848" s="1"/>
    </row>
    <row r="849" spans="1:49" ht="15.75">
      <c r="A849" s="1"/>
      <c r="L849" s="4"/>
      <c r="T849" s="1"/>
      <c r="Y849" s="1"/>
      <c r="AF849" s="1"/>
      <c r="AW849" s="1"/>
    </row>
    <row r="850" spans="1:49" ht="15.75">
      <c r="A850" s="1"/>
      <c r="L850" s="4"/>
      <c r="T850" s="1"/>
      <c r="Y850" s="1"/>
      <c r="AF850" s="1"/>
      <c r="AW850" s="1"/>
    </row>
    <row r="851" spans="1:49" ht="15.75">
      <c r="A851" s="1"/>
      <c r="L851" s="4"/>
      <c r="T851" s="1"/>
      <c r="Y851" s="1"/>
      <c r="AF851" s="1"/>
      <c r="AW851" s="1"/>
    </row>
    <row r="852" spans="1:49" ht="15.75">
      <c r="A852" s="1"/>
      <c r="L852" s="4"/>
      <c r="T852" s="1"/>
      <c r="Y852" s="1"/>
      <c r="AF852" s="1"/>
      <c r="AW852" s="1"/>
    </row>
    <row r="853" spans="1:49" ht="15.75">
      <c r="A853" s="1"/>
      <c r="L853" s="4"/>
      <c r="T853" s="1"/>
      <c r="Y853" s="1"/>
      <c r="AF853" s="1"/>
      <c r="AW853" s="1"/>
    </row>
    <row r="854" spans="1:49" ht="15.75">
      <c r="A854" s="1"/>
      <c r="L854" s="4"/>
      <c r="T854" s="1"/>
      <c r="Y854" s="1"/>
      <c r="AF854" s="1"/>
      <c r="AW854" s="1"/>
    </row>
    <row r="855" spans="1:49" ht="15.75">
      <c r="A855" s="1"/>
      <c r="L855" s="4"/>
      <c r="T855" s="1"/>
      <c r="Y855" s="1"/>
      <c r="AF855" s="1"/>
      <c r="AW855" s="1"/>
    </row>
    <row r="856" spans="1:49" ht="15.75">
      <c r="A856" s="1"/>
      <c r="L856" s="4"/>
      <c r="T856" s="1"/>
      <c r="Y856" s="1"/>
      <c r="AF856" s="1"/>
      <c r="AW856" s="1"/>
    </row>
    <row r="857" spans="1:49" ht="15.75">
      <c r="A857" s="1"/>
      <c r="L857" s="4"/>
      <c r="T857" s="1"/>
      <c r="Y857" s="1"/>
      <c r="AF857" s="1"/>
      <c r="AW857" s="1"/>
    </row>
    <row r="858" spans="1:49" ht="15.75">
      <c r="A858" s="1"/>
      <c r="L858" s="4"/>
      <c r="T858" s="1"/>
      <c r="Y858" s="1"/>
      <c r="AF858" s="1"/>
      <c r="AW858" s="1"/>
    </row>
    <row r="859" spans="1:49" ht="15.75">
      <c r="A859" s="1"/>
      <c r="L859" s="4"/>
      <c r="T859" s="1"/>
      <c r="Y859" s="1"/>
      <c r="AF859" s="1"/>
      <c r="AW859" s="1"/>
    </row>
    <row r="860" spans="1:49" ht="15.75">
      <c r="A860" s="1"/>
      <c r="L860" s="4"/>
      <c r="T860" s="1"/>
      <c r="Y860" s="1"/>
      <c r="AF860" s="1"/>
      <c r="AW860" s="1"/>
    </row>
    <row r="861" spans="1:49" ht="15.75">
      <c r="A861" s="1"/>
      <c r="L861" s="4"/>
      <c r="T861" s="1"/>
      <c r="Y861" s="1"/>
      <c r="AF861" s="1"/>
      <c r="AW861" s="1"/>
    </row>
    <row r="862" spans="1:49" ht="15.75">
      <c r="A862" s="1"/>
      <c r="L862" s="4"/>
      <c r="T862" s="1"/>
      <c r="Y862" s="1"/>
      <c r="AF862" s="1"/>
      <c r="AW862" s="1"/>
    </row>
    <row r="863" spans="1:49" ht="15.75">
      <c r="A863" s="1"/>
      <c r="L863" s="4"/>
      <c r="T863" s="1"/>
      <c r="Y863" s="1"/>
      <c r="AF863" s="1"/>
      <c r="AW863" s="1"/>
    </row>
    <row r="864" spans="1:49" ht="15.75">
      <c r="A864" s="1"/>
      <c r="L864" s="4"/>
      <c r="T864" s="1"/>
      <c r="Y864" s="1"/>
      <c r="AF864" s="1"/>
      <c r="AW864" s="1"/>
    </row>
    <row r="865" spans="1:49" ht="15.75">
      <c r="A865" s="1"/>
      <c r="L865" s="4"/>
      <c r="T865" s="1"/>
      <c r="Y865" s="1"/>
      <c r="AF865" s="1"/>
      <c r="AW865" s="1"/>
    </row>
    <row r="866" spans="1:49" ht="15.75">
      <c r="A866" s="1"/>
      <c r="L866" s="4"/>
      <c r="T866" s="1"/>
      <c r="Y866" s="1"/>
      <c r="AF866" s="1"/>
      <c r="AW866" s="1"/>
    </row>
    <row r="867" spans="1:49" ht="15.75">
      <c r="A867" s="1"/>
      <c r="L867" s="4"/>
      <c r="T867" s="1"/>
      <c r="Y867" s="1"/>
      <c r="AF867" s="1"/>
      <c r="AW867" s="1"/>
    </row>
    <row r="868" spans="1:49" ht="15.75">
      <c r="A868" s="1"/>
      <c r="L868" s="4"/>
      <c r="T868" s="1"/>
      <c r="Y868" s="1"/>
      <c r="AF868" s="1"/>
      <c r="AW868" s="1"/>
    </row>
    <row r="869" spans="1:49" ht="15.75">
      <c r="A869" s="1"/>
      <c r="L869" s="4"/>
      <c r="T869" s="1"/>
      <c r="Y869" s="1"/>
      <c r="AF869" s="1"/>
      <c r="AW869" s="1"/>
    </row>
    <row r="870" spans="1:49" ht="15.75">
      <c r="A870" s="1"/>
      <c r="L870" s="4"/>
      <c r="T870" s="1"/>
      <c r="Y870" s="1"/>
      <c r="AF870" s="1"/>
      <c r="AW870" s="1"/>
    </row>
    <row r="871" spans="1:49" ht="15.75">
      <c r="A871" s="1"/>
      <c r="L871" s="4"/>
      <c r="T871" s="1"/>
      <c r="Y871" s="1"/>
      <c r="AF871" s="1"/>
      <c r="AW871" s="1"/>
    </row>
    <row r="872" spans="1:49" ht="15.75">
      <c r="A872" s="1"/>
      <c r="L872" s="4"/>
      <c r="T872" s="1"/>
      <c r="Y872" s="1"/>
      <c r="AF872" s="1"/>
      <c r="AW872" s="1"/>
    </row>
    <row r="873" spans="1:49" ht="15.75">
      <c r="A873" s="1"/>
      <c r="L873" s="4"/>
      <c r="T873" s="1"/>
      <c r="Y873" s="1"/>
      <c r="AF873" s="1"/>
      <c r="AW873" s="1"/>
    </row>
    <row r="874" spans="1:49" ht="15.75">
      <c r="A874" s="1"/>
      <c r="L874" s="4"/>
      <c r="T874" s="1"/>
      <c r="Y874" s="1"/>
      <c r="AF874" s="1"/>
      <c r="AW874" s="1"/>
    </row>
    <row r="875" spans="1:49" ht="15.75">
      <c r="A875" s="1"/>
      <c r="L875" s="4"/>
      <c r="T875" s="1"/>
      <c r="Y875" s="1"/>
      <c r="AF875" s="1"/>
      <c r="AW875" s="1"/>
    </row>
    <row r="876" spans="1:49" ht="15.75">
      <c r="A876" s="1"/>
      <c r="L876" s="4"/>
      <c r="T876" s="1"/>
      <c r="Y876" s="1"/>
      <c r="AF876" s="1"/>
      <c r="AW876" s="1"/>
    </row>
    <row r="877" spans="1:49" ht="15.75">
      <c r="A877" s="1"/>
      <c r="L877" s="4"/>
      <c r="T877" s="1"/>
      <c r="Y877" s="1"/>
      <c r="AF877" s="1"/>
      <c r="AW877" s="1"/>
    </row>
    <row r="878" spans="1:49" ht="15.75">
      <c r="A878" s="1"/>
      <c r="L878" s="4"/>
      <c r="T878" s="1"/>
      <c r="Y878" s="1"/>
      <c r="AF878" s="1"/>
      <c r="AW878" s="1"/>
    </row>
    <row r="879" spans="1:49" ht="15.75">
      <c r="A879" s="1"/>
      <c r="L879" s="4"/>
      <c r="T879" s="1"/>
      <c r="Y879" s="1"/>
      <c r="AF879" s="1"/>
      <c r="AW879" s="1"/>
    </row>
    <row r="880" spans="1:49" ht="15.75">
      <c r="A880" s="1"/>
      <c r="L880" s="4"/>
      <c r="T880" s="1"/>
      <c r="Y880" s="1"/>
      <c r="AF880" s="1"/>
      <c r="AW880" s="1"/>
    </row>
    <row r="881" spans="1:49" ht="15.75">
      <c r="A881" s="1"/>
      <c r="L881" s="4"/>
      <c r="T881" s="1"/>
      <c r="Y881" s="1"/>
      <c r="AF881" s="1"/>
      <c r="AW881" s="1"/>
    </row>
    <row r="882" spans="1:49" ht="15.75">
      <c r="A882" s="1"/>
      <c r="L882" s="4"/>
      <c r="T882" s="1"/>
      <c r="Y882" s="1"/>
      <c r="AF882" s="1"/>
      <c r="AW882" s="1"/>
    </row>
    <row r="883" spans="1:49" ht="15.75">
      <c r="A883" s="1"/>
      <c r="L883" s="4"/>
      <c r="T883" s="1"/>
      <c r="Y883" s="1"/>
      <c r="AF883" s="1"/>
      <c r="AW883" s="1"/>
    </row>
    <row r="884" spans="1:49" ht="15.75">
      <c r="A884" s="1"/>
      <c r="L884" s="4"/>
      <c r="T884" s="1"/>
      <c r="Y884" s="1"/>
      <c r="AF884" s="1"/>
      <c r="AW884" s="1"/>
    </row>
    <row r="885" spans="1:49" ht="15.75">
      <c r="A885" s="1"/>
      <c r="L885" s="4"/>
      <c r="T885" s="1"/>
      <c r="Y885" s="1"/>
      <c r="AF885" s="1"/>
      <c r="AW885" s="1"/>
    </row>
    <row r="886" spans="1:49" ht="15.75">
      <c r="A886" s="1"/>
      <c r="L886" s="4"/>
      <c r="T886" s="1"/>
      <c r="Y886" s="1"/>
      <c r="AF886" s="1"/>
      <c r="AW886" s="1"/>
    </row>
    <row r="887" spans="1:49" ht="15.75">
      <c r="A887" s="1"/>
      <c r="L887" s="4"/>
      <c r="T887" s="1"/>
      <c r="Y887" s="1"/>
      <c r="AF887" s="1"/>
      <c r="AW887" s="1"/>
    </row>
    <row r="888" spans="1:49" ht="15.75">
      <c r="A888" s="1"/>
      <c r="L888" s="4"/>
      <c r="T888" s="1"/>
      <c r="Y888" s="1"/>
      <c r="AF888" s="1"/>
      <c r="AW888" s="1"/>
    </row>
    <row r="889" spans="1:49" ht="15.75">
      <c r="A889" s="1"/>
      <c r="L889" s="4"/>
      <c r="T889" s="1"/>
      <c r="Y889" s="1"/>
      <c r="AF889" s="1"/>
      <c r="AW889" s="1"/>
    </row>
    <row r="890" spans="1:49" ht="15.75">
      <c r="A890" s="1"/>
      <c r="L890" s="4"/>
      <c r="T890" s="1"/>
      <c r="Y890" s="1"/>
      <c r="AF890" s="1"/>
      <c r="AW890" s="1"/>
    </row>
    <row r="891" spans="1:49" ht="15.75">
      <c r="A891" s="1"/>
      <c r="L891" s="4"/>
      <c r="T891" s="1"/>
      <c r="Y891" s="1"/>
      <c r="AF891" s="1"/>
      <c r="AW891" s="1"/>
    </row>
    <row r="892" spans="1:49" ht="15.75">
      <c r="A892" s="1"/>
      <c r="L892" s="4"/>
      <c r="T892" s="1"/>
      <c r="Y892" s="1"/>
      <c r="AF892" s="1"/>
      <c r="AW892" s="1"/>
    </row>
    <row r="893" spans="1:49" ht="15.75">
      <c r="A893" s="1"/>
      <c r="L893" s="4"/>
      <c r="T893" s="1"/>
      <c r="Y893" s="1"/>
      <c r="AF893" s="1"/>
      <c r="AW893" s="1"/>
    </row>
    <row r="894" spans="1:49" ht="15.75">
      <c r="A894" s="1"/>
      <c r="L894" s="4"/>
      <c r="T894" s="1"/>
      <c r="Y894" s="1"/>
      <c r="AF894" s="1"/>
      <c r="AW894" s="1"/>
    </row>
    <row r="895" spans="1:49" ht="15.75">
      <c r="A895" s="1"/>
      <c r="L895" s="4"/>
      <c r="T895" s="1"/>
      <c r="Y895" s="1"/>
      <c r="AF895" s="1"/>
      <c r="AW895" s="1"/>
    </row>
    <row r="896" spans="1:49" ht="15.75">
      <c r="A896" s="1"/>
      <c r="L896" s="4"/>
      <c r="T896" s="1"/>
      <c r="Y896" s="1"/>
      <c r="AF896" s="1"/>
      <c r="AW896" s="1"/>
    </row>
    <row r="897" spans="1:49" ht="15.75">
      <c r="A897" s="1"/>
      <c r="L897" s="4"/>
      <c r="T897" s="1"/>
      <c r="Y897" s="1"/>
      <c r="AF897" s="1"/>
      <c r="AW897" s="1"/>
    </row>
    <row r="898" spans="1:49" ht="15.75">
      <c r="A898" s="1"/>
      <c r="L898" s="4"/>
      <c r="T898" s="1"/>
      <c r="Y898" s="1"/>
      <c r="AF898" s="1"/>
      <c r="AW898" s="1"/>
    </row>
    <row r="899" spans="1:49" ht="15.75">
      <c r="A899" s="1"/>
      <c r="L899" s="4"/>
      <c r="T899" s="1"/>
      <c r="Y899" s="1"/>
      <c r="AF899" s="1"/>
      <c r="AW899" s="1"/>
    </row>
    <row r="900" spans="1:49" ht="15.75">
      <c r="A900" s="1"/>
      <c r="L900" s="4"/>
      <c r="T900" s="1"/>
      <c r="Y900" s="1"/>
      <c r="AF900" s="1"/>
      <c r="AW900" s="1"/>
    </row>
    <row r="901" spans="1:49" ht="15.75">
      <c r="A901" s="1"/>
      <c r="L901" s="4"/>
      <c r="T901" s="1"/>
      <c r="Y901" s="1"/>
      <c r="AF901" s="1"/>
      <c r="AW901" s="1"/>
    </row>
    <row r="902" spans="1:49" ht="15.75">
      <c r="A902" s="1"/>
      <c r="L902" s="4"/>
      <c r="T902" s="1"/>
      <c r="Y902" s="1"/>
      <c r="AF902" s="1"/>
      <c r="AW902" s="1"/>
    </row>
    <row r="903" spans="1:49" ht="15.75">
      <c r="A903" s="1"/>
      <c r="L903" s="4"/>
      <c r="T903" s="1"/>
      <c r="Y903" s="1"/>
      <c r="AF903" s="1"/>
      <c r="AW903" s="1"/>
    </row>
    <row r="904" spans="1:49" ht="15.75">
      <c r="A904" s="1"/>
      <c r="L904" s="4"/>
      <c r="T904" s="1"/>
      <c r="Y904" s="1"/>
      <c r="AF904" s="1"/>
      <c r="AW904" s="1"/>
    </row>
    <row r="905" spans="1:49" ht="15.75">
      <c r="A905" s="1"/>
      <c r="L905" s="4"/>
      <c r="T905" s="1"/>
      <c r="Y905" s="1"/>
      <c r="AF905" s="1"/>
      <c r="AW905" s="1"/>
    </row>
    <row r="906" spans="1:49" ht="15.75">
      <c r="A906" s="1"/>
      <c r="L906" s="4"/>
      <c r="T906" s="1"/>
      <c r="Y906" s="1"/>
      <c r="AF906" s="1"/>
      <c r="AW906" s="1"/>
    </row>
    <row r="907" spans="1:49" ht="15.75">
      <c r="A907" s="1"/>
      <c r="L907" s="4"/>
      <c r="T907" s="1"/>
      <c r="Y907" s="1"/>
      <c r="AF907" s="1"/>
      <c r="AW907" s="1"/>
    </row>
    <row r="908" spans="1:49" ht="15.75">
      <c r="A908" s="1"/>
      <c r="L908" s="4"/>
      <c r="T908" s="1"/>
      <c r="Y908" s="1"/>
      <c r="AF908" s="1"/>
      <c r="AW908" s="1"/>
    </row>
    <row r="909" spans="1:49" ht="15.75">
      <c r="A909" s="1"/>
      <c r="L909" s="4"/>
      <c r="T909" s="1"/>
      <c r="Y909" s="1"/>
      <c r="AF909" s="1"/>
      <c r="AW909" s="1"/>
    </row>
    <row r="910" spans="1:49" ht="15.75">
      <c r="A910" s="1"/>
      <c r="L910" s="4"/>
      <c r="T910" s="1"/>
      <c r="Y910" s="1"/>
      <c r="AF910" s="1"/>
      <c r="AW910" s="1"/>
    </row>
    <row r="911" spans="1:49" ht="15.75">
      <c r="A911" s="1"/>
      <c r="L911" s="4"/>
      <c r="T911" s="1"/>
      <c r="Y911" s="1"/>
      <c r="AF911" s="1"/>
      <c r="AW911" s="1"/>
    </row>
    <row r="912" spans="1:49" ht="15.75">
      <c r="A912" s="1"/>
      <c r="L912" s="4"/>
      <c r="T912" s="1"/>
      <c r="Y912" s="1"/>
      <c r="AF912" s="1"/>
      <c r="AW912" s="1"/>
    </row>
    <row r="913" spans="1:49" ht="15.75">
      <c r="A913" s="1"/>
      <c r="L913" s="4"/>
      <c r="T913" s="1"/>
      <c r="Y913" s="1"/>
      <c r="AF913" s="1"/>
      <c r="AW913" s="1"/>
    </row>
    <row r="914" spans="1:49" ht="15.75">
      <c r="A914" s="1"/>
      <c r="L914" s="4"/>
      <c r="T914" s="1"/>
      <c r="Y914" s="1"/>
      <c r="AF914" s="1"/>
      <c r="AW914" s="1"/>
    </row>
    <row r="915" spans="1:49" ht="15.75">
      <c r="A915" s="1"/>
      <c r="L915" s="4"/>
      <c r="T915" s="1"/>
      <c r="Y915" s="1"/>
      <c r="AF915" s="1"/>
      <c r="AW915" s="1"/>
    </row>
    <row r="916" spans="1:49" ht="15.75">
      <c r="A916" s="1"/>
      <c r="L916" s="4"/>
      <c r="T916" s="1"/>
      <c r="Y916" s="1"/>
      <c r="AF916" s="1"/>
      <c r="AW916" s="1"/>
    </row>
    <row r="917" spans="1:49" ht="15.75">
      <c r="A917" s="1"/>
      <c r="L917" s="4"/>
      <c r="T917" s="1"/>
      <c r="Y917" s="1"/>
      <c r="AF917" s="1"/>
      <c r="AW917" s="1"/>
    </row>
    <row r="918" spans="1:49" ht="15.75">
      <c r="A918" s="1"/>
      <c r="L918" s="4"/>
      <c r="T918" s="1"/>
      <c r="Y918" s="1"/>
      <c r="AF918" s="1"/>
      <c r="AW918" s="1"/>
    </row>
    <row r="919" spans="1:49" ht="15.75">
      <c r="A919" s="1"/>
      <c r="L919" s="4"/>
      <c r="T919" s="1"/>
      <c r="Y919" s="1"/>
      <c r="AF919" s="1"/>
      <c r="AW919" s="1"/>
    </row>
    <row r="920" spans="1:49" ht="15.75">
      <c r="A920" s="1"/>
      <c r="L920" s="4"/>
      <c r="T920" s="1"/>
      <c r="Y920" s="1"/>
      <c r="AF920" s="1"/>
      <c r="AW920" s="1"/>
    </row>
    <row r="921" spans="1:49" ht="15.75">
      <c r="A921" s="1"/>
      <c r="L921" s="4"/>
      <c r="T921" s="1"/>
      <c r="Y921" s="1"/>
      <c r="AF921" s="1"/>
      <c r="AW921" s="1"/>
    </row>
    <row r="922" spans="1:49" ht="15.75">
      <c r="A922" s="1"/>
      <c r="L922" s="4"/>
      <c r="T922" s="1"/>
      <c r="Y922" s="1"/>
      <c r="AF922" s="1"/>
      <c r="AW922" s="1"/>
    </row>
    <row r="923" spans="1:49" ht="15.75">
      <c r="A923" s="1"/>
      <c r="L923" s="4"/>
      <c r="T923" s="1"/>
      <c r="Y923" s="1"/>
      <c r="AF923" s="1"/>
      <c r="AW923" s="1"/>
    </row>
    <row r="924" spans="1:49" ht="15.75">
      <c r="A924" s="1"/>
      <c r="L924" s="4"/>
      <c r="T924" s="1"/>
      <c r="Y924" s="1"/>
      <c r="AF924" s="1"/>
      <c r="AW924" s="1"/>
    </row>
    <row r="925" spans="1:49" ht="15.75">
      <c r="A925" s="1"/>
      <c r="L925" s="4"/>
      <c r="T925" s="1"/>
      <c r="Y925" s="1"/>
      <c r="AF925" s="1"/>
      <c r="AW925" s="1"/>
    </row>
    <row r="926" spans="1:49" ht="15.75">
      <c r="A926" s="1"/>
      <c r="L926" s="4"/>
      <c r="T926" s="1"/>
      <c r="Y926" s="1"/>
      <c r="AF926" s="1"/>
      <c r="AW926" s="1"/>
    </row>
    <row r="927" spans="1:49" ht="15.75">
      <c r="A927" s="1"/>
      <c r="L927" s="4"/>
      <c r="T927" s="1"/>
      <c r="Y927" s="1"/>
      <c r="AF927" s="1"/>
      <c r="AW927" s="1"/>
    </row>
    <row r="928" spans="1:49" ht="15.75">
      <c r="A928" s="1"/>
      <c r="L928" s="4"/>
      <c r="T928" s="1"/>
      <c r="Y928" s="1"/>
      <c r="AF928" s="1"/>
      <c r="AW928" s="1"/>
    </row>
    <row r="929" spans="1:49" ht="15.75">
      <c r="A929" s="1"/>
      <c r="L929" s="4"/>
      <c r="T929" s="1"/>
      <c r="Y929" s="1"/>
      <c r="AF929" s="1"/>
      <c r="AW929" s="1"/>
    </row>
    <row r="930" spans="1:49" ht="15.75">
      <c r="A930" s="1"/>
      <c r="L930" s="4"/>
      <c r="T930" s="1"/>
      <c r="Y930" s="1"/>
      <c r="AF930" s="1"/>
      <c r="AW930" s="1"/>
    </row>
    <row r="931" spans="1:49" ht="15.75">
      <c r="A931" s="1"/>
      <c r="L931" s="4"/>
      <c r="T931" s="1"/>
      <c r="Y931" s="1"/>
      <c r="AF931" s="1"/>
      <c r="AW931" s="1"/>
    </row>
    <row r="932" spans="1:49" ht="15.75">
      <c r="A932" s="1"/>
      <c r="L932" s="4"/>
      <c r="T932" s="1"/>
      <c r="Y932" s="1"/>
      <c r="AF932" s="1"/>
      <c r="AW932" s="1"/>
    </row>
    <row r="933" spans="1:49" ht="15.75">
      <c r="A933" s="1"/>
      <c r="L933" s="4"/>
      <c r="T933" s="1"/>
      <c r="Y933" s="1"/>
      <c r="AF933" s="1"/>
      <c r="AW933" s="1"/>
    </row>
    <row r="934" spans="1:49" ht="15.75">
      <c r="A934" s="1"/>
      <c r="L934" s="4"/>
      <c r="T934" s="1"/>
      <c r="Y934" s="1"/>
      <c r="AF934" s="1"/>
      <c r="AW934" s="1"/>
    </row>
    <row r="935" spans="1:49" ht="15.75">
      <c r="A935" s="1"/>
      <c r="L935" s="4"/>
      <c r="T935" s="1"/>
      <c r="Y935" s="1"/>
      <c r="AF935" s="1"/>
      <c r="AW935" s="1"/>
    </row>
    <row r="936" spans="1:49" ht="15.75">
      <c r="A936" s="1"/>
      <c r="L936" s="4"/>
      <c r="T936" s="1"/>
      <c r="Y936" s="1"/>
      <c r="AF936" s="1"/>
      <c r="AW936" s="1"/>
    </row>
    <row r="937" spans="1:49" ht="15.75">
      <c r="A937" s="1"/>
      <c r="L937" s="4"/>
      <c r="T937" s="1"/>
      <c r="Y937" s="1"/>
      <c r="AF937" s="1"/>
      <c r="AW937" s="1"/>
    </row>
    <row r="938" spans="1:49" ht="15.75">
      <c r="A938" s="1"/>
      <c r="L938" s="4"/>
      <c r="T938" s="1"/>
      <c r="Y938" s="1"/>
      <c r="AF938" s="1"/>
      <c r="AW938" s="1"/>
    </row>
    <row r="939" spans="1:49" ht="15.75">
      <c r="A939" s="1"/>
      <c r="L939" s="4"/>
      <c r="T939" s="1"/>
      <c r="Y939" s="1"/>
      <c r="AF939" s="1"/>
      <c r="AW939" s="1"/>
    </row>
    <row r="940" spans="1:49" ht="15.75">
      <c r="A940" s="1"/>
      <c r="L940" s="4"/>
      <c r="T940" s="1"/>
      <c r="Y940" s="1"/>
      <c r="AF940" s="1"/>
      <c r="AW940" s="1"/>
    </row>
    <row r="941" spans="1:49" ht="15.75">
      <c r="A941" s="1"/>
      <c r="L941" s="4"/>
      <c r="T941" s="1"/>
      <c r="Y941" s="1"/>
      <c r="AF941" s="1"/>
      <c r="AW941" s="1"/>
    </row>
    <row r="942" spans="1:49" ht="15.75">
      <c r="A942" s="1"/>
      <c r="L942" s="4"/>
      <c r="T942" s="1"/>
      <c r="Y942" s="1"/>
      <c r="AF942" s="1"/>
      <c r="AW942" s="1"/>
    </row>
    <row r="943" spans="1:49" ht="15.75">
      <c r="A943" s="1"/>
      <c r="L943" s="4"/>
      <c r="T943" s="1"/>
      <c r="Y943" s="1"/>
      <c r="AF943" s="1"/>
      <c r="AW943" s="1"/>
    </row>
    <row r="944" spans="1:49" ht="15.75">
      <c r="A944" s="1"/>
      <c r="L944" s="4"/>
      <c r="T944" s="1"/>
      <c r="Y944" s="1"/>
      <c r="AF944" s="1"/>
      <c r="AW944" s="1"/>
    </row>
    <row r="945" spans="1:49" ht="15.75">
      <c r="A945" s="1"/>
      <c r="L945" s="4"/>
      <c r="T945" s="1"/>
      <c r="Y945" s="1"/>
      <c r="AF945" s="1"/>
      <c r="AW945" s="1"/>
    </row>
    <row r="946" spans="1:49" ht="15.75">
      <c r="A946" s="1"/>
      <c r="L946" s="4"/>
      <c r="T946" s="1"/>
      <c r="Y946" s="1"/>
      <c r="AF946" s="1"/>
      <c r="AW946" s="1"/>
    </row>
    <row r="947" spans="1:49" ht="15.75">
      <c r="A947" s="1"/>
      <c r="L947" s="4"/>
      <c r="T947" s="1"/>
      <c r="Y947" s="1"/>
      <c r="AF947" s="1"/>
      <c r="AW947" s="1"/>
    </row>
    <row r="948" spans="1:49" ht="15.75">
      <c r="A948" s="1"/>
      <c r="L948" s="4"/>
      <c r="T948" s="1"/>
      <c r="Y948" s="1"/>
      <c r="AF948" s="1"/>
      <c r="AW948" s="1"/>
    </row>
    <row r="949" spans="1:49" ht="15.75">
      <c r="A949" s="1"/>
      <c r="L949" s="4"/>
      <c r="T949" s="1"/>
      <c r="Y949" s="1"/>
      <c r="AF949" s="1"/>
      <c r="AW949" s="1"/>
    </row>
    <row r="950" spans="1:49" ht="15.75">
      <c r="A950" s="1"/>
      <c r="L950" s="4"/>
      <c r="T950" s="1"/>
      <c r="Y950" s="1"/>
      <c r="AF950" s="1"/>
      <c r="AW950" s="1"/>
    </row>
    <row r="951" spans="1:49" ht="15.75">
      <c r="A951" s="1"/>
      <c r="L951" s="4"/>
      <c r="T951" s="1"/>
      <c r="Y951" s="1"/>
      <c r="AF951" s="1"/>
      <c r="AW951" s="1"/>
    </row>
    <row r="952" spans="1:49" ht="15.75">
      <c r="A952" s="1"/>
      <c r="L952" s="4"/>
      <c r="T952" s="1"/>
      <c r="Y952" s="1"/>
      <c r="AF952" s="1"/>
      <c r="AW952" s="1"/>
    </row>
    <row r="953" spans="1:49" ht="15.75">
      <c r="A953" s="1"/>
      <c r="L953" s="4"/>
      <c r="T953" s="1"/>
      <c r="Y953" s="1"/>
      <c r="AF953" s="1"/>
      <c r="AW953" s="1"/>
    </row>
    <row r="954" spans="1:49" ht="15.75">
      <c r="A954" s="1"/>
      <c r="L954" s="4"/>
      <c r="T954" s="1"/>
      <c r="Y954" s="1"/>
      <c r="AF954" s="1"/>
      <c r="AW954" s="1"/>
    </row>
    <row r="955" spans="1:49" ht="15.75">
      <c r="A955" s="1"/>
      <c r="L955" s="4"/>
      <c r="T955" s="1"/>
      <c r="Y955" s="1"/>
      <c r="AF955" s="1"/>
      <c r="AW955" s="1"/>
    </row>
    <row r="956" spans="1:49" ht="15.75">
      <c r="A956" s="1"/>
      <c r="L956" s="4"/>
      <c r="T956" s="1"/>
      <c r="Y956" s="1"/>
      <c r="AF956" s="1"/>
      <c r="AW956" s="1"/>
    </row>
    <row r="957" spans="1:49" ht="15.75">
      <c r="A957" s="1"/>
      <c r="L957" s="4"/>
      <c r="T957" s="1"/>
      <c r="Y957" s="1"/>
      <c r="AF957" s="1"/>
      <c r="AW957" s="1"/>
    </row>
    <row r="958" spans="1:49" ht="15.75">
      <c r="A958" s="1"/>
      <c r="L958" s="4"/>
      <c r="T958" s="1"/>
      <c r="Y958" s="1"/>
      <c r="AF958" s="1"/>
      <c r="AW958" s="1"/>
    </row>
    <row r="959" spans="1:49" ht="15.75">
      <c r="A959" s="1"/>
      <c r="L959" s="4"/>
      <c r="T959" s="1"/>
      <c r="Y959" s="1"/>
      <c r="AF959" s="1"/>
      <c r="AW959" s="1"/>
    </row>
    <row r="960" spans="1:49" ht="15.75">
      <c r="A960" s="1"/>
      <c r="L960" s="4"/>
      <c r="T960" s="1"/>
      <c r="Y960" s="1"/>
      <c r="AF960" s="1"/>
      <c r="AW960" s="1"/>
    </row>
    <row r="961" spans="1:49" ht="15.75">
      <c r="A961" s="1"/>
      <c r="L961" s="4"/>
      <c r="T961" s="1"/>
      <c r="Y961" s="1"/>
      <c r="AF961" s="1"/>
      <c r="AW961" s="1"/>
    </row>
    <row r="962" spans="1:49" ht="15.75">
      <c r="A962" s="1"/>
      <c r="L962" s="4"/>
      <c r="T962" s="1"/>
      <c r="Y962" s="1"/>
      <c r="AF962" s="1"/>
      <c r="AW962" s="1"/>
    </row>
    <row r="963" spans="1:49" ht="15.75">
      <c r="A963" s="1"/>
      <c r="L963" s="4"/>
      <c r="T963" s="1"/>
      <c r="Y963" s="1"/>
      <c r="AF963" s="1"/>
      <c r="AW963" s="1"/>
    </row>
    <row r="964" spans="1:49" ht="15.75">
      <c r="A964" s="1"/>
      <c r="L964" s="4"/>
      <c r="T964" s="1"/>
      <c r="Y964" s="1"/>
      <c r="AF964" s="1"/>
      <c r="AW964" s="1"/>
    </row>
    <row r="965" spans="1:49" ht="15.75">
      <c r="A965" s="1"/>
      <c r="L965" s="4"/>
      <c r="T965" s="1"/>
      <c r="Y965" s="1"/>
      <c r="AF965" s="1"/>
      <c r="AW965" s="1"/>
    </row>
    <row r="966" spans="1:49" ht="15.75">
      <c r="A966" s="1"/>
      <c r="L966" s="4"/>
      <c r="T966" s="1"/>
      <c r="Y966" s="1"/>
      <c r="AF966" s="1"/>
      <c r="AW966" s="1"/>
    </row>
    <row r="967" spans="1:49" ht="15.75">
      <c r="A967" s="1"/>
      <c r="L967" s="4"/>
      <c r="T967" s="1"/>
      <c r="Y967" s="1"/>
      <c r="AF967" s="1"/>
      <c r="AW967" s="1"/>
    </row>
    <row r="968" spans="1:49" ht="15.75">
      <c r="A968" s="1"/>
      <c r="L968" s="4"/>
      <c r="T968" s="1"/>
      <c r="Y968" s="1"/>
      <c r="AF968" s="1"/>
      <c r="AW968" s="1"/>
    </row>
    <row r="969" spans="1:49" ht="15.75">
      <c r="A969" s="1"/>
      <c r="L969" s="4"/>
      <c r="T969" s="1"/>
      <c r="Y969" s="1"/>
      <c r="AF969" s="1"/>
      <c r="AW969" s="1"/>
    </row>
    <row r="970" spans="1:49" ht="15.75">
      <c r="A970" s="1"/>
      <c r="L970" s="4"/>
      <c r="T970" s="1"/>
      <c r="Y970" s="1"/>
      <c r="AF970" s="1"/>
      <c r="AW970" s="1"/>
    </row>
    <row r="971" spans="1:49" ht="15.75">
      <c r="A971" s="1"/>
      <c r="L971" s="4"/>
      <c r="T971" s="1"/>
      <c r="Y971" s="1"/>
      <c r="AF971" s="1"/>
      <c r="AW971" s="1"/>
    </row>
    <row r="972" spans="1:49" ht="15.75">
      <c r="A972" s="1"/>
      <c r="L972" s="4"/>
      <c r="T972" s="1"/>
      <c r="Y972" s="1"/>
      <c r="AF972" s="1"/>
      <c r="AW972" s="1"/>
    </row>
    <row r="973" spans="1:49" ht="15.75">
      <c r="A973" s="1"/>
      <c r="L973" s="4"/>
      <c r="T973" s="1"/>
      <c r="Y973" s="1"/>
      <c r="AF973" s="1"/>
      <c r="AW973" s="1"/>
    </row>
    <row r="974" spans="1:49" ht="15.75">
      <c r="A974" s="1"/>
      <c r="L974" s="4"/>
      <c r="T974" s="1"/>
      <c r="Y974" s="1"/>
      <c r="AF974" s="1"/>
      <c r="AW974" s="1"/>
    </row>
    <row r="975" spans="1:49" ht="15.75">
      <c r="A975" s="1"/>
      <c r="L975" s="4"/>
      <c r="T975" s="1"/>
      <c r="Y975" s="1"/>
      <c r="AF975" s="1"/>
      <c r="AW975" s="1"/>
    </row>
    <row r="976" spans="1:49" ht="15.75">
      <c r="A976" s="1"/>
      <c r="L976" s="4"/>
      <c r="T976" s="1"/>
      <c r="Y976" s="1"/>
      <c r="AF976" s="1"/>
      <c r="AW976" s="1"/>
    </row>
    <row r="977" spans="1:49" ht="15.75">
      <c r="A977" s="1"/>
      <c r="L977" s="4"/>
      <c r="T977" s="1"/>
      <c r="Y977" s="1"/>
      <c r="AF977" s="1"/>
      <c r="AW977" s="1"/>
    </row>
    <row r="978" spans="1:49" ht="15.75">
      <c r="A978" s="1"/>
      <c r="L978" s="4"/>
      <c r="T978" s="1"/>
      <c r="Y978" s="1"/>
      <c r="AF978" s="1"/>
      <c r="AW978" s="1"/>
    </row>
    <row r="979" spans="1:49" ht="15.75">
      <c r="A979" s="1"/>
      <c r="L979" s="4"/>
      <c r="T979" s="1"/>
      <c r="Y979" s="1"/>
      <c r="AF979" s="1"/>
      <c r="AW979" s="1"/>
    </row>
    <row r="980" spans="1:49" ht="15.75">
      <c r="A980" s="1"/>
      <c r="L980" s="4"/>
      <c r="T980" s="1"/>
      <c r="Y980" s="1"/>
      <c r="AF980" s="1"/>
      <c r="AW980" s="1"/>
    </row>
    <row r="981" spans="1:49" ht="15.75">
      <c r="A981" s="1"/>
      <c r="L981" s="4"/>
      <c r="T981" s="1"/>
      <c r="Y981" s="1"/>
      <c r="AF981" s="1"/>
      <c r="AW981" s="1"/>
    </row>
    <row r="982" spans="1:49" ht="15.75">
      <c r="A982" s="1"/>
      <c r="L982" s="4"/>
      <c r="T982" s="1"/>
      <c r="Y982" s="1"/>
      <c r="AF982" s="1"/>
      <c r="AW982" s="1"/>
    </row>
    <row r="983" spans="1:49" ht="15.75">
      <c r="A983" s="1"/>
      <c r="L983" s="4"/>
      <c r="T983" s="1"/>
      <c r="Y983" s="1"/>
      <c r="AF983" s="1"/>
      <c r="AW983" s="1"/>
    </row>
    <row r="984" spans="1:49" ht="15.75">
      <c r="A984" s="1"/>
      <c r="L984" s="4"/>
      <c r="T984" s="1"/>
      <c r="Y984" s="1"/>
      <c r="AF984" s="1"/>
      <c r="AW984" s="1"/>
    </row>
    <row r="985" spans="1:49" ht="15.75">
      <c r="A985" s="1"/>
      <c r="L985" s="4"/>
      <c r="T985" s="1"/>
      <c r="Y985" s="1"/>
      <c r="AF985" s="1"/>
      <c r="AW985" s="1"/>
    </row>
    <row r="986" spans="1:49" ht="15.75">
      <c r="A986" s="1"/>
      <c r="L986" s="4"/>
      <c r="T986" s="1"/>
      <c r="Y986" s="1"/>
      <c r="AF986" s="1"/>
      <c r="AW986" s="1"/>
    </row>
    <row r="987" spans="1:49" ht="15.75">
      <c r="A987" s="1"/>
      <c r="L987" s="4"/>
      <c r="T987" s="1"/>
      <c r="Y987" s="1"/>
      <c r="AF987" s="1"/>
      <c r="AW987" s="1"/>
    </row>
    <row r="988" spans="1:49" ht="15.75">
      <c r="A988" s="1"/>
      <c r="L988" s="4"/>
      <c r="T988" s="1"/>
      <c r="Y988" s="1"/>
      <c r="AF988" s="1"/>
      <c r="AW988" s="1"/>
    </row>
    <row r="989" spans="1:49" ht="15.75">
      <c r="A989" s="1"/>
      <c r="L989" s="4"/>
      <c r="T989" s="1"/>
      <c r="Y989" s="1"/>
      <c r="AF989" s="1"/>
      <c r="AW989" s="1"/>
    </row>
    <row r="990" spans="1:49" ht="15.75">
      <c r="A990" s="1"/>
      <c r="L990" s="4"/>
      <c r="T990" s="1"/>
      <c r="Y990" s="1"/>
      <c r="AF990" s="1"/>
      <c r="AW990" s="1"/>
    </row>
    <row r="991" spans="1:49" ht="15.75">
      <c r="A991" s="1"/>
      <c r="L991" s="4"/>
      <c r="T991" s="1"/>
      <c r="Y991" s="1"/>
      <c r="AF991" s="1"/>
      <c r="AW991" s="1"/>
    </row>
    <row r="992" spans="1:49" ht="15.75">
      <c r="A992" s="1"/>
      <c r="L992" s="4"/>
      <c r="T992" s="1"/>
      <c r="Y992" s="1"/>
      <c r="AF992" s="1"/>
      <c r="AW992" s="1"/>
    </row>
    <row r="993" spans="1:49" ht="15.75">
      <c r="A993" s="1"/>
      <c r="L993" s="4"/>
      <c r="T993" s="1"/>
      <c r="Y993" s="1"/>
      <c r="AF993" s="1"/>
      <c r="AW993" s="1"/>
    </row>
    <row r="994" spans="1:49" ht="15.75">
      <c r="A994" s="1"/>
      <c r="L994" s="4"/>
      <c r="T994" s="1"/>
      <c r="Y994" s="1"/>
      <c r="AF994" s="1"/>
      <c r="AW994" s="1"/>
    </row>
    <row r="995" spans="1:49" ht="15.75">
      <c r="A995" s="1"/>
      <c r="L995" s="4"/>
      <c r="T995" s="1"/>
      <c r="Y995" s="1"/>
      <c r="AF995" s="1"/>
      <c r="AW995" s="1"/>
    </row>
    <row r="996" spans="1:49" ht="15.75">
      <c r="A996" s="1"/>
      <c r="L996" s="4"/>
      <c r="T996" s="1"/>
      <c r="Y996" s="1"/>
      <c r="AF996" s="1"/>
      <c r="AW996" s="1"/>
    </row>
    <row r="997" spans="1:49" ht="15.75">
      <c r="A997" s="1"/>
      <c r="L997" s="4"/>
      <c r="T997" s="1"/>
      <c r="Y997" s="1"/>
      <c r="AF997" s="1"/>
      <c r="AW997" s="1"/>
    </row>
    <row r="998" spans="1:49" ht="15.75">
      <c r="A998" s="1"/>
      <c r="L998" s="4"/>
      <c r="T998" s="1"/>
      <c r="Y998" s="1"/>
      <c r="AF998" s="1"/>
      <c r="AW998" s="1"/>
    </row>
    <row r="999" spans="1:49" ht="15.75">
      <c r="A999" s="1"/>
      <c r="L999" s="4"/>
      <c r="T999" s="1"/>
      <c r="Y999" s="1"/>
      <c r="AF999" s="1"/>
      <c r="AW999" s="1"/>
    </row>
    <row r="1000" spans="1:49" ht="15.75">
      <c r="A1000" s="1"/>
      <c r="L1000" s="4"/>
      <c r="T1000" s="1"/>
      <c r="Y1000" s="1"/>
      <c r="AF1000" s="1"/>
      <c r="AW1000" s="1"/>
    </row>
    <row r="1001" spans="1:49" ht="15.75">
      <c r="A1001" s="1"/>
      <c r="L1001" s="4"/>
      <c r="T1001" s="1"/>
      <c r="Y1001" s="1"/>
      <c r="AF1001" s="1"/>
      <c r="AW1001" s="1"/>
    </row>
    <row r="1002" spans="1:49" ht="15.75">
      <c r="A1002" s="1"/>
      <c r="L1002" s="4"/>
      <c r="T1002" s="1"/>
      <c r="Y1002" s="1"/>
      <c r="AF1002" s="1"/>
      <c r="AW1002" s="1"/>
    </row>
    <row r="1003" spans="1:49" ht="15.75">
      <c r="A1003" s="1"/>
      <c r="L1003" s="4"/>
      <c r="T1003" s="1"/>
      <c r="Y1003" s="1"/>
      <c r="AF1003" s="1"/>
      <c r="AW1003" s="1"/>
    </row>
    <row r="1004" spans="1:49" ht="15.75">
      <c r="A1004" s="1"/>
      <c r="L1004" s="4"/>
      <c r="T1004" s="1"/>
      <c r="Y1004" s="1"/>
      <c r="AF1004" s="1"/>
      <c r="AW1004" s="1"/>
    </row>
    <row r="1005" spans="1:49" ht="15.75">
      <c r="A1005" s="1"/>
      <c r="L1005" s="4"/>
      <c r="T1005" s="1"/>
      <c r="Y1005" s="1"/>
      <c r="AF1005" s="1"/>
      <c r="AW1005" s="1"/>
    </row>
    <row r="1006" spans="1:49" ht="15.75">
      <c r="A1006" s="1"/>
      <c r="L1006" s="4"/>
      <c r="T1006" s="1"/>
      <c r="Y1006" s="1"/>
      <c r="AF1006" s="1"/>
      <c r="AW1006" s="1"/>
    </row>
    <row r="1007" spans="1:49" ht="15.75">
      <c r="A1007" s="1"/>
      <c r="L1007" s="4"/>
      <c r="T1007" s="1"/>
      <c r="Y1007" s="1"/>
      <c r="AF1007" s="1"/>
      <c r="AW1007" s="1"/>
    </row>
    <row r="1008" spans="1:49" ht="15.75">
      <c r="A1008" s="1"/>
      <c r="L1008" s="4"/>
      <c r="T1008" s="1"/>
      <c r="Y1008" s="1"/>
      <c r="AF1008" s="1"/>
      <c r="AW1008" s="1"/>
    </row>
    <row r="1009" spans="1:49" ht="15.75">
      <c r="A1009" s="1"/>
      <c r="L1009" s="4"/>
      <c r="T1009" s="1"/>
      <c r="Y1009" s="1"/>
      <c r="AF1009" s="1"/>
      <c r="AW1009" s="1"/>
    </row>
    <row r="1010" spans="1:49" ht="15.75">
      <c r="A1010" s="1"/>
      <c r="L1010" s="4"/>
      <c r="T1010" s="1"/>
      <c r="Y1010" s="1"/>
      <c r="AF1010" s="1"/>
      <c r="AW1010" s="1"/>
    </row>
    <row r="1011" spans="1:49" ht="15.75">
      <c r="A1011" s="1"/>
      <c r="L1011" s="4"/>
      <c r="T1011" s="1"/>
      <c r="Y1011" s="1"/>
      <c r="AF1011" s="1"/>
      <c r="AW1011" s="1"/>
    </row>
    <row r="1012" spans="1:49" ht="15.75">
      <c r="A1012" s="1"/>
      <c r="L1012" s="4"/>
      <c r="T1012" s="1"/>
      <c r="Y1012" s="1"/>
      <c r="AF1012" s="1"/>
      <c r="AW1012" s="1"/>
    </row>
    <row r="1013" spans="1:49" ht="15.75">
      <c r="A1013" s="1"/>
      <c r="L1013" s="4"/>
      <c r="T1013" s="1"/>
      <c r="Y1013" s="1"/>
      <c r="AF1013" s="1"/>
      <c r="AW1013" s="1"/>
    </row>
    <row r="1014" spans="1:49" ht="15.75">
      <c r="A1014" s="1"/>
      <c r="L1014" s="4"/>
      <c r="T1014" s="1"/>
      <c r="Y1014" s="1"/>
      <c r="AF1014" s="1"/>
      <c r="AW1014" s="1"/>
    </row>
    <row r="1015" spans="1:49" ht="15.75">
      <c r="A1015" s="1"/>
      <c r="L1015" s="4"/>
      <c r="T1015" s="1"/>
      <c r="Y1015" s="1"/>
      <c r="AF1015" s="1"/>
      <c r="AW1015" s="1"/>
    </row>
    <row r="1016" spans="1:49" ht="15.75">
      <c r="A1016" s="1"/>
      <c r="L1016" s="4"/>
      <c r="T1016" s="1"/>
      <c r="Y1016" s="1"/>
      <c r="AF1016" s="1"/>
      <c r="AW1016" s="1"/>
    </row>
    <row r="1017" spans="1:49" ht="15.75">
      <c r="A1017" s="1"/>
      <c r="L1017" s="4"/>
      <c r="T1017" s="1"/>
      <c r="Y1017" s="1"/>
      <c r="AF1017" s="1"/>
      <c r="AW1017" s="1"/>
    </row>
    <row r="1018" spans="1:49" ht="15.75">
      <c r="A1018" s="1"/>
      <c r="L1018" s="4"/>
      <c r="T1018" s="1"/>
      <c r="Y1018" s="1"/>
      <c r="AF1018" s="1"/>
      <c r="AW1018" s="1"/>
    </row>
    <row r="1019" spans="1:49" ht="15.75">
      <c r="A1019" s="1"/>
      <c r="L1019" s="4"/>
      <c r="T1019" s="1"/>
      <c r="Y1019" s="1"/>
      <c r="AF1019" s="1"/>
      <c r="AW1019" s="1"/>
    </row>
    <row r="1020" spans="1:49" ht="15.75">
      <c r="A1020" s="1"/>
      <c r="L1020" s="4"/>
      <c r="T1020" s="1"/>
      <c r="Y1020" s="1"/>
      <c r="AF1020" s="1"/>
      <c r="AW1020" s="1"/>
    </row>
    <row r="1021" spans="1:49" ht="15.75">
      <c r="A1021" s="1"/>
      <c r="L1021" s="4"/>
      <c r="T1021" s="1"/>
      <c r="Y1021" s="1"/>
      <c r="AF1021" s="1"/>
      <c r="AW1021" s="1"/>
    </row>
    <row r="1022" spans="1:49" ht="15.75">
      <c r="A1022" s="1"/>
      <c r="L1022" s="4"/>
      <c r="T1022" s="1"/>
      <c r="Y1022" s="1"/>
      <c r="AF1022" s="1"/>
      <c r="AW1022" s="1"/>
    </row>
    <row r="1023" spans="1:49" ht="15.75">
      <c r="A1023" s="1"/>
      <c r="L1023" s="4"/>
      <c r="T1023" s="1"/>
      <c r="Y1023" s="1"/>
      <c r="AF1023" s="1"/>
      <c r="AW1023" s="1"/>
    </row>
    <row r="1024" spans="1:49" ht="15.75">
      <c r="A1024" s="1"/>
      <c r="L1024" s="4"/>
      <c r="T1024" s="1"/>
      <c r="Y1024" s="1"/>
      <c r="AF1024" s="1"/>
      <c r="AW1024" s="1"/>
    </row>
    <row r="1025" spans="1:49" ht="15.75">
      <c r="A1025" s="1"/>
      <c r="L1025" s="4"/>
      <c r="T1025" s="1"/>
      <c r="Y1025" s="1"/>
      <c r="AF1025" s="1"/>
      <c r="AW1025" s="1"/>
    </row>
    <row r="1026" spans="1:49" ht="15.75">
      <c r="A1026" s="1"/>
      <c r="L1026" s="4"/>
      <c r="T1026" s="1"/>
      <c r="Y1026" s="1"/>
      <c r="AF1026" s="1"/>
      <c r="AW1026" s="1"/>
    </row>
    <row r="1027" spans="1:49" ht="15.75">
      <c r="A1027" s="1"/>
      <c r="L1027" s="4"/>
      <c r="T1027" s="1"/>
      <c r="Y1027" s="1"/>
      <c r="AF1027" s="1"/>
      <c r="AW1027" s="1"/>
    </row>
    <row r="1028" spans="1:49" ht="15.75">
      <c r="A1028" s="1"/>
      <c r="L1028" s="4"/>
      <c r="T1028" s="1"/>
      <c r="Y1028" s="1"/>
      <c r="AF1028" s="1"/>
      <c r="AW1028" s="1"/>
    </row>
    <row r="1029" spans="1:49" ht="15.75">
      <c r="A1029" s="1"/>
      <c r="L1029" s="4"/>
      <c r="T1029" s="1"/>
      <c r="Y1029" s="1"/>
      <c r="AF1029" s="1"/>
      <c r="AW1029" s="1"/>
    </row>
    <row r="1030" spans="1:49" ht="15.75">
      <c r="A1030" s="1"/>
      <c r="L1030" s="4"/>
      <c r="T1030" s="1"/>
      <c r="Y1030" s="1"/>
      <c r="AF1030" s="1"/>
      <c r="AW1030" s="1"/>
    </row>
    <row r="1031" spans="1:49" ht="15.75">
      <c r="A1031" s="1"/>
      <c r="L1031" s="4"/>
      <c r="T1031" s="1"/>
      <c r="Y1031" s="1"/>
      <c r="AF1031" s="1"/>
      <c r="AW1031" s="1"/>
    </row>
    <row r="1032" spans="1:49" ht="15.75">
      <c r="A1032" s="1"/>
      <c r="L1032" s="4"/>
      <c r="T1032" s="1"/>
      <c r="Y1032" s="1"/>
      <c r="AF1032" s="1"/>
      <c r="AW1032" s="1"/>
    </row>
    <row r="1033" spans="1:49" ht="15.75">
      <c r="A1033" s="1"/>
      <c r="L1033" s="4"/>
      <c r="T1033" s="1"/>
      <c r="Y1033" s="1"/>
      <c r="AF1033" s="1"/>
      <c r="AW1033" s="1"/>
    </row>
    <row r="1034" spans="1:49" ht="15.75">
      <c r="A1034" s="1"/>
      <c r="L1034" s="4"/>
      <c r="T1034" s="1"/>
      <c r="Y1034" s="1"/>
      <c r="AF1034" s="1"/>
      <c r="AW1034" s="1"/>
    </row>
    <row r="1035" spans="1:49" ht="15.75">
      <c r="A1035" s="1"/>
      <c r="L1035" s="4"/>
      <c r="T1035" s="1"/>
      <c r="Y1035" s="1"/>
      <c r="AF1035" s="1"/>
      <c r="AW1035" s="1"/>
    </row>
    <row r="1036" spans="1:49" ht="15.75">
      <c r="A1036" s="1"/>
      <c r="L1036" s="4"/>
      <c r="T1036" s="1"/>
      <c r="Y1036" s="1"/>
      <c r="AF1036" s="1"/>
      <c r="AW1036" s="1"/>
    </row>
    <row r="1037" spans="1:49" ht="15.75">
      <c r="A1037" s="1"/>
      <c r="L1037" s="4"/>
      <c r="T1037" s="1"/>
      <c r="Y1037" s="1"/>
      <c r="AF1037" s="1"/>
      <c r="AW1037" s="1"/>
    </row>
    <row r="1038" spans="1:49" ht="15.75">
      <c r="A1038" s="1"/>
      <c r="L1038" s="4"/>
      <c r="T1038" s="1"/>
      <c r="Y1038" s="1"/>
      <c r="AF1038" s="1"/>
      <c r="AW1038" s="1"/>
    </row>
    <row r="1039" spans="1:49" ht="15.75">
      <c r="A1039" s="1"/>
      <c r="L1039" s="4"/>
      <c r="T1039" s="1"/>
      <c r="Y1039" s="1"/>
      <c r="AF1039" s="1"/>
      <c r="AW1039" s="1"/>
    </row>
    <row r="1040" spans="1:49" ht="15.75">
      <c r="A1040" s="1"/>
      <c r="L1040" s="4"/>
      <c r="T1040" s="1"/>
      <c r="Y1040" s="1"/>
      <c r="AF1040" s="1"/>
      <c r="AW1040" s="1"/>
    </row>
    <row r="1041" spans="1:49" ht="15.75">
      <c r="A1041" s="1"/>
      <c r="L1041" s="4"/>
      <c r="T1041" s="1"/>
      <c r="Y1041" s="1"/>
      <c r="AF1041" s="1"/>
      <c r="AW1041" s="1"/>
    </row>
    <row r="1042" spans="1:49" ht="15.75">
      <c r="A1042" s="1"/>
      <c r="L1042" s="4"/>
      <c r="T1042" s="1"/>
      <c r="Y1042" s="1"/>
      <c r="AF1042" s="1"/>
      <c r="AW1042" s="1"/>
    </row>
    <row r="1043" spans="1:49" ht="15.75">
      <c r="A1043" s="1"/>
      <c r="L1043" s="4"/>
      <c r="T1043" s="1"/>
      <c r="Y1043" s="1"/>
      <c r="AF1043" s="1"/>
      <c r="AW1043" s="1"/>
    </row>
    <row r="1044" spans="1:49" ht="15.75">
      <c r="A1044" s="1"/>
      <c r="L1044" s="4"/>
      <c r="T1044" s="1"/>
      <c r="Y1044" s="1"/>
      <c r="AF1044" s="1"/>
      <c r="AW1044" s="1"/>
    </row>
    <row r="1045" spans="1:49" ht="15.75">
      <c r="A1045" s="1"/>
      <c r="L1045" s="4"/>
      <c r="T1045" s="1"/>
      <c r="Y1045" s="1"/>
      <c r="AF1045" s="1"/>
      <c r="AW1045" s="1"/>
    </row>
    <row r="1046" spans="1:49" ht="15.75">
      <c r="A1046" s="1"/>
      <c r="L1046" s="4"/>
      <c r="T1046" s="1"/>
      <c r="Y1046" s="1"/>
      <c r="AF1046" s="1"/>
      <c r="AW1046" s="1"/>
    </row>
    <row r="1047" spans="1:49" ht="15.75">
      <c r="A1047" s="1"/>
      <c r="L1047" s="4"/>
      <c r="T1047" s="1"/>
      <c r="Y1047" s="1"/>
      <c r="AF1047" s="1"/>
      <c r="AW1047" s="1"/>
    </row>
    <row r="1048" spans="1:49" ht="15.75">
      <c r="A1048" s="1"/>
      <c r="L1048" s="4"/>
      <c r="T1048" s="1"/>
      <c r="Y1048" s="1"/>
      <c r="AF1048" s="1"/>
      <c r="AW1048" s="1"/>
    </row>
    <row r="1049" spans="1:49" ht="15.75">
      <c r="A1049" s="1"/>
      <c r="L1049" s="4"/>
      <c r="T1049" s="1"/>
      <c r="Y1049" s="1"/>
      <c r="AF1049" s="1"/>
      <c r="AW1049" s="1"/>
    </row>
    <row r="1050" spans="1:49" ht="15.75">
      <c r="A1050" s="1"/>
      <c r="L1050" s="4"/>
      <c r="T1050" s="1"/>
      <c r="Y1050" s="1"/>
      <c r="AF1050" s="1"/>
      <c r="AW1050" s="1"/>
    </row>
    <row r="1051" spans="1:49" ht="15.75">
      <c r="A1051" s="1"/>
      <c r="L1051" s="4"/>
      <c r="T1051" s="1"/>
      <c r="Y1051" s="1"/>
      <c r="AF1051" s="1"/>
      <c r="AW1051" s="1"/>
    </row>
    <row r="1052" spans="1:49" ht="15.75">
      <c r="A1052" s="1"/>
      <c r="L1052" s="4"/>
      <c r="T1052" s="1"/>
      <c r="Y1052" s="1"/>
      <c r="AF1052" s="1"/>
      <c r="AW1052" s="1"/>
    </row>
    <row r="1053" spans="1:49" ht="15.75">
      <c r="A1053" s="1"/>
      <c r="L1053" s="4"/>
      <c r="T1053" s="1"/>
      <c r="Y1053" s="1"/>
      <c r="AF1053" s="1"/>
      <c r="AW1053" s="1"/>
    </row>
    <row r="1054" spans="1:49" ht="15.75">
      <c r="A1054" s="1"/>
      <c r="L1054" s="4"/>
      <c r="T1054" s="1"/>
      <c r="Y1054" s="1"/>
      <c r="AF1054" s="1"/>
      <c r="AW1054" s="1"/>
    </row>
    <row r="1055" spans="1:49" ht="15.75">
      <c r="A1055" s="1"/>
      <c r="L1055" s="4"/>
      <c r="T1055" s="1"/>
      <c r="Y1055" s="1"/>
      <c r="AF1055" s="1"/>
      <c r="AW1055" s="1"/>
    </row>
    <row r="1056" spans="1:49" ht="15.75">
      <c r="A1056" s="1"/>
      <c r="L1056" s="4"/>
      <c r="T1056" s="1"/>
      <c r="Y1056" s="1"/>
      <c r="AF1056" s="1"/>
      <c r="AW1056" s="1"/>
    </row>
    <row r="1057" spans="1:49" ht="15.75">
      <c r="A1057" s="1"/>
      <c r="L1057" s="4"/>
      <c r="T1057" s="1"/>
      <c r="Y1057" s="1"/>
      <c r="AF1057" s="1"/>
      <c r="AW1057" s="1"/>
    </row>
    <row r="1058" spans="1:49" ht="15.75">
      <c r="A1058" s="1"/>
      <c r="L1058" s="4"/>
      <c r="T1058" s="1"/>
      <c r="Y1058" s="1"/>
      <c r="AF1058" s="1"/>
      <c r="AW1058" s="1"/>
    </row>
    <row r="1059" spans="1:49" ht="15.75">
      <c r="A1059" s="1"/>
      <c r="L1059" s="4"/>
      <c r="T1059" s="1"/>
      <c r="Y1059" s="1"/>
      <c r="AF1059" s="1"/>
      <c r="AW1059" s="1"/>
    </row>
    <row r="1060" spans="1:49" ht="15.75">
      <c r="A1060" s="1"/>
      <c r="L1060" s="4"/>
      <c r="T1060" s="1"/>
      <c r="Y1060" s="1"/>
      <c r="AF1060" s="1"/>
      <c r="AW1060" s="1"/>
    </row>
    <row r="1061" spans="1:49" ht="15.75">
      <c r="A1061" s="1"/>
      <c r="L1061" s="4"/>
      <c r="T1061" s="1"/>
      <c r="Y1061" s="1"/>
      <c r="AF1061" s="1"/>
      <c r="AW1061" s="1"/>
    </row>
    <row r="1062" spans="1:49" ht="15.75">
      <c r="A1062" s="1"/>
      <c r="L1062" s="4"/>
      <c r="T1062" s="1"/>
      <c r="Y1062" s="1"/>
      <c r="AF1062" s="1"/>
      <c r="AW1062" s="1"/>
    </row>
    <row r="1063" spans="1:49" ht="15.75">
      <c r="A1063" s="1"/>
      <c r="L1063" s="4"/>
      <c r="T1063" s="1"/>
      <c r="Y1063" s="1"/>
      <c r="AF1063" s="1"/>
      <c r="AW1063" s="1"/>
    </row>
    <row r="1064" spans="1:49" ht="15.75">
      <c r="A1064" s="1"/>
      <c r="L1064" s="4"/>
      <c r="T1064" s="1"/>
      <c r="Y1064" s="1"/>
      <c r="AF1064" s="1"/>
      <c r="AW1064" s="1"/>
    </row>
    <row r="1065" spans="1:49" ht="15.75">
      <c r="A1065" s="1"/>
      <c r="L1065" s="4"/>
      <c r="T1065" s="1"/>
      <c r="Y1065" s="1"/>
      <c r="AF1065" s="1"/>
      <c r="AW1065" s="1"/>
    </row>
    <row r="1066" spans="1:49" ht="15.75">
      <c r="A1066" s="1"/>
      <c r="L1066" s="4"/>
      <c r="T1066" s="1"/>
      <c r="Y1066" s="1"/>
      <c r="AF1066" s="1"/>
      <c r="AW1066" s="1"/>
    </row>
    <row r="1067" spans="1:49" ht="15.75">
      <c r="A1067" s="1"/>
      <c r="L1067" s="4"/>
      <c r="T1067" s="1"/>
      <c r="Y1067" s="1"/>
      <c r="AF1067" s="1"/>
      <c r="AW1067" s="1"/>
    </row>
    <row r="1068" spans="1:49" ht="15.75">
      <c r="A1068" s="1"/>
      <c r="L1068" s="4"/>
      <c r="T1068" s="1"/>
      <c r="Y1068" s="1"/>
      <c r="AF1068" s="1"/>
      <c r="AW1068" s="1"/>
    </row>
    <row r="1069" spans="1:49" ht="15.75">
      <c r="A1069" s="1"/>
      <c r="L1069" s="4"/>
      <c r="T1069" s="1"/>
      <c r="Y1069" s="1"/>
      <c r="AF1069" s="1"/>
      <c r="AW1069" s="1"/>
    </row>
    <row r="1070" spans="1:49" ht="15.75">
      <c r="A1070" s="1"/>
      <c r="L1070" s="4"/>
      <c r="T1070" s="1"/>
      <c r="Y1070" s="1"/>
      <c r="AF1070" s="1"/>
      <c r="AW1070" s="1"/>
    </row>
    <row r="1071" spans="1:49" ht="15.75">
      <c r="A1071" s="1"/>
      <c r="L1071" s="4"/>
      <c r="T1071" s="1"/>
      <c r="Y1071" s="1"/>
      <c r="AF1071" s="1"/>
      <c r="AW1071" s="1"/>
    </row>
    <row r="1072" spans="1:49" ht="15.75">
      <c r="A1072" s="1"/>
      <c r="L1072" s="4"/>
      <c r="T1072" s="1"/>
      <c r="Y1072" s="1"/>
      <c r="AF1072" s="1"/>
      <c r="AW1072" s="1"/>
    </row>
    <row r="1073" spans="1:49" ht="15.75">
      <c r="A1073" s="1"/>
      <c r="L1073" s="4"/>
      <c r="T1073" s="1"/>
      <c r="Y1073" s="1"/>
      <c r="AF1073" s="1"/>
      <c r="AW1073" s="1"/>
    </row>
    <row r="1074" spans="1:49" ht="15.75">
      <c r="A1074" s="1"/>
      <c r="L1074" s="4"/>
      <c r="T1074" s="1"/>
      <c r="Y1074" s="1"/>
      <c r="AF1074" s="1"/>
      <c r="AW1074" s="1"/>
    </row>
    <row r="1075" spans="1:49" ht="15.75">
      <c r="A1075" s="1"/>
      <c r="L1075" s="4"/>
      <c r="T1075" s="1"/>
      <c r="Y1075" s="1"/>
      <c r="AF1075" s="1"/>
      <c r="AW1075" s="1"/>
    </row>
    <row r="1076" spans="1:49" ht="15.75">
      <c r="A1076" s="1"/>
      <c r="L1076" s="4"/>
      <c r="T1076" s="1"/>
      <c r="Y1076" s="1"/>
      <c r="AF1076" s="1"/>
      <c r="AW1076" s="1"/>
    </row>
    <row r="1077" spans="1:49" ht="15.75">
      <c r="A1077" s="1"/>
      <c r="L1077" s="4"/>
      <c r="T1077" s="1"/>
      <c r="Y1077" s="1"/>
      <c r="AF1077" s="1"/>
      <c r="AW1077" s="1"/>
    </row>
    <row r="1078" spans="1:49" ht="15.75">
      <c r="A1078" s="1"/>
      <c r="L1078" s="4"/>
      <c r="T1078" s="1"/>
      <c r="Y1078" s="1"/>
      <c r="AF1078" s="1"/>
      <c r="AW1078" s="1"/>
    </row>
    <row r="1079" spans="1:49" ht="15.75">
      <c r="A1079" s="1"/>
      <c r="L1079" s="4"/>
      <c r="T1079" s="1"/>
      <c r="Y1079" s="1"/>
      <c r="AF1079" s="1"/>
      <c r="AW1079" s="1"/>
    </row>
    <row r="1080" spans="1:49" ht="15.75">
      <c r="A1080" s="1"/>
      <c r="L1080" s="4"/>
      <c r="T1080" s="1"/>
      <c r="Y1080" s="1"/>
      <c r="AF1080" s="1"/>
      <c r="AW1080" s="1"/>
    </row>
    <row r="1081" spans="1:49" ht="15.75">
      <c r="A1081" s="1"/>
      <c r="L1081" s="4"/>
      <c r="T1081" s="1"/>
      <c r="Y1081" s="1"/>
      <c r="AF1081" s="1"/>
      <c r="AW1081" s="1"/>
    </row>
    <row r="1082" spans="1:49" ht="15.75">
      <c r="A1082" s="1"/>
      <c r="L1082" s="4"/>
      <c r="T1082" s="1"/>
      <c r="Y1082" s="1"/>
      <c r="AF1082" s="1"/>
      <c r="AW1082" s="1"/>
    </row>
    <row r="1083" spans="1:49" ht="15.75">
      <c r="A1083" s="1"/>
      <c r="L1083" s="4"/>
      <c r="T1083" s="1"/>
      <c r="Y1083" s="1"/>
      <c r="AF1083" s="1"/>
      <c r="AW1083" s="1"/>
    </row>
    <row r="1084" spans="1:49" ht="15.75">
      <c r="A1084" s="1"/>
      <c r="L1084" s="4"/>
      <c r="T1084" s="1"/>
      <c r="Y1084" s="1"/>
      <c r="AF1084" s="1"/>
      <c r="AW1084" s="1"/>
    </row>
    <row r="1085" spans="1:49" ht="15.75">
      <c r="A1085" s="1"/>
      <c r="L1085" s="4"/>
      <c r="T1085" s="1"/>
      <c r="Y1085" s="1"/>
      <c r="AF1085" s="1"/>
      <c r="AW1085" s="1"/>
    </row>
    <row r="1086" spans="1:49" ht="15.75">
      <c r="A1086" s="1"/>
      <c r="L1086" s="4"/>
      <c r="T1086" s="1"/>
      <c r="Y1086" s="1"/>
      <c r="AF1086" s="1"/>
      <c r="AW1086" s="1"/>
    </row>
    <row r="1087" spans="1:49" ht="15.75">
      <c r="A1087" s="1"/>
      <c r="L1087" s="4"/>
      <c r="T1087" s="1"/>
      <c r="Y1087" s="1"/>
      <c r="AF1087" s="1"/>
      <c r="AW1087" s="1"/>
    </row>
    <row r="1088" spans="1:49" ht="15.75">
      <c r="A1088" s="1"/>
      <c r="L1088" s="4"/>
      <c r="T1088" s="1"/>
      <c r="Y1088" s="1"/>
      <c r="AF1088" s="1"/>
      <c r="AW1088" s="1"/>
    </row>
    <row r="1089" spans="1:49" ht="15.75">
      <c r="A1089" s="1"/>
      <c r="L1089" s="4"/>
      <c r="T1089" s="1"/>
      <c r="Y1089" s="1"/>
      <c r="AF1089" s="1"/>
      <c r="AW1089" s="1"/>
    </row>
    <row r="1090" spans="1:49" ht="15.75">
      <c r="A1090" s="1"/>
      <c r="L1090" s="4"/>
      <c r="T1090" s="1"/>
      <c r="Y1090" s="1"/>
      <c r="AF1090" s="1"/>
      <c r="AW1090" s="1"/>
    </row>
    <row r="1091" spans="1:49" ht="15.75">
      <c r="A1091" s="1"/>
      <c r="L1091" s="4"/>
      <c r="T1091" s="1"/>
      <c r="Y1091" s="1"/>
      <c r="AF1091" s="1"/>
      <c r="AW1091" s="1"/>
    </row>
    <row r="1092" spans="1:49" ht="15.75">
      <c r="A1092" s="1"/>
      <c r="L1092" s="4"/>
      <c r="T1092" s="1"/>
      <c r="Y1092" s="1"/>
      <c r="AF1092" s="1"/>
      <c r="AW1092" s="1"/>
    </row>
    <row r="1093" spans="1:49" ht="15.75">
      <c r="A1093" s="1"/>
      <c r="L1093" s="4"/>
      <c r="T1093" s="1"/>
      <c r="Y1093" s="1"/>
      <c r="AF1093" s="1"/>
      <c r="AW1093" s="1"/>
    </row>
    <row r="1094" spans="1:49" ht="15.75">
      <c r="A1094" s="1"/>
      <c r="L1094" s="4"/>
      <c r="T1094" s="1"/>
      <c r="Y1094" s="1"/>
      <c r="AF1094" s="1"/>
      <c r="AW1094" s="1"/>
    </row>
    <row r="1095" spans="1:49" ht="15.75">
      <c r="A1095" s="1"/>
      <c r="L1095" s="4"/>
      <c r="T1095" s="1"/>
      <c r="Y1095" s="1"/>
      <c r="AF1095" s="1"/>
      <c r="AW1095" s="1"/>
    </row>
    <row r="1096" spans="1:49" ht="15.75">
      <c r="A1096" s="1"/>
      <c r="L1096" s="4"/>
      <c r="T1096" s="1"/>
      <c r="Y1096" s="1"/>
      <c r="AF1096" s="1"/>
      <c r="AW1096" s="1"/>
    </row>
    <row r="1097" spans="1:49" ht="15.75">
      <c r="A1097" s="1"/>
      <c r="L1097" s="4"/>
      <c r="T1097" s="1"/>
      <c r="Y1097" s="1"/>
      <c r="AF1097" s="1"/>
      <c r="AW1097" s="1"/>
    </row>
    <row r="1098" spans="1:49" ht="15.75">
      <c r="A1098" s="1"/>
      <c r="L1098" s="4"/>
      <c r="T1098" s="1"/>
      <c r="Y1098" s="1"/>
      <c r="AF1098" s="1"/>
      <c r="AW1098" s="1"/>
    </row>
    <row r="1099" spans="1:49" ht="15.75">
      <c r="A1099" s="1"/>
      <c r="L1099" s="4"/>
      <c r="T1099" s="1"/>
      <c r="Y1099" s="1"/>
      <c r="AF1099" s="1"/>
      <c r="AW1099" s="1"/>
    </row>
    <row r="1100" spans="1:49" ht="15.75">
      <c r="A1100" s="1"/>
      <c r="L1100" s="4"/>
      <c r="T1100" s="1"/>
      <c r="Y1100" s="1"/>
      <c r="AF1100" s="1"/>
      <c r="AW1100" s="1"/>
    </row>
    <row r="1101" spans="1:49" ht="15.75">
      <c r="A1101" s="1"/>
      <c r="L1101" s="4"/>
      <c r="T1101" s="1"/>
      <c r="Y1101" s="1"/>
      <c r="AF1101" s="1"/>
      <c r="AW1101" s="1"/>
    </row>
    <row r="1102" spans="1:49" ht="15.75">
      <c r="A1102" s="1"/>
      <c r="L1102" s="4"/>
      <c r="T1102" s="1"/>
      <c r="Y1102" s="1"/>
      <c r="AF1102" s="1"/>
      <c r="AW1102" s="1"/>
    </row>
    <row r="1103" spans="1:49" ht="15.75">
      <c r="A1103" s="1"/>
      <c r="L1103" s="4"/>
      <c r="T1103" s="1"/>
      <c r="Y1103" s="1"/>
      <c r="AF1103" s="1"/>
      <c r="AW1103" s="1"/>
    </row>
    <row r="1104" spans="1:49" ht="15.75">
      <c r="A1104" s="1"/>
      <c r="L1104" s="4"/>
      <c r="T1104" s="1"/>
      <c r="Y1104" s="1"/>
      <c r="AF1104" s="1"/>
      <c r="AW1104" s="1"/>
    </row>
    <row r="1105" spans="1:49" ht="15.75">
      <c r="A1105" s="1"/>
      <c r="L1105" s="4"/>
      <c r="T1105" s="1"/>
      <c r="Y1105" s="1"/>
      <c r="AF1105" s="1"/>
      <c r="AW1105" s="1"/>
    </row>
    <row r="1106" spans="1:49" ht="15.75">
      <c r="A1106" s="1"/>
      <c r="L1106" s="4"/>
      <c r="T1106" s="1"/>
      <c r="Y1106" s="1"/>
      <c r="AF1106" s="1"/>
      <c r="AW1106" s="1"/>
    </row>
    <row r="1107" spans="1:49" ht="15.75">
      <c r="A1107" s="1"/>
      <c r="L1107" s="4"/>
      <c r="T1107" s="1"/>
      <c r="Y1107" s="1"/>
      <c r="AF1107" s="1"/>
      <c r="AW1107" s="1"/>
    </row>
    <row r="1108" spans="1:49" ht="15.75">
      <c r="A1108" s="1"/>
      <c r="L1108" s="4"/>
      <c r="T1108" s="1"/>
      <c r="Y1108" s="1"/>
      <c r="AF1108" s="1"/>
      <c r="AW1108" s="1"/>
    </row>
    <row r="1109" spans="1:49" ht="15.75">
      <c r="A1109" s="1"/>
      <c r="L1109" s="4"/>
      <c r="T1109" s="1"/>
      <c r="Y1109" s="1"/>
      <c r="AF1109" s="1"/>
      <c r="AW1109" s="1"/>
    </row>
    <row r="1110" spans="1:49" ht="15.75">
      <c r="A1110" s="1"/>
      <c r="L1110" s="4"/>
      <c r="T1110" s="1"/>
      <c r="Y1110" s="1"/>
      <c r="AF1110" s="1"/>
      <c r="AW1110" s="1"/>
    </row>
    <row r="1111" spans="1:49" ht="15.75">
      <c r="A1111" s="1"/>
      <c r="L1111" s="4"/>
      <c r="T1111" s="1"/>
      <c r="Y1111" s="1"/>
      <c r="AF1111" s="1"/>
      <c r="AW1111" s="1"/>
    </row>
    <row r="1112" spans="1:49" ht="15.75">
      <c r="A1112" s="1"/>
      <c r="L1112" s="4"/>
      <c r="T1112" s="1"/>
      <c r="Y1112" s="1"/>
      <c r="AF1112" s="1"/>
      <c r="AW1112" s="1"/>
    </row>
    <row r="1113" spans="1:49" ht="15.75">
      <c r="A1113" s="1"/>
      <c r="L1113" s="4"/>
      <c r="T1113" s="1"/>
      <c r="Y1113" s="1"/>
      <c r="AF1113" s="1"/>
      <c r="AW1113" s="1"/>
    </row>
    <row r="1114" spans="1:49" ht="15.75">
      <c r="A1114" s="1"/>
      <c r="L1114" s="4"/>
      <c r="T1114" s="1"/>
      <c r="Y1114" s="1"/>
      <c r="AF1114" s="1"/>
      <c r="AW1114" s="1"/>
    </row>
    <row r="1115" spans="1:49" ht="15.75">
      <c r="A1115" s="1"/>
      <c r="L1115" s="4"/>
      <c r="T1115" s="1"/>
      <c r="Y1115" s="1"/>
      <c r="AF1115" s="1"/>
      <c r="AW1115" s="1"/>
    </row>
    <row r="1116" spans="1:49" ht="15.75">
      <c r="A1116" s="1"/>
      <c r="L1116" s="4"/>
      <c r="T1116" s="1"/>
      <c r="Y1116" s="1"/>
      <c r="AF1116" s="1"/>
      <c r="AW1116" s="1"/>
    </row>
    <row r="1117" spans="1:49" ht="15.75">
      <c r="A1117" s="1"/>
      <c r="L1117" s="4"/>
      <c r="T1117" s="1"/>
      <c r="Y1117" s="1"/>
      <c r="AF1117" s="1"/>
      <c r="AW1117" s="1"/>
    </row>
    <row r="1118" spans="1:49" ht="15.75">
      <c r="A1118" s="1"/>
      <c r="L1118" s="4"/>
      <c r="T1118" s="1"/>
      <c r="Y1118" s="1"/>
      <c r="AF1118" s="1"/>
      <c r="AW1118" s="1"/>
    </row>
    <row r="1119" spans="1:49" ht="15.75">
      <c r="A1119" s="1"/>
      <c r="L1119" s="4"/>
      <c r="T1119" s="1"/>
      <c r="Y1119" s="1"/>
      <c r="AF1119" s="1"/>
      <c r="AW1119" s="1"/>
    </row>
    <row r="1120" spans="1:49" ht="15.75">
      <c r="A1120" s="1"/>
      <c r="L1120" s="4"/>
      <c r="T1120" s="1"/>
      <c r="Y1120" s="1"/>
      <c r="AF1120" s="1"/>
      <c r="AW1120" s="1"/>
    </row>
    <row r="1121" spans="1:49" ht="15.75">
      <c r="A1121" s="1"/>
      <c r="L1121" s="4"/>
      <c r="T1121" s="1"/>
      <c r="Y1121" s="1"/>
      <c r="AF1121" s="1"/>
      <c r="AW1121" s="1"/>
    </row>
    <row r="1122" spans="1:49" ht="15.75">
      <c r="A1122" s="1"/>
      <c r="L1122" s="4"/>
      <c r="T1122" s="1"/>
      <c r="Y1122" s="1"/>
      <c r="AF1122" s="1"/>
      <c r="AW1122" s="1"/>
    </row>
    <row r="1123" spans="1:49" ht="15.75">
      <c r="A1123" s="1"/>
      <c r="L1123" s="4"/>
      <c r="T1123" s="1"/>
      <c r="Y1123" s="1"/>
      <c r="AF1123" s="1"/>
      <c r="AW1123" s="1"/>
    </row>
    <row r="1124" spans="1:49" ht="15.75">
      <c r="A1124" s="1"/>
      <c r="L1124" s="4"/>
      <c r="T1124" s="1"/>
      <c r="Y1124" s="1"/>
      <c r="AF1124" s="1"/>
      <c r="AW1124" s="1"/>
    </row>
    <row r="1125" spans="1:49" ht="15.75">
      <c r="A1125" s="1"/>
      <c r="L1125" s="4"/>
      <c r="T1125" s="1"/>
      <c r="Y1125" s="1"/>
      <c r="AF1125" s="1"/>
      <c r="AW1125" s="1"/>
    </row>
    <row r="1126" spans="1:49" ht="15.75">
      <c r="A1126" s="1"/>
      <c r="L1126" s="4"/>
      <c r="T1126" s="1"/>
      <c r="Y1126" s="1"/>
      <c r="AF1126" s="1"/>
      <c r="AW1126" s="1"/>
    </row>
    <row r="1127" spans="1:49" ht="15.75">
      <c r="A1127" s="1"/>
      <c r="L1127" s="4"/>
      <c r="T1127" s="1"/>
      <c r="Y1127" s="1"/>
      <c r="AF1127" s="1"/>
      <c r="AW1127" s="1"/>
    </row>
    <row r="1128" spans="1:49" ht="15.75">
      <c r="A1128" s="1"/>
      <c r="L1128" s="4"/>
      <c r="T1128" s="1"/>
      <c r="Y1128" s="1"/>
      <c r="AF1128" s="1"/>
      <c r="AW1128" s="1"/>
    </row>
    <row r="1129" spans="1:49" ht="15.75">
      <c r="A1129" s="1"/>
      <c r="L1129" s="4"/>
      <c r="T1129" s="1"/>
      <c r="Y1129" s="1"/>
      <c r="AF1129" s="1"/>
      <c r="AW1129" s="1"/>
    </row>
    <row r="1130" spans="1:49" ht="15.75">
      <c r="A1130" s="1"/>
      <c r="L1130" s="4"/>
      <c r="T1130" s="1"/>
      <c r="Y1130" s="1"/>
      <c r="AF1130" s="1"/>
      <c r="AW1130" s="1"/>
    </row>
    <row r="1131" spans="1:49" ht="15.75">
      <c r="A1131" s="1"/>
      <c r="L1131" s="4"/>
      <c r="T1131" s="1"/>
      <c r="Y1131" s="1"/>
      <c r="AF1131" s="1"/>
      <c r="AW1131" s="1"/>
    </row>
    <row r="1132" spans="1:49" ht="15.75">
      <c r="A1132" s="1"/>
      <c r="L1132" s="4"/>
      <c r="T1132" s="1"/>
      <c r="Y1132" s="1"/>
      <c r="AF1132" s="1"/>
      <c r="AW1132" s="1"/>
    </row>
    <row r="1133" spans="1:49" ht="15.75">
      <c r="A1133" s="1"/>
      <c r="L1133" s="4"/>
      <c r="T1133" s="1"/>
      <c r="Y1133" s="1"/>
      <c r="AF1133" s="1"/>
      <c r="AW1133" s="1"/>
    </row>
    <row r="1134" spans="1:49" ht="15.75">
      <c r="A1134" s="1"/>
      <c r="L1134" s="4"/>
      <c r="T1134" s="1"/>
      <c r="Y1134" s="1"/>
      <c r="AF1134" s="1"/>
      <c r="AW1134" s="1"/>
    </row>
    <row r="1135" spans="1:49" ht="15.75">
      <c r="A1135" s="1"/>
      <c r="L1135" s="4"/>
      <c r="T1135" s="1"/>
      <c r="Y1135" s="1"/>
      <c r="AF1135" s="1"/>
      <c r="AW1135" s="1"/>
    </row>
    <row r="1136" spans="1:49" ht="15.75">
      <c r="A1136" s="1"/>
      <c r="L1136" s="4"/>
      <c r="T1136" s="1"/>
      <c r="Y1136" s="1"/>
      <c r="AF1136" s="1"/>
      <c r="AW1136" s="1"/>
    </row>
    <row r="1137" spans="1:49" ht="15.75">
      <c r="A1137" s="1"/>
      <c r="L1137" s="4"/>
      <c r="T1137" s="1"/>
      <c r="Y1137" s="1"/>
      <c r="AF1137" s="1"/>
      <c r="AW1137" s="1"/>
    </row>
    <row r="1138" spans="1:49" ht="15.75">
      <c r="A1138" s="1"/>
      <c r="L1138" s="4"/>
      <c r="T1138" s="1"/>
      <c r="Y1138" s="1"/>
      <c r="AF1138" s="1"/>
      <c r="AW1138" s="1"/>
    </row>
    <row r="1139" spans="1:49" ht="15.75">
      <c r="A1139" s="1"/>
      <c r="L1139" s="4"/>
      <c r="T1139" s="1"/>
      <c r="Y1139" s="1"/>
      <c r="AF1139" s="1"/>
      <c r="AW1139" s="1"/>
    </row>
    <row r="1140" spans="1:49" ht="15.75">
      <c r="A1140" s="1"/>
      <c r="L1140" s="4"/>
      <c r="T1140" s="1"/>
      <c r="Y1140" s="1"/>
      <c r="AF1140" s="1"/>
      <c r="AW1140" s="1"/>
    </row>
    <row r="1141" spans="1:49" ht="15.75">
      <c r="A1141" s="1"/>
      <c r="L1141" s="4"/>
      <c r="T1141" s="1"/>
      <c r="Y1141" s="1"/>
      <c r="AF1141" s="1"/>
      <c r="AW1141" s="1"/>
    </row>
    <row r="1142" spans="1:49" ht="15.75">
      <c r="A1142" s="1"/>
      <c r="L1142" s="4"/>
      <c r="T1142" s="1"/>
      <c r="Y1142" s="1"/>
      <c r="AF1142" s="1"/>
      <c r="AW1142" s="1"/>
    </row>
    <row r="1143" spans="1:49" ht="15.75">
      <c r="A1143" s="1"/>
      <c r="L1143" s="4"/>
      <c r="T1143" s="1"/>
      <c r="Y1143" s="1"/>
      <c r="AF1143" s="1"/>
      <c r="AW1143" s="1"/>
    </row>
    <row r="1144" spans="1:49" ht="15.75">
      <c r="A1144" s="1"/>
      <c r="L1144" s="4"/>
      <c r="T1144" s="1"/>
      <c r="Y1144" s="1"/>
      <c r="AF1144" s="1"/>
      <c r="AW1144" s="1"/>
    </row>
    <row r="1145" spans="1:49" ht="15.75">
      <c r="A1145" s="1"/>
      <c r="L1145" s="4"/>
      <c r="T1145" s="1"/>
      <c r="Y1145" s="1"/>
      <c r="AF1145" s="1"/>
      <c r="AW1145" s="1"/>
    </row>
    <row r="1146" spans="1:49" ht="15.75">
      <c r="A1146" s="1"/>
      <c r="L1146" s="4"/>
      <c r="T1146" s="1"/>
      <c r="Y1146" s="1"/>
      <c r="AF1146" s="1"/>
      <c r="AW1146" s="1"/>
    </row>
    <row r="1147" spans="1:49" ht="15.75">
      <c r="A1147" s="1"/>
      <c r="L1147" s="4"/>
      <c r="T1147" s="1"/>
      <c r="Y1147" s="1"/>
      <c r="AF1147" s="1"/>
      <c r="AW1147" s="1"/>
    </row>
    <row r="1148" spans="1:49" ht="15.75">
      <c r="A1148" s="1"/>
      <c r="L1148" s="4"/>
      <c r="T1148" s="1"/>
      <c r="Y1148" s="1"/>
      <c r="AF1148" s="1"/>
      <c r="AW1148" s="1"/>
    </row>
    <row r="1149" spans="1:49" ht="15.75">
      <c r="A1149" s="1"/>
      <c r="L1149" s="4"/>
      <c r="T1149" s="1"/>
      <c r="Y1149" s="1"/>
      <c r="AF1149" s="1"/>
      <c r="AW1149" s="1"/>
    </row>
    <row r="1150" spans="1:49" ht="15.75">
      <c r="A1150" s="1"/>
      <c r="L1150" s="4"/>
      <c r="T1150" s="1"/>
      <c r="Y1150" s="1"/>
      <c r="AF1150" s="1"/>
      <c r="AW1150" s="1"/>
    </row>
    <row r="1151" spans="1:49" ht="15.75">
      <c r="A1151" s="1"/>
      <c r="L1151" s="4"/>
      <c r="T1151" s="1"/>
      <c r="Y1151" s="1"/>
      <c r="AF1151" s="1"/>
      <c r="AW1151" s="1"/>
    </row>
    <row r="1152" spans="1:49" ht="15.75">
      <c r="A1152" s="1"/>
      <c r="L1152" s="4"/>
      <c r="T1152" s="1"/>
      <c r="Y1152" s="1"/>
      <c r="AF1152" s="1"/>
      <c r="AW1152" s="1"/>
    </row>
    <row r="1153" spans="1:49" ht="15.75">
      <c r="A1153" s="1"/>
      <c r="L1153" s="4"/>
      <c r="T1153" s="1"/>
      <c r="Y1153" s="1"/>
      <c r="AF1153" s="1"/>
      <c r="AW1153" s="1"/>
    </row>
    <row r="1154" spans="1:49" ht="15.75">
      <c r="A1154" s="1"/>
      <c r="L1154" s="4"/>
      <c r="T1154" s="1"/>
      <c r="Y1154" s="1"/>
      <c r="AF1154" s="1"/>
      <c r="AW1154" s="1"/>
    </row>
    <row r="1155" spans="1:49" ht="15.75">
      <c r="A1155" s="1"/>
      <c r="L1155" s="4"/>
      <c r="T1155" s="1"/>
      <c r="Y1155" s="1"/>
      <c r="AF1155" s="1"/>
      <c r="AW1155" s="1"/>
    </row>
    <row r="1156" spans="1:49" ht="15.75">
      <c r="A1156" s="1"/>
      <c r="L1156" s="4"/>
      <c r="T1156" s="1"/>
      <c r="Y1156" s="1"/>
      <c r="AF1156" s="1"/>
      <c r="AW1156" s="1"/>
    </row>
    <row r="1157" spans="1:49" ht="15.75">
      <c r="A1157" s="1"/>
      <c r="L1157" s="4"/>
      <c r="T1157" s="1"/>
      <c r="Y1157" s="1"/>
      <c r="AF1157" s="1"/>
      <c r="AW1157" s="1"/>
    </row>
    <row r="1158" spans="1:49" ht="15.75">
      <c r="A1158" s="1"/>
      <c r="L1158" s="4"/>
      <c r="T1158" s="1"/>
      <c r="Y1158" s="1"/>
      <c r="AF1158" s="1"/>
      <c r="AW1158" s="1"/>
    </row>
    <row r="1159" spans="1:49" ht="15.75">
      <c r="A1159" s="1"/>
      <c r="L1159" s="4"/>
      <c r="T1159" s="1"/>
      <c r="Y1159" s="1"/>
      <c r="AF1159" s="1"/>
      <c r="AW1159" s="1"/>
    </row>
    <row r="1160" spans="1:49" ht="15.75">
      <c r="A1160" s="1"/>
      <c r="L1160" s="4"/>
      <c r="T1160" s="1"/>
      <c r="Y1160" s="1"/>
      <c r="AF1160" s="1"/>
      <c r="AW1160" s="1"/>
    </row>
    <row r="1161" spans="1:49" ht="15.75">
      <c r="A1161" s="1"/>
      <c r="L1161" s="4"/>
      <c r="T1161" s="1"/>
      <c r="Y1161" s="1"/>
      <c r="AF1161" s="1"/>
      <c r="AW1161" s="1"/>
    </row>
    <row r="1162" spans="1:49" ht="15.75">
      <c r="A1162" s="1"/>
      <c r="L1162" s="4"/>
      <c r="T1162" s="1"/>
      <c r="Y1162" s="1"/>
      <c r="AF1162" s="1"/>
      <c r="AW1162" s="1"/>
    </row>
    <row r="1163" spans="1:49" ht="15.75">
      <c r="A1163" s="1"/>
      <c r="L1163" s="4"/>
      <c r="T1163" s="1"/>
      <c r="Y1163" s="1"/>
      <c r="AF1163" s="1"/>
      <c r="AW1163" s="1"/>
    </row>
    <row r="1164" spans="1:49" ht="15.75">
      <c r="A1164" s="1"/>
      <c r="L1164" s="4"/>
      <c r="T1164" s="1"/>
      <c r="Y1164" s="1"/>
      <c r="AF1164" s="1"/>
      <c r="AW1164" s="1"/>
    </row>
    <row r="1165" spans="1:49" ht="15.75">
      <c r="A1165" s="1"/>
      <c r="L1165" s="4"/>
      <c r="T1165" s="1"/>
      <c r="Y1165" s="1"/>
      <c r="AF1165" s="1"/>
      <c r="AW1165" s="1"/>
    </row>
    <row r="1166" spans="1:49" ht="15.75">
      <c r="A1166" s="1"/>
      <c r="L1166" s="4"/>
      <c r="T1166" s="1"/>
      <c r="Y1166" s="1"/>
      <c r="AF1166" s="1"/>
      <c r="AW1166" s="1"/>
    </row>
    <row r="1167" spans="1:49" ht="15.75">
      <c r="A1167" s="1"/>
      <c r="L1167" s="4"/>
      <c r="T1167" s="1"/>
      <c r="Y1167" s="1"/>
      <c r="AF1167" s="1"/>
      <c r="AW1167" s="1"/>
    </row>
    <row r="1168" spans="1:49" ht="15.75">
      <c r="A1168" s="1"/>
      <c r="L1168" s="4"/>
      <c r="T1168" s="1"/>
      <c r="Y1168" s="1"/>
      <c r="AF1168" s="1"/>
      <c r="AW1168" s="1"/>
    </row>
    <row r="1169" spans="1:49" ht="15.75">
      <c r="A1169" s="1"/>
      <c r="L1169" s="4"/>
      <c r="T1169" s="1"/>
      <c r="Y1169" s="1"/>
      <c r="AF1169" s="1"/>
      <c r="AW1169" s="1"/>
    </row>
    <row r="1170" spans="1:49" ht="15.75">
      <c r="A1170" s="1"/>
      <c r="L1170" s="4"/>
      <c r="T1170" s="1"/>
      <c r="Y1170" s="1"/>
      <c r="AF1170" s="1"/>
      <c r="AW1170" s="1"/>
    </row>
    <row r="1171" spans="1:49" ht="15.75">
      <c r="A1171" s="1"/>
      <c r="L1171" s="4"/>
      <c r="T1171" s="1"/>
      <c r="Y1171" s="1"/>
      <c r="AF1171" s="1"/>
      <c r="AW1171" s="1"/>
    </row>
    <row r="1172" spans="1:49" ht="15.75">
      <c r="A1172" s="1"/>
      <c r="L1172" s="4"/>
      <c r="T1172" s="1"/>
      <c r="Y1172" s="1"/>
      <c r="AF1172" s="1"/>
      <c r="AW1172" s="1"/>
    </row>
    <row r="1173" spans="1:49" ht="15.75">
      <c r="A1173" s="1"/>
      <c r="L1173" s="4"/>
      <c r="T1173" s="1"/>
      <c r="Y1173" s="1"/>
      <c r="AF1173" s="1"/>
      <c r="AW1173" s="1"/>
    </row>
    <row r="1174" spans="1:49" ht="15.75">
      <c r="A1174" s="1"/>
      <c r="L1174" s="4"/>
      <c r="T1174" s="1"/>
      <c r="Y1174" s="1"/>
      <c r="AF1174" s="1"/>
      <c r="AW1174" s="1"/>
    </row>
    <row r="1175" spans="1:49" ht="15.75">
      <c r="A1175" s="1"/>
      <c r="L1175" s="4"/>
      <c r="T1175" s="1"/>
      <c r="Y1175" s="1"/>
      <c r="AF1175" s="1"/>
      <c r="AW1175" s="1"/>
    </row>
    <row r="1176" spans="1:49" ht="15.75">
      <c r="A1176" s="1"/>
      <c r="L1176" s="4"/>
      <c r="T1176" s="1"/>
      <c r="Y1176" s="1"/>
      <c r="AF1176" s="1"/>
      <c r="AW1176" s="1"/>
    </row>
    <row r="1177" spans="1:49" ht="15.75">
      <c r="A1177" s="1"/>
      <c r="L1177" s="4"/>
      <c r="T1177" s="1"/>
      <c r="Y1177" s="1"/>
      <c r="AF1177" s="1"/>
      <c r="AW1177" s="1"/>
    </row>
    <row r="1178" spans="1:49" ht="15.75">
      <c r="A1178" s="1"/>
      <c r="L1178" s="4"/>
      <c r="T1178" s="1"/>
      <c r="Y1178" s="1"/>
      <c r="AF1178" s="1"/>
      <c r="AW1178" s="1"/>
    </row>
    <row r="1179" spans="1:49" ht="15.75">
      <c r="A1179" s="1"/>
      <c r="L1179" s="4"/>
      <c r="T1179" s="1"/>
      <c r="Y1179" s="1"/>
      <c r="AF1179" s="1"/>
      <c r="AW1179" s="1"/>
    </row>
    <row r="1180" spans="1:49" ht="15.75">
      <c r="A1180" s="1"/>
      <c r="L1180" s="4"/>
      <c r="T1180" s="1"/>
      <c r="Y1180" s="1"/>
      <c r="AF1180" s="1"/>
      <c r="AW1180" s="1"/>
    </row>
    <row r="1181" spans="1:49" ht="15.75">
      <c r="A1181" s="1"/>
      <c r="L1181" s="4"/>
      <c r="T1181" s="1"/>
      <c r="Y1181" s="1"/>
      <c r="AF1181" s="1"/>
      <c r="AW1181" s="1"/>
    </row>
    <row r="1182" spans="1:49" ht="15.75">
      <c r="A1182" s="1"/>
      <c r="L1182" s="4"/>
      <c r="T1182" s="1"/>
      <c r="Y1182" s="1"/>
      <c r="AF1182" s="1"/>
      <c r="AW1182" s="1"/>
    </row>
    <row r="1183" spans="1:49" ht="15.75">
      <c r="A1183" s="1"/>
      <c r="L1183" s="4"/>
      <c r="T1183" s="1"/>
      <c r="Y1183" s="1"/>
      <c r="AF1183" s="1"/>
      <c r="AW1183" s="1"/>
    </row>
    <row r="1184" spans="1:49" ht="15.75">
      <c r="A1184" s="1"/>
      <c r="L1184" s="4"/>
      <c r="T1184" s="1"/>
      <c r="Y1184" s="1"/>
      <c r="AF1184" s="1"/>
      <c r="AW1184" s="1"/>
    </row>
    <row r="1185" spans="1:49" ht="15.75">
      <c r="A1185" s="1"/>
      <c r="L1185" s="4"/>
      <c r="T1185" s="1"/>
      <c r="Y1185" s="1"/>
      <c r="AF1185" s="1"/>
      <c r="AW1185" s="1"/>
    </row>
    <row r="1186" spans="1:49" ht="15.75">
      <c r="A1186" s="1"/>
      <c r="L1186" s="4"/>
      <c r="T1186" s="1"/>
      <c r="Y1186" s="1"/>
      <c r="AF1186" s="1"/>
      <c r="AW1186" s="1"/>
    </row>
    <row r="1187" spans="1:49" ht="15.75">
      <c r="A1187" s="1"/>
      <c r="L1187" s="4"/>
      <c r="T1187" s="1"/>
      <c r="Y1187" s="1"/>
      <c r="AF1187" s="1"/>
      <c r="AW1187" s="1"/>
    </row>
    <row r="1188" spans="1:49" ht="15.75">
      <c r="A1188" s="1"/>
      <c r="L1188" s="4"/>
      <c r="T1188" s="1"/>
      <c r="Y1188" s="1"/>
      <c r="AF1188" s="1"/>
      <c r="AW1188" s="1"/>
    </row>
    <row r="1189" spans="1:49" ht="15.75">
      <c r="A1189" s="1"/>
      <c r="L1189" s="4"/>
      <c r="T1189" s="1"/>
      <c r="Y1189" s="1"/>
      <c r="AF1189" s="1"/>
      <c r="AW1189" s="1"/>
    </row>
    <row r="1190" spans="1:49" ht="15.75">
      <c r="A1190" s="1"/>
      <c r="L1190" s="4"/>
      <c r="T1190" s="1"/>
      <c r="Y1190" s="1"/>
      <c r="AF1190" s="1"/>
      <c r="AW1190" s="1"/>
    </row>
    <row r="1191" spans="1:49" ht="15.75">
      <c r="A1191" s="1"/>
      <c r="L1191" s="4"/>
      <c r="T1191" s="1"/>
      <c r="Y1191" s="1"/>
      <c r="AF1191" s="1"/>
      <c r="AW1191" s="1"/>
    </row>
    <row r="1192" spans="1:49" ht="15.75">
      <c r="A1192" s="1"/>
      <c r="L1192" s="4"/>
      <c r="T1192" s="1"/>
      <c r="Y1192" s="1"/>
      <c r="AF1192" s="1"/>
      <c r="AW1192" s="1"/>
    </row>
    <row r="1193" spans="1:49" ht="15.75">
      <c r="A1193" s="1"/>
      <c r="L1193" s="4"/>
      <c r="T1193" s="1"/>
      <c r="Y1193" s="1"/>
      <c r="AF1193" s="1"/>
      <c r="AW1193" s="1"/>
    </row>
    <row r="1194" spans="1:49" ht="15.75">
      <c r="A1194" s="1"/>
      <c r="L1194" s="4"/>
      <c r="T1194" s="1"/>
      <c r="Y1194" s="1"/>
      <c r="AF1194" s="1"/>
      <c r="AW1194" s="1"/>
    </row>
    <row r="1195" spans="1:49" ht="15.75">
      <c r="A1195" s="1"/>
      <c r="L1195" s="4"/>
      <c r="T1195" s="1"/>
      <c r="Y1195" s="1"/>
      <c r="AF1195" s="1"/>
      <c r="AW1195" s="1"/>
    </row>
    <row r="1196" spans="1:49" ht="15.75">
      <c r="A1196" s="1"/>
      <c r="L1196" s="4"/>
      <c r="T1196" s="1"/>
      <c r="Y1196" s="1"/>
      <c r="AF1196" s="1"/>
      <c r="AW1196" s="1"/>
    </row>
    <row r="1197" spans="1:49" ht="15.75">
      <c r="A1197" s="1"/>
      <c r="L1197" s="4"/>
      <c r="T1197" s="1"/>
      <c r="Y1197" s="1"/>
      <c r="AF1197" s="1"/>
      <c r="AW1197" s="1"/>
    </row>
    <row r="1198" spans="1:49" ht="15.75">
      <c r="A1198" s="1"/>
      <c r="L1198" s="4"/>
      <c r="T1198" s="1"/>
      <c r="Y1198" s="1"/>
      <c r="AF1198" s="1"/>
      <c r="AW1198" s="1"/>
    </row>
    <row r="1199" spans="1:49" ht="15.75">
      <c r="A1199" s="1"/>
      <c r="L1199" s="4"/>
      <c r="T1199" s="1"/>
      <c r="Y1199" s="1"/>
      <c r="AF1199" s="1"/>
      <c r="AW1199" s="1"/>
    </row>
    <row r="1200" spans="1:49" ht="15.75">
      <c r="A1200" s="1"/>
      <c r="L1200" s="4"/>
      <c r="T1200" s="1"/>
      <c r="Y1200" s="1"/>
      <c r="AF1200" s="1"/>
      <c r="AW1200" s="1"/>
    </row>
    <row r="1201" spans="1:49" ht="15.75">
      <c r="A1201" s="1"/>
      <c r="L1201" s="4"/>
      <c r="T1201" s="1"/>
      <c r="Y1201" s="1"/>
      <c r="AF1201" s="1"/>
      <c r="AW1201" s="1"/>
    </row>
    <row r="1202" spans="1:49" ht="15.75">
      <c r="A1202" s="1"/>
      <c r="L1202" s="4"/>
      <c r="T1202" s="1"/>
      <c r="Y1202" s="1"/>
      <c r="AF1202" s="1"/>
      <c r="AW1202" s="1"/>
    </row>
    <row r="1203" spans="1:49" ht="15.75">
      <c r="A1203" s="1"/>
      <c r="L1203" s="4"/>
      <c r="T1203" s="1"/>
      <c r="Y1203" s="1"/>
      <c r="AF1203" s="1"/>
      <c r="AW1203" s="1"/>
    </row>
    <row r="1204" spans="1:49" ht="15.75">
      <c r="A1204" s="1"/>
      <c r="L1204" s="4"/>
      <c r="T1204" s="1"/>
      <c r="Y1204" s="1"/>
      <c r="AF1204" s="1"/>
      <c r="AW1204" s="1"/>
    </row>
    <row r="1205" spans="1:49" ht="15.75">
      <c r="A1205" s="1"/>
      <c r="L1205" s="4"/>
      <c r="T1205" s="1"/>
      <c r="Y1205" s="1"/>
      <c r="AF1205" s="1"/>
      <c r="AW1205" s="1"/>
    </row>
    <row r="1206" spans="1:49" ht="15.75">
      <c r="A1206" s="1"/>
      <c r="L1206" s="4"/>
      <c r="T1206" s="1"/>
      <c r="Y1206" s="1"/>
      <c r="AF1206" s="1"/>
      <c r="AW1206" s="1"/>
    </row>
    <row r="1207" spans="1:49" ht="15.75">
      <c r="A1207" s="1"/>
      <c r="L1207" s="4"/>
      <c r="T1207" s="1"/>
      <c r="Y1207" s="1"/>
      <c r="AF1207" s="1"/>
      <c r="AW1207" s="1"/>
    </row>
    <row r="1208" spans="1:49" ht="15.75">
      <c r="A1208" s="1"/>
      <c r="L1208" s="4"/>
      <c r="T1208" s="1"/>
      <c r="Y1208" s="1"/>
      <c r="AF1208" s="1"/>
      <c r="AW1208" s="1"/>
    </row>
    <row r="1209" spans="1:49" ht="15.75">
      <c r="A1209" s="1"/>
      <c r="L1209" s="4"/>
      <c r="T1209" s="1"/>
      <c r="Y1209" s="1"/>
      <c r="AF1209" s="1"/>
      <c r="AW1209" s="1"/>
    </row>
    <row r="1210" spans="1:49" ht="15.75">
      <c r="A1210" s="1"/>
      <c r="L1210" s="4"/>
      <c r="T1210" s="1"/>
      <c r="Y1210" s="1"/>
      <c r="AF1210" s="1"/>
      <c r="AW1210" s="1"/>
    </row>
    <row r="1211" spans="1:49" ht="15.75">
      <c r="A1211" s="1"/>
      <c r="L1211" s="4"/>
      <c r="T1211" s="1"/>
      <c r="Y1211" s="1"/>
      <c r="AF1211" s="1"/>
      <c r="AW1211" s="1"/>
    </row>
    <row r="1212" spans="1:49" ht="15.75">
      <c r="A1212" s="1"/>
      <c r="L1212" s="4"/>
      <c r="T1212" s="1"/>
      <c r="Y1212" s="1"/>
      <c r="AF1212" s="1"/>
      <c r="AW1212" s="1"/>
    </row>
    <row r="1213" spans="1:49" ht="15.75">
      <c r="A1213" s="1"/>
      <c r="L1213" s="4"/>
      <c r="T1213" s="1"/>
      <c r="Y1213" s="1"/>
      <c r="AF1213" s="1"/>
      <c r="AW1213" s="1"/>
    </row>
    <row r="1214" spans="1:49" ht="15.75">
      <c r="A1214" s="1"/>
      <c r="L1214" s="4"/>
      <c r="T1214" s="1"/>
      <c r="Y1214" s="1"/>
      <c r="AF1214" s="1"/>
      <c r="AW1214" s="1"/>
    </row>
    <row r="1215" spans="1:49" ht="15.75">
      <c r="A1215" s="1"/>
      <c r="L1215" s="4"/>
      <c r="T1215" s="1"/>
      <c r="Y1215" s="1"/>
      <c r="AF1215" s="1"/>
      <c r="AW1215" s="1"/>
    </row>
    <row r="1216" spans="1:49" ht="15.75">
      <c r="A1216" s="1"/>
      <c r="L1216" s="4"/>
      <c r="T1216" s="1"/>
      <c r="Y1216" s="1"/>
      <c r="AF1216" s="1"/>
      <c r="AW1216" s="1"/>
    </row>
    <row r="1217" spans="1:49" ht="15.75">
      <c r="A1217" s="1"/>
      <c r="L1217" s="4"/>
      <c r="T1217" s="1"/>
      <c r="Y1217" s="1"/>
      <c r="AF1217" s="1"/>
      <c r="AW1217" s="1"/>
    </row>
    <row r="1218" spans="1:49" ht="15.75">
      <c r="A1218" s="1"/>
      <c r="L1218" s="4"/>
      <c r="T1218" s="1"/>
      <c r="Y1218" s="1"/>
      <c r="AF1218" s="1"/>
      <c r="AW1218" s="1"/>
    </row>
    <row r="1219" spans="1:49" ht="15.75">
      <c r="A1219" s="1"/>
      <c r="L1219" s="4"/>
      <c r="T1219" s="1"/>
      <c r="Y1219" s="1"/>
      <c r="AF1219" s="1"/>
      <c r="AW1219" s="1"/>
    </row>
    <row r="1220" spans="1:49" ht="15.75">
      <c r="A1220" s="1"/>
      <c r="L1220" s="4"/>
      <c r="T1220" s="1"/>
      <c r="Y1220" s="1"/>
      <c r="AF1220" s="1"/>
      <c r="AW1220" s="1"/>
    </row>
    <row r="1221" spans="1:49" ht="15.75">
      <c r="A1221" s="1"/>
      <c r="L1221" s="4"/>
      <c r="T1221" s="1"/>
      <c r="Y1221" s="1"/>
      <c r="AF1221" s="1"/>
      <c r="AW1221" s="1"/>
    </row>
    <row r="1222" spans="1:49" ht="15.75">
      <c r="A1222" s="1"/>
      <c r="L1222" s="4"/>
      <c r="T1222" s="1"/>
      <c r="Y1222" s="1"/>
      <c r="AF1222" s="1"/>
      <c r="AW1222" s="1"/>
    </row>
    <row r="1223" spans="1:49" ht="15.75">
      <c r="A1223" s="1"/>
      <c r="L1223" s="4"/>
      <c r="T1223" s="1"/>
      <c r="Y1223" s="1"/>
      <c r="AF1223" s="1"/>
      <c r="AW1223" s="1"/>
    </row>
    <row r="1224" spans="1:49" ht="15.75">
      <c r="A1224" s="1"/>
      <c r="L1224" s="4"/>
      <c r="T1224" s="1"/>
      <c r="Y1224" s="1"/>
      <c r="AF1224" s="1"/>
      <c r="AW1224" s="1"/>
    </row>
    <row r="1225" spans="1:49" ht="15.75">
      <c r="A1225" s="1"/>
      <c r="L1225" s="4"/>
      <c r="T1225" s="1"/>
      <c r="Y1225" s="1"/>
      <c r="AF1225" s="1"/>
      <c r="AW1225" s="1"/>
    </row>
    <row r="1226" spans="1:49" ht="15.75">
      <c r="A1226" s="1"/>
      <c r="L1226" s="4"/>
      <c r="T1226" s="1"/>
      <c r="Y1226" s="1"/>
      <c r="AF1226" s="1"/>
      <c r="AW1226" s="1"/>
    </row>
    <row r="1227" spans="1:49" ht="15.75">
      <c r="A1227" s="1"/>
      <c r="L1227" s="4"/>
      <c r="T1227" s="1"/>
      <c r="Y1227" s="1"/>
      <c r="AF1227" s="1"/>
      <c r="AW1227" s="1"/>
    </row>
    <row r="1228" spans="1:49" ht="15.75">
      <c r="A1228" s="1"/>
      <c r="L1228" s="4"/>
      <c r="T1228" s="1"/>
      <c r="Y1228" s="1"/>
      <c r="AF1228" s="1"/>
      <c r="AW1228" s="1"/>
    </row>
    <row r="1229" spans="1:49" ht="15.75">
      <c r="A1229" s="1"/>
      <c r="L1229" s="4"/>
      <c r="T1229" s="1"/>
      <c r="Y1229" s="1"/>
      <c r="AF1229" s="1"/>
      <c r="AW1229" s="1"/>
    </row>
    <row r="1230" spans="1:49" ht="15.75">
      <c r="A1230" s="1"/>
      <c r="L1230" s="4"/>
      <c r="T1230" s="1"/>
      <c r="Y1230" s="1"/>
      <c r="AF1230" s="1"/>
      <c r="AW1230" s="1"/>
    </row>
    <row r="1231" spans="1:49" ht="15.75">
      <c r="A1231" s="1"/>
      <c r="L1231" s="4"/>
      <c r="T1231" s="1"/>
      <c r="Y1231" s="1"/>
      <c r="AF1231" s="1"/>
      <c r="AW1231" s="1"/>
    </row>
    <row r="1232" spans="1:49" ht="15.75">
      <c r="A1232" s="1"/>
      <c r="L1232" s="4"/>
      <c r="T1232" s="1"/>
      <c r="Y1232" s="1"/>
      <c r="AF1232" s="1"/>
      <c r="AW1232" s="1"/>
    </row>
    <row r="1233" spans="1:49" ht="15.75">
      <c r="A1233" s="1"/>
      <c r="L1233" s="4"/>
      <c r="T1233" s="1"/>
      <c r="Y1233" s="1"/>
      <c r="AF1233" s="1"/>
      <c r="AW1233" s="1"/>
    </row>
    <row r="1234" spans="1:49" ht="15.75">
      <c r="A1234" s="1"/>
      <c r="L1234" s="4"/>
      <c r="T1234" s="1"/>
      <c r="Y1234" s="1"/>
      <c r="AF1234" s="1"/>
      <c r="AW1234" s="1"/>
    </row>
    <row r="1235" spans="1:49" ht="15.75">
      <c r="A1235" s="1"/>
      <c r="L1235" s="4"/>
      <c r="T1235" s="1"/>
      <c r="Y1235" s="1"/>
      <c r="AF1235" s="1"/>
      <c r="AW1235" s="1"/>
    </row>
    <row r="1236" spans="1:49" ht="15.75">
      <c r="A1236" s="1"/>
      <c r="L1236" s="4"/>
      <c r="T1236" s="1"/>
      <c r="Y1236" s="1"/>
      <c r="AF1236" s="1"/>
      <c r="AW1236" s="1"/>
    </row>
    <row r="1237" spans="1:49" ht="15.75">
      <c r="A1237" s="1"/>
      <c r="L1237" s="4"/>
      <c r="T1237" s="1"/>
      <c r="Y1237" s="1"/>
      <c r="AF1237" s="1"/>
      <c r="AW1237" s="1"/>
    </row>
    <row r="1238" spans="1:49" ht="15.75">
      <c r="A1238" s="1"/>
      <c r="L1238" s="4"/>
      <c r="T1238" s="1"/>
      <c r="Y1238" s="1"/>
      <c r="AF1238" s="1"/>
      <c r="AW1238" s="1"/>
    </row>
    <row r="1239" spans="1:49" ht="15.75">
      <c r="A1239" s="1"/>
      <c r="L1239" s="4"/>
      <c r="T1239" s="1"/>
      <c r="Y1239" s="1"/>
      <c r="AF1239" s="1"/>
      <c r="AW1239" s="1"/>
    </row>
    <row r="1240" spans="1:49" ht="15.75">
      <c r="A1240" s="1"/>
      <c r="L1240" s="4"/>
      <c r="T1240" s="1"/>
      <c r="Y1240" s="1"/>
      <c r="AF1240" s="1"/>
      <c r="AW1240" s="1"/>
    </row>
    <row r="1241" spans="1:49" ht="15.75">
      <c r="A1241" s="1"/>
      <c r="L1241" s="4"/>
      <c r="T1241" s="1"/>
      <c r="Y1241" s="1"/>
      <c r="AF1241" s="1"/>
      <c r="AW1241" s="1"/>
    </row>
    <row r="1242" spans="1:49" ht="15.75">
      <c r="A1242" s="1"/>
      <c r="L1242" s="4"/>
      <c r="T1242" s="1"/>
      <c r="Y1242" s="1"/>
      <c r="AF1242" s="1"/>
      <c r="AW1242" s="1"/>
    </row>
    <row r="1243" spans="1:49" ht="15.75">
      <c r="A1243" s="1"/>
      <c r="L1243" s="4"/>
      <c r="T1243" s="1"/>
      <c r="Y1243" s="1"/>
      <c r="AF1243" s="1"/>
      <c r="AW1243" s="1"/>
    </row>
    <row r="1244" spans="1:49" ht="15.75">
      <c r="A1244" s="1"/>
      <c r="L1244" s="4"/>
      <c r="T1244" s="1"/>
      <c r="Y1244" s="1"/>
      <c r="AF1244" s="1"/>
      <c r="AW1244" s="1"/>
    </row>
    <row r="1245" spans="1:49" ht="15.75">
      <c r="A1245" s="1"/>
      <c r="L1245" s="4"/>
      <c r="T1245" s="1"/>
      <c r="Y1245" s="1"/>
      <c r="AF1245" s="1"/>
      <c r="AW1245" s="1"/>
    </row>
    <row r="1246" spans="1:49" ht="15.75">
      <c r="A1246" s="1"/>
      <c r="L1246" s="4"/>
      <c r="T1246" s="1"/>
      <c r="Y1246" s="1"/>
      <c r="AF1246" s="1"/>
      <c r="AW1246" s="1"/>
    </row>
    <row r="1247" spans="1:49" ht="15.75">
      <c r="A1247" s="1"/>
      <c r="L1247" s="4"/>
      <c r="T1247" s="1"/>
      <c r="Y1247" s="1"/>
      <c r="AF1247" s="1"/>
      <c r="AW1247" s="1"/>
    </row>
    <row r="1248" spans="1:49" ht="15.75">
      <c r="A1248" s="1"/>
      <c r="L1248" s="4"/>
      <c r="T1248" s="1"/>
      <c r="Y1248" s="1"/>
      <c r="AF1248" s="1"/>
      <c r="AW1248" s="1"/>
    </row>
    <row r="1249" spans="1:49" ht="15.75">
      <c r="A1249" s="1"/>
      <c r="L1249" s="4"/>
      <c r="T1249" s="1"/>
      <c r="Y1249" s="1"/>
      <c r="AF1249" s="1"/>
      <c r="AW1249" s="1"/>
    </row>
    <row r="1250" spans="1:49" ht="15.75">
      <c r="A1250" s="1"/>
      <c r="L1250" s="4"/>
      <c r="T1250" s="1"/>
      <c r="Y1250" s="1"/>
      <c r="AF1250" s="1"/>
      <c r="AW1250" s="1"/>
    </row>
    <row r="1251" spans="1:49" ht="15.75">
      <c r="A1251" s="1"/>
      <c r="L1251" s="4"/>
      <c r="T1251" s="1"/>
      <c r="Y1251" s="1"/>
      <c r="AF1251" s="1"/>
      <c r="AW1251" s="1"/>
    </row>
    <row r="1252" spans="1:49" ht="15.75">
      <c r="A1252" s="1"/>
      <c r="L1252" s="4"/>
      <c r="T1252" s="1"/>
      <c r="Y1252" s="1"/>
      <c r="AF1252" s="1"/>
      <c r="AW1252" s="1"/>
    </row>
    <row r="1253" spans="1:49" ht="15.75">
      <c r="A1253" s="1"/>
      <c r="L1253" s="4"/>
      <c r="T1253" s="1"/>
      <c r="Y1253" s="1"/>
      <c r="AF1253" s="1"/>
      <c r="AW1253" s="1"/>
    </row>
    <row r="1254" spans="1:49" ht="15.75">
      <c r="A1254" s="1"/>
      <c r="L1254" s="4"/>
      <c r="T1254" s="1"/>
      <c r="Y1254" s="1"/>
      <c r="AF1254" s="1"/>
      <c r="AW1254" s="1"/>
    </row>
    <row r="1255" spans="1:49" ht="15.75">
      <c r="A1255" s="1"/>
      <c r="L1255" s="4"/>
      <c r="T1255" s="1"/>
      <c r="Y1255" s="1"/>
      <c r="AF1255" s="1"/>
      <c r="AW1255" s="1"/>
    </row>
    <row r="1256" spans="1:49" ht="15.75">
      <c r="A1256" s="1"/>
      <c r="L1256" s="4"/>
      <c r="T1256" s="1"/>
      <c r="Y1256" s="1"/>
      <c r="AF1256" s="1"/>
      <c r="AW1256" s="1"/>
    </row>
    <row r="1257" spans="1:49" ht="15.75">
      <c r="A1257" s="1"/>
      <c r="L1257" s="4"/>
      <c r="T1257" s="1"/>
      <c r="Y1257" s="1"/>
      <c r="AF1257" s="1"/>
      <c r="AW1257" s="1"/>
    </row>
    <row r="1258" spans="1:49" ht="15.75">
      <c r="A1258" s="1"/>
      <c r="L1258" s="4"/>
      <c r="T1258" s="1"/>
      <c r="Y1258" s="1"/>
      <c r="AF1258" s="1"/>
      <c r="AW1258" s="1"/>
    </row>
    <row r="1259" spans="1:49" ht="15.75">
      <c r="A1259" s="1"/>
      <c r="L1259" s="4"/>
      <c r="T1259" s="1"/>
      <c r="Y1259" s="1"/>
      <c r="AF1259" s="1"/>
      <c r="AW1259" s="1"/>
    </row>
    <row r="1260" spans="1:49" ht="15.75">
      <c r="A1260" s="1"/>
      <c r="L1260" s="4"/>
      <c r="T1260" s="1"/>
      <c r="Y1260" s="1"/>
      <c r="AF1260" s="1"/>
      <c r="AW1260" s="1"/>
    </row>
    <row r="1261" spans="1:49" ht="15.75">
      <c r="A1261" s="1"/>
      <c r="L1261" s="4"/>
      <c r="T1261" s="1"/>
      <c r="Y1261" s="1"/>
      <c r="AF1261" s="1"/>
      <c r="AW1261" s="1"/>
    </row>
    <row r="1262" spans="1:49" ht="15.75">
      <c r="A1262" s="1"/>
      <c r="L1262" s="4"/>
      <c r="T1262" s="1"/>
      <c r="Y1262" s="1"/>
      <c r="AF1262" s="1"/>
      <c r="AW1262" s="1"/>
    </row>
    <row r="1263" spans="1:49" ht="15.75">
      <c r="A1263" s="1"/>
      <c r="L1263" s="4"/>
      <c r="T1263" s="1"/>
      <c r="Y1263" s="1"/>
      <c r="AF1263" s="1"/>
      <c r="AW1263" s="1"/>
    </row>
    <row r="1264" spans="1:49" ht="15.75">
      <c r="A1264" s="1"/>
      <c r="L1264" s="4"/>
      <c r="T1264" s="1"/>
      <c r="Y1264" s="1"/>
      <c r="AF1264" s="1"/>
      <c r="AW1264" s="1"/>
    </row>
    <row r="1265" spans="1:49" ht="15.75">
      <c r="A1265" s="1"/>
      <c r="L1265" s="4"/>
      <c r="T1265" s="1"/>
      <c r="Y1265" s="1"/>
      <c r="AF1265" s="1"/>
      <c r="AW1265" s="1"/>
    </row>
  </sheetData>
  <sheetProtection/>
  <mergeCells count="101">
    <mergeCell ref="G2:I2"/>
    <mergeCell ref="S2:U2"/>
    <mergeCell ref="AE2:AF2"/>
    <mergeCell ref="AQ2:AT2"/>
    <mergeCell ref="BC2:BF2"/>
    <mergeCell ref="G3:L3"/>
    <mergeCell ref="S3:X3"/>
    <mergeCell ref="AE3:AJ3"/>
    <mergeCell ref="AQ3:AV3"/>
    <mergeCell ref="BC3:BH3"/>
    <mergeCell ref="G4:J4"/>
    <mergeCell ref="S4:V4"/>
    <mergeCell ref="AE4:AH4"/>
    <mergeCell ref="AQ4:AT4"/>
    <mergeCell ref="BC4:BF4"/>
    <mergeCell ref="A6:L6"/>
    <mergeCell ref="M6:X6"/>
    <mergeCell ref="Y6:AJ6"/>
    <mergeCell ref="AK6:AV6"/>
    <mergeCell ref="AW6:BH6"/>
    <mergeCell ref="A7:L7"/>
    <mergeCell ref="M7:X7"/>
    <mergeCell ref="Y7:AJ7"/>
    <mergeCell ref="AK7:AV7"/>
    <mergeCell ref="AW7:BH7"/>
    <mergeCell ref="A8:L8"/>
    <mergeCell ref="M8:X8"/>
    <mergeCell ref="Y8:AJ8"/>
    <mergeCell ref="AK8:AV8"/>
    <mergeCell ref="AW8:BH8"/>
    <mergeCell ref="B10:C10"/>
    <mergeCell ref="D10:E10"/>
    <mergeCell ref="F10:G10"/>
    <mergeCell ref="H10:I10"/>
    <mergeCell ref="J10:K10"/>
    <mergeCell ref="M10:M11"/>
    <mergeCell ref="AL10:AM10"/>
    <mergeCell ref="N10:O10"/>
    <mergeCell ref="P10:Q10"/>
    <mergeCell ref="R10:S10"/>
    <mergeCell ref="T10:U10"/>
    <mergeCell ref="V10:W10"/>
    <mergeCell ref="Y10:Y11"/>
    <mergeCell ref="AP10:AQ10"/>
    <mergeCell ref="AR10:AS10"/>
    <mergeCell ref="AT10:AU10"/>
    <mergeCell ref="AX10:AY10"/>
    <mergeCell ref="AZ10:BA10"/>
    <mergeCell ref="Z10:AA10"/>
    <mergeCell ref="AB10:AC10"/>
    <mergeCell ref="AD10:AE10"/>
    <mergeCell ref="AF10:AG10"/>
    <mergeCell ref="AH10:AI10"/>
    <mergeCell ref="BB10:BC10"/>
    <mergeCell ref="BD10:BE10"/>
    <mergeCell ref="BF10:BG10"/>
    <mergeCell ref="BI10:BJ10"/>
    <mergeCell ref="A56:L56"/>
    <mergeCell ref="M56:X56"/>
    <mergeCell ref="Y56:AJ56"/>
    <mergeCell ref="AK56:AV56"/>
    <mergeCell ref="AW56:BH56"/>
    <mergeCell ref="AN10:AO10"/>
    <mergeCell ref="A57:L57"/>
    <mergeCell ref="M57:X57"/>
    <mergeCell ref="Y57:AJ57"/>
    <mergeCell ref="AK57:AV57"/>
    <mergeCell ref="AW57:BH57"/>
    <mergeCell ref="A58:L58"/>
    <mergeCell ref="M58:X58"/>
    <mergeCell ref="Y58:AJ58"/>
    <mergeCell ref="AK58:AV58"/>
    <mergeCell ref="AW58:BH58"/>
    <mergeCell ref="B60:C60"/>
    <mergeCell ref="D60:E60"/>
    <mergeCell ref="F60:G60"/>
    <mergeCell ref="H60:I60"/>
    <mergeCell ref="J60:K60"/>
    <mergeCell ref="M60:M61"/>
    <mergeCell ref="N60:O60"/>
    <mergeCell ref="P60:Q60"/>
    <mergeCell ref="R60:S60"/>
    <mergeCell ref="T60:U60"/>
    <mergeCell ref="V60:W60"/>
    <mergeCell ref="Y60:Y61"/>
    <mergeCell ref="Z60:AA60"/>
    <mergeCell ref="AB60:AC60"/>
    <mergeCell ref="AD60:AE60"/>
    <mergeCell ref="AF60:AG60"/>
    <mergeCell ref="AH60:AI60"/>
    <mergeCell ref="AL60:AM60"/>
    <mergeCell ref="BB60:BC60"/>
    <mergeCell ref="BD60:BE60"/>
    <mergeCell ref="BF60:BG60"/>
    <mergeCell ref="BI60:BJ60"/>
    <mergeCell ref="AN60:AO60"/>
    <mergeCell ref="AP60:AQ60"/>
    <mergeCell ref="AR60:AS60"/>
    <mergeCell ref="AT60:AU60"/>
    <mergeCell ref="AX60:AY60"/>
    <mergeCell ref="AZ60:BA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BIV</cp:lastModifiedBy>
  <cp:lastPrinted>2015-02-02T23:56:16Z</cp:lastPrinted>
  <dcterms:created xsi:type="dcterms:W3CDTF">2003-12-08T07:14:55Z</dcterms:created>
  <dcterms:modified xsi:type="dcterms:W3CDTF">2015-02-03T05:36:31Z</dcterms:modified>
  <cp:category/>
  <cp:version/>
  <cp:contentType/>
  <cp:contentStatus/>
</cp:coreProperties>
</file>