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480" windowHeight="11640" activeTab="2"/>
  </bookViews>
  <sheets>
    <sheet name="Свод мун.зад." sheetId="1" r:id="rId1"/>
    <sheet name="Ресурсн.обеспеч." sheetId="2" r:id="rId2"/>
    <sheet name="Инфор. о рес.об." sheetId="3" r:id="rId3"/>
  </sheets>
  <definedNames>
    <definedName name="_xlnm.Print_Area" localSheetId="2">'Инфор. о рес.об.'!$A$1:$K$312</definedName>
    <definedName name="_xlnm.Print_Area" localSheetId="1">Ресурсн.обеспеч.!$A$1:$O$78</definedName>
  </definedNames>
  <calcPr calcId="145621"/>
</workbook>
</file>

<file path=xl/calcChain.xml><?xml version="1.0" encoding="utf-8"?>
<calcChain xmlns="http://schemas.openxmlformats.org/spreadsheetml/2006/main">
  <c r="J259" i="3" l="1"/>
  <c r="K259" i="3"/>
  <c r="I259" i="3"/>
  <c r="J260" i="3"/>
  <c r="K260" i="3"/>
  <c r="I260" i="3"/>
  <c r="K306" i="3" l="1"/>
  <c r="J306" i="3"/>
  <c r="I306" i="3"/>
  <c r="H306" i="3"/>
  <c r="G306" i="3"/>
  <c r="F306" i="3"/>
  <c r="E306" i="3"/>
  <c r="D306" i="3"/>
  <c r="J91" i="3" l="1"/>
  <c r="K91" i="3"/>
  <c r="J187" i="3"/>
  <c r="K187" i="3"/>
  <c r="E259" i="3"/>
  <c r="F259" i="3"/>
  <c r="G259" i="3"/>
  <c r="H259" i="3"/>
  <c r="D259" i="3"/>
  <c r="J92" i="3"/>
  <c r="K92" i="3"/>
  <c r="I91" i="3"/>
  <c r="E187" i="3"/>
  <c r="F187" i="3"/>
  <c r="G187" i="3"/>
  <c r="H187" i="3"/>
  <c r="I187" i="3"/>
  <c r="D187" i="3"/>
  <c r="M34" i="2" l="1"/>
  <c r="I99" i="3"/>
  <c r="D260" i="3" l="1"/>
  <c r="I204" i="3"/>
  <c r="I176" i="3"/>
  <c r="I106" i="3"/>
  <c r="I71" i="3"/>
  <c r="M49" i="2"/>
  <c r="M46" i="2"/>
  <c r="M36" i="2"/>
  <c r="M24" i="2"/>
  <c r="I63" i="3"/>
  <c r="H98" i="3" l="1"/>
  <c r="H99" i="3" l="1"/>
  <c r="L34" i="2"/>
  <c r="H71" i="3" l="1"/>
  <c r="L72" i="2"/>
  <c r="L70" i="2"/>
  <c r="L68" i="2"/>
  <c r="L24" i="2"/>
  <c r="H204" i="3" l="1"/>
  <c r="H126" i="3"/>
  <c r="H106" i="3"/>
  <c r="H64" i="3"/>
  <c r="L49" i="2"/>
  <c r="L36" i="2"/>
  <c r="L23" i="2"/>
  <c r="H274" i="3" l="1"/>
  <c r="H295" i="3"/>
  <c r="L77" i="2"/>
  <c r="H105" i="3"/>
  <c r="H77" i="3"/>
  <c r="L64" i="2"/>
  <c r="L63" i="2"/>
  <c r="L62" i="2"/>
  <c r="L61" i="2"/>
  <c r="I64" i="3" l="1"/>
  <c r="M23" i="2"/>
  <c r="H281" i="3" l="1"/>
  <c r="K299" i="3" l="1"/>
  <c r="K292" i="3"/>
  <c r="K285" i="3"/>
  <c r="K278" i="3"/>
  <c r="K271" i="3"/>
  <c r="K264" i="3"/>
  <c r="K257" i="3" s="1"/>
  <c r="K250" i="3"/>
  <c r="K243" i="3"/>
  <c r="K236" i="3"/>
  <c r="K229" i="3"/>
  <c r="K222" i="3"/>
  <c r="K215" i="3"/>
  <c r="K208" i="3"/>
  <c r="K201" i="3"/>
  <c r="K198" i="3"/>
  <c r="K197" i="3"/>
  <c r="K196" i="3"/>
  <c r="I180" i="3"/>
  <c r="J180" i="3"/>
  <c r="K180" i="3"/>
  <c r="K173" i="3"/>
  <c r="K166" i="3"/>
  <c r="K159" i="3"/>
  <c r="K152" i="3"/>
  <c r="K145" i="3"/>
  <c r="K138" i="3"/>
  <c r="K131" i="3"/>
  <c r="K124" i="3"/>
  <c r="K117" i="3"/>
  <c r="K110" i="3"/>
  <c r="K103" i="3"/>
  <c r="K96" i="3"/>
  <c r="K82" i="3"/>
  <c r="K75" i="3"/>
  <c r="K68" i="3"/>
  <c r="K61" i="3"/>
  <c r="K54" i="3"/>
  <c r="K47" i="3"/>
  <c r="K40" i="3"/>
  <c r="K33" i="3"/>
  <c r="K32" i="3"/>
  <c r="K31" i="3"/>
  <c r="K30" i="3"/>
  <c r="K29" i="3"/>
  <c r="K28" i="3"/>
  <c r="K27" i="3"/>
  <c r="P19" i="2"/>
  <c r="P21" i="2"/>
  <c r="P22" i="2"/>
  <c r="P23" i="2"/>
  <c r="P28" i="2"/>
  <c r="P29" i="2"/>
  <c r="P30" i="2"/>
  <c r="P31" i="2"/>
  <c r="P32" i="2"/>
  <c r="P33" i="2"/>
  <c r="P40" i="2"/>
  <c r="P41" i="2"/>
  <c r="P42" i="2"/>
  <c r="P44" i="2"/>
  <c r="P45" i="2"/>
  <c r="P47" i="2"/>
  <c r="P50" i="2"/>
  <c r="P51" i="2"/>
  <c r="P53" i="2"/>
  <c r="P54" i="2"/>
  <c r="P55" i="2"/>
  <c r="P56" i="2"/>
  <c r="P59" i="2"/>
  <c r="P65" i="2"/>
  <c r="P66" i="2"/>
  <c r="P69" i="2"/>
  <c r="P71" i="2"/>
  <c r="P74" i="2"/>
  <c r="P75" i="2"/>
  <c r="P76" i="2"/>
  <c r="K89" i="3" l="1"/>
  <c r="K194" i="3"/>
  <c r="K22" i="3"/>
  <c r="K21" i="3"/>
  <c r="K26" i="3"/>
  <c r="O67" i="2"/>
  <c r="O60" i="2"/>
  <c r="O48" i="2"/>
  <c r="O35" i="2"/>
  <c r="O27" i="2"/>
  <c r="O18" i="2"/>
  <c r="J20" i="1"/>
  <c r="R19" i="1"/>
  <c r="R18" i="1"/>
  <c r="R16" i="1"/>
  <c r="R17" i="1" l="1"/>
  <c r="O26" i="2"/>
  <c r="K19" i="3"/>
  <c r="O57" i="2"/>
  <c r="R20" i="1"/>
  <c r="O16" i="2" l="1"/>
  <c r="I92" i="3"/>
  <c r="H90" i="3" l="1"/>
  <c r="H91" i="3"/>
  <c r="H93" i="3"/>
  <c r="H94" i="3"/>
  <c r="H95" i="3"/>
  <c r="H180" i="3"/>
  <c r="H70" i="3"/>
  <c r="L35" i="2" l="1"/>
  <c r="H176" i="3" l="1"/>
  <c r="H92" i="3" s="1"/>
  <c r="L46" i="2"/>
  <c r="G105" i="3"/>
  <c r="L67" i="2"/>
  <c r="M67" i="2"/>
  <c r="N67" i="2"/>
  <c r="K63" i="2"/>
  <c r="K61" i="2"/>
  <c r="J28" i="3"/>
  <c r="G126" i="3"/>
  <c r="G281" i="3"/>
  <c r="G295" i="3"/>
  <c r="G274" i="3"/>
  <c r="G99" i="3"/>
  <c r="G71" i="3"/>
  <c r="K77" i="2"/>
  <c r="K72" i="2"/>
  <c r="K70" i="2"/>
  <c r="K68" i="2"/>
  <c r="K64" i="2"/>
  <c r="K24" i="2"/>
  <c r="K34" i="2"/>
  <c r="G106" i="3"/>
  <c r="K36" i="2"/>
  <c r="F299" i="3"/>
  <c r="G204" i="3"/>
  <c r="G43" i="3"/>
  <c r="K20" i="2"/>
  <c r="K49" i="2"/>
  <c r="G176" i="3"/>
  <c r="K46" i="2"/>
  <c r="P46" i="2" s="1"/>
  <c r="G77" i="3"/>
  <c r="K37" i="2"/>
  <c r="P37" i="2" s="1"/>
  <c r="K60" i="2" l="1"/>
  <c r="G91" i="3"/>
  <c r="G70" i="3"/>
  <c r="H173" i="3"/>
  <c r="I173" i="3"/>
  <c r="J173" i="3"/>
  <c r="G173" i="3"/>
  <c r="G113" i="3"/>
  <c r="K73" i="2"/>
  <c r="K67" i="2" s="1"/>
  <c r="K38" i="2"/>
  <c r="P38" i="2" s="1"/>
  <c r="J24" i="2"/>
  <c r="F70" i="3"/>
  <c r="F77" i="3"/>
  <c r="F126" i="3"/>
  <c r="F281" i="3"/>
  <c r="F85" i="3"/>
  <c r="J73" i="2"/>
  <c r="P73" i="2" s="1"/>
  <c r="J68" i="2"/>
  <c r="J25" i="2"/>
  <c r="P25" i="2" s="1"/>
  <c r="F99" i="3"/>
  <c r="F71" i="3"/>
  <c r="J34" i="2"/>
  <c r="L60" i="2"/>
  <c r="M60" i="2"/>
  <c r="J72" i="2"/>
  <c r="F120" i="3"/>
  <c r="J39" i="2"/>
  <c r="P39" i="2" s="1"/>
  <c r="F274" i="3"/>
  <c r="J63" i="2"/>
  <c r="P63" i="2" s="1"/>
  <c r="J61" i="2"/>
  <c r="G29" i="3"/>
  <c r="F295" i="3"/>
  <c r="F204" i="3"/>
  <c r="F43" i="3"/>
  <c r="J77" i="2"/>
  <c r="J70" i="2"/>
  <c r="P70" i="2" s="1"/>
  <c r="J49" i="2"/>
  <c r="J20" i="2"/>
  <c r="I96" i="3"/>
  <c r="J96" i="3"/>
  <c r="I299" i="3"/>
  <c r="J299" i="3"/>
  <c r="I292" i="3"/>
  <c r="J292" i="3"/>
  <c r="I285" i="3"/>
  <c r="J285" i="3"/>
  <c r="I278" i="3"/>
  <c r="J278" i="3"/>
  <c r="I271" i="3"/>
  <c r="J271" i="3"/>
  <c r="I264" i="3"/>
  <c r="I257" i="3" s="1"/>
  <c r="J264" i="3"/>
  <c r="J257" i="3" s="1"/>
  <c r="I263" i="3"/>
  <c r="J263" i="3"/>
  <c r="I262" i="3"/>
  <c r="J262" i="3"/>
  <c r="I261" i="3"/>
  <c r="J261" i="3"/>
  <c r="I258" i="3"/>
  <c r="J258" i="3"/>
  <c r="I250" i="3"/>
  <c r="J250" i="3"/>
  <c r="I243" i="3"/>
  <c r="J243" i="3"/>
  <c r="I236" i="3"/>
  <c r="J236" i="3"/>
  <c r="I229" i="3"/>
  <c r="J229" i="3"/>
  <c r="I222" i="3"/>
  <c r="J222" i="3"/>
  <c r="I215" i="3"/>
  <c r="J215" i="3"/>
  <c r="I208" i="3"/>
  <c r="J208" i="3"/>
  <c r="I201" i="3"/>
  <c r="J201" i="3"/>
  <c r="I200" i="3"/>
  <c r="J200" i="3"/>
  <c r="I199" i="3"/>
  <c r="J199" i="3"/>
  <c r="I198" i="3"/>
  <c r="J198" i="3"/>
  <c r="I197" i="3"/>
  <c r="J197" i="3"/>
  <c r="I196" i="3"/>
  <c r="J196" i="3"/>
  <c r="I195" i="3"/>
  <c r="J195" i="3"/>
  <c r="I166" i="3"/>
  <c r="J166" i="3"/>
  <c r="I159" i="3"/>
  <c r="J159" i="3"/>
  <c r="I152" i="3"/>
  <c r="J152" i="3"/>
  <c r="I145" i="3"/>
  <c r="J145" i="3"/>
  <c r="I138" i="3"/>
  <c r="J138" i="3"/>
  <c r="I131" i="3"/>
  <c r="J131" i="3"/>
  <c r="I124" i="3"/>
  <c r="J124" i="3"/>
  <c r="I117" i="3"/>
  <c r="J117" i="3"/>
  <c r="I110" i="3"/>
  <c r="J110" i="3"/>
  <c r="I103" i="3"/>
  <c r="J103" i="3"/>
  <c r="I95" i="3"/>
  <c r="J95" i="3"/>
  <c r="I94" i="3"/>
  <c r="J94" i="3"/>
  <c r="I93" i="3"/>
  <c r="J93" i="3"/>
  <c r="I90" i="3"/>
  <c r="J90" i="3"/>
  <c r="I82" i="3"/>
  <c r="J82" i="3"/>
  <c r="I75" i="3"/>
  <c r="J75" i="3"/>
  <c r="I68" i="3"/>
  <c r="J68" i="3"/>
  <c r="I61" i="3"/>
  <c r="J61" i="3"/>
  <c r="I54" i="3"/>
  <c r="J54" i="3"/>
  <c r="I47" i="3"/>
  <c r="J47" i="3"/>
  <c r="I40" i="3"/>
  <c r="J40" i="3"/>
  <c r="I33" i="3"/>
  <c r="J33" i="3"/>
  <c r="I32" i="3"/>
  <c r="J32" i="3"/>
  <c r="I31" i="3"/>
  <c r="J31" i="3"/>
  <c r="I30" i="3"/>
  <c r="J30" i="3"/>
  <c r="I29" i="3"/>
  <c r="J29" i="3"/>
  <c r="I28" i="3"/>
  <c r="I27" i="3"/>
  <c r="J27" i="3"/>
  <c r="N19" i="1"/>
  <c r="O19" i="1"/>
  <c r="P19" i="1"/>
  <c r="Q19" i="1"/>
  <c r="N18" i="1"/>
  <c r="O18" i="1"/>
  <c r="P18" i="1"/>
  <c r="Q18" i="1"/>
  <c r="N16" i="1"/>
  <c r="O16" i="1"/>
  <c r="P16" i="1"/>
  <c r="Q16" i="1"/>
  <c r="I89" i="3" l="1"/>
  <c r="J89" i="3"/>
  <c r="J194" i="3"/>
  <c r="G92" i="3"/>
  <c r="J26" i="3"/>
  <c r="I194" i="3"/>
  <c r="I22" i="3"/>
  <c r="J21" i="3"/>
  <c r="I21" i="3"/>
  <c r="J22" i="3"/>
  <c r="I26" i="3"/>
  <c r="M57" i="2"/>
  <c r="N60" i="2"/>
  <c r="M48" i="2"/>
  <c r="N48" i="2"/>
  <c r="M35" i="2"/>
  <c r="N35" i="2"/>
  <c r="N27" i="2"/>
  <c r="N26" i="2" s="1"/>
  <c r="M18" i="2"/>
  <c r="N18" i="2"/>
  <c r="M17" i="2"/>
  <c r="N17" i="2"/>
  <c r="F20" i="1"/>
  <c r="G20" i="1"/>
  <c r="H20" i="1"/>
  <c r="I20" i="1"/>
  <c r="M19" i="1"/>
  <c r="M18" i="1"/>
  <c r="M16" i="1"/>
  <c r="J64" i="2"/>
  <c r="E204" i="3"/>
  <c r="I49" i="2"/>
  <c r="P49" i="2" s="1"/>
  <c r="E119" i="3"/>
  <c r="E98" i="3"/>
  <c r="E70" i="3"/>
  <c r="E71" i="3"/>
  <c r="I24" i="2"/>
  <c r="P24" i="2" s="1"/>
  <c r="E105" i="3"/>
  <c r="E281" i="3"/>
  <c r="E295" i="3"/>
  <c r="E274" i="3"/>
  <c r="E99" i="3"/>
  <c r="I77" i="2"/>
  <c r="P77" i="2" s="1"/>
  <c r="I72" i="2"/>
  <c r="P72" i="2" s="1"/>
  <c r="I68" i="2"/>
  <c r="P68" i="2" s="1"/>
  <c r="I62" i="2"/>
  <c r="P62" i="2" s="1"/>
  <c r="I61" i="2"/>
  <c r="P61" i="2" s="1"/>
  <c r="I34" i="2"/>
  <c r="P34" i="2" s="1"/>
  <c r="F278" i="3"/>
  <c r="E200" i="3"/>
  <c r="F200" i="3"/>
  <c r="G200" i="3"/>
  <c r="H200" i="3"/>
  <c r="E199" i="3"/>
  <c r="F199" i="3"/>
  <c r="G199" i="3"/>
  <c r="H199" i="3"/>
  <c r="E198" i="3"/>
  <c r="F198" i="3"/>
  <c r="G198" i="3"/>
  <c r="H198" i="3"/>
  <c r="F197" i="3"/>
  <c r="G197" i="3"/>
  <c r="H197" i="3"/>
  <c r="E196" i="3"/>
  <c r="F196" i="3"/>
  <c r="G196" i="3"/>
  <c r="H196" i="3"/>
  <c r="E195" i="3"/>
  <c r="F195" i="3"/>
  <c r="G195" i="3"/>
  <c r="H195" i="3"/>
  <c r="D195" i="3"/>
  <c r="D196" i="3"/>
  <c r="D197" i="3"/>
  <c r="D198" i="3"/>
  <c r="D199" i="3"/>
  <c r="D200" i="3"/>
  <c r="E250" i="3"/>
  <c r="F250" i="3"/>
  <c r="G250" i="3"/>
  <c r="H250" i="3"/>
  <c r="D250" i="3"/>
  <c r="F29" i="3"/>
  <c r="H29" i="3"/>
  <c r="F28" i="3"/>
  <c r="G28" i="3"/>
  <c r="H28" i="3"/>
  <c r="D27" i="3"/>
  <c r="D28" i="3"/>
  <c r="D29" i="3"/>
  <c r="D30" i="3"/>
  <c r="D31" i="3"/>
  <c r="D32" i="3"/>
  <c r="E75" i="3"/>
  <c r="F75" i="3"/>
  <c r="G75" i="3"/>
  <c r="H75" i="3"/>
  <c r="D75" i="3"/>
  <c r="E159" i="3"/>
  <c r="F159" i="3"/>
  <c r="G159" i="3"/>
  <c r="H159" i="3"/>
  <c r="D159" i="3"/>
  <c r="E95" i="3"/>
  <c r="F95" i="3"/>
  <c r="G95" i="3"/>
  <c r="E94" i="3"/>
  <c r="F94" i="3"/>
  <c r="G94" i="3"/>
  <c r="E93" i="3"/>
  <c r="F93" i="3"/>
  <c r="G93" i="3"/>
  <c r="F92" i="3"/>
  <c r="F91" i="3"/>
  <c r="E90" i="3"/>
  <c r="F90" i="3"/>
  <c r="G90" i="3"/>
  <c r="D90" i="3"/>
  <c r="D91" i="3"/>
  <c r="D92" i="3"/>
  <c r="D93" i="3"/>
  <c r="D94" i="3"/>
  <c r="D95" i="3"/>
  <c r="J19" i="3" l="1"/>
  <c r="E91" i="3"/>
  <c r="I19" i="3"/>
  <c r="N57" i="2"/>
  <c r="E28" i="3"/>
  <c r="Q17" i="1"/>
  <c r="Q20" i="1" s="1"/>
  <c r="I67" i="2"/>
  <c r="J67" i="2"/>
  <c r="H67" i="2"/>
  <c r="J60" i="2"/>
  <c r="H60" i="2"/>
  <c r="J48" i="2"/>
  <c r="K48" i="2"/>
  <c r="L48" i="2"/>
  <c r="H48" i="2"/>
  <c r="J18" i="2"/>
  <c r="K18" i="2"/>
  <c r="L18" i="2"/>
  <c r="H18" i="2"/>
  <c r="P67" i="2" l="1"/>
  <c r="N16" i="2"/>
  <c r="E302" i="3"/>
  <c r="I78" i="2"/>
  <c r="P78" i="2" s="1"/>
  <c r="K57" i="2"/>
  <c r="L57" i="2"/>
  <c r="I58" i="2"/>
  <c r="P58" i="2" s="1"/>
  <c r="E225" i="3"/>
  <c r="E148" i="3"/>
  <c r="E106" i="3"/>
  <c r="E43" i="3"/>
  <c r="I64" i="2"/>
  <c r="P64" i="2" s="1"/>
  <c r="I52" i="2"/>
  <c r="P52" i="2" s="1"/>
  <c r="I36" i="2"/>
  <c r="P36" i="2" s="1"/>
  <c r="I43" i="2"/>
  <c r="P43" i="2" s="1"/>
  <c r="I20" i="2"/>
  <c r="P20" i="2" s="1"/>
  <c r="J35" i="2"/>
  <c r="K35" i="2"/>
  <c r="H35" i="2"/>
  <c r="F260" i="3"/>
  <c r="G260" i="3"/>
  <c r="G22" i="3" s="1"/>
  <c r="H260" i="3"/>
  <c r="H22" i="3" s="1"/>
  <c r="E201" i="3"/>
  <c r="H299" i="3"/>
  <c r="G299" i="3"/>
  <c r="E299" i="3"/>
  <c r="D299" i="3"/>
  <c r="H243" i="3"/>
  <c r="G243" i="3"/>
  <c r="F243" i="3"/>
  <c r="E243" i="3"/>
  <c r="D243" i="3"/>
  <c r="K20" i="1"/>
  <c r="L20" i="1"/>
  <c r="D20" i="1"/>
  <c r="E20" i="1"/>
  <c r="C20" i="1"/>
  <c r="M27" i="2"/>
  <c r="M26" i="2" s="1"/>
  <c r="J27" i="2"/>
  <c r="M17" i="1" s="1"/>
  <c r="M20" i="1" s="1"/>
  <c r="K27" i="2"/>
  <c r="L27" i="2"/>
  <c r="I27" i="2"/>
  <c r="H292" i="3"/>
  <c r="G292" i="3"/>
  <c r="F292" i="3"/>
  <c r="E292" i="3"/>
  <c r="D292" i="3"/>
  <c r="H27" i="2"/>
  <c r="I17" i="2"/>
  <c r="J17" i="2"/>
  <c r="K17" i="2"/>
  <c r="L17" i="2"/>
  <c r="H17" i="2"/>
  <c r="G285" i="3"/>
  <c r="H285" i="3"/>
  <c r="G278" i="3"/>
  <c r="H278" i="3"/>
  <c r="G271" i="3"/>
  <c r="H271" i="3"/>
  <c r="G264" i="3"/>
  <c r="G257" i="3" s="1"/>
  <c r="H264" i="3"/>
  <c r="H257" i="3" s="1"/>
  <c r="G263" i="3"/>
  <c r="H263" i="3"/>
  <c r="H261" i="3"/>
  <c r="G262" i="3"/>
  <c r="H262" i="3"/>
  <c r="G261" i="3"/>
  <c r="G21" i="3"/>
  <c r="H21" i="3"/>
  <c r="G258" i="3"/>
  <c r="H258" i="3"/>
  <c r="G236" i="3"/>
  <c r="H236" i="3"/>
  <c r="G229" i="3"/>
  <c r="H229" i="3"/>
  <c r="F222" i="3"/>
  <c r="G222" i="3"/>
  <c r="H222" i="3"/>
  <c r="D222" i="3"/>
  <c r="G215" i="3"/>
  <c r="H215" i="3"/>
  <c r="G208" i="3"/>
  <c r="H208" i="3"/>
  <c r="G201" i="3"/>
  <c r="H201" i="3"/>
  <c r="G166" i="3"/>
  <c r="H166" i="3"/>
  <c r="G152" i="3"/>
  <c r="H152" i="3"/>
  <c r="G145" i="3"/>
  <c r="H145" i="3"/>
  <c r="G138" i="3"/>
  <c r="H138" i="3"/>
  <c r="G131" i="3"/>
  <c r="H131" i="3"/>
  <c r="G124" i="3"/>
  <c r="H124" i="3"/>
  <c r="G117" i="3"/>
  <c r="H117" i="3"/>
  <c r="G110" i="3"/>
  <c r="H110" i="3"/>
  <c r="G103" i="3"/>
  <c r="H103" i="3"/>
  <c r="G96" i="3"/>
  <c r="G89" i="3" s="1"/>
  <c r="H96" i="3"/>
  <c r="H89" i="3" s="1"/>
  <c r="G82" i="3"/>
  <c r="H82" i="3"/>
  <c r="G68" i="3"/>
  <c r="H68" i="3"/>
  <c r="G61" i="3"/>
  <c r="H61" i="3"/>
  <c r="G54" i="3"/>
  <c r="H54" i="3"/>
  <c r="G47" i="3"/>
  <c r="H47" i="3"/>
  <c r="G40" i="3"/>
  <c r="H40" i="3"/>
  <c r="G33" i="3"/>
  <c r="H33" i="3"/>
  <c r="G32" i="3"/>
  <c r="H32" i="3"/>
  <c r="G31" i="3"/>
  <c r="H31" i="3"/>
  <c r="G30" i="3"/>
  <c r="H30" i="3"/>
  <c r="G27" i="3"/>
  <c r="G20" i="3" s="1"/>
  <c r="H27" i="3"/>
  <c r="P17" i="2" l="1"/>
  <c r="E260" i="3"/>
  <c r="P27" i="2"/>
  <c r="L26" i="2"/>
  <c r="E222" i="3"/>
  <c r="H20" i="3"/>
  <c r="H26" i="2"/>
  <c r="K26" i="2"/>
  <c r="K16" i="2" s="1"/>
  <c r="I35" i="2"/>
  <c r="I26" i="2" s="1"/>
  <c r="E29" i="3"/>
  <c r="E92" i="3"/>
  <c r="E197" i="3"/>
  <c r="I48" i="2"/>
  <c r="P48" i="2" s="1"/>
  <c r="I18" i="2"/>
  <c r="P18" i="2" s="1"/>
  <c r="I60" i="2"/>
  <c r="P60" i="2" s="1"/>
  <c r="H26" i="3"/>
  <c r="H194" i="3"/>
  <c r="G194" i="3"/>
  <c r="G26" i="3"/>
  <c r="P17" i="1"/>
  <c r="P20" i="1" s="1"/>
  <c r="O17" i="1"/>
  <c r="O20" i="1" s="1"/>
  <c r="N17" i="1"/>
  <c r="N20" i="1" s="1"/>
  <c r="J26" i="2"/>
  <c r="F166" i="3"/>
  <c r="E166" i="3"/>
  <c r="D166" i="3"/>
  <c r="F152" i="3"/>
  <c r="E152" i="3"/>
  <c r="D152" i="3"/>
  <c r="F82" i="3"/>
  <c r="E82" i="3"/>
  <c r="D82" i="3"/>
  <c r="F258" i="3"/>
  <c r="F21" i="3"/>
  <c r="F261" i="3"/>
  <c r="F262" i="3"/>
  <c r="F263" i="3"/>
  <c r="E258" i="3"/>
  <c r="E21" i="3"/>
  <c r="E261" i="3"/>
  <c r="E262" i="3"/>
  <c r="E263" i="3"/>
  <c r="D258" i="3"/>
  <c r="D261" i="3"/>
  <c r="D262" i="3"/>
  <c r="D263" i="3"/>
  <c r="E271" i="3"/>
  <c r="F271" i="3"/>
  <c r="D271" i="3"/>
  <c r="E124" i="3"/>
  <c r="F124" i="3"/>
  <c r="D124" i="3"/>
  <c r="E68" i="3"/>
  <c r="F68" i="3"/>
  <c r="D68" i="3"/>
  <c r="F285" i="3"/>
  <c r="E285" i="3"/>
  <c r="D285" i="3"/>
  <c r="E278" i="3"/>
  <c r="D278" i="3"/>
  <c r="F264" i="3"/>
  <c r="E264" i="3"/>
  <c r="E257" i="3" s="1"/>
  <c r="D264" i="3"/>
  <c r="F236" i="3"/>
  <c r="E236" i="3"/>
  <c r="D236" i="3"/>
  <c r="F229" i="3"/>
  <c r="E229" i="3"/>
  <c r="D229" i="3"/>
  <c r="F215" i="3"/>
  <c r="E215" i="3"/>
  <c r="D215" i="3"/>
  <c r="F208" i="3"/>
  <c r="E208" i="3"/>
  <c r="D208" i="3"/>
  <c r="F201" i="3"/>
  <c r="D201" i="3"/>
  <c r="F145" i="3"/>
  <c r="E145" i="3"/>
  <c r="D145" i="3"/>
  <c r="F138" i="3"/>
  <c r="E138" i="3"/>
  <c r="D138" i="3"/>
  <c r="F131" i="3"/>
  <c r="E131" i="3"/>
  <c r="D131" i="3"/>
  <c r="F117" i="3"/>
  <c r="E117" i="3"/>
  <c r="D117" i="3"/>
  <c r="F110" i="3"/>
  <c r="E110" i="3"/>
  <c r="D110" i="3"/>
  <c r="F103" i="3"/>
  <c r="E103" i="3"/>
  <c r="D103" i="3"/>
  <c r="F96" i="3"/>
  <c r="F89" i="3" s="1"/>
  <c r="E96" i="3"/>
  <c r="D96" i="3"/>
  <c r="D89" i="3" s="1"/>
  <c r="F61" i="3"/>
  <c r="E61" i="3"/>
  <c r="D61" i="3"/>
  <c r="F54" i="3"/>
  <c r="E54" i="3"/>
  <c r="D54" i="3"/>
  <c r="F47" i="3"/>
  <c r="E47" i="3"/>
  <c r="D47" i="3"/>
  <c r="F40" i="3"/>
  <c r="E40" i="3"/>
  <c r="D40" i="3"/>
  <c r="E32" i="3"/>
  <c r="F32" i="3"/>
  <c r="F25" i="3" s="1"/>
  <c r="E31" i="3"/>
  <c r="F31" i="3"/>
  <c r="F24" i="3" s="1"/>
  <c r="E30" i="3"/>
  <c r="F30" i="3"/>
  <c r="F22" i="3"/>
  <c r="E27" i="3"/>
  <c r="F27" i="3"/>
  <c r="F20" i="3" s="1"/>
  <c r="E33" i="3"/>
  <c r="F33" i="3"/>
  <c r="D33" i="3"/>
  <c r="J57" i="2"/>
  <c r="H57" i="2"/>
  <c r="P26" i="2" l="1"/>
  <c r="P35" i="2"/>
  <c r="E89" i="3"/>
  <c r="D257" i="3"/>
  <c r="F257" i="3"/>
  <c r="E194" i="3"/>
  <c r="L16" i="2"/>
  <c r="I57" i="2"/>
  <c r="P57" i="2" s="1"/>
  <c r="D26" i="3"/>
  <c r="E22" i="3"/>
  <c r="D194" i="3"/>
  <c r="F23" i="3"/>
  <c r="H19" i="3"/>
  <c r="E20" i="3"/>
  <c r="E23" i="3"/>
  <c r="E24" i="3"/>
  <c r="E25" i="3"/>
  <c r="G19" i="3"/>
  <c r="E26" i="3"/>
  <c r="F26" i="3"/>
  <c r="F194" i="3"/>
  <c r="D25" i="3"/>
  <c r="D20" i="3"/>
  <c r="D24" i="3"/>
  <c r="D23" i="3"/>
  <c r="D21" i="3"/>
  <c r="D22" i="3"/>
  <c r="J16" i="2"/>
  <c r="I16" i="2"/>
  <c r="F19" i="3" l="1"/>
  <c r="M16" i="2"/>
  <c r="P16" i="2" s="1"/>
  <c r="E19" i="3"/>
  <c r="H16" i="2"/>
  <c r="D19" i="3"/>
</calcChain>
</file>

<file path=xl/sharedStrings.xml><?xml version="1.0" encoding="utf-8"?>
<sst xmlns="http://schemas.openxmlformats.org/spreadsheetml/2006/main" count="633" uniqueCount="179">
  <si>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</si>
  <si>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</si>
  <si>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</si>
  <si>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</si>
  <si>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</si>
  <si>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</si>
  <si>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</si>
  <si>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</si>
  <si>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</si>
  <si>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</si>
  <si>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</si>
  <si>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</si>
  <si>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</si>
  <si>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</si>
  <si>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</si>
  <si>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</si>
  <si>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</si>
  <si>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</si>
  <si>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</si>
  <si>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</si>
  <si>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</si>
  <si>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</si>
  <si>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</si>
  <si>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0701</t>
  </si>
  <si>
    <t>0702</t>
  </si>
  <si>
    <t>0127003</t>
  </si>
  <si>
    <t>0709</t>
  </si>
  <si>
    <t>0192005</t>
  </si>
  <si>
    <t>000</t>
  </si>
  <si>
    <t>Оценка расходов (тыс.руб.)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</si>
  <si>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</si>
  <si>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</si>
  <si>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</si>
  <si>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</si>
  <si>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</si>
  <si>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</si>
  <si>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</si>
  <si>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</si>
  <si>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</si>
  <si>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</si>
  <si>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</si>
  <si>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</si>
  <si>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</si>
  <si>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</si>
  <si>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</si>
  <si>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</si>
  <si>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</si>
  <si>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</si>
  <si>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</si>
  <si>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</si>
  <si>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</si>
  <si>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</si>
  <si>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</si>
  <si>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</si>
  <si>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</si>
  <si>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</si>
  <si>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</si>
  <si>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</si>
  <si>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</si>
  <si>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</si>
  <si>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</si>
  <si>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</si>
  <si>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</si>
  <si>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</si>
  <si>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</si>
  <si>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</si>
  <si>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</si>
  <si>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</si>
  <si>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</si>
  <si>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</si>
  <si>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</si>
  <si>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</si>
  <si>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</si>
  <si>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</si>
  <si>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>Управление народного образования Администрации Ханкайского муниципального района,комиссия по делам несовершеннолетних</t>
  </si>
  <si>
    <t>2.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</si>
  <si>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</si>
  <si>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</si>
  <si>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</si>
  <si>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</si>
  <si>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</si>
  <si>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</si>
  <si>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</si>
  <si>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</si>
  <si>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</si>
  <si>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111</t>
  </si>
  <si>
    <t>Обеспечение деятельности (оказание услуг, выполнение работ) муниципальных автономных организаций</t>
  </si>
  <si>
    <t>Обеспечение деятельности (оказание услуг, выполнение работ) муниципальных автономных  организаций</t>
  </si>
  <si>
    <t>5.5.</t>
  </si>
  <si>
    <t>Обеспечение питанием обучающихся общеобразовательных организаций  Ханкайского муниципального района</t>
  </si>
  <si>
    <t>5.6.</t>
  </si>
  <si>
    <t>4.7.</t>
  </si>
  <si>
    <t>Организация , проведение и участие в спортивных мероприятиях</t>
  </si>
  <si>
    <t>0132017</t>
  </si>
  <si>
    <t>243/612</t>
  </si>
  <si>
    <t>1105</t>
  </si>
  <si>
    <t xml:space="preserve">Мероприятия для детей и учащейся молодежи </t>
  </si>
  <si>
    <t>Мероприятия для детей и учащейся молодежи</t>
  </si>
  <si>
    <t>0100000000</t>
  </si>
  <si>
    <t>0110000000</t>
  </si>
  <si>
    <t>0111220500</t>
  </si>
  <si>
    <t>2.7</t>
  </si>
  <si>
    <t xml:space="preserve">Обеспечение беспрепятственного доступа инвалидов к объектам социальной инфраструктуры </t>
  </si>
  <si>
    <t>0111220020</t>
  </si>
  <si>
    <t>0120000000</t>
  </si>
  <si>
    <t>0121120020</t>
  </si>
  <si>
    <t>0121320500</t>
  </si>
  <si>
    <t>0120020700</t>
  </si>
  <si>
    <t>0121170030</t>
  </si>
  <si>
    <t>0121270050</t>
  </si>
  <si>
    <t>0130000000</t>
  </si>
  <si>
    <t>0131120020</t>
  </si>
  <si>
    <t>0131220500</t>
  </si>
  <si>
    <t>0130070040</t>
  </si>
  <si>
    <t>3.10</t>
  </si>
  <si>
    <t>0121220050</t>
  </si>
  <si>
    <t>0191220160</t>
  </si>
  <si>
    <t>0191110030</t>
  </si>
  <si>
    <t>0191170010</t>
  </si>
  <si>
    <t>0191170070</t>
  </si>
  <si>
    <t>0111270060</t>
  </si>
  <si>
    <t>0111220600</t>
  </si>
  <si>
    <t>0111220040</t>
  </si>
  <si>
    <t>0111170020</t>
  </si>
  <si>
    <t>0121220040</t>
  </si>
  <si>
    <t>0121220030</t>
  </si>
  <si>
    <t>0121220600</t>
  </si>
  <si>
    <t>0131170050</t>
  </si>
  <si>
    <t>0131170060</t>
  </si>
  <si>
    <t>0131220040</t>
  </si>
  <si>
    <t>0131220600</t>
  </si>
  <si>
    <t>0191100000</t>
  </si>
  <si>
    <t>0191170060</t>
  </si>
  <si>
    <t>3.11.</t>
  </si>
  <si>
    <t>2.8.</t>
  </si>
  <si>
    <t>2.8</t>
  </si>
  <si>
    <t>3.11</t>
  </si>
  <si>
    <t>4.8.</t>
  </si>
  <si>
    <t>Выполнение работ, услуг, связанных со строительством, 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</si>
  <si>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Реализация основных общеобразовательных программ  дошкольного образования</t>
  </si>
  <si>
    <t xml:space="preserve">Реализация дополнительных общеобразовательных программ      
</t>
  </si>
  <si>
    <t>0703</t>
  </si>
  <si>
    <t>3.12</t>
  </si>
  <si>
    <t>Создание в общеобразовательных организациях условий для занятия физической культурой и спортом</t>
  </si>
  <si>
    <t>Реализация основных общеобразовательных   программ начального общего, основного общего,среднего общего образования</t>
  </si>
  <si>
    <t>0121270050/ 01212S2340</t>
  </si>
  <si>
    <t>01212S2040</t>
  </si>
  <si>
    <t>0111270050/ 01112S2020</t>
  </si>
  <si>
    <t>Мероприятия по пожарной безопасности</t>
  </si>
  <si>
    <t>0121220400</t>
  </si>
  <si>
    <t>3.13</t>
  </si>
  <si>
    <t>итого</t>
  </si>
  <si>
    <t>ПРОГНОЗ СВОДНЫХ ПОКАЗАТЕЛЕЙ МУНИЦИПАЛЬНЫХ ЗАДАНИЙ НА ОКАЗАНИЕ МУНИЦИПАЛЬНЫХ УСЛУГ (ВЫПОЛНЕНИЕ РАБОТ) МУНИЦИПАЛЬНЫМИ И КАЗЕННЫМИ УЧРЕЖДЕНИЯМИ ПО МУНИЦИПАЛЬНОЙ ПРОГРАММЕ "РАЗВИТИЕ ОБРАЗОВАНИЯ В ХАНКАЙСКОМ МУНИЦИПАЛЬНОМ РАЙОНЕ" НА 2014-2021 ГОДЫ</t>
  </si>
  <si>
    <t>Приложение № 4  к муниципальной программе "Развитие образования в Ханкайском муниципальном районе" на 2014-2021 годы</t>
  </si>
  <si>
    <t>РЕСУРСНОЕ ОБЕСПЕЧЕНИЕ РЕАЛИЗАЦИИ МУНИЦИПАЛЬНОЙ ПРОГРАММЫ   "РАЗВИТИЕ ОБРАЗОВАНИЯ В ХАНКАЙСКОМ МУНИЦИПАЛЬНОМ РАЙОНЕ" НА 2014-2021 ГОДЫ ЗА СЧЕТ СРЕДСТВ БЮДЖЕТА ХАНКАЙСКОГО МУНИЦИПАЛЬНОГО РАЙОНА, (ТЫС. РУБ.).</t>
  </si>
  <si>
    <t>ИНФОРМАЦИЯ О РЕСУРСНОМ ОБЕСПЕЧЕНИИ МУНИЦИПАЛЬНОЙ ПРОГРАММЫ  "РАЗВИТИЕ ОБРАЗОВАНИЯ В ХАНКАЙСКОМ МУНИЦИПАЛЬНОМ РАЙОНЕ" НА 2014-2021 годы ЗА СЧЕТ СРЕДСТВ БЮДЖЕТА ХАНКАЙСКОГО МУНИЦИПАЛЬНОГО РАЙОНА И ПРОГНОЗНАЯ ОЦЕНКА ПРИВЛЕКАЕМЫХ НА РЕАЛИЗАЦИЮ ЕЕ ЦЕЛЕЙ СРЕДСТВ КРАЕВОГО И ФЕДЕРАЛЬНОГО БЮДЖЕТОВ, БЮДЖЕТОВ ГОСУДАРСТВЕННЫХ ВНЕБЮДЖЕТНЫХ ФОНДОВ,ИНЫХ ВНЕБЮДЖЕТНЫХ ИСТОЧНИКОВ</t>
  </si>
  <si>
    <t>Приложение № 5  к муниципальной программе "Развитие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</si>
  <si>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</si>
  <si>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Подпрограмма Развитие дошкольного образования в Ханкайском муниципальном районе» на 2014-2021  годы</t>
  </si>
  <si>
    <t>Подпрограмма «Развитие системы общего образования в Ханкайском муниципальном районе» на 2014-2021 годы</t>
  </si>
  <si>
    <t>Подпрограмма «Развитие системы дополнительного образования в Ханкайском муниципальном районе» на 2014-2021 годы</t>
  </si>
  <si>
    <t>Подпрограмма "Развитие дошкольного образования в Ханкайском муниципальном районе» на 2014-2021  годы</t>
  </si>
  <si>
    <t>Обеспечение мер социальной поддержки педагогическим работникам муниципальных образовательных организаций</t>
  </si>
  <si>
    <t>01214L0970</t>
  </si>
  <si>
    <t>Организация питания учащихся  общеобразовательных организаций</t>
  </si>
  <si>
    <t>3.14</t>
  </si>
  <si>
    <t>5.7.</t>
  </si>
  <si>
    <t>Приложение № 3</t>
  </si>
  <si>
    <t xml:space="preserve">к постановлению Администрации </t>
  </si>
  <si>
    <t>муниципального района</t>
  </si>
  <si>
    <t>к постановлению Администрации</t>
  </si>
  <si>
    <t xml:space="preserve">                              Приложение № 2</t>
  </si>
  <si>
    <t xml:space="preserve">                                     к постановлению Администрации</t>
  </si>
  <si>
    <t xml:space="preserve">           муниципального района</t>
  </si>
  <si>
    <t xml:space="preserve">                                                                 Приложение № 1 </t>
  </si>
  <si>
    <t xml:space="preserve">                  муниципального района</t>
  </si>
  <si>
    <t xml:space="preserve">                  Приложение № 3  к муниципальной программе "Развитие образования                                                                                                                                                                                 в Ханкайском муниципальном районе" на 2014-2021 годы</t>
  </si>
  <si>
    <t>от 30.01.2019 №70-па</t>
  </si>
  <si>
    <t>от 30.01.2019 № 70-па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</si>
</sst>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1" xfId="0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165" fontId="0" fillId="0" borderId="1" xfId="0" applyNumberFormat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zoomScale="60" zoomScaleNormal="100" workbookViewId="0">
      <selection activeCell="K14" sqref="K14:R14"/>
    </sheetView>
  </sheetViews>
  <sheetFormatPr defaultRowHeight="15" x14ac:dyDescent="0.25"/>
  <cols>
    <col min="1" max="1" width="4.42578125" customWidth="1"/>
    <col min="2" max="2" width="20.140625" customWidth="1"/>
    <col min="3" max="3" width="7.140625" customWidth="1"/>
    <col min="4" max="5" width="7.28515625" customWidth="1"/>
    <col min="6" max="6" width="7.5703125" customWidth="1"/>
    <col min="7" max="7" width="7" customWidth="1"/>
    <col min="8" max="8" width="7.28515625" customWidth="1"/>
    <col min="9" max="10" width="7.42578125" customWidth="1"/>
    <col min="11" max="11" width="11" customWidth="1"/>
    <col min="12" max="12" width="11.7109375" customWidth="1"/>
    <col min="13" max="13" width="11.85546875" customWidth="1"/>
    <col min="14" max="14" width="12.28515625" customWidth="1"/>
    <col min="15" max="15" width="13.5703125" customWidth="1"/>
    <col min="16" max="16" width="12.28515625" customWidth="1"/>
    <col min="17" max="17" width="10.5703125" customWidth="1"/>
  </cols>
  <sheetData>
    <row r="1" spans="1:18" ht="24" customHeight="1" x14ac:dyDescent="0.25">
      <c r="D1" s="40"/>
      <c r="E1" s="40"/>
      <c r="F1" s="40"/>
      <c r="G1" s="40"/>
      <c r="H1" s="77" t="s">
        <v>174</v>
      </c>
      <c r="I1" s="77"/>
      <c r="J1" s="77"/>
      <c r="K1" s="77"/>
      <c r="L1" s="77"/>
      <c r="M1" s="77"/>
      <c r="N1" s="77"/>
      <c r="O1" s="77"/>
      <c r="P1" s="77"/>
      <c r="Q1" s="77"/>
    </row>
    <row r="2" spans="1:18" ht="15.75" customHeight="1" x14ac:dyDescent="0.25">
      <c r="D2" s="40"/>
      <c r="E2" s="40"/>
      <c r="F2" s="40"/>
      <c r="G2" s="40"/>
      <c r="H2" s="74"/>
      <c r="I2" s="74"/>
      <c r="J2" s="74"/>
      <c r="K2" s="74"/>
      <c r="L2" s="77" t="s">
        <v>170</v>
      </c>
      <c r="M2" s="77"/>
      <c r="N2" s="77"/>
      <c r="O2" s="77"/>
      <c r="P2" s="77"/>
      <c r="Q2" s="77"/>
    </row>
    <row r="3" spans="1:18" ht="16.5" customHeight="1" x14ac:dyDescent="0.25">
      <c r="D3" s="40"/>
      <c r="E3" s="40"/>
      <c r="F3" s="40"/>
      <c r="G3" s="40"/>
      <c r="H3" s="74"/>
      <c r="I3" s="74"/>
      <c r="J3" s="74"/>
      <c r="K3" s="74"/>
      <c r="L3" s="77" t="s">
        <v>175</v>
      </c>
      <c r="M3" s="77"/>
      <c r="N3" s="77"/>
      <c r="O3" s="77"/>
      <c r="P3" s="77"/>
      <c r="Q3" s="74"/>
    </row>
    <row r="4" spans="1:18" ht="14.25" customHeight="1" x14ac:dyDescent="0.25">
      <c r="D4" s="40"/>
      <c r="E4" s="40"/>
      <c r="F4" s="40"/>
      <c r="G4" s="40"/>
      <c r="H4" s="75"/>
      <c r="I4" s="75"/>
      <c r="J4" s="75"/>
      <c r="K4" s="75"/>
      <c r="L4" s="75"/>
      <c r="M4" s="77" t="s">
        <v>177</v>
      </c>
      <c r="N4" s="77"/>
      <c r="O4" s="77"/>
      <c r="P4" s="77"/>
      <c r="Q4" s="76"/>
    </row>
    <row r="5" spans="1:18" ht="16.5" customHeight="1" x14ac:dyDescent="0.25">
      <c r="A5" s="7"/>
      <c r="B5" s="7"/>
      <c r="C5" s="7"/>
      <c r="D5" s="82" t="s">
        <v>176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8" ht="3.75" customHeight="1" x14ac:dyDescent="0.25">
      <c r="A6" s="7"/>
      <c r="B6" s="7"/>
      <c r="C6" s="7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8" ht="15" customHeight="1" x14ac:dyDescent="0.25">
      <c r="A7" s="7"/>
      <c r="B7" s="7"/>
      <c r="C7" s="7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8" ht="16.5" customHeight="1" x14ac:dyDescent="0.25">
      <c r="A8" s="7"/>
      <c r="B8" s="7"/>
      <c r="C8" s="7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8" ht="15" customHeight="1" x14ac:dyDescent="0.25">
      <c r="A9" s="82" t="s">
        <v>152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1:18" ht="12" customHeight="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18" ht="15" customHeight="1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18" ht="15" customHeight="1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</row>
    <row r="13" spans="1:18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8" ht="51" customHeight="1" x14ac:dyDescent="0.25">
      <c r="A14" s="80" t="s">
        <v>0</v>
      </c>
      <c r="B14" s="78" t="s">
        <v>1</v>
      </c>
      <c r="C14" s="83" t="s">
        <v>83</v>
      </c>
      <c r="D14" s="84"/>
      <c r="E14" s="84"/>
      <c r="F14" s="84"/>
      <c r="G14" s="84"/>
      <c r="H14" s="84"/>
      <c r="I14" s="84"/>
      <c r="J14" s="85"/>
      <c r="K14" s="83" t="s">
        <v>2</v>
      </c>
      <c r="L14" s="84"/>
      <c r="M14" s="84"/>
      <c r="N14" s="84"/>
      <c r="O14" s="84"/>
      <c r="P14" s="84"/>
      <c r="Q14" s="84"/>
      <c r="R14" s="85"/>
    </row>
    <row r="15" spans="1:18" ht="42.75" customHeight="1" x14ac:dyDescent="0.25">
      <c r="A15" s="81"/>
      <c r="B15" s="79"/>
      <c r="C15" s="34">
        <v>2014</v>
      </c>
      <c r="D15" s="34">
        <v>2015</v>
      </c>
      <c r="E15" s="34">
        <v>2016</v>
      </c>
      <c r="F15" s="34">
        <v>2017</v>
      </c>
      <c r="G15" s="34">
        <v>2018</v>
      </c>
      <c r="H15" s="34">
        <v>2019</v>
      </c>
      <c r="I15" s="34">
        <v>2020</v>
      </c>
      <c r="J15" s="34">
        <v>2021</v>
      </c>
      <c r="K15" s="34">
        <v>2014</v>
      </c>
      <c r="L15" s="34">
        <v>2015</v>
      </c>
      <c r="M15" s="34">
        <v>2016</v>
      </c>
      <c r="N15" s="42">
        <v>2017</v>
      </c>
      <c r="O15" s="42">
        <v>2018</v>
      </c>
      <c r="P15" s="42">
        <v>2019</v>
      </c>
      <c r="Q15" s="42">
        <v>2020</v>
      </c>
      <c r="R15" s="42">
        <v>2021</v>
      </c>
    </row>
    <row r="16" spans="1:18" ht="96" customHeight="1" x14ac:dyDescent="0.25">
      <c r="A16" s="5">
        <v>1</v>
      </c>
      <c r="B16" s="4" t="s">
        <v>139</v>
      </c>
      <c r="C16" s="17">
        <v>720</v>
      </c>
      <c r="D16" s="15">
        <v>787</v>
      </c>
      <c r="E16" s="15">
        <v>780</v>
      </c>
      <c r="F16" s="15">
        <v>783</v>
      </c>
      <c r="G16" s="15">
        <v>757</v>
      </c>
      <c r="H16" s="15">
        <v>737</v>
      </c>
      <c r="I16" s="15">
        <v>737</v>
      </c>
      <c r="J16" s="15">
        <v>737</v>
      </c>
      <c r="K16" s="15">
        <v>29407.35</v>
      </c>
      <c r="L16" s="15">
        <v>32232.9</v>
      </c>
      <c r="M16" s="17">
        <f>Ресурсн.обеспеч.!J24</f>
        <v>30479.249999999996</v>
      </c>
      <c r="N16" s="17">
        <f>Ресурсн.обеспеч.!K24</f>
        <v>29765.15</v>
      </c>
      <c r="O16" s="17">
        <f>Ресурсн.обеспеч.!L24</f>
        <v>37060.44</v>
      </c>
      <c r="P16" s="17">
        <f>Ресурсн.обеспеч.!M24</f>
        <v>39428.382000000005</v>
      </c>
      <c r="Q16" s="17">
        <f>Ресурсн.обеспеч.!N24</f>
        <v>39250.906999999999</v>
      </c>
      <c r="R16" s="17">
        <f>Ресурсн.обеспеч.!O24</f>
        <v>33862.357000000004</v>
      </c>
    </row>
    <row r="17" spans="1:18" ht="159" customHeight="1" x14ac:dyDescent="0.25">
      <c r="A17" s="5">
        <v>2</v>
      </c>
      <c r="B17" s="4" t="s">
        <v>144</v>
      </c>
      <c r="C17" s="15">
        <v>2400</v>
      </c>
      <c r="D17" s="15">
        <v>2365</v>
      </c>
      <c r="E17" s="15">
        <v>2308</v>
      </c>
      <c r="F17" s="15">
        <v>2322</v>
      </c>
      <c r="G17" s="15">
        <v>2264</v>
      </c>
      <c r="H17" s="15">
        <v>2236</v>
      </c>
      <c r="I17" s="15">
        <v>2236</v>
      </c>
      <c r="J17" s="15">
        <v>2236</v>
      </c>
      <c r="K17" s="15">
        <v>48645.69</v>
      </c>
      <c r="L17" s="15">
        <v>51184.31</v>
      </c>
      <c r="M17" s="17">
        <f>Ресурсн.обеспеч.!J27</f>
        <v>55555.59</v>
      </c>
      <c r="N17" s="17">
        <f>Ресурсн.обеспеч.!K27</f>
        <v>52043.040000000008</v>
      </c>
      <c r="O17" s="17">
        <f>Ресурсн.обеспеч.!L27</f>
        <v>63395.744999999995</v>
      </c>
      <c r="P17" s="17">
        <f>Ресурсн.обеспеч.!M27</f>
        <v>80420.945000000007</v>
      </c>
      <c r="Q17" s="17">
        <f>Ресурсн.обеспеч.!N27</f>
        <v>72918.596000000005</v>
      </c>
      <c r="R17" s="17">
        <f>Ресурсн.обеспеч.!O27</f>
        <v>72612.543000000005</v>
      </c>
    </row>
    <row r="18" spans="1:18" ht="77.25" customHeight="1" x14ac:dyDescent="0.25">
      <c r="A18" s="11">
        <v>3</v>
      </c>
      <c r="B18" s="54" t="s">
        <v>140</v>
      </c>
      <c r="C18" s="15">
        <v>1008</v>
      </c>
      <c r="D18" s="15">
        <v>1008</v>
      </c>
      <c r="E18" s="15">
        <v>991</v>
      </c>
      <c r="F18" s="15">
        <v>1026</v>
      </c>
      <c r="G18" s="15">
        <v>1021</v>
      </c>
      <c r="H18" s="15">
        <v>897</v>
      </c>
      <c r="I18" s="15">
        <v>897</v>
      </c>
      <c r="J18" s="15">
        <v>897</v>
      </c>
      <c r="K18" s="15">
        <v>13637.2</v>
      </c>
      <c r="L18" s="15">
        <v>14584.71</v>
      </c>
      <c r="M18" s="17">
        <f>Ресурсн.обеспеч.!J49</f>
        <v>15246.2</v>
      </c>
      <c r="N18" s="17">
        <f>Ресурсн.обеспеч.!K49</f>
        <v>15968.75</v>
      </c>
      <c r="O18" s="17">
        <f>Ресурсн.обеспеч.!L49</f>
        <v>18276.330000000002</v>
      </c>
      <c r="P18" s="17">
        <f>Ресурсн.обеспеч.!M49</f>
        <v>19577.509999999998</v>
      </c>
      <c r="Q18" s="17">
        <f>Ресурсн.обеспеч.!N49</f>
        <v>19577.509999999998</v>
      </c>
      <c r="R18" s="17">
        <f>Ресурсн.обеспеч.!O49</f>
        <v>19177</v>
      </c>
    </row>
    <row r="19" spans="1:18" ht="137.25" customHeight="1" x14ac:dyDescent="0.25">
      <c r="A19" s="11">
        <v>4</v>
      </c>
      <c r="B19" s="4" t="s">
        <v>89</v>
      </c>
      <c r="C19" s="15">
        <v>932</v>
      </c>
      <c r="D19" s="15">
        <v>940</v>
      </c>
      <c r="E19" s="17">
        <v>882</v>
      </c>
      <c r="F19" s="17">
        <v>911</v>
      </c>
      <c r="G19" s="17">
        <v>916</v>
      </c>
      <c r="H19" s="17">
        <v>1240</v>
      </c>
      <c r="I19" s="17">
        <v>1240</v>
      </c>
      <c r="J19" s="17">
        <v>1240</v>
      </c>
      <c r="K19" s="15">
        <v>431.2</v>
      </c>
      <c r="L19" s="15">
        <v>1383.3</v>
      </c>
      <c r="M19" s="17">
        <f>Ресурсн.обеспеч.!J77</f>
        <v>1408</v>
      </c>
      <c r="N19" s="17">
        <f>Ресурсн.обеспеч.!K77</f>
        <v>1454.6499999999999</v>
      </c>
      <c r="O19" s="17">
        <f>Ресурсн.обеспеч.!L77</f>
        <v>1610.7999999999997</v>
      </c>
      <c r="P19" s="17">
        <f>Ресурсн.обеспеч.!M77</f>
        <v>1693.79</v>
      </c>
      <c r="Q19" s="17">
        <f>Ресурсн.обеспеч.!N77</f>
        <v>1693.79</v>
      </c>
      <c r="R19" s="17">
        <f>Ресурсн.обеспеч.!O77</f>
        <v>1693.79</v>
      </c>
    </row>
    <row r="20" spans="1:18" ht="15.75" x14ac:dyDescent="0.25">
      <c r="A20" s="5"/>
      <c r="B20" s="6" t="s">
        <v>3</v>
      </c>
      <c r="C20" s="5">
        <f>SUM(C16:C19)</f>
        <v>5060</v>
      </c>
      <c r="D20" s="5">
        <f t="shared" ref="D20:J20" si="0">SUM(D16:D19)</f>
        <v>5100</v>
      </c>
      <c r="E20" s="5">
        <f t="shared" si="0"/>
        <v>4961</v>
      </c>
      <c r="F20" s="5">
        <f t="shared" si="0"/>
        <v>5042</v>
      </c>
      <c r="G20" s="5">
        <f t="shared" si="0"/>
        <v>4958</v>
      </c>
      <c r="H20" s="5">
        <f t="shared" si="0"/>
        <v>5110</v>
      </c>
      <c r="I20" s="5">
        <f t="shared" si="0"/>
        <v>5110</v>
      </c>
      <c r="J20" s="5">
        <f t="shared" si="0"/>
        <v>5110</v>
      </c>
      <c r="K20" s="5">
        <f t="shared" ref="K20" si="1">SUM(K16:K19)</f>
        <v>92121.44</v>
      </c>
      <c r="L20" s="5">
        <f t="shared" ref="L20" si="2">SUM(L16:L19)</f>
        <v>99385.219999999987</v>
      </c>
      <c r="M20" s="43">
        <f t="shared" ref="M20:R20" si="3">SUM(M16:M19)</f>
        <v>102689.04</v>
      </c>
      <c r="N20" s="43">
        <f t="shared" si="3"/>
        <v>99231.59</v>
      </c>
      <c r="O20" s="43">
        <f t="shared" si="3"/>
        <v>120343.315</v>
      </c>
      <c r="P20" s="43">
        <f t="shared" si="3"/>
        <v>141120.62700000004</v>
      </c>
      <c r="Q20" s="43">
        <f t="shared" si="3"/>
        <v>133440.80300000001</v>
      </c>
      <c r="R20" s="43">
        <f t="shared" si="3"/>
        <v>127345.69</v>
      </c>
    </row>
  </sheetData>
  <mergeCells count="10">
    <mergeCell ref="H1:Q1"/>
    <mergeCell ref="B14:B15"/>
    <mergeCell ref="A14:A15"/>
    <mergeCell ref="D5:Q8"/>
    <mergeCell ref="A9:P12"/>
    <mergeCell ref="C14:J14"/>
    <mergeCell ref="K14:R14"/>
    <mergeCell ref="L2:Q2"/>
    <mergeCell ref="L3:P3"/>
    <mergeCell ref="M4:P4"/>
  </mergeCells>
  <pageMargins left="0.70866141732283472" right="0.70866141732283472" top="0.15748031496062992" bottom="0.15748031496062992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view="pageBreakPreview" zoomScale="60" zoomScaleNormal="75" workbookViewId="0">
      <selection activeCell="A2" sqref="A2"/>
    </sheetView>
  </sheetViews>
  <sheetFormatPr defaultRowHeight="15" x14ac:dyDescent="0.25"/>
  <cols>
    <col min="1" max="1" width="5.140625" customWidth="1"/>
    <col min="2" max="2" width="57.85546875" customWidth="1"/>
    <col min="3" max="3" width="15.42578125" customWidth="1"/>
    <col min="4" max="4" width="6.42578125" customWidth="1"/>
    <col min="5" max="5" width="6.28515625" customWidth="1"/>
    <col min="6" max="6" width="14.28515625" customWidth="1"/>
    <col min="7" max="7" width="9" customWidth="1"/>
    <col min="8" max="8" width="12" customWidth="1"/>
    <col min="9" max="9" width="11" customWidth="1"/>
    <col min="10" max="10" width="12.140625" customWidth="1"/>
    <col min="11" max="11" width="12.5703125" customWidth="1"/>
    <col min="12" max="12" width="14.85546875" customWidth="1"/>
    <col min="13" max="13" width="13.7109375" customWidth="1"/>
    <col min="14" max="14" width="13.85546875" customWidth="1"/>
    <col min="15" max="15" width="15.140625" customWidth="1"/>
    <col min="16" max="16" width="14.42578125" customWidth="1"/>
  </cols>
  <sheetData>
    <row r="1" spans="1:17" ht="12" customHeight="1" x14ac:dyDescent="0.25">
      <c r="H1" s="73"/>
      <c r="I1" s="73"/>
      <c r="J1" s="73"/>
      <c r="K1" s="82" t="s">
        <v>171</v>
      </c>
      <c r="L1" s="82"/>
      <c r="M1" s="82"/>
      <c r="N1" s="82"/>
      <c r="O1" s="40"/>
    </row>
    <row r="2" spans="1:17" ht="12" customHeight="1" x14ac:dyDescent="0.25">
      <c r="H2" s="73"/>
      <c r="I2" s="73"/>
      <c r="J2" s="86" t="s">
        <v>172</v>
      </c>
      <c r="K2" s="86"/>
      <c r="L2" s="86"/>
      <c r="M2" s="86"/>
      <c r="N2" s="86"/>
      <c r="O2" s="86"/>
    </row>
    <row r="3" spans="1:17" ht="12" customHeight="1" x14ac:dyDescent="0.25">
      <c r="H3" s="73"/>
      <c r="I3" s="73"/>
      <c r="J3" s="73"/>
      <c r="K3" s="86" t="s">
        <v>173</v>
      </c>
      <c r="L3" s="86"/>
      <c r="M3" s="86"/>
      <c r="N3" s="86"/>
      <c r="O3" s="86"/>
    </row>
    <row r="4" spans="1:17" ht="14.25" customHeight="1" x14ac:dyDescent="0.25">
      <c r="H4" s="23"/>
      <c r="I4" s="23"/>
      <c r="J4" s="23"/>
      <c r="K4" s="86" t="s">
        <v>177</v>
      </c>
      <c r="L4" s="86"/>
      <c r="M4" s="86"/>
      <c r="N4" s="86"/>
      <c r="O4" s="86"/>
    </row>
    <row r="5" spans="1:17" ht="15" hidden="1" customHeight="1" x14ac:dyDescent="0.3">
      <c r="A5" s="9"/>
      <c r="B5" s="9"/>
      <c r="C5" s="9"/>
      <c r="D5" s="9"/>
      <c r="E5" s="9"/>
      <c r="F5" s="9"/>
      <c r="G5" s="9"/>
      <c r="H5" s="91" t="s">
        <v>153</v>
      </c>
      <c r="I5" s="91"/>
      <c r="J5" s="91"/>
      <c r="K5" s="91"/>
      <c r="L5" s="91"/>
      <c r="M5" s="91"/>
      <c r="N5" s="91"/>
      <c r="O5" s="53"/>
    </row>
    <row r="6" spans="1:17" ht="15.75" customHeight="1" x14ac:dyDescent="0.3">
      <c r="A6" s="9"/>
      <c r="B6" s="9"/>
      <c r="C6" s="9"/>
      <c r="D6" s="9"/>
      <c r="E6" s="9"/>
      <c r="F6" s="9"/>
      <c r="G6" s="9"/>
      <c r="H6" s="91"/>
      <c r="I6" s="91"/>
      <c r="J6" s="91"/>
      <c r="K6" s="91"/>
      <c r="L6" s="91"/>
      <c r="M6" s="91"/>
      <c r="N6" s="91"/>
      <c r="O6" s="53"/>
    </row>
    <row r="7" spans="1:17" ht="31.5" customHeight="1" x14ac:dyDescent="0.3">
      <c r="A7" s="9"/>
      <c r="B7" s="9"/>
      <c r="C7" s="9"/>
      <c r="D7" s="9"/>
      <c r="E7" s="9"/>
      <c r="F7" s="9"/>
      <c r="G7" s="9"/>
      <c r="H7" s="91"/>
      <c r="I7" s="91"/>
      <c r="J7" s="91"/>
      <c r="K7" s="91"/>
      <c r="L7" s="91"/>
      <c r="M7" s="91"/>
      <c r="N7" s="91"/>
      <c r="O7" s="53"/>
    </row>
    <row r="8" spans="1:17" ht="6.75" customHeight="1" x14ac:dyDescent="0.3">
      <c r="A8" s="9"/>
      <c r="B8" s="9"/>
      <c r="C8" s="9"/>
      <c r="D8" s="9"/>
      <c r="E8" s="9"/>
      <c r="F8" s="9"/>
      <c r="G8" s="9"/>
      <c r="H8" s="53"/>
      <c r="I8" s="53"/>
      <c r="J8" s="53"/>
      <c r="K8" s="53"/>
      <c r="L8" s="53"/>
      <c r="M8" s="53"/>
      <c r="N8" s="53"/>
      <c r="O8" s="53"/>
    </row>
    <row r="9" spans="1:17" ht="13.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7" ht="15" customHeight="1" x14ac:dyDescent="0.25">
      <c r="A10" s="91" t="s">
        <v>154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7" ht="15" customHeight="1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7" ht="27.75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7" ht="16.5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7" ht="33" customHeight="1" x14ac:dyDescent="0.25">
      <c r="A14" s="95" t="s">
        <v>0</v>
      </c>
      <c r="B14" s="80" t="s">
        <v>4</v>
      </c>
      <c r="C14" s="80" t="s">
        <v>5</v>
      </c>
      <c r="D14" s="92" t="s">
        <v>6</v>
      </c>
      <c r="E14" s="93"/>
      <c r="F14" s="93"/>
      <c r="G14" s="94"/>
      <c r="H14" s="96" t="s">
        <v>7</v>
      </c>
      <c r="I14" s="97"/>
      <c r="J14" s="97"/>
      <c r="K14" s="97"/>
      <c r="L14" s="97"/>
      <c r="M14" s="97"/>
      <c r="N14" s="97"/>
      <c r="O14" s="97"/>
    </row>
    <row r="15" spans="1:17" ht="69.75" customHeight="1" x14ac:dyDescent="0.25">
      <c r="A15" s="95"/>
      <c r="B15" s="81"/>
      <c r="C15" s="81"/>
      <c r="D15" s="14" t="s">
        <v>8</v>
      </c>
      <c r="E15" s="14" t="s">
        <v>9</v>
      </c>
      <c r="F15" s="14" t="s">
        <v>10</v>
      </c>
      <c r="G15" s="14" t="s">
        <v>11</v>
      </c>
      <c r="H15" s="20">
        <v>2014</v>
      </c>
      <c r="I15" s="21">
        <v>2015</v>
      </c>
      <c r="J15" s="20">
        <v>2016</v>
      </c>
      <c r="K15" s="14">
        <v>2017</v>
      </c>
      <c r="L15" s="21">
        <v>2018</v>
      </c>
      <c r="M15" s="21">
        <v>2019</v>
      </c>
      <c r="N15" s="21">
        <v>2020</v>
      </c>
      <c r="O15" s="21">
        <v>2021</v>
      </c>
      <c r="P15" t="s">
        <v>151</v>
      </c>
    </row>
    <row r="16" spans="1:17" ht="41.25" customHeight="1" x14ac:dyDescent="0.25">
      <c r="A16" s="98">
        <v>1</v>
      </c>
      <c r="B16" s="89" t="s">
        <v>157</v>
      </c>
      <c r="C16" s="102" t="s">
        <v>40</v>
      </c>
      <c r="D16" s="15">
        <v>954</v>
      </c>
      <c r="E16" s="16" t="s">
        <v>84</v>
      </c>
      <c r="F16" s="16" t="s">
        <v>98</v>
      </c>
      <c r="G16" s="16" t="s">
        <v>28</v>
      </c>
      <c r="H16" s="17">
        <f t="shared" ref="H16:O16" si="0">H18+H26+H48+H57-H58</f>
        <v>111056.973</v>
      </c>
      <c r="I16" s="17">
        <f t="shared" si="0"/>
        <v>117209.96</v>
      </c>
      <c r="J16" s="17">
        <f t="shared" si="0"/>
        <v>119225.68</v>
      </c>
      <c r="K16" s="17">
        <f t="shared" si="0"/>
        <v>117636.14</v>
      </c>
      <c r="L16" s="17">
        <f t="shared" si="0"/>
        <v>140439.92199999999</v>
      </c>
      <c r="M16" s="17">
        <f t="shared" si="0"/>
        <v>162454.22700000001</v>
      </c>
      <c r="N16" s="17">
        <f t="shared" si="0"/>
        <v>151680.90299999999</v>
      </c>
      <c r="O16" s="17">
        <f t="shared" si="0"/>
        <v>145264.39000000001</v>
      </c>
      <c r="P16" s="69">
        <f>SUM(H16:O16)</f>
        <v>1064968.1949999998</v>
      </c>
      <c r="Q16" s="51"/>
    </row>
    <row r="17" spans="1:16" ht="33" customHeight="1" x14ac:dyDescent="0.25">
      <c r="A17" s="99"/>
      <c r="B17" s="90"/>
      <c r="C17" s="102"/>
      <c r="D17" s="15">
        <v>952</v>
      </c>
      <c r="E17" s="16" t="s">
        <v>79</v>
      </c>
      <c r="F17" s="16" t="s">
        <v>27</v>
      </c>
      <c r="G17" s="15">
        <v>244</v>
      </c>
      <c r="H17" s="17">
        <f>H58</f>
        <v>70</v>
      </c>
      <c r="I17" s="17">
        <f t="shared" ref="I17:N17" si="1">I58</f>
        <v>20.92</v>
      </c>
      <c r="J17" s="17">
        <f t="shared" si="1"/>
        <v>0</v>
      </c>
      <c r="K17" s="17">
        <f t="shared" si="1"/>
        <v>0</v>
      </c>
      <c r="L17" s="17">
        <f t="shared" si="1"/>
        <v>0</v>
      </c>
      <c r="M17" s="17">
        <f t="shared" si="1"/>
        <v>0</v>
      </c>
      <c r="N17" s="25">
        <f t="shared" si="1"/>
        <v>0</v>
      </c>
      <c r="O17" s="17"/>
      <c r="P17" s="69">
        <f t="shared" ref="P17:P78" si="2">SUM(H17:O17)</f>
        <v>90.92</v>
      </c>
    </row>
    <row r="18" spans="1:16" ht="35.25" customHeight="1" x14ac:dyDescent="0.25">
      <c r="A18" s="1">
        <v>2</v>
      </c>
      <c r="B18" s="3" t="s">
        <v>158</v>
      </c>
      <c r="C18" s="102"/>
      <c r="D18" s="15">
        <v>954</v>
      </c>
      <c r="E18" s="16" t="s">
        <v>23</v>
      </c>
      <c r="F18" s="16" t="s">
        <v>99</v>
      </c>
      <c r="G18" s="16" t="s">
        <v>28</v>
      </c>
      <c r="H18" s="17">
        <f>H19+H20+H21+H22+H23+H24+H25</f>
        <v>29666.85</v>
      </c>
      <c r="I18" s="17">
        <f>I19+I20+I21+I22+I23+I24+I25</f>
        <v>32663.55</v>
      </c>
      <c r="J18" s="17">
        <f t="shared" ref="J18:O18" si="3">J19+J20+J21+J22+J23+J24+J25</f>
        <v>30586.149999999998</v>
      </c>
      <c r="K18" s="17">
        <f t="shared" si="3"/>
        <v>29980.95</v>
      </c>
      <c r="L18" s="17">
        <f t="shared" si="3"/>
        <v>37936.196000000004</v>
      </c>
      <c r="M18" s="17">
        <f t="shared" si="3"/>
        <v>44182.182000000008</v>
      </c>
      <c r="N18" s="17">
        <f t="shared" si="3"/>
        <v>41395.906999999999</v>
      </c>
      <c r="O18" s="17">
        <f t="shared" si="3"/>
        <v>36007.357000000004</v>
      </c>
      <c r="P18" s="69">
        <f t="shared" si="2"/>
        <v>282419.14199999999</v>
      </c>
    </row>
    <row r="19" spans="1:16" ht="47.25" customHeight="1" x14ac:dyDescent="0.25">
      <c r="A19" s="2" t="s">
        <v>17</v>
      </c>
      <c r="B19" s="3" t="s">
        <v>53</v>
      </c>
      <c r="C19" s="102"/>
      <c r="D19" s="15">
        <v>954</v>
      </c>
      <c r="E19" s="16" t="s">
        <v>23</v>
      </c>
      <c r="F19" s="16" t="s">
        <v>120</v>
      </c>
      <c r="G19" s="15">
        <v>612</v>
      </c>
      <c r="H19" s="17">
        <v>4.3</v>
      </c>
      <c r="I19" s="17">
        <v>11.5</v>
      </c>
      <c r="J19" s="17"/>
      <c r="K19" s="17"/>
      <c r="L19" s="17"/>
      <c r="M19" s="17"/>
      <c r="N19" s="46"/>
      <c r="O19" s="17"/>
      <c r="P19" s="69">
        <f t="shared" si="2"/>
        <v>15.8</v>
      </c>
    </row>
    <row r="20" spans="1:16" ht="21" customHeight="1" x14ac:dyDescent="0.25">
      <c r="A20" s="2" t="s">
        <v>14</v>
      </c>
      <c r="B20" s="3" t="s">
        <v>15</v>
      </c>
      <c r="C20" s="102"/>
      <c r="D20" s="15">
        <v>954</v>
      </c>
      <c r="E20" s="16" t="s">
        <v>23</v>
      </c>
      <c r="F20" s="16" t="s">
        <v>100</v>
      </c>
      <c r="G20" s="15">
        <v>612</v>
      </c>
      <c r="H20" s="17">
        <v>75.2</v>
      </c>
      <c r="I20" s="17">
        <f>120+19.15</f>
        <v>139.15</v>
      </c>
      <c r="J20" s="17">
        <f>174-67.1</f>
        <v>106.9</v>
      </c>
      <c r="K20" s="17">
        <f>106.9+25.8</f>
        <v>132.70000000000002</v>
      </c>
      <c r="L20" s="17">
        <v>128.69999999999999</v>
      </c>
      <c r="M20" s="17"/>
      <c r="N20" s="46"/>
      <c r="O20" s="17"/>
      <c r="P20" s="69">
        <f t="shared" si="2"/>
        <v>582.65000000000009</v>
      </c>
    </row>
    <row r="21" spans="1:16" ht="34.5" customHeight="1" x14ac:dyDescent="0.25">
      <c r="A21" s="2" t="s">
        <v>41</v>
      </c>
      <c r="B21" s="3" t="s">
        <v>42</v>
      </c>
      <c r="C21" s="102"/>
      <c r="D21" s="15">
        <v>954</v>
      </c>
      <c r="E21" s="16" t="s">
        <v>23</v>
      </c>
      <c r="F21" s="16" t="s">
        <v>121</v>
      </c>
      <c r="G21" s="15">
        <v>612</v>
      </c>
      <c r="H21" s="17"/>
      <c r="I21" s="17"/>
      <c r="J21" s="17"/>
      <c r="K21" s="17"/>
      <c r="L21" s="17"/>
      <c r="M21" s="17"/>
      <c r="N21" s="46"/>
      <c r="O21" s="17"/>
      <c r="P21" s="69">
        <f t="shared" si="2"/>
        <v>0</v>
      </c>
    </row>
    <row r="22" spans="1:16" ht="24" customHeight="1" x14ac:dyDescent="0.25">
      <c r="A22" s="2" t="s">
        <v>43</v>
      </c>
      <c r="B22" s="3" t="s">
        <v>12</v>
      </c>
      <c r="C22" s="102"/>
      <c r="D22" s="15">
        <v>954</v>
      </c>
      <c r="E22" s="16" t="s">
        <v>23</v>
      </c>
      <c r="F22" s="16" t="s">
        <v>122</v>
      </c>
      <c r="G22" s="15">
        <v>612</v>
      </c>
      <c r="H22" s="17"/>
      <c r="I22" s="17">
        <v>280</v>
      </c>
      <c r="J22" s="17"/>
      <c r="K22" s="17"/>
      <c r="L22" s="17">
        <v>440</v>
      </c>
      <c r="M22" s="17">
        <v>45</v>
      </c>
      <c r="N22" s="46">
        <v>45</v>
      </c>
      <c r="O22" s="17">
        <v>45</v>
      </c>
      <c r="P22" s="69">
        <f t="shared" si="2"/>
        <v>855</v>
      </c>
    </row>
    <row r="23" spans="1:16" ht="81.75" customHeight="1" x14ac:dyDescent="0.25">
      <c r="A23" s="2" t="s">
        <v>44</v>
      </c>
      <c r="B23" s="3" t="s">
        <v>13</v>
      </c>
      <c r="C23" s="102"/>
      <c r="D23" s="15">
        <v>954</v>
      </c>
      <c r="E23" s="16" t="s">
        <v>23</v>
      </c>
      <c r="F23" s="65" t="s">
        <v>147</v>
      </c>
      <c r="G23" s="15">
        <v>612</v>
      </c>
      <c r="H23" s="17">
        <v>180</v>
      </c>
      <c r="I23" s="17"/>
      <c r="J23" s="17"/>
      <c r="K23" s="17"/>
      <c r="L23" s="17">
        <f>324-16.944</f>
        <v>307.05599999999998</v>
      </c>
      <c r="M23" s="17">
        <f>2388.8+2000</f>
        <v>4388.8</v>
      </c>
      <c r="N23" s="46">
        <v>2000</v>
      </c>
      <c r="O23" s="17">
        <v>2000</v>
      </c>
      <c r="P23" s="69">
        <f t="shared" si="2"/>
        <v>8875.8559999999998</v>
      </c>
    </row>
    <row r="24" spans="1:16" ht="37.5" customHeight="1" x14ac:dyDescent="0.25">
      <c r="A24" s="2" t="s">
        <v>45</v>
      </c>
      <c r="B24" s="3" t="s">
        <v>80</v>
      </c>
      <c r="C24" s="102"/>
      <c r="D24" s="15">
        <v>954</v>
      </c>
      <c r="E24" s="16" t="s">
        <v>23</v>
      </c>
      <c r="F24" s="16" t="s">
        <v>123</v>
      </c>
      <c r="G24" s="15">
        <v>611</v>
      </c>
      <c r="H24" s="17">
        <v>29407.35</v>
      </c>
      <c r="I24" s="17">
        <f>30027.35-800.45-700+1066+2640</f>
        <v>32232.899999999998</v>
      </c>
      <c r="J24" s="17">
        <f>28921.26-1120.4+266.39+202+354+1757+99</f>
        <v>30479.249999999996</v>
      </c>
      <c r="K24" s="17">
        <f>28623.25-670+355.56+1280.64+175.7</f>
        <v>29765.15</v>
      </c>
      <c r="L24" s="17">
        <f>31168.7+1681.03+3765.71+445</f>
        <v>37060.44</v>
      </c>
      <c r="M24" s="17">
        <f>38958.605+469.777</f>
        <v>39428.382000000005</v>
      </c>
      <c r="N24" s="46">
        <v>39250.906999999999</v>
      </c>
      <c r="O24" s="17">
        <v>33862.357000000004</v>
      </c>
      <c r="P24" s="69">
        <f t="shared" si="2"/>
        <v>271486.73600000003</v>
      </c>
    </row>
    <row r="25" spans="1:16" ht="33.75" customHeight="1" x14ac:dyDescent="0.25">
      <c r="A25" s="2" t="s">
        <v>135</v>
      </c>
      <c r="B25" s="4" t="s">
        <v>102</v>
      </c>
      <c r="C25" s="38"/>
      <c r="D25" s="15">
        <v>954</v>
      </c>
      <c r="E25" s="16" t="s">
        <v>23</v>
      </c>
      <c r="F25" s="16" t="s">
        <v>103</v>
      </c>
      <c r="G25" s="15">
        <v>612</v>
      </c>
      <c r="H25" s="17"/>
      <c r="I25" s="17"/>
      <c r="J25" s="17">
        <f>83.1-83.1</f>
        <v>0</v>
      </c>
      <c r="K25" s="17">
        <v>83.1</v>
      </c>
      <c r="L25" s="17"/>
      <c r="M25" s="17">
        <v>320</v>
      </c>
      <c r="N25" s="46">
        <v>100</v>
      </c>
      <c r="O25" s="17">
        <v>100</v>
      </c>
      <c r="P25" s="69">
        <f t="shared" si="2"/>
        <v>603.1</v>
      </c>
    </row>
    <row r="26" spans="1:16" ht="39.75" customHeight="1" x14ac:dyDescent="0.25">
      <c r="A26" s="1" t="s">
        <v>46</v>
      </c>
      <c r="B26" s="49" t="s">
        <v>159</v>
      </c>
      <c r="C26" s="103" t="s">
        <v>40</v>
      </c>
      <c r="D26" s="17">
        <v>954</v>
      </c>
      <c r="E26" s="45" t="s">
        <v>24</v>
      </c>
      <c r="F26" s="45" t="s">
        <v>104</v>
      </c>
      <c r="G26" s="45" t="s">
        <v>28</v>
      </c>
      <c r="H26" s="17">
        <f>H27+H35+H38+H39+H40+H41+H42+H43+H44+H45</f>
        <v>54642.323000000004</v>
      </c>
      <c r="I26" s="17">
        <f>I27+I35+I38+I39+I40+I41+I42+I43+I44+I45</f>
        <v>55704.3</v>
      </c>
      <c r="J26" s="17">
        <f>J27+J35+J38+J39+J40+J41+J42+J43+J44+J45</f>
        <v>58804.39</v>
      </c>
      <c r="K26" s="17">
        <f>K27+K35+K38+K39+K40+K41+K42+K43+K44+K45+K46</f>
        <v>56223.460000000006</v>
      </c>
      <c r="L26" s="17">
        <f>L27+L35+L38+L39+L40+L41+L42+L43+L44+L45+L46+L47</f>
        <v>67255.116999999984</v>
      </c>
      <c r="M26" s="17">
        <f>M27+M35+M38+M39+M40+M41+M42+M43+M44+M45+M46+M47</f>
        <v>81179.244999999995</v>
      </c>
      <c r="N26" s="17">
        <f t="shared" ref="N26:O26" si="4">N27+N35+N38+N39+N40+N41+N42+N43+N44+N45+N46+N47</f>
        <v>73227.196000000011</v>
      </c>
      <c r="O26" s="17">
        <f t="shared" si="4"/>
        <v>72861.942999999999</v>
      </c>
      <c r="P26" s="69">
        <f t="shared" si="2"/>
        <v>519897.97399999993</v>
      </c>
    </row>
    <row r="27" spans="1:16" ht="21.75" customHeight="1" x14ac:dyDescent="0.25">
      <c r="A27" s="100" t="s">
        <v>47</v>
      </c>
      <c r="B27" s="106" t="s">
        <v>54</v>
      </c>
      <c r="C27" s="103"/>
      <c r="D27" s="17">
        <v>954</v>
      </c>
      <c r="E27" s="45" t="s">
        <v>24</v>
      </c>
      <c r="F27" s="45" t="s">
        <v>108</v>
      </c>
      <c r="G27" s="45" t="s">
        <v>28</v>
      </c>
      <c r="H27" s="17">
        <f>H29+H30+H31+H32+H33+H28</f>
        <v>48645.69</v>
      </c>
      <c r="I27" s="17">
        <f>I29+I30+I31+I32+I33+I34</f>
        <v>51184.310000000005</v>
      </c>
      <c r="J27" s="17">
        <f t="shared" ref="J27:O27" si="5">J29+J30+J31+J32+J33+J34</f>
        <v>55555.59</v>
      </c>
      <c r="K27" s="17">
        <f t="shared" si="5"/>
        <v>52043.040000000008</v>
      </c>
      <c r="L27" s="17">
        <f t="shared" si="5"/>
        <v>63395.744999999995</v>
      </c>
      <c r="M27" s="17">
        <f t="shared" si="5"/>
        <v>80420.945000000007</v>
      </c>
      <c r="N27" s="17">
        <f t="shared" si="5"/>
        <v>72918.596000000005</v>
      </c>
      <c r="O27" s="17">
        <f t="shared" si="5"/>
        <v>72612.543000000005</v>
      </c>
      <c r="P27" s="69">
        <f t="shared" si="2"/>
        <v>496776.45900000003</v>
      </c>
    </row>
    <row r="28" spans="1:16" ht="21.75" customHeight="1" x14ac:dyDescent="0.25">
      <c r="A28" s="100"/>
      <c r="B28" s="107"/>
      <c r="C28" s="103"/>
      <c r="D28" s="17">
        <v>954</v>
      </c>
      <c r="E28" s="45" t="s">
        <v>24</v>
      </c>
      <c r="F28" s="45" t="s">
        <v>25</v>
      </c>
      <c r="G28" s="45" t="s">
        <v>85</v>
      </c>
      <c r="H28" s="17">
        <v>17673.169999999998</v>
      </c>
      <c r="I28" s="17"/>
      <c r="J28" s="17"/>
      <c r="K28" s="17"/>
      <c r="L28" s="17"/>
      <c r="M28" s="17"/>
      <c r="N28" s="47"/>
      <c r="O28" s="17"/>
      <c r="P28" s="69">
        <f t="shared" si="2"/>
        <v>17673.169999999998</v>
      </c>
    </row>
    <row r="29" spans="1:16" ht="23.25" customHeight="1" x14ac:dyDescent="0.25">
      <c r="A29" s="100"/>
      <c r="B29" s="107"/>
      <c r="C29" s="103"/>
      <c r="D29" s="17">
        <v>954</v>
      </c>
      <c r="E29" s="45" t="s">
        <v>24</v>
      </c>
      <c r="F29" s="45" t="s">
        <v>25</v>
      </c>
      <c r="G29" s="17">
        <v>112</v>
      </c>
      <c r="H29" s="17">
        <v>174.6</v>
      </c>
      <c r="I29" s="17"/>
      <c r="J29" s="17"/>
      <c r="K29" s="17"/>
      <c r="L29" s="17"/>
      <c r="M29" s="17"/>
      <c r="N29" s="47"/>
      <c r="O29" s="17"/>
      <c r="P29" s="69">
        <f t="shared" si="2"/>
        <v>174.6</v>
      </c>
    </row>
    <row r="30" spans="1:16" ht="21.75" customHeight="1" x14ac:dyDescent="0.25">
      <c r="A30" s="100"/>
      <c r="B30" s="107"/>
      <c r="C30" s="103"/>
      <c r="D30" s="17">
        <v>954</v>
      </c>
      <c r="E30" s="45" t="s">
        <v>24</v>
      </c>
      <c r="F30" s="45" t="s">
        <v>25</v>
      </c>
      <c r="G30" s="17">
        <v>242</v>
      </c>
      <c r="H30" s="17">
        <v>189.3</v>
      </c>
      <c r="I30" s="17"/>
      <c r="J30" s="17"/>
      <c r="K30" s="17"/>
      <c r="L30" s="17"/>
      <c r="M30" s="17"/>
      <c r="N30" s="47"/>
      <c r="O30" s="17"/>
      <c r="P30" s="69">
        <f t="shared" si="2"/>
        <v>189.3</v>
      </c>
    </row>
    <row r="31" spans="1:16" ht="21" customHeight="1" x14ac:dyDescent="0.25">
      <c r="A31" s="100"/>
      <c r="B31" s="107"/>
      <c r="C31" s="103"/>
      <c r="D31" s="17">
        <v>954</v>
      </c>
      <c r="E31" s="45" t="s">
        <v>24</v>
      </c>
      <c r="F31" s="45" t="s">
        <v>25</v>
      </c>
      <c r="G31" s="17">
        <v>244</v>
      </c>
      <c r="H31" s="17">
        <v>29870.02</v>
      </c>
      <c r="I31" s="17"/>
      <c r="J31" s="17"/>
      <c r="K31" s="17"/>
      <c r="L31" s="17"/>
      <c r="M31" s="17"/>
      <c r="N31" s="47"/>
      <c r="O31" s="17"/>
      <c r="P31" s="69">
        <f t="shared" si="2"/>
        <v>29870.02</v>
      </c>
    </row>
    <row r="32" spans="1:16" ht="23.25" customHeight="1" x14ac:dyDescent="0.25">
      <c r="A32" s="100"/>
      <c r="B32" s="107"/>
      <c r="C32" s="103"/>
      <c r="D32" s="17">
        <v>954</v>
      </c>
      <c r="E32" s="45" t="s">
        <v>24</v>
      </c>
      <c r="F32" s="45" t="s">
        <v>25</v>
      </c>
      <c r="G32" s="17">
        <v>851</v>
      </c>
      <c r="H32" s="17">
        <v>257.10000000000002</v>
      </c>
      <c r="I32" s="17"/>
      <c r="J32" s="17"/>
      <c r="K32" s="17"/>
      <c r="L32" s="17"/>
      <c r="M32" s="17"/>
      <c r="N32" s="47"/>
      <c r="O32" s="17"/>
      <c r="P32" s="69">
        <f t="shared" si="2"/>
        <v>257.10000000000002</v>
      </c>
    </row>
    <row r="33" spans="1:16" ht="18" customHeight="1" x14ac:dyDescent="0.25">
      <c r="A33" s="100"/>
      <c r="B33" s="107"/>
      <c r="C33" s="103"/>
      <c r="D33" s="17">
        <v>954</v>
      </c>
      <c r="E33" s="45" t="s">
        <v>24</v>
      </c>
      <c r="F33" s="45" t="s">
        <v>25</v>
      </c>
      <c r="G33" s="17">
        <v>852</v>
      </c>
      <c r="H33" s="17">
        <v>481.5</v>
      </c>
      <c r="I33" s="17"/>
      <c r="J33" s="17"/>
      <c r="K33" s="17"/>
      <c r="L33" s="17"/>
      <c r="M33" s="17"/>
      <c r="N33" s="47"/>
      <c r="O33" s="17"/>
      <c r="P33" s="69">
        <f t="shared" si="2"/>
        <v>481.5</v>
      </c>
    </row>
    <row r="34" spans="1:16" ht="22.5" customHeight="1" x14ac:dyDescent="0.25">
      <c r="A34" s="33"/>
      <c r="B34" s="108"/>
      <c r="C34" s="103"/>
      <c r="D34" s="17">
        <v>954</v>
      </c>
      <c r="E34" s="45" t="s">
        <v>24</v>
      </c>
      <c r="F34" s="45" t="s">
        <v>108</v>
      </c>
      <c r="G34" s="17">
        <v>611</v>
      </c>
      <c r="H34" s="17"/>
      <c r="I34" s="17">
        <f>44557.51+2014+472.8+4140</f>
        <v>51184.310000000005</v>
      </c>
      <c r="J34" s="17">
        <f>51661.13+1068.8+1150.6+23+1552.06+100</f>
        <v>55555.59</v>
      </c>
      <c r="K34" s="17">
        <f>59014.45-600-2118.25+17.51+934.73-1894.6+188-8.7-3490.1</f>
        <v>52043.040000000008</v>
      </c>
      <c r="L34" s="17">
        <f>52070.25-150-365.085+1003.6+7894.58+1460.2-60.8+640+903</f>
        <v>63395.744999999995</v>
      </c>
      <c r="M34" s="17">
        <f>72280.964+8139.981</f>
        <v>80420.945000000007</v>
      </c>
      <c r="N34" s="17">
        <v>72918.596000000005</v>
      </c>
      <c r="O34" s="17">
        <v>72612.543000000005</v>
      </c>
      <c r="P34" s="69">
        <f t="shared" si="2"/>
        <v>448130.76900000003</v>
      </c>
    </row>
    <row r="35" spans="1:16" ht="23.25" customHeight="1" x14ac:dyDescent="0.25">
      <c r="A35" s="109" t="s">
        <v>48</v>
      </c>
      <c r="B35" s="87" t="s">
        <v>138</v>
      </c>
      <c r="C35" s="103"/>
      <c r="D35" s="17">
        <v>954</v>
      </c>
      <c r="E35" s="45" t="s">
        <v>24</v>
      </c>
      <c r="F35" s="45" t="s">
        <v>109</v>
      </c>
      <c r="G35" s="17">
        <v>0</v>
      </c>
      <c r="H35" s="17">
        <f t="shared" ref="H35:O35" si="6">H36+H37</f>
        <v>4960.6329999999998</v>
      </c>
      <c r="I35" s="17">
        <f t="shared" si="6"/>
        <v>2417.25</v>
      </c>
      <c r="J35" s="17">
        <f t="shared" si="6"/>
        <v>2000</v>
      </c>
      <c r="K35" s="17">
        <f t="shared" si="6"/>
        <v>1875.32</v>
      </c>
      <c r="L35" s="17">
        <f>L36+L37</f>
        <v>2453.4870000000001</v>
      </c>
      <c r="M35" s="17">
        <f t="shared" si="6"/>
        <v>171.2</v>
      </c>
      <c r="N35" s="17">
        <f t="shared" si="6"/>
        <v>0</v>
      </c>
      <c r="O35" s="17">
        <f t="shared" si="6"/>
        <v>0</v>
      </c>
      <c r="P35" s="69">
        <f t="shared" si="2"/>
        <v>13877.89</v>
      </c>
    </row>
    <row r="36" spans="1:16" ht="34.5" customHeight="1" x14ac:dyDescent="0.25">
      <c r="A36" s="110"/>
      <c r="B36" s="88"/>
      <c r="C36" s="103"/>
      <c r="D36" s="17">
        <v>954</v>
      </c>
      <c r="E36" s="45" t="s">
        <v>24</v>
      </c>
      <c r="F36" s="63" t="s">
        <v>145</v>
      </c>
      <c r="G36" s="17" t="s">
        <v>94</v>
      </c>
      <c r="H36" s="17">
        <v>4960.6329999999998</v>
      </c>
      <c r="I36" s="17">
        <f>1417.14+0.11</f>
        <v>1417.25</v>
      </c>
      <c r="J36" s="17"/>
      <c r="K36" s="17">
        <f>1735.32+112+19.3+8.7</f>
        <v>1875.32</v>
      </c>
      <c r="L36" s="17">
        <f>1875+700-121.513</f>
        <v>2453.4870000000001</v>
      </c>
      <c r="M36" s="17">
        <f>111.2+60</f>
        <v>171.2</v>
      </c>
      <c r="N36" s="47"/>
      <c r="O36" s="17"/>
      <c r="P36" s="69">
        <f t="shared" si="2"/>
        <v>10877.89</v>
      </c>
    </row>
    <row r="37" spans="1:16" ht="31.5" customHeight="1" x14ac:dyDescent="0.25">
      <c r="A37" s="111"/>
      <c r="B37" s="88"/>
      <c r="C37" s="103"/>
      <c r="D37" s="17">
        <v>954</v>
      </c>
      <c r="E37" s="45" t="s">
        <v>24</v>
      </c>
      <c r="F37" s="45" t="s">
        <v>109</v>
      </c>
      <c r="G37" s="17">
        <v>414</v>
      </c>
      <c r="H37" s="17"/>
      <c r="I37" s="17">
        <v>1000</v>
      </c>
      <c r="J37" s="17">
        <v>2000</v>
      </c>
      <c r="K37" s="17">
        <f>685.6-685.6</f>
        <v>0</v>
      </c>
      <c r="L37" s="17"/>
      <c r="M37" s="17"/>
      <c r="N37" s="47"/>
      <c r="O37" s="17"/>
      <c r="P37" s="69">
        <f t="shared" si="2"/>
        <v>3000</v>
      </c>
    </row>
    <row r="38" spans="1:16" ht="37.5" customHeight="1" x14ac:dyDescent="0.25">
      <c r="A38" s="2" t="s">
        <v>49</v>
      </c>
      <c r="B38" s="49" t="s">
        <v>50</v>
      </c>
      <c r="C38" s="103"/>
      <c r="D38" s="17">
        <v>954</v>
      </c>
      <c r="E38" s="45" t="s">
        <v>24</v>
      </c>
      <c r="F38" s="45" t="s">
        <v>146</v>
      </c>
      <c r="G38" s="17">
        <v>612</v>
      </c>
      <c r="H38" s="17"/>
      <c r="I38" s="17"/>
      <c r="J38" s="17"/>
      <c r="K38" s="17">
        <f>800+200</f>
        <v>1000</v>
      </c>
      <c r="L38" s="17"/>
      <c r="M38" s="17"/>
      <c r="N38" s="47"/>
      <c r="O38" s="17"/>
      <c r="P38" s="69">
        <f t="shared" si="2"/>
        <v>1000</v>
      </c>
    </row>
    <row r="39" spans="1:16" ht="26.25" customHeight="1" x14ac:dyDescent="0.25">
      <c r="A39" s="2" t="s">
        <v>51</v>
      </c>
      <c r="B39" s="49" t="s">
        <v>15</v>
      </c>
      <c r="C39" s="103"/>
      <c r="D39" s="17">
        <v>954</v>
      </c>
      <c r="E39" s="45" t="s">
        <v>24</v>
      </c>
      <c r="F39" s="45" t="s">
        <v>106</v>
      </c>
      <c r="G39" s="17">
        <v>612</v>
      </c>
      <c r="H39" s="17">
        <v>327.9</v>
      </c>
      <c r="I39" s="17">
        <v>328</v>
      </c>
      <c r="J39" s="17">
        <f>328-328</f>
        <v>0</v>
      </c>
      <c r="K39" s="17"/>
      <c r="L39" s="17"/>
      <c r="M39" s="17"/>
      <c r="N39" s="47"/>
      <c r="O39" s="17"/>
      <c r="P39" s="69">
        <f t="shared" si="2"/>
        <v>655.9</v>
      </c>
    </row>
    <row r="40" spans="1:16" ht="35.25" customHeight="1" x14ac:dyDescent="0.25">
      <c r="A40" s="2" t="s">
        <v>52</v>
      </c>
      <c r="B40" s="49" t="s">
        <v>164</v>
      </c>
      <c r="C40" s="103"/>
      <c r="D40" s="17">
        <v>954</v>
      </c>
      <c r="E40" s="45" t="s">
        <v>24</v>
      </c>
      <c r="F40" s="45" t="s">
        <v>107</v>
      </c>
      <c r="G40" s="17">
        <v>612</v>
      </c>
      <c r="H40" s="17">
        <v>708.1</v>
      </c>
      <c r="I40" s="17">
        <v>670</v>
      </c>
      <c r="J40" s="17">
        <v>663</v>
      </c>
      <c r="K40" s="17">
        <v>663.4</v>
      </c>
      <c r="L40" s="17">
        <v>663.4</v>
      </c>
      <c r="M40" s="17"/>
      <c r="N40" s="47"/>
      <c r="O40" s="17"/>
      <c r="P40" s="69">
        <f t="shared" si="2"/>
        <v>3367.9</v>
      </c>
    </row>
    <row r="41" spans="1:16" ht="30.75" customHeight="1" x14ac:dyDescent="0.25">
      <c r="A41" s="2" t="s">
        <v>55</v>
      </c>
      <c r="B41" s="49" t="s">
        <v>12</v>
      </c>
      <c r="C41" s="103"/>
      <c r="D41" s="17">
        <v>954</v>
      </c>
      <c r="E41" s="45" t="s">
        <v>24</v>
      </c>
      <c r="F41" s="45" t="s">
        <v>124</v>
      </c>
      <c r="G41" s="17">
        <v>612</v>
      </c>
      <c r="H41" s="17"/>
      <c r="I41" s="17">
        <v>315</v>
      </c>
      <c r="J41" s="17">
        <v>180</v>
      </c>
      <c r="K41" s="17">
        <v>220</v>
      </c>
      <c r="L41" s="17">
        <v>301.39999999999998</v>
      </c>
      <c r="M41" s="17">
        <v>301.39999999999998</v>
      </c>
      <c r="N41" s="47">
        <v>238.6</v>
      </c>
      <c r="O41" s="17">
        <v>179.4</v>
      </c>
      <c r="P41" s="69">
        <f t="shared" si="2"/>
        <v>1735.8</v>
      </c>
    </row>
    <row r="42" spans="1:16" ht="32.25" customHeight="1" x14ac:dyDescent="0.25">
      <c r="A42" s="2" t="s">
        <v>56</v>
      </c>
      <c r="B42" s="49" t="s">
        <v>16</v>
      </c>
      <c r="C42" s="103"/>
      <c r="D42" s="17">
        <v>954</v>
      </c>
      <c r="E42" s="45" t="s">
        <v>24</v>
      </c>
      <c r="F42" s="45" t="s">
        <v>125</v>
      </c>
      <c r="G42" s="17">
        <v>612</v>
      </c>
      <c r="H42" s="17"/>
      <c r="I42" s="17"/>
      <c r="J42" s="17"/>
      <c r="K42" s="17"/>
      <c r="L42" s="17"/>
      <c r="M42" s="17"/>
      <c r="N42" s="47"/>
      <c r="O42" s="17"/>
      <c r="P42" s="69">
        <f t="shared" si="2"/>
        <v>0</v>
      </c>
    </row>
    <row r="43" spans="1:16" ht="34.5" customHeight="1" x14ac:dyDescent="0.25">
      <c r="A43" s="2" t="s">
        <v>57</v>
      </c>
      <c r="B43" s="49" t="s">
        <v>58</v>
      </c>
      <c r="C43" s="103"/>
      <c r="D43" s="17">
        <v>954</v>
      </c>
      <c r="E43" s="45" t="s">
        <v>24</v>
      </c>
      <c r="F43" s="45" t="s">
        <v>126</v>
      </c>
      <c r="G43" s="17">
        <v>612</v>
      </c>
      <c r="H43" s="17"/>
      <c r="I43" s="17">
        <f>800-10.26</f>
        <v>789.74</v>
      </c>
      <c r="J43" s="17"/>
      <c r="K43" s="17"/>
      <c r="L43" s="17"/>
      <c r="M43" s="17"/>
      <c r="N43" s="46"/>
      <c r="O43" s="17"/>
      <c r="P43" s="69">
        <f t="shared" si="2"/>
        <v>789.74</v>
      </c>
    </row>
    <row r="44" spans="1:16" ht="37.5" customHeight="1" x14ac:dyDescent="0.25">
      <c r="A44" s="2" t="s">
        <v>59</v>
      </c>
      <c r="B44" s="49" t="s">
        <v>81</v>
      </c>
      <c r="C44" s="103"/>
      <c r="D44" s="17">
        <v>954</v>
      </c>
      <c r="E44" s="45" t="s">
        <v>24</v>
      </c>
      <c r="F44" s="45" t="s">
        <v>105</v>
      </c>
      <c r="G44" s="17">
        <v>612</v>
      </c>
      <c r="H44" s="17"/>
      <c r="I44" s="17"/>
      <c r="J44" s="17">
        <v>335.8</v>
      </c>
      <c r="K44" s="17">
        <v>229.2</v>
      </c>
      <c r="L44" s="17"/>
      <c r="M44" s="17"/>
      <c r="N44" s="46"/>
      <c r="O44" s="17"/>
      <c r="P44" s="69">
        <f t="shared" si="2"/>
        <v>565</v>
      </c>
    </row>
    <row r="45" spans="1:16" ht="37.5" customHeight="1" x14ac:dyDescent="0.25">
      <c r="A45" s="2" t="s">
        <v>136</v>
      </c>
      <c r="B45" s="3" t="s">
        <v>20</v>
      </c>
      <c r="C45" s="38"/>
      <c r="D45" s="18">
        <v>954</v>
      </c>
      <c r="E45" s="19" t="s">
        <v>79</v>
      </c>
      <c r="F45" s="19" t="s">
        <v>115</v>
      </c>
      <c r="G45" s="18">
        <v>244</v>
      </c>
      <c r="H45" s="24"/>
      <c r="I45" s="24"/>
      <c r="J45" s="24">
        <v>70</v>
      </c>
      <c r="K45" s="17">
        <v>70</v>
      </c>
      <c r="L45" s="17">
        <v>70</v>
      </c>
      <c r="M45" s="17">
        <v>70</v>
      </c>
      <c r="N45" s="46">
        <v>70</v>
      </c>
      <c r="O45" s="17">
        <v>70</v>
      </c>
      <c r="P45" s="69">
        <f t="shared" si="2"/>
        <v>420</v>
      </c>
    </row>
    <row r="46" spans="1:16" ht="38.25" customHeight="1" x14ac:dyDescent="0.25">
      <c r="A46" s="2" t="s">
        <v>142</v>
      </c>
      <c r="B46" s="3" t="s">
        <v>143</v>
      </c>
      <c r="C46" s="59"/>
      <c r="D46" s="18">
        <v>954</v>
      </c>
      <c r="E46" s="19" t="s">
        <v>24</v>
      </c>
      <c r="F46" s="19" t="s">
        <v>163</v>
      </c>
      <c r="G46" s="18">
        <v>612</v>
      </c>
      <c r="H46" s="24"/>
      <c r="I46" s="24"/>
      <c r="J46" s="24"/>
      <c r="K46" s="24">
        <f>600-477.5</f>
        <v>122.5</v>
      </c>
      <c r="L46" s="24">
        <f>150+41.085</f>
        <v>191.08500000000001</v>
      </c>
      <c r="M46" s="24">
        <f>165.7+50</f>
        <v>215.7</v>
      </c>
      <c r="N46" s="61"/>
      <c r="O46" s="17"/>
      <c r="P46" s="69">
        <f t="shared" si="2"/>
        <v>529.28500000000008</v>
      </c>
    </row>
    <row r="47" spans="1:16" ht="38.25" customHeight="1" x14ac:dyDescent="0.25">
      <c r="A47" s="2" t="s">
        <v>150</v>
      </c>
      <c r="B47" s="3" t="s">
        <v>148</v>
      </c>
      <c r="C47" s="66"/>
      <c r="D47" s="18">
        <v>954</v>
      </c>
      <c r="E47" s="19" t="s">
        <v>24</v>
      </c>
      <c r="F47" s="19" t="s">
        <v>149</v>
      </c>
      <c r="G47" s="18">
        <v>612</v>
      </c>
      <c r="H47" s="24"/>
      <c r="I47" s="24"/>
      <c r="J47" s="24"/>
      <c r="K47" s="24"/>
      <c r="L47" s="24">
        <v>180</v>
      </c>
      <c r="M47" s="24"/>
      <c r="N47" s="61"/>
      <c r="O47" s="17"/>
      <c r="P47" s="69">
        <f t="shared" si="2"/>
        <v>180</v>
      </c>
    </row>
    <row r="48" spans="1:16" ht="53.25" customHeight="1" x14ac:dyDescent="0.25">
      <c r="A48" s="2" t="s">
        <v>60</v>
      </c>
      <c r="B48" s="3" t="s">
        <v>160</v>
      </c>
      <c r="C48" s="102" t="s">
        <v>40</v>
      </c>
      <c r="D48" s="18">
        <v>954</v>
      </c>
      <c r="E48" s="19" t="s">
        <v>141</v>
      </c>
      <c r="F48" s="19" t="s">
        <v>110</v>
      </c>
      <c r="G48" s="19" t="s">
        <v>28</v>
      </c>
      <c r="H48" s="24">
        <f>H49+H50+H51+H52+H53+H54+H55+H56</f>
        <v>14136.9</v>
      </c>
      <c r="I48" s="24">
        <f t="shared" ref="I48:O48" si="7">I49+I50+I51+I52+I53+I54+I55+I56</f>
        <v>14930.529999999999</v>
      </c>
      <c r="J48" s="24">
        <f t="shared" si="7"/>
        <v>15344.1</v>
      </c>
      <c r="K48" s="24">
        <f t="shared" si="7"/>
        <v>16446.55</v>
      </c>
      <c r="L48" s="24">
        <f t="shared" si="7"/>
        <v>18346.63</v>
      </c>
      <c r="M48" s="24">
        <f t="shared" si="7"/>
        <v>19707.41</v>
      </c>
      <c r="N48" s="24">
        <f t="shared" si="7"/>
        <v>19672.41</v>
      </c>
      <c r="O48" s="24">
        <f t="shared" si="7"/>
        <v>19322.900000000001</v>
      </c>
      <c r="P48" s="69">
        <f t="shared" si="2"/>
        <v>137907.43000000002</v>
      </c>
    </row>
    <row r="49" spans="1:16" ht="48.75" customHeight="1" x14ac:dyDescent="0.25">
      <c r="A49" s="2" t="s">
        <v>61</v>
      </c>
      <c r="B49" s="3" t="s">
        <v>62</v>
      </c>
      <c r="C49" s="102"/>
      <c r="D49" s="15">
        <v>954</v>
      </c>
      <c r="E49" s="16" t="s">
        <v>141</v>
      </c>
      <c r="F49" s="16" t="s">
        <v>113</v>
      </c>
      <c r="G49" s="15">
        <v>611</v>
      </c>
      <c r="H49" s="17">
        <v>13637.2</v>
      </c>
      <c r="I49" s="17">
        <f>13706.5+810+68.21</f>
        <v>14584.71</v>
      </c>
      <c r="J49" s="17">
        <f>16192.2+54-1000</f>
        <v>15246.2</v>
      </c>
      <c r="K49" s="17">
        <f>15398.5+205.07+540.18-175</f>
        <v>15968.75</v>
      </c>
      <c r="L49" s="17">
        <f>17769.45+302.18+287.52+417.18-500</f>
        <v>18276.330000000002</v>
      </c>
      <c r="M49" s="17">
        <f>19740.233-162.723</f>
        <v>19577.509999999998</v>
      </c>
      <c r="N49" s="46">
        <v>19577.509999999998</v>
      </c>
      <c r="O49" s="17">
        <v>19177</v>
      </c>
      <c r="P49" s="69">
        <f t="shared" si="2"/>
        <v>136045.21</v>
      </c>
    </row>
    <row r="50" spans="1:16" ht="89.25" customHeight="1" x14ac:dyDescent="0.25">
      <c r="A50" s="10" t="s">
        <v>63</v>
      </c>
      <c r="B50" s="3" t="s">
        <v>13</v>
      </c>
      <c r="C50" s="102"/>
      <c r="D50" s="15">
        <v>954</v>
      </c>
      <c r="E50" s="16" t="s">
        <v>141</v>
      </c>
      <c r="F50" s="16" t="s">
        <v>127</v>
      </c>
      <c r="G50" s="15">
        <v>612</v>
      </c>
      <c r="H50" s="15">
        <v>328</v>
      </c>
      <c r="I50" s="15"/>
      <c r="J50" s="17"/>
      <c r="K50" s="17">
        <v>380</v>
      </c>
      <c r="L50" s="17"/>
      <c r="M50" s="17"/>
      <c r="N50" s="47"/>
      <c r="O50" s="17"/>
      <c r="P50" s="69">
        <f t="shared" si="2"/>
        <v>708</v>
      </c>
    </row>
    <row r="51" spans="1:16" ht="39" customHeight="1" x14ac:dyDescent="0.25">
      <c r="A51" s="10" t="s">
        <v>64</v>
      </c>
      <c r="B51" s="3" t="s">
        <v>65</v>
      </c>
      <c r="C51" s="102"/>
      <c r="D51" s="15">
        <v>954</v>
      </c>
      <c r="E51" s="16" t="s">
        <v>141</v>
      </c>
      <c r="F51" s="16" t="s">
        <v>128</v>
      </c>
      <c r="G51" s="15">
        <v>612</v>
      </c>
      <c r="H51" s="15">
        <v>153.4</v>
      </c>
      <c r="I51" s="15"/>
      <c r="J51" s="17"/>
      <c r="K51" s="17"/>
      <c r="L51" s="17"/>
      <c r="M51" s="17"/>
      <c r="N51" s="47"/>
      <c r="O51" s="17"/>
      <c r="P51" s="69">
        <f t="shared" si="2"/>
        <v>153.4</v>
      </c>
    </row>
    <row r="52" spans="1:16" ht="21.75" customHeight="1" x14ac:dyDescent="0.25">
      <c r="A52" s="10" t="s">
        <v>66</v>
      </c>
      <c r="B52" s="3" t="s">
        <v>15</v>
      </c>
      <c r="C52" s="102"/>
      <c r="D52" s="15">
        <v>954</v>
      </c>
      <c r="E52" s="16" t="s">
        <v>141</v>
      </c>
      <c r="F52" s="16" t="s">
        <v>112</v>
      </c>
      <c r="G52" s="15">
        <v>612</v>
      </c>
      <c r="H52" s="15">
        <v>18.3</v>
      </c>
      <c r="I52" s="15">
        <f>24+2.85</f>
        <v>26.85</v>
      </c>
      <c r="J52" s="17">
        <v>34.799999999999997</v>
      </c>
      <c r="K52" s="17">
        <v>34.799999999999997</v>
      </c>
      <c r="L52" s="17">
        <v>70.3</v>
      </c>
      <c r="M52" s="17">
        <v>79.900000000000006</v>
      </c>
      <c r="N52" s="47">
        <v>79.900000000000006</v>
      </c>
      <c r="O52" s="17">
        <v>79.900000000000006</v>
      </c>
      <c r="P52" s="69">
        <f t="shared" si="2"/>
        <v>424.75</v>
      </c>
    </row>
    <row r="53" spans="1:16" ht="21.75" customHeight="1" x14ac:dyDescent="0.25">
      <c r="A53" s="10" t="s">
        <v>67</v>
      </c>
      <c r="B53" s="3" t="s">
        <v>12</v>
      </c>
      <c r="C53" s="102"/>
      <c r="D53" s="15">
        <v>954</v>
      </c>
      <c r="E53" s="16" t="s">
        <v>141</v>
      </c>
      <c r="F53" s="16" t="s">
        <v>129</v>
      </c>
      <c r="G53" s="15">
        <v>612</v>
      </c>
      <c r="H53" s="15"/>
      <c r="I53" s="15">
        <v>70</v>
      </c>
      <c r="J53" s="17"/>
      <c r="K53" s="17"/>
      <c r="L53" s="17"/>
      <c r="M53" s="17">
        <v>50</v>
      </c>
      <c r="N53" s="47">
        <v>15</v>
      </c>
      <c r="O53" s="17">
        <v>66</v>
      </c>
      <c r="P53" s="69">
        <f t="shared" si="2"/>
        <v>201</v>
      </c>
    </row>
    <row r="54" spans="1:16" ht="38.25" customHeight="1" x14ac:dyDescent="0.25">
      <c r="A54" s="10" t="s">
        <v>68</v>
      </c>
      <c r="B54" s="3" t="s">
        <v>58</v>
      </c>
      <c r="C54" s="102"/>
      <c r="D54" s="15">
        <v>954</v>
      </c>
      <c r="E54" s="16" t="s">
        <v>141</v>
      </c>
      <c r="F54" s="16" t="s">
        <v>130</v>
      </c>
      <c r="G54" s="15">
        <v>612</v>
      </c>
      <c r="H54" s="15"/>
      <c r="I54" s="15"/>
      <c r="J54" s="17"/>
      <c r="K54" s="17"/>
      <c r="L54" s="17"/>
      <c r="M54" s="17"/>
      <c r="N54" s="47"/>
      <c r="O54" s="17"/>
      <c r="P54" s="69">
        <f t="shared" si="2"/>
        <v>0</v>
      </c>
    </row>
    <row r="55" spans="1:16" ht="35.25" customHeight="1" x14ac:dyDescent="0.25">
      <c r="A55" s="10" t="s">
        <v>91</v>
      </c>
      <c r="B55" s="3" t="s">
        <v>92</v>
      </c>
      <c r="C55" s="35"/>
      <c r="D55" s="15">
        <v>954</v>
      </c>
      <c r="E55" s="16" t="s">
        <v>95</v>
      </c>
      <c r="F55" s="16" t="s">
        <v>93</v>
      </c>
      <c r="G55" s="15">
        <v>612</v>
      </c>
      <c r="H55" s="15"/>
      <c r="I55" s="15">
        <v>248.97</v>
      </c>
      <c r="J55" s="17"/>
      <c r="K55" s="17"/>
      <c r="L55" s="17"/>
      <c r="M55" s="17"/>
      <c r="N55" s="47"/>
      <c r="O55" s="17"/>
      <c r="P55" s="69">
        <f t="shared" si="2"/>
        <v>248.97</v>
      </c>
    </row>
    <row r="56" spans="1:16" ht="34.5" customHeight="1" x14ac:dyDescent="0.25">
      <c r="A56" s="10" t="s">
        <v>137</v>
      </c>
      <c r="B56" s="50" t="s">
        <v>102</v>
      </c>
      <c r="C56" s="38"/>
      <c r="D56" s="15">
        <v>954</v>
      </c>
      <c r="E56" s="16" t="s">
        <v>24</v>
      </c>
      <c r="F56" s="16" t="s">
        <v>111</v>
      </c>
      <c r="G56" s="15">
        <v>612</v>
      </c>
      <c r="H56" s="15"/>
      <c r="I56" s="15"/>
      <c r="J56" s="17">
        <v>63.1</v>
      </c>
      <c r="K56" s="17">
        <v>63</v>
      </c>
      <c r="L56" s="17"/>
      <c r="M56" s="17"/>
      <c r="N56" s="47"/>
      <c r="O56" s="17"/>
      <c r="P56" s="69">
        <f t="shared" si="2"/>
        <v>126.1</v>
      </c>
    </row>
    <row r="57" spans="1:16" ht="18.75" customHeight="1" x14ac:dyDescent="0.25">
      <c r="A57" s="8" t="s">
        <v>69</v>
      </c>
      <c r="B57" s="3" t="s">
        <v>19</v>
      </c>
      <c r="C57" s="22"/>
      <c r="D57" s="15">
        <v>954</v>
      </c>
      <c r="E57" s="16" t="s">
        <v>26</v>
      </c>
      <c r="F57" s="16" t="s">
        <v>131</v>
      </c>
      <c r="G57" s="16" t="s">
        <v>28</v>
      </c>
      <c r="H57" s="15">
        <f>H58+H60+H67+H76+H77</f>
        <v>12680.900000000001</v>
      </c>
      <c r="I57" s="15">
        <f>I58+I60+I59+I67+I76+I77+I78</f>
        <v>13932.5</v>
      </c>
      <c r="J57" s="17">
        <f t="shared" ref="J57:O57" si="8">J58+J60+J59+J67+J76+J77+J78</f>
        <v>14491.04</v>
      </c>
      <c r="K57" s="17">
        <f t="shared" si="8"/>
        <v>14985.179999999997</v>
      </c>
      <c r="L57" s="17">
        <f t="shared" si="8"/>
        <v>16901.978999999999</v>
      </c>
      <c r="M57" s="17">
        <f t="shared" si="8"/>
        <v>17385.39</v>
      </c>
      <c r="N57" s="17">
        <f t="shared" si="8"/>
        <v>17385.39</v>
      </c>
      <c r="O57" s="17">
        <f t="shared" si="8"/>
        <v>17072.189999999999</v>
      </c>
      <c r="P57" s="69">
        <f t="shared" si="2"/>
        <v>124834.56899999999</v>
      </c>
    </row>
    <row r="58" spans="1:16" ht="27.75" customHeight="1" x14ac:dyDescent="0.25">
      <c r="A58" s="10" t="s">
        <v>70</v>
      </c>
      <c r="B58" s="89" t="s">
        <v>20</v>
      </c>
      <c r="C58" s="89" t="s">
        <v>74</v>
      </c>
      <c r="D58" s="15">
        <v>952</v>
      </c>
      <c r="E58" s="16" t="s">
        <v>79</v>
      </c>
      <c r="F58" s="16" t="s">
        <v>27</v>
      </c>
      <c r="G58" s="15">
        <v>244</v>
      </c>
      <c r="H58" s="15">
        <v>70</v>
      </c>
      <c r="I58" s="17">
        <f>70-49.08</f>
        <v>20.92</v>
      </c>
      <c r="J58" s="17"/>
      <c r="K58" s="17"/>
      <c r="L58" s="17"/>
      <c r="M58" s="17"/>
      <c r="N58" s="47"/>
      <c r="O58" s="17"/>
      <c r="P58" s="69">
        <f t="shared" si="2"/>
        <v>90.92</v>
      </c>
    </row>
    <row r="59" spans="1:16" ht="22.5" customHeight="1" x14ac:dyDescent="0.25">
      <c r="A59" s="10"/>
      <c r="B59" s="90"/>
      <c r="C59" s="90"/>
      <c r="D59" s="15">
        <v>954</v>
      </c>
      <c r="E59" s="16" t="s">
        <v>79</v>
      </c>
      <c r="F59" s="16" t="s">
        <v>27</v>
      </c>
      <c r="G59" s="15">
        <v>244</v>
      </c>
      <c r="H59" s="15"/>
      <c r="I59" s="17">
        <v>49.08</v>
      </c>
      <c r="J59" s="17"/>
      <c r="K59" s="17"/>
      <c r="L59" s="17"/>
      <c r="M59" s="17"/>
      <c r="N59" s="47"/>
      <c r="O59" s="17"/>
      <c r="P59" s="69">
        <f t="shared" si="2"/>
        <v>49.08</v>
      </c>
    </row>
    <row r="60" spans="1:16" ht="26.25" customHeight="1" x14ac:dyDescent="0.25">
      <c r="A60" s="104" t="s">
        <v>71</v>
      </c>
      <c r="B60" s="105" t="s">
        <v>21</v>
      </c>
      <c r="C60" s="89" t="s">
        <v>40</v>
      </c>
      <c r="D60" s="15">
        <v>954</v>
      </c>
      <c r="E60" s="16" t="s">
        <v>26</v>
      </c>
      <c r="F60" s="16" t="s">
        <v>117</v>
      </c>
      <c r="G60" s="16" t="s">
        <v>28</v>
      </c>
      <c r="H60" s="15">
        <f>H61+H62+H64+H66+H65+H63</f>
        <v>2234.1</v>
      </c>
      <c r="I60" s="15">
        <f t="shared" ref="I60:O60" si="9">I61+I62+I64+I66+I65+I63</f>
        <v>2300.7999999999997</v>
      </c>
      <c r="J60" s="17">
        <f t="shared" si="9"/>
        <v>2241.87</v>
      </c>
      <c r="K60" s="17">
        <f>K61+K62+K64+K66+K65+K63</f>
        <v>2249.0699999999997</v>
      </c>
      <c r="L60" s="17">
        <f t="shared" si="9"/>
        <v>2661.38</v>
      </c>
      <c r="M60" s="17">
        <f t="shared" si="9"/>
        <v>2715.1000000000004</v>
      </c>
      <c r="N60" s="17">
        <f t="shared" si="9"/>
        <v>2715.1000000000004</v>
      </c>
      <c r="O60" s="17">
        <f t="shared" si="9"/>
        <v>2715.1000000000004</v>
      </c>
      <c r="P60" s="69">
        <f t="shared" si="2"/>
        <v>19832.520000000004</v>
      </c>
    </row>
    <row r="61" spans="1:16" ht="19.5" customHeight="1" x14ac:dyDescent="0.25">
      <c r="A61" s="104"/>
      <c r="B61" s="105"/>
      <c r="C61" s="101"/>
      <c r="D61" s="15">
        <v>954</v>
      </c>
      <c r="E61" s="16" t="s">
        <v>26</v>
      </c>
      <c r="F61" s="16" t="s">
        <v>117</v>
      </c>
      <c r="G61" s="15">
        <v>121</v>
      </c>
      <c r="H61" s="15">
        <v>2164.8209999999999</v>
      </c>
      <c r="I61" s="15">
        <f>2195.3+21.7+30.6</f>
        <v>2247.6</v>
      </c>
      <c r="J61" s="17">
        <f>1540+147.2</f>
        <v>1687.2</v>
      </c>
      <c r="K61" s="17">
        <f>1687.2-23+23</f>
        <v>1687.2</v>
      </c>
      <c r="L61" s="17">
        <f>1954.4+47.76</f>
        <v>2002.16</v>
      </c>
      <c r="M61" s="17">
        <v>2050.3000000000002</v>
      </c>
      <c r="N61" s="47">
        <v>2050.3000000000002</v>
      </c>
      <c r="O61" s="17">
        <v>2050.3000000000002</v>
      </c>
      <c r="P61" s="69">
        <f t="shared" si="2"/>
        <v>15939.880999999998</v>
      </c>
    </row>
    <row r="62" spans="1:16" ht="20.25" customHeight="1" x14ac:dyDescent="0.25">
      <c r="A62" s="104"/>
      <c r="B62" s="105"/>
      <c r="C62" s="101"/>
      <c r="D62" s="15">
        <v>954</v>
      </c>
      <c r="E62" s="16" t="s">
        <v>26</v>
      </c>
      <c r="F62" s="16" t="s">
        <v>117</v>
      </c>
      <c r="G62" s="15">
        <v>122</v>
      </c>
      <c r="H62" s="15">
        <v>7.9000000000000001E-2</v>
      </c>
      <c r="I62" s="15">
        <f>15.2-7</f>
        <v>8.1999999999999993</v>
      </c>
      <c r="J62" s="17">
        <v>2.8</v>
      </c>
      <c r="K62" s="17">
        <v>2.8</v>
      </c>
      <c r="L62" s="17">
        <f>2.8+4.9</f>
        <v>7.7</v>
      </c>
      <c r="M62" s="17">
        <v>2.8</v>
      </c>
      <c r="N62" s="47">
        <v>2.8</v>
      </c>
      <c r="O62" s="17">
        <v>2.8</v>
      </c>
      <c r="P62" s="69">
        <f t="shared" si="2"/>
        <v>29.979000000000003</v>
      </c>
    </row>
    <row r="63" spans="1:16" ht="20.25" customHeight="1" x14ac:dyDescent="0.25">
      <c r="A63" s="104"/>
      <c r="B63" s="105"/>
      <c r="C63" s="101"/>
      <c r="D63" s="15">
        <v>954</v>
      </c>
      <c r="E63" s="16" t="s">
        <v>26</v>
      </c>
      <c r="F63" s="16" t="s">
        <v>117</v>
      </c>
      <c r="G63" s="15">
        <v>129</v>
      </c>
      <c r="H63" s="15"/>
      <c r="I63" s="15"/>
      <c r="J63" s="17">
        <f>465.1+44.47</f>
        <v>509.57000000000005</v>
      </c>
      <c r="K63" s="17">
        <f>509.57-7+24-23</f>
        <v>503.56999999999994</v>
      </c>
      <c r="L63" s="17">
        <f>590.2+9.52</f>
        <v>599.72</v>
      </c>
      <c r="M63" s="17">
        <v>619.20000000000005</v>
      </c>
      <c r="N63" s="47">
        <v>619.20000000000005</v>
      </c>
      <c r="O63" s="17">
        <v>619.20000000000005</v>
      </c>
      <c r="P63" s="69">
        <f t="shared" si="2"/>
        <v>3470.46</v>
      </c>
    </row>
    <row r="64" spans="1:16" ht="15.75" customHeight="1" x14ac:dyDescent="0.25">
      <c r="A64" s="104"/>
      <c r="B64" s="105"/>
      <c r="C64" s="101"/>
      <c r="D64" s="15">
        <v>954</v>
      </c>
      <c r="E64" s="16" t="s">
        <v>26</v>
      </c>
      <c r="F64" s="16" t="s">
        <v>117</v>
      </c>
      <c r="G64" s="15">
        <v>244</v>
      </c>
      <c r="H64" s="15">
        <v>21.2</v>
      </c>
      <c r="I64" s="15">
        <f>37+8</f>
        <v>45</v>
      </c>
      <c r="J64" s="17">
        <f>32.3+10</f>
        <v>42.3</v>
      </c>
      <c r="K64" s="17">
        <f>41.8+13.7</f>
        <v>55.5</v>
      </c>
      <c r="L64" s="17">
        <f>41.8+10</f>
        <v>51.8</v>
      </c>
      <c r="M64" s="17">
        <v>42.8</v>
      </c>
      <c r="N64" s="47">
        <v>42.8</v>
      </c>
      <c r="O64" s="17">
        <v>42.8</v>
      </c>
      <c r="P64" s="69">
        <f t="shared" si="2"/>
        <v>344.20000000000005</v>
      </c>
    </row>
    <row r="65" spans="1:16" ht="15.75" customHeight="1" x14ac:dyDescent="0.25">
      <c r="A65" s="30"/>
      <c r="B65" s="31"/>
      <c r="C65" s="101"/>
      <c r="D65" s="15">
        <v>954</v>
      </c>
      <c r="E65" s="16" t="s">
        <v>26</v>
      </c>
      <c r="F65" s="16" t="s">
        <v>117</v>
      </c>
      <c r="G65" s="15">
        <v>851</v>
      </c>
      <c r="H65" s="15">
        <v>47.6</v>
      </c>
      <c r="I65" s="15"/>
      <c r="J65" s="17"/>
      <c r="K65" s="17"/>
      <c r="L65" s="17"/>
      <c r="M65" s="17"/>
      <c r="N65" s="47"/>
      <c r="O65" s="17"/>
      <c r="P65" s="69">
        <f t="shared" si="2"/>
        <v>47.6</v>
      </c>
    </row>
    <row r="66" spans="1:16" ht="15.75" customHeight="1" x14ac:dyDescent="0.25">
      <c r="A66" s="26"/>
      <c r="B66" s="27"/>
      <c r="C66" s="101"/>
      <c r="D66" s="15">
        <v>954</v>
      </c>
      <c r="E66" s="16" t="s">
        <v>26</v>
      </c>
      <c r="F66" s="16" t="s">
        <v>117</v>
      </c>
      <c r="G66" s="15">
        <v>852</v>
      </c>
      <c r="H66" s="15">
        <v>0.4</v>
      </c>
      <c r="I66" s="15"/>
      <c r="J66" s="17"/>
      <c r="K66" s="17"/>
      <c r="L66" s="17"/>
      <c r="M66" s="17"/>
      <c r="N66" s="47"/>
      <c r="O66" s="17"/>
      <c r="P66" s="69">
        <f t="shared" si="2"/>
        <v>0.4</v>
      </c>
    </row>
    <row r="67" spans="1:16" ht="21" customHeight="1" x14ac:dyDescent="0.25">
      <c r="A67" s="104" t="s">
        <v>72</v>
      </c>
      <c r="B67" s="89" t="s">
        <v>22</v>
      </c>
      <c r="C67" s="101"/>
      <c r="D67" s="15">
        <v>954</v>
      </c>
      <c r="E67" s="16" t="s">
        <v>26</v>
      </c>
      <c r="F67" s="16" t="s">
        <v>118</v>
      </c>
      <c r="G67" s="16" t="s">
        <v>28</v>
      </c>
      <c r="H67" s="15">
        <f>H68+H69+H71+H72+H73+H74+H70</f>
        <v>9945.6</v>
      </c>
      <c r="I67" s="15">
        <f t="shared" ref="I67:J67" si="10">I68+I69+I71+I72+I73+I74+I70</f>
        <v>10123.400000000001</v>
      </c>
      <c r="J67" s="17">
        <f t="shared" si="10"/>
        <v>10767.170000000002</v>
      </c>
      <c r="K67" s="17">
        <f>K68+K69+K71+K72+K73+K74+K70+K75</f>
        <v>11207.459999999997</v>
      </c>
      <c r="L67" s="17">
        <f t="shared" ref="L67:O67" si="11">L68+L69+L71+L72+L73+L74+L70+L75</f>
        <v>12555.799000000001</v>
      </c>
      <c r="M67" s="17">
        <f t="shared" si="11"/>
        <v>12902.499999999998</v>
      </c>
      <c r="N67" s="17">
        <f t="shared" si="11"/>
        <v>12902.499999999998</v>
      </c>
      <c r="O67" s="17">
        <f t="shared" si="11"/>
        <v>12589.3</v>
      </c>
      <c r="P67" s="69">
        <f t="shared" si="2"/>
        <v>92993.728999999992</v>
      </c>
    </row>
    <row r="68" spans="1:16" ht="15.75" customHeight="1" x14ac:dyDescent="0.25">
      <c r="A68" s="104"/>
      <c r="B68" s="101"/>
      <c r="C68" s="101"/>
      <c r="D68" s="15">
        <v>954</v>
      </c>
      <c r="E68" s="16" t="s">
        <v>26</v>
      </c>
      <c r="F68" s="16" t="s">
        <v>118</v>
      </c>
      <c r="G68" s="15">
        <v>111</v>
      </c>
      <c r="H68" s="15">
        <v>8124.2</v>
      </c>
      <c r="I68" s="15">
        <f>8410.3-175-440</f>
        <v>7795.2999999999993</v>
      </c>
      <c r="J68" s="17">
        <f>6096+70-57.9</f>
        <v>6108.1</v>
      </c>
      <c r="K68" s="17">
        <f>6467.7+80.9-94</f>
        <v>6454.5999999999995</v>
      </c>
      <c r="L68" s="17">
        <f>7260.6+57.81-76.8-61.4</f>
        <v>7180.2100000000009</v>
      </c>
      <c r="M68" s="17">
        <v>7863.7</v>
      </c>
      <c r="N68" s="47">
        <v>7863.7</v>
      </c>
      <c r="O68" s="17">
        <v>7863.7</v>
      </c>
      <c r="P68" s="69">
        <f t="shared" si="2"/>
        <v>59253.509999999987</v>
      </c>
    </row>
    <row r="69" spans="1:16" ht="15.75" customHeight="1" x14ac:dyDescent="0.25">
      <c r="A69" s="104"/>
      <c r="B69" s="101"/>
      <c r="C69" s="101"/>
      <c r="D69" s="15">
        <v>954</v>
      </c>
      <c r="E69" s="16" t="s">
        <v>26</v>
      </c>
      <c r="F69" s="16" t="s">
        <v>118</v>
      </c>
      <c r="G69" s="15">
        <v>112</v>
      </c>
      <c r="H69" s="15">
        <v>5.6</v>
      </c>
      <c r="I69" s="15">
        <v>5.6</v>
      </c>
      <c r="J69" s="17">
        <v>5.6</v>
      </c>
      <c r="K69" s="17">
        <v>3.44</v>
      </c>
      <c r="L69" s="17">
        <v>7</v>
      </c>
      <c r="M69" s="17">
        <v>4.2</v>
      </c>
      <c r="N69" s="47">
        <v>4.2</v>
      </c>
      <c r="O69" s="17">
        <v>4.2</v>
      </c>
      <c r="P69" s="69">
        <f t="shared" si="2"/>
        <v>39.840000000000003</v>
      </c>
    </row>
    <row r="70" spans="1:16" ht="15.75" customHeight="1" x14ac:dyDescent="0.25">
      <c r="A70" s="104"/>
      <c r="B70" s="101"/>
      <c r="C70" s="101"/>
      <c r="D70" s="15">
        <v>954</v>
      </c>
      <c r="E70" s="16" t="s">
        <v>26</v>
      </c>
      <c r="F70" s="16" t="s">
        <v>118</v>
      </c>
      <c r="G70" s="15">
        <v>119</v>
      </c>
      <c r="H70" s="15"/>
      <c r="I70" s="15"/>
      <c r="J70" s="17">
        <f>1841+21.2</f>
        <v>1862.2</v>
      </c>
      <c r="K70" s="17">
        <f>1953.26+24.46-28</f>
        <v>1949.72</v>
      </c>
      <c r="L70" s="17">
        <f>2192.7+17.46-23.2-18.6</f>
        <v>2168.36</v>
      </c>
      <c r="M70" s="17">
        <v>2374.9</v>
      </c>
      <c r="N70" s="17">
        <v>2374.9</v>
      </c>
      <c r="O70" s="17">
        <v>2374.9</v>
      </c>
      <c r="P70" s="69">
        <f t="shared" si="2"/>
        <v>13104.98</v>
      </c>
    </row>
    <row r="71" spans="1:16" ht="15.75" customHeight="1" x14ac:dyDescent="0.25">
      <c r="A71" s="104"/>
      <c r="B71" s="101"/>
      <c r="C71" s="101"/>
      <c r="D71" s="15">
        <v>954</v>
      </c>
      <c r="E71" s="16" t="s">
        <v>26</v>
      </c>
      <c r="F71" s="16" t="s">
        <v>118</v>
      </c>
      <c r="G71" s="15">
        <v>242</v>
      </c>
      <c r="H71" s="15">
        <v>502.6</v>
      </c>
      <c r="I71" s="15">
        <v>545.4</v>
      </c>
      <c r="J71" s="17"/>
      <c r="K71" s="17"/>
      <c r="L71" s="17"/>
      <c r="M71" s="17"/>
      <c r="N71" s="47"/>
      <c r="O71" s="17"/>
      <c r="P71" s="69">
        <f t="shared" si="2"/>
        <v>1048</v>
      </c>
    </row>
    <row r="72" spans="1:16" ht="15.75" customHeight="1" x14ac:dyDescent="0.25">
      <c r="A72" s="104"/>
      <c r="B72" s="101"/>
      <c r="C72" s="101"/>
      <c r="D72" s="15">
        <v>954</v>
      </c>
      <c r="E72" s="16" t="s">
        <v>26</v>
      </c>
      <c r="F72" s="16" t="s">
        <v>118</v>
      </c>
      <c r="G72" s="15">
        <v>244</v>
      </c>
      <c r="H72" s="15">
        <v>1286</v>
      </c>
      <c r="I72" s="15">
        <f>1406.7+115.5+175+50</f>
        <v>1747.2</v>
      </c>
      <c r="J72" s="17">
        <f>2269.2+175.17+176</f>
        <v>2620.37</v>
      </c>
      <c r="K72" s="17">
        <f>2269.2+35+257.5+176.7</f>
        <v>2738.3999999999996</v>
      </c>
      <c r="L72" s="17">
        <f>2561.7+51.5+450.629+80</f>
        <v>3143.8289999999997</v>
      </c>
      <c r="M72" s="17">
        <v>2613.1999999999998</v>
      </c>
      <c r="N72" s="47">
        <v>2613.1999999999998</v>
      </c>
      <c r="O72" s="17">
        <v>2300</v>
      </c>
      <c r="P72" s="69">
        <f t="shared" si="2"/>
        <v>19062.199000000001</v>
      </c>
    </row>
    <row r="73" spans="1:16" ht="21" customHeight="1" x14ac:dyDescent="0.25">
      <c r="A73" s="104"/>
      <c r="B73" s="101"/>
      <c r="C73" s="101"/>
      <c r="D73" s="15">
        <v>954</v>
      </c>
      <c r="E73" s="16" t="s">
        <v>26</v>
      </c>
      <c r="F73" s="16" t="s">
        <v>118</v>
      </c>
      <c r="G73" s="15">
        <v>851</v>
      </c>
      <c r="H73" s="15">
        <v>5</v>
      </c>
      <c r="I73" s="15">
        <v>12.7</v>
      </c>
      <c r="J73" s="17">
        <f>12.7+141</f>
        <v>153.69999999999999</v>
      </c>
      <c r="K73" s="17">
        <f>12.1+37.7</f>
        <v>49.800000000000004</v>
      </c>
      <c r="L73" s="17">
        <v>47.6</v>
      </c>
      <c r="M73" s="17">
        <v>42</v>
      </c>
      <c r="N73" s="47">
        <v>42</v>
      </c>
      <c r="O73" s="17">
        <v>42</v>
      </c>
      <c r="P73" s="69">
        <f t="shared" si="2"/>
        <v>394.8</v>
      </c>
    </row>
    <row r="74" spans="1:16" ht="19.5" customHeight="1" x14ac:dyDescent="0.25">
      <c r="A74" s="104"/>
      <c r="B74" s="101"/>
      <c r="C74" s="101"/>
      <c r="D74" s="15">
        <v>954</v>
      </c>
      <c r="E74" s="16" t="s">
        <v>26</v>
      </c>
      <c r="F74" s="16" t="s">
        <v>118</v>
      </c>
      <c r="G74" s="15">
        <v>852</v>
      </c>
      <c r="H74" s="15">
        <v>22.2</v>
      </c>
      <c r="I74" s="15">
        <v>17.2</v>
      </c>
      <c r="J74" s="17">
        <v>17.2</v>
      </c>
      <c r="K74" s="17">
        <v>11.4</v>
      </c>
      <c r="L74" s="17">
        <v>8.8000000000000007</v>
      </c>
      <c r="M74" s="17">
        <v>4.5</v>
      </c>
      <c r="N74" s="47">
        <v>4.5</v>
      </c>
      <c r="O74" s="17">
        <v>4.5</v>
      </c>
      <c r="P74" s="69">
        <f t="shared" si="2"/>
        <v>90.3</v>
      </c>
    </row>
    <row r="75" spans="1:16" ht="19.5" customHeight="1" x14ac:dyDescent="0.25">
      <c r="A75" s="64"/>
      <c r="B75" s="90"/>
      <c r="C75" s="101"/>
      <c r="D75" s="15">
        <v>954</v>
      </c>
      <c r="E75" s="16" t="s">
        <v>26</v>
      </c>
      <c r="F75" s="16" t="s">
        <v>118</v>
      </c>
      <c r="G75" s="15">
        <v>853</v>
      </c>
      <c r="H75" s="15"/>
      <c r="I75" s="15"/>
      <c r="J75" s="17"/>
      <c r="K75" s="17">
        <v>0.1</v>
      </c>
      <c r="L75" s="17"/>
      <c r="M75" s="17"/>
      <c r="N75" s="47"/>
      <c r="O75" s="17"/>
      <c r="P75" s="69">
        <f t="shared" si="2"/>
        <v>0.1</v>
      </c>
    </row>
    <row r="76" spans="1:16" ht="40.5" customHeight="1" x14ac:dyDescent="0.25">
      <c r="A76" s="10" t="s">
        <v>73</v>
      </c>
      <c r="B76" s="4" t="s">
        <v>18</v>
      </c>
      <c r="C76" s="101"/>
      <c r="D76" s="15">
        <v>954</v>
      </c>
      <c r="E76" s="16" t="s">
        <v>26</v>
      </c>
      <c r="F76" s="16" t="s">
        <v>132</v>
      </c>
      <c r="G76" s="15">
        <v>244</v>
      </c>
      <c r="H76" s="15"/>
      <c r="I76" s="15"/>
      <c r="J76" s="17"/>
      <c r="K76" s="17"/>
      <c r="L76" s="17"/>
      <c r="M76" s="17"/>
      <c r="N76" s="46"/>
      <c r="O76" s="17"/>
      <c r="P76" s="69">
        <f t="shared" si="2"/>
        <v>0</v>
      </c>
    </row>
    <row r="77" spans="1:16" ht="42.75" customHeight="1" x14ac:dyDescent="0.25">
      <c r="A77" s="10" t="s">
        <v>88</v>
      </c>
      <c r="B77" s="3" t="s">
        <v>86</v>
      </c>
      <c r="C77" s="90"/>
      <c r="D77" s="15">
        <v>954</v>
      </c>
      <c r="E77" s="16" t="s">
        <v>26</v>
      </c>
      <c r="F77" s="16" t="s">
        <v>119</v>
      </c>
      <c r="G77" s="15">
        <v>621</v>
      </c>
      <c r="H77" s="17">
        <v>431.2</v>
      </c>
      <c r="I77" s="15">
        <f>1400.2-16.9</f>
        <v>1383.3</v>
      </c>
      <c r="J77" s="48">
        <f>1400+8</f>
        <v>1408</v>
      </c>
      <c r="K77" s="48">
        <f>1416.1+22.55+16</f>
        <v>1454.6499999999999</v>
      </c>
      <c r="L77" s="48">
        <f>1488.3+25.09+36.61+60.8</f>
        <v>1610.7999999999997</v>
      </c>
      <c r="M77" s="17">
        <v>1693.79</v>
      </c>
      <c r="N77" s="46">
        <v>1693.79</v>
      </c>
      <c r="O77" s="17">
        <v>1693.79</v>
      </c>
      <c r="P77" s="69">
        <f t="shared" si="2"/>
        <v>11369.32</v>
      </c>
    </row>
    <row r="78" spans="1:16" ht="34.5" customHeight="1" x14ac:dyDescent="0.25">
      <c r="A78" s="10" t="s">
        <v>90</v>
      </c>
      <c r="B78" s="3" t="s">
        <v>96</v>
      </c>
      <c r="C78" s="37"/>
      <c r="D78" s="15">
        <v>954</v>
      </c>
      <c r="E78" s="16" t="s">
        <v>79</v>
      </c>
      <c r="F78" s="16" t="s">
        <v>116</v>
      </c>
      <c r="G78" s="15">
        <v>244</v>
      </c>
      <c r="H78" s="22"/>
      <c r="I78" s="15">
        <f>55</f>
        <v>55</v>
      </c>
      <c r="J78" s="58">
        <v>74</v>
      </c>
      <c r="K78" s="58">
        <v>74</v>
      </c>
      <c r="L78" s="58">
        <v>74</v>
      </c>
      <c r="M78" s="17">
        <v>74</v>
      </c>
      <c r="N78" s="44">
        <v>74</v>
      </c>
      <c r="O78" s="17">
        <v>74</v>
      </c>
      <c r="P78" s="69">
        <f t="shared" si="2"/>
        <v>499</v>
      </c>
    </row>
  </sheetData>
  <mergeCells count="27">
    <mergeCell ref="A60:A64"/>
    <mergeCell ref="A67:A74"/>
    <mergeCell ref="B60:B64"/>
    <mergeCell ref="B27:B34"/>
    <mergeCell ref="A35:A37"/>
    <mergeCell ref="B58:B59"/>
    <mergeCell ref="B67:B75"/>
    <mergeCell ref="C60:C77"/>
    <mergeCell ref="C16:C24"/>
    <mergeCell ref="C26:C44"/>
    <mergeCell ref="C48:C54"/>
    <mergeCell ref="C58:C59"/>
    <mergeCell ref="K1:N1"/>
    <mergeCell ref="J2:O2"/>
    <mergeCell ref="K3:O3"/>
    <mergeCell ref="K4:O4"/>
    <mergeCell ref="B35:B37"/>
    <mergeCell ref="B16:B17"/>
    <mergeCell ref="A10:N12"/>
    <mergeCell ref="H5:N7"/>
    <mergeCell ref="D14:G14"/>
    <mergeCell ref="A14:A15"/>
    <mergeCell ref="B14:B15"/>
    <mergeCell ref="C14:C15"/>
    <mergeCell ref="H14:O14"/>
    <mergeCell ref="A16:A17"/>
    <mergeCell ref="A27:A33"/>
  </mergeCells>
  <pageMargins left="0.31496062992125984" right="0.31496062992125984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2"/>
  <sheetViews>
    <sheetView tabSelected="1" view="pageBreakPreview" zoomScale="60" zoomScaleNormal="75" workbookViewId="0">
      <selection activeCell="F4" sqref="F4:J4"/>
    </sheetView>
  </sheetViews>
  <sheetFormatPr defaultRowHeight="15" x14ac:dyDescent="0.25"/>
  <cols>
    <col min="1" max="1" width="5.7109375" customWidth="1"/>
    <col min="2" max="2" width="39.140625" customWidth="1"/>
    <col min="3" max="3" width="55.7109375" customWidth="1"/>
    <col min="4" max="5" width="12.7109375" customWidth="1"/>
    <col min="6" max="6" width="11.42578125" customWidth="1"/>
    <col min="7" max="7" width="12.42578125" customWidth="1"/>
    <col min="8" max="8" width="13.7109375" customWidth="1"/>
    <col min="9" max="10" width="12.28515625" customWidth="1"/>
    <col min="11" max="11" width="13.85546875" customWidth="1"/>
    <col min="12" max="12" width="15.28515625" customWidth="1"/>
  </cols>
  <sheetData>
    <row r="1" spans="1:11" ht="15.75" customHeight="1" x14ac:dyDescent="0.25">
      <c r="D1" s="73"/>
      <c r="E1" s="73"/>
      <c r="F1" s="82" t="s">
        <v>167</v>
      </c>
      <c r="G1" s="82"/>
      <c r="H1" s="82"/>
      <c r="I1" s="82"/>
      <c r="J1" s="82"/>
    </row>
    <row r="2" spans="1:11" ht="15.75" customHeight="1" x14ac:dyDescent="0.25">
      <c r="D2" s="73"/>
      <c r="E2" s="112" t="s">
        <v>168</v>
      </c>
      <c r="F2" s="112"/>
      <c r="G2" s="112"/>
      <c r="H2" s="112"/>
      <c r="I2" s="112"/>
      <c r="J2" s="112"/>
      <c r="K2" s="112"/>
    </row>
    <row r="3" spans="1:11" ht="15.75" customHeight="1" x14ac:dyDescent="0.25">
      <c r="D3" s="73"/>
      <c r="E3" s="73"/>
      <c r="F3" s="112" t="s">
        <v>169</v>
      </c>
      <c r="G3" s="112"/>
      <c r="H3" s="112"/>
      <c r="I3" s="112"/>
      <c r="J3" s="112"/>
    </row>
    <row r="4" spans="1:11" ht="15.75" customHeight="1" x14ac:dyDescent="0.25">
      <c r="D4" s="73"/>
      <c r="E4" s="73"/>
      <c r="F4" s="113" t="s">
        <v>178</v>
      </c>
      <c r="G4" s="113"/>
      <c r="H4" s="113"/>
      <c r="I4" s="113"/>
      <c r="J4" s="113"/>
    </row>
    <row r="5" spans="1:11" ht="11.25" customHeight="1" x14ac:dyDescent="0.25">
      <c r="D5" s="91" t="s">
        <v>156</v>
      </c>
      <c r="E5" s="91"/>
      <c r="F5" s="91"/>
      <c r="G5" s="91"/>
      <c r="H5" s="91"/>
      <c r="I5" s="91"/>
      <c r="J5" s="91"/>
    </row>
    <row r="6" spans="1:11" ht="10.5" customHeight="1" x14ac:dyDescent="0.25">
      <c r="D6" s="91"/>
      <c r="E6" s="91"/>
      <c r="F6" s="91"/>
      <c r="G6" s="91"/>
      <c r="H6" s="91"/>
      <c r="I6" s="91"/>
      <c r="J6" s="91"/>
    </row>
    <row r="7" spans="1:11" ht="7.5" customHeight="1" x14ac:dyDescent="0.25">
      <c r="D7" s="91"/>
      <c r="E7" s="91"/>
      <c r="F7" s="91"/>
      <c r="G7" s="91"/>
      <c r="H7" s="91"/>
      <c r="I7" s="91"/>
      <c r="J7" s="91"/>
    </row>
    <row r="8" spans="1:11" ht="18" customHeight="1" x14ac:dyDescent="0.25">
      <c r="D8" s="91"/>
      <c r="E8" s="91"/>
      <c r="F8" s="91"/>
      <c r="G8" s="91"/>
      <c r="H8" s="91"/>
      <c r="I8" s="91"/>
      <c r="J8" s="91"/>
    </row>
    <row r="10" spans="1:11" ht="10.5" customHeight="1" x14ac:dyDescent="0.25">
      <c r="A10" s="82" t="s">
        <v>155</v>
      </c>
      <c r="B10" s="82"/>
      <c r="C10" s="82"/>
      <c r="D10" s="82"/>
      <c r="E10" s="82"/>
      <c r="F10" s="82"/>
      <c r="G10" s="82"/>
      <c r="H10" s="82"/>
      <c r="I10" s="82"/>
      <c r="J10" s="82"/>
    </row>
    <row r="11" spans="1:11" ht="15" customHeight="1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</row>
    <row r="12" spans="1:11" ht="15" customHeight="1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</row>
    <row r="13" spans="1:11" ht="15" customHeight="1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</row>
    <row r="14" spans="1:11" ht="7.5" customHeight="1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</row>
    <row r="15" spans="1:11" ht="0.75" customHeight="1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</row>
    <row r="16" spans="1:11" ht="15.75" x14ac:dyDescent="0.25">
      <c r="A16" s="7"/>
      <c r="B16" s="7"/>
      <c r="C16" s="7"/>
      <c r="D16" s="7"/>
      <c r="E16" s="7"/>
      <c r="F16" s="7"/>
      <c r="G16" s="7"/>
      <c r="H16" s="7"/>
    </row>
    <row r="17" spans="1:12" ht="21.75" customHeight="1" x14ac:dyDescent="0.25">
      <c r="A17" s="5" t="s">
        <v>0</v>
      </c>
      <c r="B17" s="80" t="s">
        <v>4</v>
      </c>
      <c r="C17" s="80" t="s">
        <v>30</v>
      </c>
      <c r="D17" s="95" t="s">
        <v>29</v>
      </c>
      <c r="E17" s="95"/>
      <c r="F17" s="95"/>
      <c r="G17" s="95"/>
      <c r="H17" s="95"/>
      <c r="I17" s="95"/>
      <c r="J17" s="95"/>
      <c r="K17" s="95"/>
    </row>
    <row r="18" spans="1:12" ht="30" customHeight="1" x14ac:dyDescent="0.25">
      <c r="A18" s="5"/>
      <c r="B18" s="81"/>
      <c r="C18" s="81"/>
      <c r="D18" s="20">
        <v>2014</v>
      </c>
      <c r="E18" s="20">
        <v>2015</v>
      </c>
      <c r="F18" s="20">
        <v>2016</v>
      </c>
      <c r="G18" s="20">
        <v>2017</v>
      </c>
      <c r="H18" s="20">
        <v>2018</v>
      </c>
      <c r="I18" s="21">
        <v>2019</v>
      </c>
      <c r="J18" s="21">
        <v>2020</v>
      </c>
      <c r="K18" s="21">
        <v>2021</v>
      </c>
    </row>
    <row r="19" spans="1:12" ht="22.5" customHeight="1" x14ac:dyDescent="0.25">
      <c r="A19" s="119">
        <v>1</v>
      </c>
      <c r="B19" s="105" t="s">
        <v>157</v>
      </c>
      <c r="C19" s="12" t="s">
        <v>31</v>
      </c>
      <c r="D19" s="28">
        <f t="shared" ref="D19:K19" si="0">D26+D89+D194+D257</f>
        <v>328070.27</v>
      </c>
      <c r="E19" s="14">
        <f t="shared" si="0"/>
        <v>341185.90299999993</v>
      </c>
      <c r="F19" s="25">
        <f t="shared" si="0"/>
        <v>357056.5799999999</v>
      </c>
      <c r="G19" s="14">
        <f t="shared" si="0"/>
        <v>363528.91</v>
      </c>
      <c r="H19" s="14">
        <f t="shared" si="0"/>
        <v>403104.30200000003</v>
      </c>
      <c r="I19" s="41">
        <f t="shared" si="0"/>
        <v>493388.0940000001</v>
      </c>
      <c r="J19" s="41">
        <f t="shared" si="0"/>
        <v>464211.70699999999</v>
      </c>
      <c r="K19" s="68">
        <f t="shared" si="0"/>
        <v>457795.19400000008</v>
      </c>
      <c r="L19" s="29"/>
    </row>
    <row r="20" spans="1:12" ht="32.25" customHeight="1" x14ac:dyDescent="0.25">
      <c r="A20" s="119"/>
      <c r="B20" s="105"/>
      <c r="C20" s="13" t="s">
        <v>32</v>
      </c>
      <c r="D20" s="14">
        <f t="shared" ref="D20:H22" si="1">D27+D90+D195+D258</f>
        <v>0</v>
      </c>
      <c r="E20" s="14">
        <f t="shared" si="1"/>
        <v>0</v>
      </c>
      <c r="F20" s="25">
        <f t="shared" si="1"/>
        <v>0</v>
      </c>
      <c r="G20" s="14">
        <f t="shared" si="1"/>
        <v>0</v>
      </c>
      <c r="H20" s="14">
        <f t="shared" si="1"/>
        <v>0</v>
      </c>
      <c r="I20" s="52"/>
      <c r="J20" s="37"/>
      <c r="K20" s="52"/>
      <c r="L20" s="29"/>
    </row>
    <row r="21" spans="1:12" ht="33.75" customHeight="1" x14ac:dyDescent="0.25">
      <c r="A21" s="119"/>
      <c r="B21" s="105"/>
      <c r="C21" s="13" t="s">
        <v>33</v>
      </c>
      <c r="D21" s="25">
        <f t="shared" si="1"/>
        <v>216943.29699999999</v>
      </c>
      <c r="E21" s="14">
        <f t="shared" si="1"/>
        <v>223955.02299999999</v>
      </c>
      <c r="F21" s="25">
        <f t="shared" si="1"/>
        <v>237830.9</v>
      </c>
      <c r="G21" s="14">
        <f t="shared" si="1"/>
        <v>245892.77000000002</v>
      </c>
      <c r="H21" s="14">
        <f t="shared" si="1"/>
        <v>262664.37999999995</v>
      </c>
      <c r="I21" s="41">
        <f t="shared" ref="I21:K22" si="2">I28+I91+I196+I259</f>
        <v>330933.86699999997</v>
      </c>
      <c r="J21" s="41">
        <f t="shared" si="2"/>
        <v>312530.804</v>
      </c>
      <c r="K21" s="68">
        <f t="shared" si="2"/>
        <v>312530.804</v>
      </c>
      <c r="L21" s="29"/>
    </row>
    <row r="22" spans="1:12" ht="15.75" x14ac:dyDescent="0.25">
      <c r="A22" s="119"/>
      <c r="B22" s="105"/>
      <c r="C22" s="12" t="s">
        <v>34</v>
      </c>
      <c r="D22" s="25">
        <f t="shared" si="1"/>
        <v>111126.973</v>
      </c>
      <c r="E22" s="14">
        <f t="shared" si="1"/>
        <v>117230.88</v>
      </c>
      <c r="F22" s="25">
        <f t="shared" si="1"/>
        <v>119225.68</v>
      </c>
      <c r="G22" s="14">
        <f t="shared" si="1"/>
        <v>117636.14000000001</v>
      </c>
      <c r="H22" s="14">
        <f t="shared" si="1"/>
        <v>140439.92199999999</v>
      </c>
      <c r="I22" s="41">
        <f t="shared" si="2"/>
        <v>162454.22700000001</v>
      </c>
      <c r="J22" s="41">
        <f t="shared" si="2"/>
        <v>151680.90299999999</v>
      </c>
      <c r="K22" s="68">
        <f t="shared" si="2"/>
        <v>145264.39000000001</v>
      </c>
      <c r="L22" s="29"/>
    </row>
    <row r="23" spans="1:12" ht="33.75" customHeight="1" x14ac:dyDescent="0.25">
      <c r="A23" s="119"/>
      <c r="B23" s="105"/>
      <c r="C23" s="13" t="s">
        <v>35</v>
      </c>
      <c r="D23" s="25">
        <f t="shared" ref="D23:F25" si="3">D30+D93+D198+D261</f>
        <v>0</v>
      </c>
      <c r="E23" s="14">
        <f t="shared" si="3"/>
        <v>0</v>
      </c>
      <c r="F23" s="25">
        <f t="shared" si="3"/>
        <v>0</v>
      </c>
      <c r="G23" s="14"/>
      <c r="H23" s="14"/>
      <c r="I23" s="52"/>
      <c r="J23" s="37"/>
      <c r="K23" s="52"/>
      <c r="L23" s="29"/>
    </row>
    <row r="24" spans="1:12" ht="36" customHeight="1" x14ac:dyDescent="0.25">
      <c r="A24" s="119"/>
      <c r="B24" s="105"/>
      <c r="C24" s="13" t="s">
        <v>36</v>
      </c>
      <c r="D24" s="25">
        <f t="shared" si="3"/>
        <v>0</v>
      </c>
      <c r="E24" s="14">
        <f t="shared" si="3"/>
        <v>0</v>
      </c>
      <c r="F24" s="25">
        <f t="shared" si="3"/>
        <v>0</v>
      </c>
      <c r="G24" s="14"/>
      <c r="H24" s="14"/>
      <c r="I24" s="52"/>
      <c r="J24" s="37"/>
      <c r="K24" s="52"/>
      <c r="L24" s="29"/>
    </row>
    <row r="25" spans="1:12" ht="15.75" x14ac:dyDescent="0.25">
      <c r="A25" s="119"/>
      <c r="B25" s="105"/>
      <c r="C25" s="12" t="s">
        <v>37</v>
      </c>
      <c r="D25" s="25">
        <f t="shared" si="3"/>
        <v>0</v>
      </c>
      <c r="E25" s="14">
        <f t="shared" si="3"/>
        <v>0</v>
      </c>
      <c r="F25" s="25">
        <f t="shared" si="3"/>
        <v>0</v>
      </c>
      <c r="G25" s="14"/>
      <c r="H25" s="14"/>
      <c r="I25" s="52"/>
      <c r="J25" s="37"/>
      <c r="K25" s="52"/>
      <c r="L25" s="29"/>
    </row>
    <row r="26" spans="1:12" ht="20.25" customHeight="1" x14ac:dyDescent="0.25">
      <c r="A26" s="100" t="s">
        <v>75</v>
      </c>
      <c r="B26" s="105" t="s">
        <v>161</v>
      </c>
      <c r="C26" s="12" t="s">
        <v>31</v>
      </c>
      <c r="D26" s="25">
        <f>D33+D40+D47+D54+D61+D68+D82+D75</f>
        <v>71010.850000000006</v>
      </c>
      <c r="E26" s="25">
        <f t="shared" ref="E26:K26" si="4">E33+E40+E47+E54+E61+E68+E82+E75</f>
        <v>73525.749999999985</v>
      </c>
      <c r="F26" s="25">
        <f t="shared" si="4"/>
        <v>80970.049999999988</v>
      </c>
      <c r="G26" s="25">
        <f t="shared" si="4"/>
        <v>81609.95</v>
      </c>
      <c r="H26" s="25">
        <f t="shared" si="4"/>
        <v>93544.42</v>
      </c>
      <c r="I26" s="25">
        <f t="shared" si="4"/>
        <v>137445.55600000004</v>
      </c>
      <c r="J26" s="25">
        <f t="shared" si="4"/>
        <v>117496.90700000001</v>
      </c>
      <c r="K26" s="25">
        <f t="shared" si="4"/>
        <v>112108.357</v>
      </c>
      <c r="L26" s="29"/>
    </row>
    <row r="27" spans="1:12" ht="36" customHeight="1" x14ac:dyDescent="0.25">
      <c r="A27" s="100"/>
      <c r="B27" s="105"/>
      <c r="C27" s="13" t="s">
        <v>32</v>
      </c>
      <c r="D27" s="25">
        <f t="shared" ref="D27:H32" si="5">D34+D41+D48+D55+D62+D69+D83+D76</f>
        <v>0</v>
      </c>
      <c r="E27" s="14">
        <f t="shared" ref="E27:K32" si="6">E34+E41+E48+E55+E62+E69</f>
        <v>0</v>
      </c>
      <c r="F27" s="25">
        <f t="shared" si="6"/>
        <v>0</v>
      </c>
      <c r="G27" s="14">
        <f t="shared" si="6"/>
        <v>0</v>
      </c>
      <c r="H27" s="14">
        <f t="shared" si="6"/>
        <v>0</v>
      </c>
      <c r="I27" s="41">
        <f t="shared" si="6"/>
        <v>0</v>
      </c>
      <c r="J27" s="41">
        <f t="shared" si="6"/>
        <v>0</v>
      </c>
      <c r="K27" s="68">
        <f t="shared" si="6"/>
        <v>0</v>
      </c>
      <c r="L27" s="29"/>
    </row>
    <row r="28" spans="1:12" ht="35.25" customHeight="1" x14ac:dyDescent="0.25">
      <c r="A28" s="100"/>
      <c r="B28" s="105"/>
      <c r="C28" s="13" t="s">
        <v>33</v>
      </c>
      <c r="D28" s="25">
        <f t="shared" si="5"/>
        <v>41344</v>
      </c>
      <c r="E28" s="25">
        <f t="shared" si="5"/>
        <v>40862.199999999997</v>
      </c>
      <c r="F28" s="25">
        <f t="shared" si="5"/>
        <v>50383.9</v>
      </c>
      <c r="G28" s="25">
        <f t="shared" si="5"/>
        <v>51629</v>
      </c>
      <c r="H28" s="25">
        <f t="shared" si="5"/>
        <v>55608.224000000002</v>
      </c>
      <c r="I28" s="25">
        <f t="shared" ref="I28:K29" si="7">I35+I42+I49+I56+I63+I70+I84+I77</f>
        <v>93263.373999999996</v>
      </c>
      <c r="J28" s="25">
        <f t="shared" si="7"/>
        <v>76101</v>
      </c>
      <c r="K28" s="25">
        <f t="shared" si="7"/>
        <v>76101</v>
      </c>
      <c r="L28" s="29"/>
    </row>
    <row r="29" spans="1:12" ht="28.5" customHeight="1" x14ac:dyDescent="0.25">
      <c r="A29" s="100"/>
      <c r="B29" s="105"/>
      <c r="C29" s="12" t="s">
        <v>34</v>
      </c>
      <c r="D29" s="25">
        <f t="shared" si="5"/>
        <v>29666.85</v>
      </c>
      <c r="E29" s="25">
        <f t="shared" si="5"/>
        <v>32663.55</v>
      </c>
      <c r="F29" s="25">
        <f t="shared" si="5"/>
        <v>30586.149999999998</v>
      </c>
      <c r="G29" s="25">
        <f t="shared" si="5"/>
        <v>29980.95</v>
      </c>
      <c r="H29" s="25">
        <f t="shared" si="5"/>
        <v>37936.196000000004</v>
      </c>
      <c r="I29" s="25">
        <f t="shared" si="7"/>
        <v>44182.182000000008</v>
      </c>
      <c r="J29" s="25">
        <f t="shared" si="7"/>
        <v>41395.906999999999</v>
      </c>
      <c r="K29" s="25">
        <f t="shared" si="7"/>
        <v>36007.357000000004</v>
      </c>
      <c r="L29" s="29"/>
    </row>
    <row r="30" spans="1:12" ht="37.5" customHeight="1" x14ac:dyDescent="0.25">
      <c r="A30" s="100"/>
      <c r="B30" s="105"/>
      <c r="C30" s="13" t="s">
        <v>35</v>
      </c>
      <c r="D30" s="25">
        <f t="shared" si="5"/>
        <v>0</v>
      </c>
      <c r="E30" s="14">
        <f t="shared" si="6"/>
        <v>0</v>
      </c>
      <c r="F30" s="25">
        <f t="shared" si="6"/>
        <v>0</v>
      </c>
      <c r="G30" s="14">
        <f t="shared" si="6"/>
        <v>0</v>
      </c>
      <c r="H30" s="14">
        <f t="shared" si="6"/>
        <v>0</v>
      </c>
      <c r="I30" s="41">
        <f t="shared" si="6"/>
        <v>0</v>
      </c>
      <c r="J30" s="41">
        <f t="shared" si="6"/>
        <v>0</v>
      </c>
      <c r="K30" s="68">
        <f t="shared" si="6"/>
        <v>0</v>
      </c>
      <c r="L30" s="29"/>
    </row>
    <row r="31" spans="1:12" ht="32.25" customHeight="1" x14ac:dyDescent="0.25">
      <c r="A31" s="100"/>
      <c r="B31" s="105"/>
      <c r="C31" s="13" t="s">
        <v>36</v>
      </c>
      <c r="D31" s="25">
        <f t="shared" si="5"/>
        <v>0</v>
      </c>
      <c r="E31" s="14">
        <f t="shared" si="6"/>
        <v>0</v>
      </c>
      <c r="F31" s="25">
        <f t="shared" si="6"/>
        <v>0</v>
      </c>
      <c r="G31" s="14">
        <f t="shared" si="6"/>
        <v>0</v>
      </c>
      <c r="H31" s="14">
        <f t="shared" si="6"/>
        <v>0</v>
      </c>
      <c r="I31" s="41">
        <f t="shared" si="6"/>
        <v>0</v>
      </c>
      <c r="J31" s="41">
        <f t="shared" si="6"/>
        <v>0</v>
      </c>
      <c r="K31" s="68">
        <f t="shared" si="6"/>
        <v>0</v>
      </c>
      <c r="L31" s="29"/>
    </row>
    <row r="32" spans="1:12" ht="16.5" customHeight="1" x14ac:dyDescent="0.25">
      <c r="A32" s="100"/>
      <c r="B32" s="105"/>
      <c r="C32" s="12" t="s">
        <v>37</v>
      </c>
      <c r="D32" s="25">
        <f t="shared" si="5"/>
        <v>0</v>
      </c>
      <c r="E32" s="14">
        <f t="shared" si="6"/>
        <v>0</v>
      </c>
      <c r="F32" s="25">
        <f t="shared" si="6"/>
        <v>0</v>
      </c>
      <c r="G32" s="14">
        <f t="shared" si="6"/>
        <v>0</v>
      </c>
      <c r="H32" s="14">
        <f t="shared" si="6"/>
        <v>0</v>
      </c>
      <c r="I32" s="41">
        <f t="shared" si="6"/>
        <v>0</v>
      </c>
      <c r="J32" s="41">
        <f t="shared" si="6"/>
        <v>0</v>
      </c>
      <c r="K32" s="68">
        <f t="shared" si="6"/>
        <v>0</v>
      </c>
      <c r="L32" s="29"/>
    </row>
    <row r="33" spans="1:12" ht="20.25" customHeight="1" x14ac:dyDescent="0.25">
      <c r="A33" s="118" t="s">
        <v>17</v>
      </c>
      <c r="B33" s="105" t="s">
        <v>53</v>
      </c>
      <c r="C33" s="12" t="s">
        <v>31</v>
      </c>
      <c r="D33" s="25">
        <f>D34+D35+D36+D37+D38+D39</f>
        <v>4.3</v>
      </c>
      <c r="E33" s="14">
        <f t="shared" ref="E33:K33" si="8">E34+E35+E36+E37+E38+E39</f>
        <v>11.5</v>
      </c>
      <c r="F33" s="25">
        <f t="shared" si="8"/>
        <v>0</v>
      </c>
      <c r="G33" s="14">
        <f t="shared" si="8"/>
        <v>0</v>
      </c>
      <c r="H33" s="14">
        <f t="shared" si="8"/>
        <v>0</v>
      </c>
      <c r="I33" s="41">
        <f t="shared" si="8"/>
        <v>0</v>
      </c>
      <c r="J33" s="41">
        <f t="shared" si="8"/>
        <v>0</v>
      </c>
      <c r="K33" s="68">
        <f t="shared" si="8"/>
        <v>0</v>
      </c>
      <c r="L33" s="29"/>
    </row>
    <row r="34" spans="1:12" ht="28.5" customHeight="1" x14ac:dyDescent="0.25">
      <c r="A34" s="118"/>
      <c r="B34" s="105"/>
      <c r="C34" s="13" t="s">
        <v>32</v>
      </c>
      <c r="D34" s="25"/>
      <c r="E34" s="14"/>
      <c r="F34" s="25"/>
      <c r="G34" s="14"/>
      <c r="H34" s="14"/>
      <c r="I34" s="52"/>
      <c r="J34" s="37"/>
      <c r="K34" s="52"/>
      <c r="L34" s="29"/>
    </row>
    <row r="35" spans="1:12" ht="33.75" customHeight="1" x14ac:dyDescent="0.25">
      <c r="A35" s="118"/>
      <c r="B35" s="105"/>
      <c r="C35" s="13" t="s">
        <v>33</v>
      </c>
      <c r="D35" s="25"/>
      <c r="E35" s="14"/>
      <c r="F35" s="25"/>
      <c r="G35" s="14"/>
      <c r="H35" s="14"/>
      <c r="I35" s="52"/>
      <c r="J35" s="37"/>
      <c r="K35" s="52"/>
      <c r="L35" s="29"/>
    </row>
    <row r="36" spans="1:12" ht="15.75" x14ac:dyDescent="0.25">
      <c r="A36" s="118"/>
      <c r="B36" s="105"/>
      <c r="C36" s="12" t="s">
        <v>34</v>
      </c>
      <c r="D36" s="25">
        <v>4.3</v>
      </c>
      <c r="E36" s="14">
        <v>11.5</v>
      </c>
      <c r="F36" s="25"/>
      <c r="G36" s="14"/>
      <c r="H36" s="14"/>
      <c r="I36" s="52"/>
      <c r="J36" s="37"/>
      <c r="K36" s="52"/>
      <c r="L36" s="29"/>
    </row>
    <row r="37" spans="1:12" ht="35.25" customHeight="1" x14ac:dyDescent="0.25">
      <c r="A37" s="118"/>
      <c r="B37" s="105"/>
      <c r="C37" s="13" t="s">
        <v>35</v>
      </c>
      <c r="D37" s="25"/>
      <c r="E37" s="14"/>
      <c r="F37" s="25"/>
      <c r="G37" s="14"/>
      <c r="H37" s="14"/>
      <c r="I37" s="52"/>
      <c r="J37" s="37"/>
      <c r="K37" s="52"/>
      <c r="L37" s="29"/>
    </row>
    <row r="38" spans="1:12" ht="33.75" customHeight="1" x14ac:dyDescent="0.25">
      <c r="A38" s="118"/>
      <c r="B38" s="105"/>
      <c r="C38" s="13" t="s">
        <v>36</v>
      </c>
      <c r="D38" s="25"/>
      <c r="E38" s="14"/>
      <c r="F38" s="25"/>
      <c r="G38" s="14"/>
      <c r="H38" s="14"/>
      <c r="I38" s="52"/>
      <c r="J38" s="37"/>
      <c r="K38" s="52"/>
      <c r="L38" s="29"/>
    </row>
    <row r="39" spans="1:12" ht="15.75" x14ac:dyDescent="0.25">
      <c r="A39" s="118"/>
      <c r="B39" s="105"/>
      <c r="C39" s="12" t="s">
        <v>37</v>
      </c>
      <c r="D39" s="25"/>
      <c r="E39" s="14"/>
      <c r="F39" s="25"/>
      <c r="G39" s="14"/>
      <c r="H39" s="14"/>
      <c r="I39" s="52"/>
      <c r="J39" s="37"/>
      <c r="K39" s="52"/>
      <c r="L39" s="29"/>
    </row>
    <row r="40" spans="1:12" ht="21" customHeight="1" x14ac:dyDescent="0.25">
      <c r="A40" s="118" t="s">
        <v>14</v>
      </c>
      <c r="B40" s="105" t="s">
        <v>15</v>
      </c>
      <c r="C40" s="12" t="s">
        <v>31</v>
      </c>
      <c r="D40" s="25">
        <f>D41+D42+D43+D44+D45+D46</f>
        <v>75.2</v>
      </c>
      <c r="E40" s="14">
        <f t="shared" ref="E40" si="9">E41+E42+E43+E44+E45+E46</f>
        <v>139.15</v>
      </c>
      <c r="F40" s="25">
        <f t="shared" ref="F40:K40" si="10">F41+F42+F43+F44+F45+F46</f>
        <v>106.9</v>
      </c>
      <c r="G40" s="14">
        <f t="shared" si="10"/>
        <v>132.70000000000002</v>
      </c>
      <c r="H40" s="14">
        <f t="shared" si="10"/>
        <v>128.69999999999999</v>
      </c>
      <c r="I40" s="41">
        <f t="shared" si="10"/>
        <v>0</v>
      </c>
      <c r="J40" s="41">
        <f t="shared" si="10"/>
        <v>0</v>
      </c>
      <c r="K40" s="68">
        <f t="shared" si="10"/>
        <v>0</v>
      </c>
      <c r="L40" s="29"/>
    </row>
    <row r="41" spans="1:12" ht="30" customHeight="1" x14ac:dyDescent="0.25">
      <c r="A41" s="118"/>
      <c r="B41" s="105"/>
      <c r="C41" s="13" t="s">
        <v>32</v>
      </c>
      <c r="D41" s="25"/>
      <c r="E41" s="14"/>
      <c r="F41" s="25"/>
      <c r="G41" s="14"/>
      <c r="H41" s="14"/>
      <c r="I41" s="52"/>
      <c r="J41" s="37"/>
      <c r="K41" s="52"/>
      <c r="L41" s="29"/>
    </row>
    <row r="42" spans="1:12" ht="30" customHeight="1" x14ac:dyDescent="0.25">
      <c r="A42" s="118"/>
      <c r="B42" s="105"/>
      <c r="C42" s="13" t="s">
        <v>33</v>
      </c>
      <c r="D42" s="25"/>
      <c r="E42" s="14"/>
      <c r="F42" s="25"/>
      <c r="G42" s="14"/>
      <c r="H42" s="14"/>
      <c r="I42" s="52"/>
      <c r="J42" s="37"/>
      <c r="K42" s="52"/>
      <c r="L42" s="29"/>
    </row>
    <row r="43" spans="1:12" ht="18.75" customHeight="1" x14ac:dyDescent="0.25">
      <c r="A43" s="118"/>
      <c r="B43" s="105"/>
      <c r="C43" s="12" t="s">
        <v>34</v>
      </c>
      <c r="D43" s="25">
        <v>75.2</v>
      </c>
      <c r="E43" s="14">
        <f>120+19.15</f>
        <v>139.15</v>
      </c>
      <c r="F43" s="25">
        <f>174-67.1</f>
        <v>106.9</v>
      </c>
      <c r="G43" s="14">
        <f>106.9+25.8</f>
        <v>132.70000000000002</v>
      </c>
      <c r="H43" s="14">
        <v>128.69999999999999</v>
      </c>
      <c r="I43" s="52"/>
      <c r="J43" s="37"/>
      <c r="K43" s="52"/>
      <c r="L43" s="29"/>
    </row>
    <row r="44" spans="1:12" ht="30" customHeight="1" x14ac:dyDescent="0.25">
      <c r="A44" s="118"/>
      <c r="B44" s="105"/>
      <c r="C44" s="13" t="s">
        <v>35</v>
      </c>
      <c r="D44" s="25"/>
      <c r="E44" s="14"/>
      <c r="F44" s="25"/>
      <c r="G44" s="14"/>
      <c r="H44" s="14"/>
      <c r="I44" s="52"/>
      <c r="J44" s="37"/>
      <c r="K44" s="52"/>
      <c r="L44" s="29"/>
    </row>
    <row r="45" spans="1:12" ht="30" customHeight="1" x14ac:dyDescent="0.25">
      <c r="A45" s="118"/>
      <c r="B45" s="105"/>
      <c r="C45" s="13" t="s">
        <v>36</v>
      </c>
      <c r="D45" s="25"/>
      <c r="E45" s="14"/>
      <c r="F45" s="25"/>
      <c r="G45" s="14"/>
      <c r="H45" s="14"/>
      <c r="I45" s="52"/>
      <c r="J45" s="37"/>
      <c r="K45" s="52"/>
      <c r="L45" s="29"/>
    </row>
    <row r="46" spans="1:12" ht="20.25" customHeight="1" x14ac:dyDescent="0.25">
      <c r="A46" s="118"/>
      <c r="B46" s="105"/>
      <c r="C46" s="12" t="s">
        <v>37</v>
      </c>
      <c r="D46" s="25"/>
      <c r="E46" s="14"/>
      <c r="F46" s="25"/>
      <c r="G46" s="14"/>
      <c r="H46" s="14"/>
      <c r="I46" s="52"/>
      <c r="J46" s="37"/>
      <c r="K46" s="52"/>
      <c r="L46" s="29"/>
    </row>
    <row r="47" spans="1:12" ht="24.75" customHeight="1" x14ac:dyDescent="0.25">
      <c r="A47" s="118" t="s">
        <v>41</v>
      </c>
      <c r="B47" s="105" t="s">
        <v>58</v>
      </c>
      <c r="C47" s="12" t="s">
        <v>31</v>
      </c>
      <c r="D47" s="25">
        <f>D48+D49+D50+D51+D52+D53</f>
        <v>0</v>
      </c>
      <c r="E47" s="14">
        <f t="shared" ref="E47" si="11">E48+E49+E50+E51+E52+E53</f>
        <v>0</v>
      </c>
      <c r="F47" s="25">
        <f t="shared" ref="F47:K47" si="12">F48+F49+F50+F51+F52+F53</f>
        <v>0</v>
      </c>
      <c r="G47" s="14">
        <f t="shared" si="12"/>
        <v>0</v>
      </c>
      <c r="H47" s="14">
        <f t="shared" si="12"/>
        <v>0</v>
      </c>
      <c r="I47" s="41">
        <f t="shared" si="12"/>
        <v>0</v>
      </c>
      <c r="J47" s="41">
        <f t="shared" si="12"/>
        <v>0</v>
      </c>
      <c r="K47" s="68">
        <f t="shared" si="12"/>
        <v>0</v>
      </c>
      <c r="L47" s="29"/>
    </row>
    <row r="48" spans="1:12" ht="32.25" customHeight="1" x14ac:dyDescent="0.25">
      <c r="A48" s="118"/>
      <c r="B48" s="105"/>
      <c r="C48" s="13" t="s">
        <v>32</v>
      </c>
      <c r="D48" s="25"/>
      <c r="E48" s="14"/>
      <c r="F48" s="25"/>
      <c r="G48" s="14"/>
      <c r="H48" s="14"/>
      <c r="I48" s="52"/>
      <c r="J48" s="37"/>
      <c r="K48" s="52"/>
      <c r="L48" s="29"/>
    </row>
    <row r="49" spans="1:12" ht="33.75" customHeight="1" x14ac:dyDescent="0.25">
      <c r="A49" s="118"/>
      <c r="B49" s="105"/>
      <c r="C49" s="13" t="s">
        <v>33</v>
      </c>
      <c r="D49" s="25"/>
      <c r="E49" s="14"/>
      <c r="F49" s="25"/>
      <c r="G49" s="14"/>
      <c r="H49" s="14"/>
      <c r="I49" s="52"/>
      <c r="J49" s="37"/>
      <c r="K49" s="52"/>
      <c r="L49" s="29"/>
    </row>
    <row r="50" spans="1:12" ht="15.75" x14ac:dyDescent="0.25">
      <c r="A50" s="118"/>
      <c r="B50" s="105"/>
      <c r="C50" s="12" t="s">
        <v>34</v>
      </c>
      <c r="D50" s="25"/>
      <c r="E50" s="14"/>
      <c r="F50" s="25"/>
      <c r="G50" s="14"/>
      <c r="H50" s="14"/>
      <c r="I50" s="52"/>
      <c r="J50" s="37"/>
      <c r="K50" s="52"/>
      <c r="L50" s="29"/>
    </row>
    <row r="51" spans="1:12" ht="33.75" customHeight="1" x14ac:dyDescent="0.25">
      <c r="A51" s="118"/>
      <c r="B51" s="105"/>
      <c r="C51" s="13" t="s">
        <v>35</v>
      </c>
      <c r="D51" s="25"/>
      <c r="E51" s="14"/>
      <c r="F51" s="25"/>
      <c r="G51" s="14"/>
      <c r="H51" s="14"/>
      <c r="I51" s="52"/>
      <c r="J51" s="37"/>
      <c r="K51" s="52"/>
      <c r="L51" s="29"/>
    </row>
    <row r="52" spans="1:12" ht="27.75" customHeight="1" x14ac:dyDescent="0.25">
      <c r="A52" s="118"/>
      <c r="B52" s="105"/>
      <c r="C52" s="13" t="s">
        <v>36</v>
      </c>
      <c r="D52" s="25"/>
      <c r="E52" s="14"/>
      <c r="F52" s="25"/>
      <c r="G52" s="14"/>
      <c r="H52" s="14"/>
      <c r="I52" s="52"/>
      <c r="J52" s="37"/>
      <c r="K52" s="52"/>
      <c r="L52" s="29"/>
    </row>
    <row r="53" spans="1:12" ht="18.75" customHeight="1" x14ac:dyDescent="0.25">
      <c r="A53" s="118"/>
      <c r="B53" s="105"/>
      <c r="C53" s="12" t="s">
        <v>37</v>
      </c>
      <c r="D53" s="25"/>
      <c r="E53" s="14"/>
      <c r="F53" s="25"/>
      <c r="G53" s="14"/>
      <c r="H53" s="14"/>
      <c r="I53" s="52"/>
      <c r="J53" s="37"/>
      <c r="K53" s="52"/>
      <c r="L53" s="29"/>
    </row>
    <row r="54" spans="1:12" ht="18.75" customHeight="1" x14ac:dyDescent="0.25">
      <c r="A54" s="118" t="s">
        <v>43</v>
      </c>
      <c r="B54" s="105" t="s">
        <v>12</v>
      </c>
      <c r="C54" s="12" t="s">
        <v>31</v>
      </c>
      <c r="D54" s="25">
        <f>D55+D56+D57+D58+D59+D60</f>
        <v>0</v>
      </c>
      <c r="E54" s="14">
        <f t="shared" ref="E54" si="13">E55+E56+E57+E58+E59+E60</f>
        <v>280</v>
      </c>
      <c r="F54" s="25">
        <f t="shared" ref="F54:K54" si="14">F55+F56+F57+F58+F59+F60</f>
        <v>0</v>
      </c>
      <c r="G54" s="14">
        <f t="shared" si="14"/>
        <v>0</v>
      </c>
      <c r="H54" s="14">
        <f t="shared" si="14"/>
        <v>440</v>
      </c>
      <c r="I54" s="41">
        <f t="shared" si="14"/>
        <v>45</v>
      </c>
      <c r="J54" s="41">
        <f t="shared" si="14"/>
        <v>45</v>
      </c>
      <c r="K54" s="68">
        <f t="shared" si="14"/>
        <v>45</v>
      </c>
      <c r="L54" s="29"/>
    </row>
    <row r="55" spans="1:12" ht="33.75" customHeight="1" x14ac:dyDescent="0.25">
      <c r="A55" s="118"/>
      <c r="B55" s="105"/>
      <c r="C55" s="13" t="s">
        <v>32</v>
      </c>
      <c r="D55" s="25"/>
      <c r="E55" s="14"/>
      <c r="F55" s="25"/>
      <c r="G55" s="14"/>
      <c r="H55" s="14"/>
      <c r="I55" s="52"/>
      <c r="J55" s="37"/>
      <c r="K55" s="52"/>
      <c r="L55" s="29"/>
    </row>
    <row r="56" spans="1:12" ht="35.25" customHeight="1" x14ac:dyDescent="0.25">
      <c r="A56" s="118"/>
      <c r="B56" s="105"/>
      <c r="C56" s="13" t="s">
        <v>33</v>
      </c>
      <c r="D56" s="25"/>
      <c r="E56" s="14"/>
      <c r="F56" s="25"/>
      <c r="G56" s="14"/>
      <c r="H56" s="14"/>
      <c r="I56" s="52"/>
      <c r="J56" s="37"/>
      <c r="K56" s="52"/>
      <c r="L56" s="29"/>
    </row>
    <row r="57" spans="1:12" ht="15.75" x14ac:dyDescent="0.25">
      <c r="A57" s="118"/>
      <c r="B57" s="105"/>
      <c r="C57" s="12" t="s">
        <v>34</v>
      </c>
      <c r="D57" s="25"/>
      <c r="E57" s="14">
        <v>280</v>
      </c>
      <c r="F57" s="25"/>
      <c r="G57" s="14"/>
      <c r="H57" s="14">
        <v>440</v>
      </c>
      <c r="I57" s="62">
        <v>45</v>
      </c>
      <c r="J57" s="37">
        <v>45</v>
      </c>
      <c r="K57" s="52">
        <v>45</v>
      </c>
      <c r="L57" s="29"/>
    </row>
    <row r="58" spans="1:12" ht="32.25" customHeight="1" x14ac:dyDescent="0.25">
      <c r="A58" s="118"/>
      <c r="B58" s="105"/>
      <c r="C58" s="13" t="s">
        <v>35</v>
      </c>
      <c r="D58" s="25"/>
      <c r="E58" s="14"/>
      <c r="F58" s="25"/>
      <c r="G58" s="14"/>
      <c r="H58" s="14"/>
      <c r="I58" s="52"/>
      <c r="J58" s="37"/>
      <c r="K58" s="52"/>
      <c r="L58" s="29"/>
    </row>
    <row r="59" spans="1:12" ht="26.25" customHeight="1" x14ac:dyDescent="0.25">
      <c r="A59" s="118"/>
      <c r="B59" s="105"/>
      <c r="C59" s="13" t="s">
        <v>36</v>
      </c>
      <c r="D59" s="25"/>
      <c r="E59" s="14"/>
      <c r="F59" s="25"/>
      <c r="G59" s="14"/>
      <c r="H59" s="14"/>
      <c r="I59" s="52"/>
      <c r="J59" s="37"/>
      <c r="K59" s="52"/>
      <c r="L59" s="29"/>
    </row>
    <row r="60" spans="1:12" ht="15.75" x14ac:dyDescent="0.25">
      <c r="A60" s="118"/>
      <c r="B60" s="105"/>
      <c r="C60" s="12" t="s">
        <v>37</v>
      </c>
      <c r="D60" s="25"/>
      <c r="E60" s="14"/>
      <c r="F60" s="25"/>
      <c r="G60" s="14"/>
      <c r="H60" s="14"/>
      <c r="I60" s="52"/>
      <c r="J60" s="37"/>
      <c r="K60" s="52"/>
      <c r="L60" s="29"/>
    </row>
    <row r="61" spans="1:12" ht="22.5" customHeight="1" x14ac:dyDescent="0.25">
      <c r="A61" s="118" t="s">
        <v>44</v>
      </c>
      <c r="B61" s="105" t="s">
        <v>13</v>
      </c>
      <c r="C61" s="12" t="s">
        <v>31</v>
      </c>
      <c r="D61" s="25">
        <f>D62+D63+D64+D65+D66+D67</f>
        <v>600</v>
      </c>
      <c r="E61" s="14">
        <f t="shared" ref="E61" si="15">E62+E63+E64+E65+E66+E67</f>
        <v>0</v>
      </c>
      <c r="F61" s="25">
        <f t="shared" ref="F61:H61" si="16">F62+F63+F64+F65+F66+F67</f>
        <v>0</v>
      </c>
      <c r="G61" s="14">
        <f t="shared" si="16"/>
        <v>0</v>
      </c>
      <c r="H61" s="14">
        <f t="shared" si="16"/>
        <v>1535.28</v>
      </c>
      <c r="I61" s="41">
        <f>I62+I63+I64+I65+I66+I67</f>
        <v>19943.974000000002</v>
      </c>
      <c r="J61" s="41">
        <f>J62+J63+J64+J65+J66+J67</f>
        <v>2000</v>
      </c>
      <c r="K61" s="68">
        <f>K62+K63+K64+K65+K66+K67</f>
        <v>2000</v>
      </c>
      <c r="L61" s="29"/>
    </row>
    <row r="62" spans="1:12" ht="33" customHeight="1" x14ac:dyDescent="0.25">
      <c r="A62" s="118"/>
      <c r="B62" s="105"/>
      <c r="C62" s="13" t="s">
        <v>32</v>
      </c>
      <c r="D62" s="25"/>
      <c r="E62" s="14"/>
      <c r="F62" s="25"/>
      <c r="G62" s="14"/>
      <c r="H62" s="14"/>
      <c r="I62" s="52"/>
      <c r="J62" s="37"/>
      <c r="K62" s="52"/>
      <c r="L62" s="29"/>
    </row>
    <row r="63" spans="1:12" ht="27" customHeight="1" x14ac:dyDescent="0.25">
      <c r="A63" s="118"/>
      <c r="B63" s="105"/>
      <c r="C63" s="13" t="s">
        <v>33</v>
      </c>
      <c r="D63" s="25">
        <v>420</v>
      </c>
      <c r="E63" s="14"/>
      <c r="F63" s="25"/>
      <c r="G63" s="14"/>
      <c r="H63" s="14">
        <v>1228.2239999999999</v>
      </c>
      <c r="I63" s="52">
        <f>6000+9555.174</f>
        <v>15555.174000000001</v>
      </c>
      <c r="J63" s="37"/>
      <c r="K63" s="52"/>
      <c r="L63" s="29"/>
    </row>
    <row r="64" spans="1:12" ht="15.75" x14ac:dyDescent="0.25">
      <c r="A64" s="118"/>
      <c r="B64" s="105"/>
      <c r="C64" s="12" t="s">
        <v>34</v>
      </c>
      <c r="D64" s="25">
        <v>180</v>
      </c>
      <c r="E64" s="14"/>
      <c r="F64" s="25"/>
      <c r="G64" s="14"/>
      <c r="H64" s="14">
        <f>324-16.944</f>
        <v>307.05599999999998</v>
      </c>
      <c r="I64" s="37">
        <f>2388.8+2000</f>
        <v>4388.8</v>
      </c>
      <c r="J64" s="37">
        <v>2000</v>
      </c>
      <c r="K64" s="52">
        <v>2000</v>
      </c>
      <c r="L64" s="29"/>
    </row>
    <row r="65" spans="1:12" ht="30.75" customHeight="1" x14ac:dyDescent="0.25">
      <c r="A65" s="118"/>
      <c r="B65" s="105"/>
      <c r="C65" s="13" t="s">
        <v>35</v>
      </c>
      <c r="D65" s="25"/>
      <c r="E65" s="14"/>
      <c r="F65" s="25"/>
      <c r="G65" s="14"/>
      <c r="H65" s="14"/>
      <c r="I65" s="52"/>
      <c r="J65" s="37"/>
      <c r="K65" s="52"/>
      <c r="L65" s="29"/>
    </row>
    <row r="66" spans="1:12" ht="30.75" customHeight="1" x14ac:dyDescent="0.25">
      <c r="A66" s="118"/>
      <c r="B66" s="105"/>
      <c r="C66" s="13" t="s">
        <v>36</v>
      </c>
      <c r="D66" s="25"/>
      <c r="E66" s="14"/>
      <c r="F66" s="25"/>
      <c r="G66" s="14"/>
      <c r="H66" s="14"/>
      <c r="I66" s="52"/>
      <c r="J66" s="37"/>
      <c r="K66" s="52"/>
      <c r="L66" s="29"/>
    </row>
    <row r="67" spans="1:12" ht="18.75" customHeight="1" x14ac:dyDescent="0.25">
      <c r="A67" s="118"/>
      <c r="B67" s="105"/>
      <c r="C67" s="12" t="s">
        <v>37</v>
      </c>
      <c r="D67" s="25"/>
      <c r="E67" s="14"/>
      <c r="F67" s="25"/>
      <c r="G67" s="14"/>
      <c r="H67" s="14"/>
      <c r="I67" s="52"/>
      <c r="J67" s="37"/>
      <c r="K67" s="52"/>
      <c r="L67" s="29"/>
    </row>
    <row r="68" spans="1:12" ht="25.5" customHeight="1" x14ac:dyDescent="0.25">
      <c r="A68" s="118" t="s">
        <v>45</v>
      </c>
      <c r="B68" s="105" t="s">
        <v>80</v>
      </c>
      <c r="C68" s="12" t="s">
        <v>31</v>
      </c>
      <c r="D68" s="25">
        <f>D69+D70+D71+D72+D73+D74</f>
        <v>68350.350000000006</v>
      </c>
      <c r="E68" s="14">
        <f t="shared" ref="E68:K68" si="17">E69+E70+E71+E72+E73+E74</f>
        <v>70706.099999999991</v>
      </c>
      <c r="F68" s="25">
        <f t="shared" si="17"/>
        <v>77476.149999999994</v>
      </c>
      <c r="G68" s="14">
        <f t="shared" si="17"/>
        <v>78091.149999999994</v>
      </c>
      <c r="H68" s="14">
        <f t="shared" si="17"/>
        <v>88289.44</v>
      </c>
      <c r="I68" s="41">
        <f t="shared" si="17"/>
        <v>111435.38200000001</v>
      </c>
      <c r="J68" s="41">
        <f t="shared" si="17"/>
        <v>111257.90700000001</v>
      </c>
      <c r="K68" s="68">
        <f t="shared" si="17"/>
        <v>105869.357</v>
      </c>
      <c r="L68" s="29"/>
    </row>
    <row r="69" spans="1:12" ht="33.75" customHeight="1" x14ac:dyDescent="0.25">
      <c r="A69" s="118"/>
      <c r="B69" s="105"/>
      <c r="C69" s="13" t="s">
        <v>32</v>
      </c>
      <c r="D69" s="25"/>
      <c r="E69" s="14"/>
      <c r="F69" s="25"/>
      <c r="G69" s="14"/>
      <c r="H69" s="14"/>
      <c r="I69" s="52"/>
      <c r="J69" s="37"/>
      <c r="K69" s="52"/>
      <c r="L69" s="29"/>
    </row>
    <row r="70" spans="1:12" ht="35.25" customHeight="1" x14ac:dyDescent="0.25">
      <c r="A70" s="118"/>
      <c r="B70" s="105"/>
      <c r="C70" s="13" t="s">
        <v>33</v>
      </c>
      <c r="D70" s="25">
        <v>38943</v>
      </c>
      <c r="E70" s="14">
        <f>36479+1994.2</f>
        <v>38473.199999999997</v>
      </c>
      <c r="F70" s="25">
        <f>44631+525+1840.9</f>
        <v>46996.9</v>
      </c>
      <c r="G70" s="25">
        <f>48326</f>
        <v>48326</v>
      </c>
      <c r="H70" s="25">
        <f>48841+2388</f>
        <v>51229</v>
      </c>
      <c r="I70" s="56">
        <v>72007</v>
      </c>
      <c r="J70" s="47">
        <v>72007</v>
      </c>
      <c r="K70" s="52">
        <v>72007</v>
      </c>
      <c r="L70" s="29"/>
    </row>
    <row r="71" spans="1:12" ht="18.75" customHeight="1" x14ac:dyDescent="0.25">
      <c r="A71" s="118"/>
      <c r="B71" s="105"/>
      <c r="C71" s="12" t="s">
        <v>34</v>
      </c>
      <c r="D71" s="25">
        <v>29407.35</v>
      </c>
      <c r="E71" s="25">
        <f>30027.35-800.45-700+1066+2640</f>
        <v>32232.899999999998</v>
      </c>
      <c r="F71" s="25">
        <f>28921.26-1120.4+266.39+202+354+1757+99</f>
        <v>30479.249999999996</v>
      </c>
      <c r="G71" s="14">
        <f>28623.25-670+355.56+1280.64+175.7</f>
        <v>29765.15</v>
      </c>
      <c r="H71" s="14">
        <f>31168.7+1681.03+3765.71+445</f>
        <v>37060.44</v>
      </c>
      <c r="I71" s="52">
        <f>38958.605+469.777</f>
        <v>39428.382000000005</v>
      </c>
      <c r="J71" s="37">
        <v>39250.906999999999</v>
      </c>
      <c r="K71" s="52">
        <v>33862.357000000004</v>
      </c>
      <c r="L71" s="29"/>
    </row>
    <row r="72" spans="1:12" ht="33" customHeight="1" x14ac:dyDescent="0.25">
      <c r="A72" s="118"/>
      <c r="B72" s="105"/>
      <c r="C72" s="13" t="s">
        <v>35</v>
      </c>
      <c r="D72" s="25"/>
      <c r="E72" s="14"/>
      <c r="F72" s="25"/>
      <c r="G72" s="14"/>
      <c r="H72" s="14"/>
      <c r="I72" s="52"/>
      <c r="J72" s="37"/>
      <c r="K72" s="52"/>
      <c r="L72" s="29"/>
    </row>
    <row r="73" spans="1:12" ht="29.25" customHeight="1" x14ac:dyDescent="0.25">
      <c r="A73" s="118"/>
      <c r="B73" s="105"/>
      <c r="C73" s="13" t="s">
        <v>36</v>
      </c>
      <c r="D73" s="25"/>
      <c r="E73" s="14"/>
      <c r="F73" s="25"/>
      <c r="G73" s="14"/>
      <c r="H73" s="14"/>
      <c r="I73" s="52"/>
      <c r="J73" s="37"/>
      <c r="K73" s="52"/>
      <c r="L73" s="29"/>
    </row>
    <row r="74" spans="1:12" ht="15.75" x14ac:dyDescent="0.25">
      <c r="A74" s="118"/>
      <c r="B74" s="105"/>
      <c r="C74" s="12" t="s">
        <v>37</v>
      </c>
      <c r="D74" s="25"/>
      <c r="E74" s="14"/>
      <c r="F74" s="25"/>
      <c r="G74" s="14"/>
      <c r="H74" s="14"/>
      <c r="I74" s="52"/>
      <c r="J74" s="37"/>
      <c r="K74" s="52"/>
      <c r="L74" s="29"/>
    </row>
    <row r="75" spans="1:12" ht="14.25" customHeight="1" x14ac:dyDescent="0.25">
      <c r="A75" s="109" t="s">
        <v>101</v>
      </c>
      <c r="B75" s="89" t="s">
        <v>38</v>
      </c>
      <c r="C75" s="12" t="s">
        <v>31</v>
      </c>
      <c r="D75" s="25">
        <f>D76+D77+D78+D79+D80+D81</f>
        <v>1981</v>
      </c>
      <c r="E75" s="25">
        <f t="shared" ref="E75:K75" si="18">E76+E77+E78+E79+E80+E81</f>
        <v>2389</v>
      </c>
      <c r="F75" s="25">
        <f t="shared" si="18"/>
        <v>3387</v>
      </c>
      <c r="G75" s="25">
        <f t="shared" si="18"/>
        <v>3303</v>
      </c>
      <c r="H75" s="25">
        <f t="shared" si="18"/>
        <v>3151</v>
      </c>
      <c r="I75" s="25">
        <f t="shared" si="18"/>
        <v>4094</v>
      </c>
      <c r="J75" s="25">
        <f t="shared" si="18"/>
        <v>4094</v>
      </c>
      <c r="K75" s="25">
        <f t="shared" si="18"/>
        <v>4094</v>
      </c>
      <c r="L75" s="29"/>
    </row>
    <row r="76" spans="1:12" ht="33.75" customHeight="1" x14ac:dyDescent="0.25">
      <c r="A76" s="110"/>
      <c r="B76" s="101"/>
      <c r="C76" s="13" t="s">
        <v>32</v>
      </c>
      <c r="D76" s="25"/>
      <c r="E76" s="39"/>
      <c r="F76" s="25"/>
      <c r="G76" s="25"/>
      <c r="H76" s="39"/>
      <c r="I76" s="52"/>
      <c r="J76" s="37"/>
      <c r="K76" s="52"/>
      <c r="L76" s="29"/>
    </row>
    <row r="77" spans="1:12" ht="33.75" customHeight="1" x14ac:dyDescent="0.25">
      <c r="A77" s="110"/>
      <c r="B77" s="101"/>
      <c r="C77" s="13" t="s">
        <v>33</v>
      </c>
      <c r="D77" s="25">
        <v>1981</v>
      </c>
      <c r="E77" s="39">
        <v>2389</v>
      </c>
      <c r="F77" s="25">
        <f>2206+977+204</f>
        <v>3387</v>
      </c>
      <c r="G77" s="25">
        <f>3183+187-67</f>
        <v>3303</v>
      </c>
      <c r="H77" s="25">
        <f>3380-229</f>
        <v>3151</v>
      </c>
      <c r="I77" s="56">
        <v>4094</v>
      </c>
      <c r="J77" s="47">
        <v>4094</v>
      </c>
      <c r="K77" s="52">
        <v>4094</v>
      </c>
      <c r="L77" s="29"/>
    </row>
    <row r="78" spans="1:12" ht="15.75" x14ac:dyDescent="0.25">
      <c r="A78" s="110"/>
      <c r="B78" s="101"/>
      <c r="C78" s="12" t="s">
        <v>34</v>
      </c>
      <c r="D78" s="25"/>
      <c r="E78" s="39"/>
      <c r="F78" s="25"/>
      <c r="G78" s="25"/>
      <c r="H78" s="39"/>
      <c r="I78" s="52"/>
      <c r="J78" s="37"/>
      <c r="K78" s="52"/>
      <c r="L78" s="29"/>
    </row>
    <row r="79" spans="1:12" ht="27.75" customHeight="1" x14ac:dyDescent="0.25">
      <c r="A79" s="110"/>
      <c r="B79" s="101"/>
      <c r="C79" s="13" t="s">
        <v>35</v>
      </c>
      <c r="D79" s="25"/>
      <c r="E79" s="39"/>
      <c r="F79" s="25"/>
      <c r="G79" s="39"/>
      <c r="H79" s="39"/>
      <c r="I79" s="52"/>
      <c r="J79" s="37"/>
      <c r="K79" s="52"/>
      <c r="L79" s="29"/>
    </row>
    <row r="80" spans="1:12" ht="28.5" customHeight="1" x14ac:dyDescent="0.25">
      <c r="A80" s="110"/>
      <c r="B80" s="101"/>
      <c r="C80" s="13" t="s">
        <v>36</v>
      </c>
      <c r="D80" s="25"/>
      <c r="E80" s="39"/>
      <c r="F80" s="25"/>
      <c r="G80" s="39"/>
      <c r="H80" s="39"/>
      <c r="I80" s="52"/>
      <c r="J80" s="37"/>
      <c r="K80" s="52"/>
      <c r="L80" s="29"/>
    </row>
    <row r="81" spans="1:12" ht="15.75" x14ac:dyDescent="0.25">
      <c r="A81" s="111"/>
      <c r="B81" s="90"/>
      <c r="C81" s="12" t="s">
        <v>37</v>
      </c>
      <c r="D81" s="25"/>
      <c r="E81" s="39"/>
      <c r="F81" s="25"/>
      <c r="G81" s="39"/>
      <c r="H81" s="39"/>
      <c r="I81" s="52"/>
      <c r="J81" s="37"/>
      <c r="K81" s="52"/>
      <c r="L81" s="29"/>
    </row>
    <row r="82" spans="1:12" ht="15.75" x14ac:dyDescent="0.25">
      <c r="A82" s="118" t="s">
        <v>134</v>
      </c>
      <c r="B82" s="105" t="s">
        <v>102</v>
      </c>
      <c r="C82" s="12" t="s">
        <v>31</v>
      </c>
      <c r="D82" s="25">
        <f>D83+D84+D85+D86+D87+D88</f>
        <v>0</v>
      </c>
      <c r="E82" s="14">
        <f t="shared" ref="E82" si="19">E83+E84+E85+E86+E87+E88</f>
        <v>0</v>
      </c>
      <c r="F82" s="25">
        <f t="shared" ref="F82:K82" si="20">F83+F84+F85+F86+F87+F88</f>
        <v>0</v>
      </c>
      <c r="G82" s="14">
        <f t="shared" si="20"/>
        <v>83.1</v>
      </c>
      <c r="H82" s="14">
        <f t="shared" si="20"/>
        <v>0</v>
      </c>
      <c r="I82" s="41">
        <f t="shared" si="20"/>
        <v>1927.2</v>
      </c>
      <c r="J82" s="41">
        <f t="shared" si="20"/>
        <v>100</v>
      </c>
      <c r="K82" s="68">
        <f t="shared" si="20"/>
        <v>100</v>
      </c>
      <c r="L82" s="29"/>
    </row>
    <row r="83" spans="1:12" ht="26.25" customHeight="1" x14ac:dyDescent="0.25">
      <c r="A83" s="118"/>
      <c r="B83" s="105"/>
      <c r="C83" s="13" t="s">
        <v>32</v>
      </c>
      <c r="D83" s="25"/>
      <c r="E83" s="14"/>
      <c r="F83" s="25"/>
      <c r="G83" s="14"/>
      <c r="H83" s="14"/>
      <c r="I83" s="52"/>
      <c r="J83" s="37"/>
      <c r="K83" s="52"/>
      <c r="L83" s="29"/>
    </row>
    <row r="84" spans="1:12" ht="31.5" x14ac:dyDescent="0.25">
      <c r="A84" s="118"/>
      <c r="B84" s="105"/>
      <c r="C84" s="13" t="s">
        <v>33</v>
      </c>
      <c r="D84" s="25"/>
      <c r="E84" s="14"/>
      <c r="F84" s="25"/>
      <c r="G84" s="14"/>
      <c r="H84" s="14"/>
      <c r="I84" s="52">
        <v>1607.2</v>
      </c>
      <c r="J84" s="37"/>
      <c r="K84" s="52"/>
      <c r="L84" s="29"/>
    </row>
    <row r="85" spans="1:12" ht="15.75" x14ac:dyDescent="0.25">
      <c r="A85" s="118"/>
      <c r="B85" s="105"/>
      <c r="C85" s="12" t="s">
        <v>34</v>
      </c>
      <c r="D85" s="25"/>
      <c r="E85" s="14"/>
      <c r="F85" s="25">
        <f>83.1-83.1</f>
        <v>0</v>
      </c>
      <c r="G85" s="14">
        <v>83.1</v>
      </c>
      <c r="H85" s="14"/>
      <c r="I85" s="52">
        <v>320</v>
      </c>
      <c r="J85" s="37">
        <v>100</v>
      </c>
      <c r="K85" s="52">
        <v>100</v>
      </c>
      <c r="L85" s="29"/>
    </row>
    <row r="86" spans="1:12" ht="30.75" customHeight="1" x14ac:dyDescent="0.25">
      <c r="A86" s="118"/>
      <c r="B86" s="105"/>
      <c r="C86" s="13" t="s">
        <v>35</v>
      </c>
      <c r="D86" s="25"/>
      <c r="E86" s="14"/>
      <c r="F86" s="25"/>
      <c r="G86" s="14"/>
      <c r="H86" s="14"/>
      <c r="I86" s="52"/>
      <c r="J86" s="37"/>
      <c r="K86" s="52"/>
      <c r="L86" s="29"/>
    </row>
    <row r="87" spans="1:12" ht="34.5" customHeight="1" x14ac:dyDescent="0.25">
      <c r="A87" s="118"/>
      <c r="B87" s="105"/>
      <c r="C87" s="13" t="s">
        <v>36</v>
      </c>
      <c r="D87" s="25"/>
      <c r="E87" s="14"/>
      <c r="F87" s="25"/>
      <c r="G87" s="14"/>
      <c r="H87" s="14"/>
      <c r="I87" s="52"/>
      <c r="J87" s="37"/>
      <c r="K87" s="52"/>
      <c r="L87" s="29"/>
    </row>
    <row r="88" spans="1:12" ht="19.5" customHeight="1" x14ac:dyDescent="0.25">
      <c r="A88" s="118"/>
      <c r="B88" s="105"/>
      <c r="C88" s="12" t="s">
        <v>37</v>
      </c>
      <c r="D88" s="25"/>
      <c r="E88" s="14"/>
      <c r="F88" s="25"/>
      <c r="G88" s="14"/>
      <c r="H88" s="14"/>
      <c r="I88" s="52"/>
      <c r="J88" s="37"/>
      <c r="K88" s="52"/>
      <c r="L88" s="29"/>
    </row>
    <row r="89" spans="1:12" ht="27" customHeight="1" x14ac:dyDescent="0.25">
      <c r="A89" s="100" t="s">
        <v>46</v>
      </c>
      <c r="B89" s="105" t="s">
        <v>159</v>
      </c>
      <c r="C89" s="12" t="s">
        <v>31</v>
      </c>
      <c r="D89" s="25">
        <f t="shared" ref="D89:J89" si="21">D96+D103+D110+D117+D124+D131+D138+D145+D152+D166+D159+D173+D180+D187</f>
        <v>229883.75</v>
      </c>
      <c r="E89" s="25">
        <f t="shared" si="21"/>
        <v>238797.12299999999</v>
      </c>
      <c r="F89" s="25">
        <f t="shared" si="21"/>
        <v>246251.38999999998</v>
      </c>
      <c r="G89" s="25">
        <f t="shared" si="21"/>
        <v>250487.23</v>
      </c>
      <c r="H89" s="25">
        <f t="shared" si="21"/>
        <v>274311.27300000004</v>
      </c>
      <c r="I89" s="25">
        <f t="shared" si="21"/>
        <v>316299.73800000007</v>
      </c>
      <c r="J89" s="25">
        <f t="shared" si="21"/>
        <v>307107</v>
      </c>
      <c r="K89" s="25">
        <f t="shared" ref="K89" si="22">K96+K103+K110+K117+K124+K131+K138+K145+K152+K166+K159+K173+K180+K187</f>
        <v>306741.74700000003</v>
      </c>
      <c r="L89" s="29"/>
    </row>
    <row r="90" spans="1:12" ht="35.25" customHeight="1" x14ac:dyDescent="0.25">
      <c r="A90" s="100"/>
      <c r="B90" s="105"/>
      <c r="C90" s="13" t="s">
        <v>32</v>
      </c>
      <c r="D90" s="25">
        <f t="shared" ref="D90:J95" si="23">D97+D104+D111+D118+D125+D132+D139+D146+D153+D167+D160</f>
        <v>0</v>
      </c>
      <c r="E90" s="25">
        <f t="shared" si="23"/>
        <v>0</v>
      </c>
      <c r="F90" s="25">
        <f t="shared" si="23"/>
        <v>0</v>
      </c>
      <c r="G90" s="25">
        <f t="shared" si="23"/>
        <v>0</v>
      </c>
      <c r="H90" s="25">
        <f t="shared" ref="H90:K95" si="24">H97+H104+H111+H118+H125+H132+H139+H146+H153+H167+H160+H174+H181</f>
        <v>0</v>
      </c>
      <c r="I90" s="25">
        <f t="shared" si="23"/>
        <v>0</v>
      </c>
      <c r="J90" s="25">
        <f t="shared" si="23"/>
        <v>0</v>
      </c>
      <c r="K90" s="52"/>
      <c r="L90" s="29"/>
    </row>
    <row r="91" spans="1:12" ht="33" customHeight="1" x14ac:dyDescent="0.25">
      <c r="A91" s="100"/>
      <c r="B91" s="105"/>
      <c r="C91" s="13" t="s">
        <v>33</v>
      </c>
      <c r="D91" s="25">
        <f t="shared" si="23"/>
        <v>175241.427</v>
      </c>
      <c r="E91" s="25">
        <f t="shared" si="23"/>
        <v>183092.823</v>
      </c>
      <c r="F91" s="25">
        <f t="shared" si="23"/>
        <v>187447</v>
      </c>
      <c r="G91" s="25">
        <f>G98+G105+G112+G119+G126+G133+G140+G147+G154+G168+G161+G175</f>
        <v>194263.77000000002</v>
      </c>
      <c r="H91" s="25">
        <f t="shared" si="24"/>
        <v>207056.15599999996</v>
      </c>
      <c r="I91" s="71">
        <f>I98+I105+I112+I119+I126+I133+I140+I147+I154+I168+I161+I175+I189</f>
        <v>235120.49299999996</v>
      </c>
      <c r="J91" s="71">
        <f t="shared" ref="J91:K91" si="25">J98+J105+J112+J119+J126+J133+J140+J147+J154+J168+J161+J175+J189</f>
        <v>233879.80399999997</v>
      </c>
      <c r="K91" s="71">
        <f t="shared" si="25"/>
        <v>233879.80399999997</v>
      </c>
      <c r="L91" s="29"/>
    </row>
    <row r="92" spans="1:12" ht="15.75" x14ac:dyDescent="0.25">
      <c r="A92" s="100"/>
      <c r="B92" s="105"/>
      <c r="C92" s="12" t="s">
        <v>34</v>
      </c>
      <c r="D92" s="25">
        <f t="shared" si="23"/>
        <v>54642.323000000004</v>
      </c>
      <c r="E92" s="25">
        <f t="shared" si="23"/>
        <v>55704.3</v>
      </c>
      <c r="F92" s="25">
        <f t="shared" si="23"/>
        <v>58804.39</v>
      </c>
      <c r="G92" s="25">
        <f>G99+G106+G113+G120+G127+G134+G141+G148+G155+G169+G162+G176</f>
        <v>56223.460000000006</v>
      </c>
      <c r="H92" s="25">
        <f t="shared" si="24"/>
        <v>67255.116999999984</v>
      </c>
      <c r="I92" s="25">
        <f t="shared" si="24"/>
        <v>81179.244999999995</v>
      </c>
      <c r="J92" s="25">
        <f t="shared" si="24"/>
        <v>73227.196000000011</v>
      </c>
      <c r="K92" s="25">
        <f t="shared" si="24"/>
        <v>72861.942999999999</v>
      </c>
      <c r="L92" s="29"/>
    </row>
    <row r="93" spans="1:12" ht="33.75" customHeight="1" x14ac:dyDescent="0.25">
      <c r="A93" s="100"/>
      <c r="B93" s="105"/>
      <c r="C93" s="13" t="s">
        <v>35</v>
      </c>
      <c r="D93" s="25">
        <f t="shared" si="23"/>
        <v>0</v>
      </c>
      <c r="E93" s="25">
        <f t="shared" si="23"/>
        <v>0</v>
      </c>
      <c r="F93" s="25">
        <f t="shared" si="23"/>
        <v>0</v>
      </c>
      <c r="G93" s="25">
        <f t="shared" si="23"/>
        <v>0</v>
      </c>
      <c r="H93" s="25">
        <f t="shared" si="24"/>
        <v>0</v>
      </c>
      <c r="I93" s="25">
        <f t="shared" si="23"/>
        <v>0</v>
      </c>
      <c r="J93" s="25">
        <f t="shared" si="23"/>
        <v>0</v>
      </c>
      <c r="K93" s="52"/>
      <c r="L93" s="29"/>
    </row>
    <row r="94" spans="1:12" ht="32.25" customHeight="1" x14ac:dyDescent="0.25">
      <c r="A94" s="100"/>
      <c r="B94" s="105"/>
      <c r="C94" s="13" t="s">
        <v>36</v>
      </c>
      <c r="D94" s="25">
        <f t="shared" si="23"/>
        <v>0</v>
      </c>
      <c r="E94" s="25">
        <f t="shared" si="23"/>
        <v>0</v>
      </c>
      <c r="F94" s="25">
        <f t="shared" si="23"/>
        <v>0</v>
      </c>
      <c r="G94" s="25">
        <f t="shared" si="23"/>
        <v>0</v>
      </c>
      <c r="H94" s="25">
        <f t="shared" si="24"/>
        <v>0</v>
      </c>
      <c r="I94" s="25">
        <f t="shared" si="23"/>
        <v>0</v>
      </c>
      <c r="J94" s="25">
        <f t="shared" si="23"/>
        <v>0</v>
      </c>
      <c r="K94" s="52"/>
      <c r="L94" s="29"/>
    </row>
    <row r="95" spans="1:12" ht="15.75" x14ac:dyDescent="0.25">
      <c r="A95" s="100"/>
      <c r="B95" s="105"/>
      <c r="C95" s="12" t="s">
        <v>37</v>
      </c>
      <c r="D95" s="25">
        <f t="shared" si="23"/>
        <v>0</v>
      </c>
      <c r="E95" s="25">
        <f t="shared" si="23"/>
        <v>0</v>
      </c>
      <c r="F95" s="25">
        <f t="shared" si="23"/>
        <v>0</v>
      </c>
      <c r="G95" s="25">
        <f t="shared" si="23"/>
        <v>0</v>
      </c>
      <c r="H95" s="25">
        <f t="shared" si="24"/>
        <v>0</v>
      </c>
      <c r="I95" s="25">
        <f t="shared" si="23"/>
        <v>0</v>
      </c>
      <c r="J95" s="25">
        <f t="shared" si="23"/>
        <v>0</v>
      </c>
      <c r="K95" s="52"/>
      <c r="L95" s="29"/>
    </row>
    <row r="96" spans="1:12" ht="19.5" customHeight="1" x14ac:dyDescent="0.25">
      <c r="A96" s="118" t="s">
        <v>47</v>
      </c>
      <c r="B96" s="105" t="s">
        <v>54</v>
      </c>
      <c r="C96" s="12" t="s">
        <v>31</v>
      </c>
      <c r="D96" s="25">
        <f>D97+D98+D99+D100+D101+D102</f>
        <v>213587.69</v>
      </c>
      <c r="E96" s="14">
        <f t="shared" ref="E96" si="26">E97+E98+E99+E100+E101+E102</f>
        <v>218338.31</v>
      </c>
      <c r="F96" s="25">
        <f t="shared" ref="F96:K96" si="27">F97+F98+F99+F100+F101+F102</f>
        <v>229186.59</v>
      </c>
      <c r="G96" s="25">
        <f t="shared" si="27"/>
        <v>229162.04</v>
      </c>
      <c r="H96" s="14">
        <f t="shared" si="27"/>
        <v>249346.47999999998</v>
      </c>
      <c r="I96" s="41">
        <f t="shared" si="27"/>
        <v>297928.94500000001</v>
      </c>
      <c r="J96" s="41">
        <f t="shared" si="27"/>
        <v>290426.59600000002</v>
      </c>
      <c r="K96" s="68">
        <f t="shared" si="27"/>
        <v>290120.54300000001</v>
      </c>
      <c r="L96" s="29"/>
    </row>
    <row r="97" spans="1:12" ht="34.5" customHeight="1" x14ac:dyDescent="0.25">
      <c r="A97" s="118"/>
      <c r="B97" s="105"/>
      <c r="C97" s="13" t="s">
        <v>32</v>
      </c>
      <c r="D97" s="25"/>
      <c r="E97" s="14"/>
      <c r="F97" s="25"/>
      <c r="G97" s="25"/>
      <c r="H97" s="14"/>
      <c r="I97" s="52"/>
      <c r="J97" s="37"/>
      <c r="K97" s="52"/>
      <c r="L97" s="29"/>
    </row>
    <row r="98" spans="1:12" ht="30.75" customHeight="1" x14ac:dyDescent="0.25">
      <c r="A98" s="118"/>
      <c r="B98" s="105"/>
      <c r="C98" s="13" t="s">
        <v>33</v>
      </c>
      <c r="D98" s="25">
        <v>164942</v>
      </c>
      <c r="E98" s="14">
        <f>166507+647</f>
        <v>167154</v>
      </c>
      <c r="F98" s="25">
        <v>173631</v>
      </c>
      <c r="G98" s="25">
        <v>177119</v>
      </c>
      <c r="H98" s="25">
        <f>182561+1274.2+700.735+1414.8</f>
        <v>185950.73499999999</v>
      </c>
      <c r="I98" s="56">
        <v>217508</v>
      </c>
      <c r="J98" s="47">
        <v>217508</v>
      </c>
      <c r="K98" s="47">
        <v>217508</v>
      </c>
      <c r="L98" s="29"/>
    </row>
    <row r="99" spans="1:12" ht="15.75" x14ac:dyDescent="0.25">
      <c r="A99" s="118"/>
      <c r="B99" s="105"/>
      <c r="C99" s="12" t="s">
        <v>34</v>
      </c>
      <c r="D99" s="25">
        <v>48645.69</v>
      </c>
      <c r="E99" s="25">
        <f>44557.51+2014+472.8+4140</f>
        <v>51184.310000000005</v>
      </c>
      <c r="F99" s="25">
        <f>51661.13+1068.8+1150.6+23+1552.06+100</f>
        <v>55555.59</v>
      </c>
      <c r="G99" s="25">
        <f>59014.45-600-2118.25+17.51+934.73-1894.6+188-8.7-3490.1</f>
        <v>52043.040000000008</v>
      </c>
      <c r="H99" s="14">
        <f>51920.25-365.085+1003.6+7894.58+1460.2-60.8+640+903</f>
        <v>63395.744999999995</v>
      </c>
      <c r="I99" s="52">
        <f>72280.964+8139.981</f>
        <v>80420.945000000007</v>
      </c>
      <c r="J99" s="37">
        <v>72918.596000000005</v>
      </c>
      <c r="K99" s="37">
        <v>72612.543000000005</v>
      </c>
      <c r="L99" s="29"/>
    </row>
    <row r="100" spans="1:12" ht="33" customHeight="1" x14ac:dyDescent="0.25">
      <c r="A100" s="118"/>
      <c r="B100" s="105"/>
      <c r="C100" s="13" t="s">
        <v>35</v>
      </c>
      <c r="D100" s="25"/>
      <c r="E100" s="14"/>
      <c r="F100" s="25"/>
      <c r="G100" s="25"/>
      <c r="H100" s="14"/>
      <c r="I100" s="52"/>
      <c r="J100" s="37"/>
      <c r="K100" s="52"/>
      <c r="L100" s="29"/>
    </row>
    <row r="101" spans="1:12" ht="30" customHeight="1" x14ac:dyDescent="0.25">
      <c r="A101" s="118"/>
      <c r="B101" s="105"/>
      <c r="C101" s="13" t="s">
        <v>36</v>
      </c>
      <c r="D101" s="25"/>
      <c r="E101" s="14"/>
      <c r="F101" s="25"/>
      <c r="G101" s="25"/>
      <c r="H101" s="14"/>
      <c r="I101" s="52"/>
      <c r="J101" s="37"/>
      <c r="K101" s="52"/>
      <c r="L101" s="29"/>
    </row>
    <row r="102" spans="1:12" ht="15.75" x14ac:dyDescent="0.25">
      <c r="A102" s="118"/>
      <c r="B102" s="105"/>
      <c r="C102" s="12" t="s">
        <v>37</v>
      </c>
      <c r="D102" s="25"/>
      <c r="E102" s="14"/>
      <c r="F102" s="25"/>
      <c r="G102" s="25"/>
      <c r="H102" s="14"/>
      <c r="I102" s="52"/>
      <c r="J102" s="37"/>
      <c r="K102" s="52"/>
      <c r="L102" s="29"/>
    </row>
    <row r="103" spans="1:12" ht="0.75" customHeight="1" x14ac:dyDescent="0.25">
      <c r="A103" s="118" t="s">
        <v>48</v>
      </c>
      <c r="B103" s="105" t="s">
        <v>138</v>
      </c>
      <c r="C103" s="12" t="s">
        <v>31</v>
      </c>
      <c r="D103" s="25">
        <f>D104+D105+D106+D107+D108+D109</f>
        <v>8741.1329999999998</v>
      </c>
      <c r="E103" s="14">
        <f t="shared" ref="E103" si="28">E104+E105+E106+E107+E108+E109</f>
        <v>12057.470000000001</v>
      </c>
      <c r="F103" s="25">
        <f t="shared" ref="F103:K103" si="29">F104+F105+F106+F107+F108+F109</f>
        <v>10000</v>
      </c>
      <c r="G103" s="25">
        <f t="shared" si="29"/>
        <v>9261.7400000000016</v>
      </c>
      <c r="H103" s="14">
        <f t="shared" si="29"/>
        <v>12267.431</v>
      </c>
      <c r="I103" s="41">
        <f t="shared" si="29"/>
        <v>854.64599999999996</v>
      </c>
      <c r="J103" s="41">
        <f t="shared" si="29"/>
        <v>0</v>
      </c>
      <c r="K103" s="68">
        <f t="shared" si="29"/>
        <v>0</v>
      </c>
      <c r="L103" s="29"/>
    </row>
    <row r="104" spans="1:12" ht="15.75" customHeight="1" x14ac:dyDescent="0.25">
      <c r="A104" s="118"/>
      <c r="B104" s="105"/>
      <c r="C104" s="13" t="s">
        <v>32</v>
      </c>
      <c r="D104" s="25"/>
      <c r="E104" s="14"/>
      <c r="F104" s="25"/>
      <c r="G104" s="25"/>
      <c r="H104" s="14"/>
      <c r="I104" s="52"/>
      <c r="J104" s="37"/>
      <c r="K104" s="52"/>
      <c r="L104" s="29"/>
    </row>
    <row r="105" spans="1:12" ht="31.5" x14ac:dyDescent="0.25">
      <c r="A105" s="118"/>
      <c r="B105" s="105"/>
      <c r="C105" s="13" t="s">
        <v>33</v>
      </c>
      <c r="D105" s="25">
        <v>3780.5</v>
      </c>
      <c r="E105" s="14">
        <f>5669-28.78+4000</f>
        <v>9640.2200000000012</v>
      </c>
      <c r="F105" s="25">
        <v>8000</v>
      </c>
      <c r="G105" s="25">
        <f>3566.4+6941.28-3566.4+560-114.86</f>
        <v>7386.420000000001</v>
      </c>
      <c r="H105" s="14">
        <f>7500+2313.944</f>
        <v>9813.9439999999995</v>
      </c>
      <c r="I105" s="52">
        <v>683.44600000000003</v>
      </c>
      <c r="J105" s="37"/>
      <c r="K105" s="52"/>
      <c r="L105" s="29"/>
    </row>
    <row r="106" spans="1:12" ht="15.75" x14ac:dyDescent="0.25">
      <c r="A106" s="118"/>
      <c r="B106" s="105"/>
      <c r="C106" s="12" t="s">
        <v>34</v>
      </c>
      <c r="D106" s="25">
        <v>4960.6329999999998</v>
      </c>
      <c r="E106" s="14">
        <f>1417.14+1000+0.11</f>
        <v>2417.2500000000005</v>
      </c>
      <c r="F106" s="25">
        <v>2000</v>
      </c>
      <c r="G106" s="25">
        <f>2420.92+112-685.6+19.3+8.7</f>
        <v>1875.3200000000002</v>
      </c>
      <c r="H106" s="14">
        <f>1875+700-121.513</f>
        <v>2453.4870000000001</v>
      </c>
      <c r="I106" s="52">
        <f>111.2+60</f>
        <v>171.2</v>
      </c>
      <c r="J106" s="37"/>
      <c r="K106" s="52"/>
      <c r="L106" s="29"/>
    </row>
    <row r="107" spans="1:12" ht="33.75" customHeight="1" x14ac:dyDescent="0.25">
      <c r="A107" s="118"/>
      <c r="B107" s="105"/>
      <c r="C107" s="13" t="s">
        <v>35</v>
      </c>
      <c r="D107" s="25"/>
      <c r="E107" s="14"/>
      <c r="F107" s="25"/>
      <c r="G107" s="25"/>
      <c r="H107" s="14"/>
      <c r="I107" s="52"/>
      <c r="J107" s="37"/>
      <c r="K107" s="52"/>
      <c r="L107" s="29"/>
    </row>
    <row r="108" spans="1:12" ht="34.5" customHeight="1" x14ac:dyDescent="0.25">
      <c r="A108" s="118"/>
      <c r="B108" s="105"/>
      <c r="C108" s="13" t="s">
        <v>36</v>
      </c>
      <c r="D108" s="25"/>
      <c r="E108" s="14"/>
      <c r="F108" s="25"/>
      <c r="G108" s="14"/>
      <c r="H108" s="14"/>
      <c r="I108" s="52"/>
      <c r="J108" s="37"/>
      <c r="K108" s="52"/>
      <c r="L108" s="29"/>
    </row>
    <row r="109" spans="1:12" ht="20.25" customHeight="1" x14ac:dyDescent="0.25">
      <c r="A109" s="118"/>
      <c r="B109" s="105"/>
      <c r="C109" s="12" t="s">
        <v>37</v>
      </c>
      <c r="D109" s="25"/>
      <c r="E109" s="14"/>
      <c r="F109" s="25"/>
      <c r="G109" s="14"/>
      <c r="H109" s="14"/>
      <c r="I109" s="52"/>
      <c r="J109" s="37"/>
      <c r="K109" s="52"/>
      <c r="L109" s="29"/>
    </row>
    <row r="110" spans="1:12" ht="24" customHeight="1" x14ac:dyDescent="0.25">
      <c r="A110" s="118" t="s">
        <v>49</v>
      </c>
      <c r="B110" s="105" t="s">
        <v>50</v>
      </c>
      <c r="C110" s="12" t="s">
        <v>31</v>
      </c>
      <c r="D110" s="25">
        <f>D111+D112+D113+D114+D115+D116</f>
        <v>0</v>
      </c>
      <c r="E110" s="14">
        <f t="shared" ref="E110" si="30">E111+E112+E113+E114+E115+E116</f>
        <v>0</v>
      </c>
      <c r="F110" s="25">
        <f t="shared" ref="F110:K110" si="31">F111+F112+F113+F114+F115+F116</f>
        <v>0</v>
      </c>
      <c r="G110" s="14">
        <f t="shared" si="31"/>
        <v>2000</v>
      </c>
      <c r="H110" s="14">
        <f t="shared" si="31"/>
        <v>0</v>
      </c>
      <c r="I110" s="41">
        <f t="shared" si="31"/>
        <v>0</v>
      </c>
      <c r="J110" s="41">
        <f t="shared" si="31"/>
        <v>0</v>
      </c>
      <c r="K110" s="68">
        <f t="shared" si="31"/>
        <v>0</v>
      </c>
      <c r="L110" s="29"/>
    </row>
    <row r="111" spans="1:12" ht="25.5" customHeight="1" x14ac:dyDescent="0.25">
      <c r="A111" s="118"/>
      <c r="B111" s="105"/>
      <c r="C111" s="13" t="s">
        <v>32</v>
      </c>
      <c r="D111" s="25"/>
      <c r="E111" s="14"/>
      <c r="F111" s="25"/>
      <c r="G111" s="14"/>
      <c r="H111" s="14"/>
      <c r="I111" s="52"/>
      <c r="J111" s="37"/>
      <c r="K111" s="52"/>
      <c r="L111" s="29"/>
    </row>
    <row r="112" spans="1:12" ht="33.75" customHeight="1" x14ac:dyDescent="0.25">
      <c r="A112" s="118"/>
      <c r="B112" s="105"/>
      <c r="C112" s="13" t="s">
        <v>33</v>
      </c>
      <c r="D112" s="25"/>
      <c r="E112" s="14"/>
      <c r="F112" s="25"/>
      <c r="G112" s="14">
        <v>1000</v>
      </c>
      <c r="H112" s="14"/>
      <c r="I112" s="52"/>
      <c r="J112" s="37"/>
      <c r="K112" s="52"/>
      <c r="L112" s="29"/>
    </row>
    <row r="113" spans="1:12" ht="15.75" x14ac:dyDescent="0.25">
      <c r="A113" s="118"/>
      <c r="B113" s="105"/>
      <c r="C113" s="12" t="s">
        <v>34</v>
      </c>
      <c r="D113" s="25"/>
      <c r="E113" s="14"/>
      <c r="F113" s="25"/>
      <c r="G113" s="14">
        <f>800+200</f>
        <v>1000</v>
      </c>
      <c r="H113" s="14"/>
      <c r="I113" s="52"/>
      <c r="J113" s="37"/>
      <c r="K113" s="52"/>
      <c r="L113" s="29"/>
    </row>
    <row r="114" spans="1:12" ht="34.5" customHeight="1" x14ac:dyDescent="0.25">
      <c r="A114" s="118"/>
      <c r="B114" s="105"/>
      <c r="C114" s="13" t="s">
        <v>35</v>
      </c>
      <c r="D114" s="25"/>
      <c r="E114" s="14"/>
      <c r="F114" s="25"/>
      <c r="G114" s="14"/>
      <c r="H114" s="14"/>
      <c r="I114" s="52"/>
      <c r="J114" s="37"/>
      <c r="K114" s="52"/>
      <c r="L114" s="29"/>
    </row>
    <row r="115" spans="1:12" ht="32.25" customHeight="1" x14ac:dyDescent="0.25">
      <c r="A115" s="118"/>
      <c r="B115" s="105"/>
      <c r="C115" s="13" t="s">
        <v>36</v>
      </c>
      <c r="D115" s="25"/>
      <c r="E115" s="14"/>
      <c r="F115" s="25"/>
      <c r="G115" s="14"/>
      <c r="H115" s="14"/>
      <c r="I115" s="52"/>
      <c r="J115" s="37"/>
      <c r="K115" s="52"/>
      <c r="L115" s="29"/>
    </row>
    <row r="116" spans="1:12" ht="15.75" x14ac:dyDescent="0.25">
      <c r="A116" s="118"/>
      <c r="B116" s="105"/>
      <c r="C116" s="12" t="s">
        <v>37</v>
      </c>
      <c r="D116" s="25"/>
      <c r="E116" s="14"/>
      <c r="F116" s="25"/>
      <c r="G116" s="14"/>
      <c r="H116" s="14"/>
      <c r="I116" s="52"/>
      <c r="J116" s="37"/>
      <c r="K116" s="52"/>
      <c r="L116" s="29"/>
    </row>
    <row r="117" spans="1:12" ht="22.5" customHeight="1" x14ac:dyDescent="0.25">
      <c r="A117" s="118" t="s">
        <v>51</v>
      </c>
      <c r="B117" s="105" t="s">
        <v>15</v>
      </c>
      <c r="C117" s="12" t="s">
        <v>31</v>
      </c>
      <c r="D117" s="25">
        <f>D118+D119+D120+D121+D122+D123</f>
        <v>769.827</v>
      </c>
      <c r="E117" s="14">
        <f t="shared" ref="E117" si="32">E118+E119+E120+E121+E122+E123</f>
        <v>743.60300000000007</v>
      </c>
      <c r="F117" s="25">
        <f t="shared" ref="F117:K117" si="33">F118+F119+F120+F121+F122+F123</f>
        <v>0</v>
      </c>
      <c r="G117" s="14">
        <f t="shared" si="33"/>
        <v>0</v>
      </c>
      <c r="H117" s="14">
        <f t="shared" si="33"/>
        <v>0</v>
      </c>
      <c r="I117" s="41">
        <f t="shared" si="33"/>
        <v>0</v>
      </c>
      <c r="J117" s="41">
        <f t="shared" si="33"/>
        <v>0</v>
      </c>
      <c r="K117" s="68">
        <f t="shared" si="33"/>
        <v>0</v>
      </c>
      <c r="L117" s="29"/>
    </row>
    <row r="118" spans="1:12" ht="39.75" customHeight="1" x14ac:dyDescent="0.25">
      <c r="A118" s="118"/>
      <c r="B118" s="105"/>
      <c r="C118" s="13" t="s">
        <v>32</v>
      </c>
      <c r="D118" s="25"/>
      <c r="E118" s="14"/>
      <c r="F118" s="25"/>
      <c r="G118" s="14"/>
      <c r="H118" s="14"/>
      <c r="I118" s="52"/>
      <c r="J118" s="37"/>
      <c r="K118" s="52"/>
      <c r="L118" s="29"/>
    </row>
    <row r="119" spans="1:12" ht="31.5" customHeight="1" x14ac:dyDescent="0.25">
      <c r="A119" s="118"/>
      <c r="B119" s="105"/>
      <c r="C119" s="13" t="s">
        <v>33</v>
      </c>
      <c r="D119" s="25">
        <v>441.92700000000002</v>
      </c>
      <c r="E119" s="14">
        <f>362.136+53.467</f>
        <v>415.60300000000001</v>
      </c>
      <c r="F119" s="25"/>
      <c r="G119" s="14"/>
      <c r="H119" s="14"/>
      <c r="I119" s="52"/>
      <c r="J119" s="37"/>
      <c r="K119" s="52"/>
      <c r="L119" s="29"/>
    </row>
    <row r="120" spans="1:12" ht="20.25" customHeight="1" x14ac:dyDescent="0.25">
      <c r="A120" s="118"/>
      <c r="B120" s="105"/>
      <c r="C120" s="12" t="s">
        <v>34</v>
      </c>
      <c r="D120" s="25">
        <v>327.9</v>
      </c>
      <c r="E120" s="14">
        <v>328</v>
      </c>
      <c r="F120" s="25">
        <f>328-328</f>
        <v>0</v>
      </c>
      <c r="G120" s="14"/>
      <c r="H120" s="14"/>
      <c r="I120" s="52"/>
      <c r="J120" s="37"/>
      <c r="K120" s="52"/>
      <c r="L120" s="29"/>
    </row>
    <row r="121" spans="1:12" ht="36.75" customHeight="1" x14ac:dyDescent="0.25">
      <c r="A121" s="118"/>
      <c r="B121" s="105"/>
      <c r="C121" s="13" t="s">
        <v>35</v>
      </c>
      <c r="D121" s="25"/>
      <c r="E121" s="14"/>
      <c r="F121" s="25"/>
      <c r="G121" s="14"/>
      <c r="H121" s="14"/>
      <c r="I121" s="52"/>
      <c r="J121" s="37"/>
      <c r="K121" s="52"/>
      <c r="L121" s="29"/>
    </row>
    <row r="122" spans="1:12" ht="32.25" customHeight="1" x14ac:dyDescent="0.25">
      <c r="A122" s="118"/>
      <c r="B122" s="105"/>
      <c r="C122" s="13" t="s">
        <v>36</v>
      </c>
      <c r="D122" s="25"/>
      <c r="E122" s="14"/>
      <c r="F122" s="25"/>
      <c r="G122" s="14"/>
      <c r="H122" s="14"/>
      <c r="I122" s="52"/>
      <c r="J122" s="37"/>
      <c r="K122" s="52"/>
      <c r="L122" s="29"/>
    </row>
    <row r="123" spans="1:12" ht="15.75" x14ac:dyDescent="0.25">
      <c r="A123" s="118"/>
      <c r="B123" s="105"/>
      <c r="C123" s="12" t="s">
        <v>37</v>
      </c>
      <c r="D123" s="25"/>
      <c r="E123" s="14"/>
      <c r="F123" s="25"/>
      <c r="G123" s="14"/>
      <c r="H123" s="14"/>
      <c r="I123" s="52"/>
      <c r="J123" s="37"/>
      <c r="K123" s="52"/>
      <c r="L123" s="29"/>
    </row>
    <row r="124" spans="1:12" ht="23.25" customHeight="1" x14ac:dyDescent="0.25">
      <c r="A124" s="118" t="s">
        <v>52</v>
      </c>
      <c r="B124" s="105" t="s">
        <v>164</v>
      </c>
      <c r="C124" s="12" t="s">
        <v>31</v>
      </c>
      <c r="D124" s="25">
        <f>D125+D126+D127+D128+D129+D130</f>
        <v>4043.1</v>
      </c>
      <c r="E124" s="14">
        <f t="shared" ref="E124:K124" si="34">E125+E126+E127+E128+E129+E130</f>
        <v>3812</v>
      </c>
      <c r="F124" s="25">
        <f t="shared" si="34"/>
        <v>3729</v>
      </c>
      <c r="G124" s="14">
        <f t="shared" si="34"/>
        <v>3745.4</v>
      </c>
      <c r="H124" s="14">
        <f t="shared" si="34"/>
        <v>5074.5769999999993</v>
      </c>
      <c r="I124" s="41">
        <f t="shared" si="34"/>
        <v>13013.745999999999</v>
      </c>
      <c r="J124" s="41">
        <f t="shared" si="34"/>
        <v>13013.745999999999</v>
      </c>
      <c r="K124" s="68">
        <f t="shared" si="34"/>
        <v>13013.745999999999</v>
      </c>
      <c r="L124" s="29"/>
    </row>
    <row r="125" spans="1:12" ht="33" customHeight="1" x14ac:dyDescent="0.25">
      <c r="A125" s="118"/>
      <c r="B125" s="105"/>
      <c r="C125" s="13" t="s">
        <v>32</v>
      </c>
      <c r="D125" s="25"/>
      <c r="E125" s="14"/>
      <c r="F125" s="14"/>
      <c r="G125" s="14"/>
      <c r="H125" s="14"/>
      <c r="I125" s="52"/>
      <c r="J125" s="37"/>
      <c r="K125" s="52"/>
      <c r="L125" s="29"/>
    </row>
    <row r="126" spans="1:12" ht="34.5" customHeight="1" x14ac:dyDescent="0.25">
      <c r="A126" s="118"/>
      <c r="B126" s="105"/>
      <c r="C126" s="13" t="s">
        <v>33</v>
      </c>
      <c r="D126" s="25">
        <v>3335</v>
      </c>
      <c r="E126" s="14">
        <v>3142</v>
      </c>
      <c r="F126" s="14">
        <f>3266-200</f>
        <v>3066</v>
      </c>
      <c r="G126" s="25">
        <f>3125-43</f>
        <v>3082</v>
      </c>
      <c r="H126" s="25">
        <f>3317-200+1294.177</f>
        <v>4411.1769999999997</v>
      </c>
      <c r="I126" s="57">
        <v>13013.745999999999</v>
      </c>
      <c r="J126" s="47">
        <v>13013.745999999999</v>
      </c>
      <c r="K126" s="52">
        <v>13013.745999999999</v>
      </c>
      <c r="L126" s="29"/>
    </row>
    <row r="127" spans="1:12" ht="15.75" x14ac:dyDescent="0.25">
      <c r="A127" s="118"/>
      <c r="B127" s="105"/>
      <c r="C127" s="12" t="s">
        <v>34</v>
      </c>
      <c r="D127" s="25">
        <v>708.1</v>
      </c>
      <c r="E127" s="14">
        <v>670</v>
      </c>
      <c r="F127" s="14">
        <v>663</v>
      </c>
      <c r="G127" s="14">
        <v>663.4</v>
      </c>
      <c r="H127" s="14">
        <v>663.4</v>
      </c>
      <c r="I127" s="55"/>
      <c r="J127" s="37"/>
      <c r="K127" s="52"/>
      <c r="L127" s="29"/>
    </row>
    <row r="128" spans="1:12" ht="31.5" x14ac:dyDescent="0.25">
      <c r="A128" s="118"/>
      <c r="B128" s="105"/>
      <c r="C128" s="13" t="s">
        <v>35</v>
      </c>
      <c r="D128" s="25"/>
      <c r="E128" s="14"/>
      <c r="F128" s="14"/>
      <c r="G128" s="14"/>
      <c r="H128" s="14"/>
      <c r="I128" s="52"/>
      <c r="J128" s="37"/>
      <c r="K128" s="52"/>
      <c r="L128" s="29"/>
    </row>
    <row r="129" spans="1:12" ht="31.5" customHeight="1" x14ac:dyDescent="0.25">
      <c r="A129" s="118"/>
      <c r="B129" s="105"/>
      <c r="C129" s="13" t="s">
        <v>36</v>
      </c>
      <c r="D129" s="25"/>
      <c r="E129" s="14"/>
      <c r="F129" s="14"/>
      <c r="G129" s="14"/>
      <c r="H129" s="14"/>
      <c r="I129" s="52"/>
      <c r="J129" s="37"/>
      <c r="K129" s="52"/>
      <c r="L129" s="29"/>
    </row>
    <row r="130" spans="1:12" ht="15.75" x14ac:dyDescent="0.25">
      <c r="A130" s="118"/>
      <c r="B130" s="105"/>
      <c r="C130" s="12" t="s">
        <v>37</v>
      </c>
      <c r="D130" s="25"/>
      <c r="E130" s="14"/>
      <c r="F130" s="14"/>
      <c r="G130" s="14"/>
      <c r="H130" s="14"/>
      <c r="I130" s="52"/>
      <c r="J130" s="37"/>
      <c r="K130" s="52"/>
      <c r="L130" s="29"/>
    </row>
    <row r="131" spans="1:12" ht="20.25" customHeight="1" x14ac:dyDescent="0.25">
      <c r="A131" s="118" t="s">
        <v>55</v>
      </c>
      <c r="B131" s="105" t="s">
        <v>12</v>
      </c>
      <c r="C131" s="12" t="s">
        <v>31</v>
      </c>
      <c r="D131" s="25">
        <f>D132+D133+D134+D135+D136+D137</f>
        <v>0</v>
      </c>
      <c r="E131" s="14">
        <f t="shared" ref="E131" si="35">E132+E133+E134+E135+E136+E137</f>
        <v>315</v>
      </c>
      <c r="F131" s="14">
        <f t="shared" ref="F131:K131" si="36">F132+F133+F134+F135+F136+F137</f>
        <v>180</v>
      </c>
      <c r="G131" s="14">
        <f t="shared" si="36"/>
        <v>220</v>
      </c>
      <c r="H131" s="14">
        <f t="shared" si="36"/>
        <v>301.39999999999998</v>
      </c>
      <c r="I131" s="41">
        <f t="shared" si="36"/>
        <v>301.39999999999998</v>
      </c>
      <c r="J131" s="41">
        <f t="shared" si="36"/>
        <v>238.6</v>
      </c>
      <c r="K131" s="68">
        <f t="shared" si="36"/>
        <v>179.4</v>
      </c>
      <c r="L131" s="29"/>
    </row>
    <row r="132" spans="1:12" ht="33.75" customHeight="1" x14ac:dyDescent="0.25">
      <c r="A132" s="118"/>
      <c r="B132" s="105"/>
      <c r="C132" s="13" t="s">
        <v>32</v>
      </c>
      <c r="D132" s="25"/>
      <c r="E132" s="14"/>
      <c r="F132" s="14"/>
      <c r="G132" s="14"/>
      <c r="H132" s="14"/>
      <c r="I132" s="52"/>
      <c r="J132" s="37"/>
      <c r="K132" s="52"/>
      <c r="L132" s="29"/>
    </row>
    <row r="133" spans="1:12" ht="33" customHeight="1" x14ac:dyDescent="0.25">
      <c r="A133" s="118"/>
      <c r="B133" s="105"/>
      <c r="C133" s="13" t="s">
        <v>33</v>
      </c>
      <c r="D133" s="25"/>
      <c r="E133" s="14"/>
      <c r="F133" s="14"/>
      <c r="G133" s="14"/>
      <c r="H133" s="14"/>
      <c r="I133" s="52"/>
      <c r="J133" s="37"/>
      <c r="K133" s="52"/>
      <c r="L133" s="29"/>
    </row>
    <row r="134" spans="1:12" ht="13.5" customHeight="1" x14ac:dyDescent="0.25">
      <c r="A134" s="118"/>
      <c r="B134" s="105"/>
      <c r="C134" s="12" t="s">
        <v>34</v>
      </c>
      <c r="D134" s="25"/>
      <c r="E134" s="14">
        <v>315</v>
      </c>
      <c r="F134" s="14">
        <v>180</v>
      </c>
      <c r="G134" s="14">
        <v>220</v>
      </c>
      <c r="H134" s="14">
        <v>301.39999999999998</v>
      </c>
      <c r="I134" s="37">
        <v>301.39999999999998</v>
      </c>
      <c r="J134" s="37">
        <v>238.6</v>
      </c>
      <c r="K134" s="52">
        <v>179.4</v>
      </c>
      <c r="L134" s="29"/>
    </row>
    <row r="135" spans="1:12" ht="35.25" customHeight="1" x14ac:dyDescent="0.25">
      <c r="A135" s="118"/>
      <c r="B135" s="105"/>
      <c r="C135" s="13" t="s">
        <v>35</v>
      </c>
      <c r="D135" s="25"/>
      <c r="E135" s="14"/>
      <c r="F135" s="14"/>
      <c r="G135" s="14"/>
      <c r="H135" s="14"/>
      <c r="I135" s="52"/>
      <c r="J135" s="37"/>
      <c r="K135" s="52"/>
      <c r="L135" s="29"/>
    </row>
    <row r="136" spans="1:12" ht="34.5" customHeight="1" x14ac:dyDescent="0.25">
      <c r="A136" s="118"/>
      <c r="B136" s="105"/>
      <c r="C136" s="13" t="s">
        <v>36</v>
      </c>
      <c r="D136" s="25"/>
      <c r="E136" s="14"/>
      <c r="F136" s="14"/>
      <c r="G136" s="14"/>
      <c r="H136" s="14"/>
      <c r="I136" s="52"/>
      <c r="J136" s="37"/>
      <c r="K136" s="52"/>
      <c r="L136" s="29"/>
    </row>
    <row r="137" spans="1:12" ht="15.75" x14ac:dyDescent="0.25">
      <c r="A137" s="118"/>
      <c r="B137" s="105"/>
      <c r="C137" s="12" t="s">
        <v>37</v>
      </c>
      <c r="D137" s="25"/>
      <c r="E137" s="14"/>
      <c r="F137" s="14"/>
      <c r="G137" s="14"/>
      <c r="H137" s="14"/>
      <c r="I137" s="52"/>
      <c r="J137" s="37"/>
      <c r="K137" s="52"/>
      <c r="L137" s="29"/>
    </row>
    <row r="138" spans="1:12" ht="22.5" customHeight="1" x14ac:dyDescent="0.25">
      <c r="A138" s="118" t="s">
        <v>56</v>
      </c>
      <c r="B138" s="105" t="s">
        <v>16</v>
      </c>
      <c r="C138" s="12" t="s">
        <v>31</v>
      </c>
      <c r="D138" s="25">
        <f>D139+D140+D141+D142+D143+D144</f>
        <v>0</v>
      </c>
      <c r="E138" s="14">
        <f t="shared" ref="E138" si="37">E139+E140+E141+E142+E143+E144</f>
        <v>0</v>
      </c>
      <c r="F138" s="14">
        <f t="shared" ref="F138:K138" si="38">F139+F140+F141+F142+F143+F144</f>
        <v>0</v>
      </c>
      <c r="G138" s="14">
        <f t="shared" si="38"/>
        <v>0</v>
      </c>
      <c r="H138" s="14">
        <f t="shared" si="38"/>
        <v>0</v>
      </c>
      <c r="I138" s="41">
        <f t="shared" si="38"/>
        <v>0</v>
      </c>
      <c r="J138" s="41">
        <f t="shared" si="38"/>
        <v>0</v>
      </c>
      <c r="K138" s="68">
        <f t="shared" si="38"/>
        <v>0</v>
      </c>
      <c r="L138" s="29"/>
    </row>
    <row r="139" spans="1:12" ht="32.25" customHeight="1" x14ac:dyDescent="0.25">
      <c r="A139" s="118"/>
      <c r="B139" s="105"/>
      <c r="C139" s="13" t="s">
        <v>32</v>
      </c>
      <c r="D139" s="25"/>
      <c r="E139" s="14"/>
      <c r="F139" s="14"/>
      <c r="G139" s="14"/>
      <c r="H139" s="14"/>
      <c r="I139" s="52"/>
      <c r="J139" s="37"/>
      <c r="K139" s="52"/>
      <c r="L139" s="29"/>
    </row>
    <row r="140" spans="1:12" ht="30" customHeight="1" x14ac:dyDescent="0.25">
      <c r="A140" s="118"/>
      <c r="B140" s="105"/>
      <c r="C140" s="13" t="s">
        <v>33</v>
      </c>
      <c r="D140" s="25"/>
      <c r="E140" s="14"/>
      <c r="F140" s="14"/>
      <c r="G140" s="14"/>
      <c r="H140" s="14"/>
      <c r="I140" s="52"/>
      <c r="J140" s="37"/>
      <c r="K140" s="52"/>
      <c r="L140" s="29"/>
    </row>
    <row r="141" spans="1:12" ht="15.75" x14ac:dyDescent="0.25">
      <c r="A141" s="118"/>
      <c r="B141" s="105"/>
      <c r="C141" s="12" t="s">
        <v>34</v>
      </c>
      <c r="D141" s="25"/>
      <c r="E141" s="14"/>
      <c r="F141" s="14"/>
      <c r="G141" s="14"/>
      <c r="H141" s="14"/>
      <c r="I141" s="52"/>
      <c r="J141" s="37"/>
      <c r="K141" s="52"/>
      <c r="L141" s="29"/>
    </row>
    <row r="142" spans="1:12" ht="32.25" customHeight="1" x14ac:dyDescent="0.25">
      <c r="A142" s="118"/>
      <c r="B142" s="105"/>
      <c r="C142" s="13" t="s">
        <v>35</v>
      </c>
      <c r="D142" s="25"/>
      <c r="E142" s="14"/>
      <c r="F142" s="14"/>
      <c r="G142" s="14"/>
      <c r="H142" s="14"/>
      <c r="I142" s="52"/>
      <c r="J142" s="37"/>
      <c r="K142" s="52"/>
      <c r="L142" s="29"/>
    </row>
    <row r="143" spans="1:12" ht="32.25" customHeight="1" x14ac:dyDescent="0.25">
      <c r="A143" s="118"/>
      <c r="B143" s="105"/>
      <c r="C143" s="13" t="s">
        <v>36</v>
      </c>
      <c r="D143" s="25"/>
      <c r="E143" s="14"/>
      <c r="F143" s="14"/>
      <c r="G143" s="14"/>
      <c r="H143" s="14"/>
      <c r="I143" s="52"/>
      <c r="J143" s="37"/>
      <c r="K143" s="52"/>
      <c r="L143" s="29"/>
    </row>
    <row r="144" spans="1:12" ht="15.75" x14ac:dyDescent="0.25">
      <c r="A144" s="118"/>
      <c r="B144" s="105"/>
      <c r="C144" s="12" t="s">
        <v>37</v>
      </c>
      <c r="D144" s="25"/>
      <c r="E144" s="14"/>
      <c r="F144" s="14"/>
      <c r="G144" s="14"/>
      <c r="H144" s="14"/>
      <c r="I144" s="52"/>
      <c r="J144" s="37"/>
      <c r="K144" s="52"/>
      <c r="L144" s="29"/>
    </row>
    <row r="145" spans="1:12" ht="21.75" customHeight="1" x14ac:dyDescent="0.25">
      <c r="A145" s="118" t="s">
        <v>57</v>
      </c>
      <c r="B145" s="105" t="s">
        <v>42</v>
      </c>
      <c r="C145" s="12" t="s">
        <v>31</v>
      </c>
      <c r="D145" s="25">
        <f>D146+D147+D148+D149+D150+D151</f>
        <v>0</v>
      </c>
      <c r="E145" s="14">
        <f t="shared" ref="E145" si="39">E146+E147+E148+E149+E150+E151</f>
        <v>789.74</v>
      </c>
      <c r="F145" s="14">
        <f t="shared" ref="F145:K145" si="40">F146+F147+F148+F149+F150+F151</f>
        <v>0</v>
      </c>
      <c r="G145" s="14">
        <f t="shared" si="40"/>
        <v>0</v>
      </c>
      <c r="H145" s="14">
        <f t="shared" si="40"/>
        <v>0</v>
      </c>
      <c r="I145" s="41">
        <f t="shared" si="40"/>
        <v>0</v>
      </c>
      <c r="J145" s="41">
        <f t="shared" si="40"/>
        <v>0</v>
      </c>
      <c r="K145" s="68">
        <f t="shared" si="40"/>
        <v>0</v>
      </c>
      <c r="L145" s="29"/>
    </row>
    <row r="146" spans="1:12" ht="30.75" customHeight="1" x14ac:dyDescent="0.25">
      <c r="A146" s="118"/>
      <c r="B146" s="105"/>
      <c r="C146" s="13" t="s">
        <v>32</v>
      </c>
      <c r="D146" s="25"/>
      <c r="E146" s="14"/>
      <c r="F146" s="14"/>
      <c r="G146" s="14"/>
      <c r="H146" s="14"/>
      <c r="I146" s="52"/>
      <c r="J146" s="37"/>
      <c r="K146" s="52"/>
      <c r="L146" s="29"/>
    </row>
    <row r="147" spans="1:12" ht="28.5" customHeight="1" x14ac:dyDescent="0.25">
      <c r="A147" s="118"/>
      <c r="B147" s="105"/>
      <c r="C147" s="13" t="s">
        <v>33</v>
      </c>
      <c r="D147" s="14"/>
      <c r="E147" s="14"/>
      <c r="F147" s="14"/>
      <c r="G147" s="14"/>
      <c r="H147" s="14"/>
      <c r="I147" s="52"/>
      <c r="J147" s="37"/>
      <c r="K147" s="52"/>
      <c r="L147" s="29"/>
    </row>
    <row r="148" spans="1:12" ht="15.75" x14ac:dyDescent="0.25">
      <c r="A148" s="118"/>
      <c r="B148" s="105"/>
      <c r="C148" s="12" t="s">
        <v>34</v>
      </c>
      <c r="D148" s="14"/>
      <c r="E148" s="14">
        <f>800-10.26</f>
        <v>789.74</v>
      </c>
      <c r="F148" s="14"/>
      <c r="G148" s="14"/>
      <c r="H148" s="14"/>
      <c r="I148" s="37"/>
      <c r="J148" s="37"/>
      <c r="K148" s="52"/>
      <c r="L148" s="29"/>
    </row>
    <row r="149" spans="1:12" ht="33.75" customHeight="1" x14ac:dyDescent="0.25">
      <c r="A149" s="118"/>
      <c r="B149" s="105"/>
      <c r="C149" s="13" t="s">
        <v>35</v>
      </c>
      <c r="D149" s="14"/>
      <c r="E149" s="14"/>
      <c r="F149" s="14"/>
      <c r="G149" s="14"/>
      <c r="H149" s="14"/>
      <c r="I149" s="52"/>
      <c r="J149" s="37"/>
      <c r="K149" s="52"/>
      <c r="L149" s="29"/>
    </row>
    <row r="150" spans="1:12" ht="30" customHeight="1" x14ac:dyDescent="0.25">
      <c r="A150" s="118"/>
      <c r="B150" s="105"/>
      <c r="C150" s="13" t="s">
        <v>36</v>
      </c>
      <c r="D150" s="14"/>
      <c r="E150" s="14"/>
      <c r="F150" s="14"/>
      <c r="G150" s="14"/>
      <c r="H150" s="14"/>
      <c r="I150" s="52"/>
      <c r="J150" s="37"/>
      <c r="K150" s="52"/>
      <c r="L150" s="29"/>
    </row>
    <row r="151" spans="1:12" ht="15.75" x14ac:dyDescent="0.25">
      <c r="A151" s="118"/>
      <c r="B151" s="105"/>
      <c r="C151" s="12" t="s">
        <v>37</v>
      </c>
      <c r="D151" s="14"/>
      <c r="E151" s="14"/>
      <c r="F151" s="14"/>
      <c r="G151" s="14"/>
      <c r="H151" s="14"/>
      <c r="I151" s="52"/>
      <c r="J151" s="37"/>
      <c r="K151" s="52"/>
      <c r="L151" s="29"/>
    </row>
    <row r="152" spans="1:12" ht="16.5" customHeight="1" x14ac:dyDescent="0.25">
      <c r="A152" s="118" t="s">
        <v>59</v>
      </c>
      <c r="B152" s="105" t="s">
        <v>82</v>
      </c>
      <c r="C152" s="12" t="s">
        <v>31</v>
      </c>
      <c r="D152" s="14">
        <f>D153+D154+D155+D156+D157+D158</f>
        <v>0</v>
      </c>
      <c r="E152" s="14">
        <f t="shared" ref="E152" si="41">E153+E154+E155+E156+E157+E158</f>
        <v>0</v>
      </c>
      <c r="F152" s="14">
        <f t="shared" ref="F152:K152" si="42">F153+F154+F155+F156+F157+F158</f>
        <v>335.8</v>
      </c>
      <c r="G152" s="14">
        <f t="shared" si="42"/>
        <v>229.2</v>
      </c>
      <c r="H152" s="14">
        <f t="shared" si="42"/>
        <v>0</v>
      </c>
      <c r="I152" s="41">
        <f t="shared" si="42"/>
        <v>0</v>
      </c>
      <c r="J152" s="41">
        <f t="shared" si="42"/>
        <v>0</v>
      </c>
      <c r="K152" s="68">
        <f t="shared" si="42"/>
        <v>0</v>
      </c>
      <c r="L152" s="29"/>
    </row>
    <row r="153" spans="1:12" ht="36" customHeight="1" x14ac:dyDescent="0.25">
      <c r="A153" s="118"/>
      <c r="B153" s="105"/>
      <c r="C153" s="13" t="s">
        <v>32</v>
      </c>
      <c r="D153" s="14"/>
      <c r="E153" s="14"/>
      <c r="F153" s="14"/>
      <c r="G153" s="14"/>
      <c r="H153" s="14"/>
      <c r="I153" s="52"/>
      <c r="J153" s="37"/>
      <c r="K153" s="52"/>
      <c r="L153" s="29"/>
    </row>
    <row r="154" spans="1:12" ht="33" customHeight="1" x14ac:dyDescent="0.25">
      <c r="A154" s="118"/>
      <c r="B154" s="105"/>
      <c r="C154" s="13" t="s">
        <v>33</v>
      </c>
      <c r="D154" s="14"/>
      <c r="E154" s="14"/>
      <c r="F154" s="14"/>
      <c r="G154" s="14"/>
      <c r="H154" s="14"/>
      <c r="I154" s="52"/>
      <c r="J154" s="37"/>
      <c r="K154" s="52"/>
      <c r="L154" s="29"/>
    </row>
    <row r="155" spans="1:12" ht="15.75" x14ac:dyDescent="0.25">
      <c r="A155" s="118"/>
      <c r="B155" s="105"/>
      <c r="C155" s="12" t="s">
        <v>34</v>
      </c>
      <c r="D155" s="14"/>
      <c r="E155" s="14"/>
      <c r="F155" s="14">
        <v>335.8</v>
      </c>
      <c r="G155" s="14">
        <v>229.2</v>
      </c>
      <c r="H155" s="14"/>
      <c r="I155" s="37"/>
      <c r="J155" s="37"/>
      <c r="K155" s="52"/>
      <c r="L155" s="29"/>
    </row>
    <row r="156" spans="1:12" ht="30.75" customHeight="1" x14ac:dyDescent="0.25">
      <c r="A156" s="118"/>
      <c r="B156" s="105"/>
      <c r="C156" s="13" t="s">
        <v>35</v>
      </c>
      <c r="D156" s="14"/>
      <c r="E156" s="14"/>
      <c r="F156" s="14"/>
      <c r="G156" s="14"/>
      <c r="H156" s="14"/>
      <c r="I156" s="52"/>
      <c r="J156" s="37"/>
      <c r="K156" s="52"/>
      <c r="L156" s="29"/>
    </row>
    <row r="157" spans="1:12" ht="32.25" customHeight="1" x14ac:dyDescent="0.25">
      <c r="A157" s="118"/>
      <c r="B157" s="105"/>
      <c r="C157" s="13" t="s">
        <v>36</v>
      </c>
      <c r="D157" s="14"/>
      <c r="E157" s="14"/>
      <c r="F157" s="14"/>
      <c r="G157" s="14"/>
      <c r="H157" s="14"/>
      <c r="I157" s="52"/>
      <c r="J157" s="37"/>
      <c r="K157" s="52"/>
      <c r="L157" s="29"/>
    </row>
    <row r="158" spans="1:12" ht="15.75" x14ac:dyDescent="0.25">
      <c r="A158" s="118"/>
      <c r="B158" s="105"/>
      <c r="C158" s="12" t="s">
        <v>37</v>
      </c>
      <c r="D158" s="14"/>
      <c r="E158" s="14"/>
      <c r="F158" s="14"/>
      <c r="G158" s="14"/>
      <c r="H158" s="14"/>
      <c r="I158" s="52"/>
      <c r="J158" s="37"/>
      <c r="K158" s="52"/>
      <c r="L158" s="29"/>
    </row>
    <row r="159" spans="1:12" ht="15.75" customHeight="1" x14ac:dyDescent="0.25">
      <c r="A159" s="109" t="s">
        <v>114</v>
      </c>
      <c r="B159" s="105" t="s">
        <v>39</v>
      </c>
      <c r="C159" s="12" t="s">
        <v>31</v>
      </c>
      <c r="D159" s="39">
        <f>D160+D161+D162+D163+D164+D165</f>
        <v>2742</v>
      </c>
      <c r="E159" s="39">
        <f t="shared" ref="E159:K159" si="43">E160+E161+E162+E163+E164+E165</f>
        <v>2741</v>
      </c>
      <c r="F159" s="39">
        <f t="shared" si="43"/>
        <v>2750</v>
      </c>
      <c r="G159" s="39">
        <f t="shared" si="43"/>
        <v>2794</v>
      </c>
      <c r="H159" s="39">
        <f t="shared" si="43"/>
        <v>2722</v>
      </c>
      <c r="I159" s="41">
        <f t="shared" si="43"/>
        <v>3358.058</v>
      </c>
      <c r="J159" s="41">
        <f t="shared" si="43"/>
        <v>3358.058</v>
      </c>
      <c r="K159" s="68">
        <f t="shared" si="43"/>
        <v>3358.058</v>
      </c>
      <c r="L159" s="29"/>
    </row>
    <row r="160" spans="1:12" ht="33" customHeight="1" x14ac:dyDescent="0.25">
      <c r="A160" s="110"/>
      <c r="B160" s="105"/>
      <c r="C160" s="13" t="s">
        <v>32</v>
      </c>
      <c r="D160" s="39"/>
      <c r="E160" s="39"/>
      <c r="F160" s="39"/>
      <c r="G160" s="39"/>
      <c r="H160" s="39"/>
      <c r="I160" s="52"/>
      <c r="J160" s="37"/>
      <c r="K160" s="52"/>
      <c r="L160" s="29"/>
    </row>
    <row r="161" spans="1:12" ht="31.5" x14ac:dyDescent="0.25">
      <c r="A161" s="110"/>
      <c r="B161" s="105"/>
      <c r="C161" s="13" t="s">
        <v>33</v>
      </c>
      <c r="D161" s="39">
        <v>2742</v>
      </c>
      <c r="E161" s="39">
        <v>2741</v>
      </c>
      <c r="F161" s="39">
        <v>2750</v>
      </c>
      <c r="G161" s="25">
        <v>2794</v>
      </c>
      <c r="H161" s="25">
        <v>2722</v>
      </c>
      <c r="I161" s="56">
        <v>3358.058</v>
      </c>
      <c r="J161" s="47">
        <v>3358.058</v>
      </c>
      <c r="K161" s="52">
        <v>3358.058</v>
      </c>
      <c r="L161" s="29"/>
    </row>
    <row r="162" spans="1:12" ht="15.75" x14ac:dyDescent="0.25">
      <c r="A162" s="110"/>
      <c r="B162" s="105"/>
      <c r="C162" s="12" t="s">
        <v>34</v>
      </c>
      <c r="D162" s="39"/>
      <c r="E162" s="39"/>
      <c r="F162" s="39"/>
      <c r="G162" s="39"/>
      <c r="H162" s="39"/>
      <c r="I162" s="52"/>
      <c r="J162" s="37"/>
      <c r="K162" s="52"/>
      <c r="L162" s="29"/>
    </row>
    <row r="163" spans="1:12" ht="31.5" x14ac:dyDescent="0.25">
      <c r="A163" s="110"/>
      <c r="B163" s="105"/>
      <c r="C163" s="13" t="s">
        <v>35</v>
      </c>
      <c r="D163" s="39"/>
      <c r="E163" s="39"/>
      <c r="F163" s="39"/>
      <c r="G163" s="39"/>
      <c r="H163" s="39"/>
      <c r="I163" s="52"/>
      <c r="J163" s="37"/>
      <c r="K163" s="52"/>
      <c r="L163" s="29"/>
    </row>
    <row r="164" spans="1:12" ht="31.5" x14ac:dyDescent="0.25">
      <c r="A164" s="110"/>
      <c r="B164" s="105"/>
      <c r="C164" s="13" t="s">
        <v>36</v>
      </c>
      <c r="D164" s="39"/>
      <c r="E164" s="39"/>
      <c r="F164" s="39"/>
      <c r="G164" s="39"/>
      <c r="H164" s="39"/>
      <c r="I164" s="52"/>
      <c r="J164" s="37"/>
      <c r="K164" s="52"/>
      <c r="L164" s="29"/>
    </row>
    <row r="165" spans="1:12" ht="15.75" x14ac:dyDescent="0.25">
      <c r="A165" s="111"/>
      <c r="B165" s="105"/>
      <c r="C165" s="12" t="s">
        <v>37</v>
      </c>
      <c r="D165" s="39"/>
      <c r="E165" s="39"/>
      <c r="F165" s="39"/>
      <c r="G165" s="39"/>
      <c r="H165" s="39"/>
      <c r="I165" s="52"/>
      <c r="J165" s="37"/>
      <c r="K165" s="52"/>
      <c r="L165" s="29"/>
    </row>
    <row r="166" spans="1:12" ht="22.5" customHeight="1" x14ac:dyDescent="0.25">
      <c r="A166" s="118" t="s">
        <v>133</v>
      </c>
      <c r="B166" s="105" t="s">
        <v>20</v>
      </c>
      <c r="C166" s="12" t="s">
        <v>31</v>
      </c>
      <c r="D166" s="14">
        <f>D167+D168+D169+D170+D171+D172</f>
        <v>0</v>
      </c>
      <c r="E166" s="14">
        <f t="shared" ref="E166" si="44">E167+E168+E169+E170+E171+E172</f>
        <v>0</v>
      </c>
      <c r="F166" s="14">
        <f t="shared" ref="F166:K166" si="45">F167+F168+F169+F170+F171+F172</f>
        <v>70</v>
      </c>
      <c r="G166" s="14">
        <f t="shared" si="45"/>
        <v>70</v>
      </c>
      <c r="H166" s="14">
        <f t="shared" si="45"/>
        <v>70</v>
      </c>
      <c r="I166" s="41">
        <f t="shared" si="45"/>
        <v>70</v>
      </c>
      <c r="J166" s="41">
        <f t="shared" si="45"/>
        <v>70</v>
      </c>
      <c r="K166" s="68">
        <f t="shared" si="45"/>
        <v>70</v>
      </c>
      <c r="L166" s="29"/>
    </row>
    <row r="167" spans="1:12" ht="30.75" customHeight="1" x14ac:dyDescent="0.25">
      <c r="A167" s="118"/>
      <c r="B167" s="105"/>
      <c r="C167" s="13" t="s">
        <v>32</v>
      </c>
      <c r="D167" s="14"/>
      <c r="E167" s="14"/>
      <c r="F167" s="14"/>
      <c r="G167" s="14"/>
      <c r="H167" s="14"/>
      <c r="I167" s="52"/>
      <c r="J167" s="37"/>
      <c r="K167" s="52"/>
      <c r="L167" s="29"/>
    </row>
    <row r="168" spans="1:12" ht="30" customHeight="1" x14ac:dyDescent="0.25">
      <c r="A168" s="118"/>
      <c r="B168" s="105"/>
      <c r="C168" s="13" t="s">
        <v>33</v>
      </c>
      <c r="D168" s="14"/>
      <c r="E168" s="14"/>
      <c r="F168" s="14"/>
      <c r="G168" s="14"/>
      <c r="H168" s="14"/>
      <c r="I168" s="52"/>
      <c r="J168" s="37"/>
      <c r="K168" s="52"/>
      <c r="L168" s="29"/>
    </row>
    <row r="169" spans="1:12" ht="15.75" x14ac:dyDescent="0.25">
      <c r="A169" s="118"/>
      <c r="B169" s="105"/>
      <c r="C169" s="12" t="s">
        <v>34</v>
      </c>
      <c r="D169" s="14"/>
      <c r="E169" s="14"/>
      <c r="F169" s="14">
        <v>70</v>
      </c>
      <c r="G169" s="14">
        <v>70</v>
      </c>
      <c r="H169" s="14">
        <v>70</v>
      </c>
      <c r="I169" s="52">
        <v>70</v>
      </c>
      <c r="J169" s="37">
        <v>70</v>
      </c>
      <c r="K169" s="52">
        <v>70</v>
      </c>
      <c r="L169" s="29"/>
    </row>
    <row r="170" spans="1:12" ht="33" customHeight="1" x14ac:dyDescent="0.25">
      <c r="A170" s="118"/>
      <c r="B170" s="105"/>
      <c r="C170" s="13" t="s">
        <v>35</v>
      </c>
      <c r="D170" s="14"/>
      <c r="E170" s="14"/>
      <c r="F170" s="14"/>
      <c r="G170" s="14"/>
      <c r="H170" s="14"/>
      <c r="I170" s="52"/>
      <c r="J170" s="37"/>
      <c r="K170" s="52"/>
      <c r="L170" s="29"/>
    </row>
    <row r="171" spans="1:12" ht="30.75" customHeight="1" x14ac:dyDescent="0.25">
      <c r="A171" s="118"/>
      <c r="B171" s="105"/>
      <c r="C171" s="13" t="s">
        <v>36</v>
      </c>
      <c r="D171" s="14"/>
      <c r="E171" s="14"/>
      <c r="F171" s="14"/>
      <c r="G171" s="14"/>
      <c r="H171" s="14"/>
      <c r="I171" s="52"/>
      <c r="J171" s="37"/>
      <c r="K171" s="52"/>
      <c r="L171" s="29"/>
    </row>
    <row r="172" spans="1:12" ht="20.25" customHeight="1" x14ac:dyDescent="0.25">
      <c r="A172" s="118"/>
      <c r="B172" s="105"/>
      <c r="C172" s="12" t="s">
        <v>37</v>
      </c>
      <c r="D172" s="14"/>
      <c r="E172" s="14"/>
      <c r="F172" s="14"/>
      <c r="G172" s="14"/>
      <c r="H172" s="14"/>
      <c r="I172" s="52"/>
      <c r="J172" s="37"/>
      <c r="K172" s="52"/>
      <c r="L172" s="29"/>
    </row>
    <row r="173" spans="1:12" ht="20.25" customHeight="1" x14ac:dyDescent="0.25">
      <c r="A173" s="109" t="s">
        <v>142</v>
      </c>
      <c r="B173" s="89" t="s">
        <v>143</v>
      </c>
      <c r="C173" s="12" t="s">
        <v>31</v>
      </c>
      <c r="D173" s="60"/>
      <c r="E173" s="60"/>
      <c r="F173" s="60"/>
      <c r="G173" s="60">
        <f t="shared" ref="G173:K173" si="46">G174+G175+G176+G177+G178+G179</f>
        <v>3004.85</v>
      </c>
      <c r="H173" s="60">
        <f t="shared" si="46"/>
        <v>4349.3850000000002</v>
      </c>
      <c r="I173" s="60">
        <f t="shared" si="46"/>
        <v>772.94299999999998</v>
      </c>
      <c r="J173" s="60">
        <f t="shared" si="46"/>
        <v>0</v>
      </c>
      <c r="K173" s="68">
        <f t="shared" si="46"/>
        <v>0</v>
      </c>
      <c r="L173" s="29"/>
    </row>
    <row r="174" spans="1:12" ht="30" customHeight="1" x14ac:dyDescent="0.25">
      <c r="A174" s="110"/>
      <c r="B174" s="101"/>
      <c r="C174" s="13" t="s">
        <v>32</v>
      </c>
      <c r="D174" s="60"/>
      <c r="E174" s="60"/>
      <c r="F174" s="60"/>
      <c r="G174" s="60"/>
      <c r="H174" s="60"/>
      <c r="I174" s="52"/>
      <c r="J174" s="37"/>
      <c r="K174" s="52"/>
      <c r="L174" s="29"/>
    </row>
    <row r="175" spans="1:12" ht="31.5" customHeight="1" x14ac:dyDescent="0.25">
      <c r="A175" s="110"/>
      <c r="B175" s="101"/>
      <c r="C175" s="13" t="s">
        <v>33</v>
      </c>
      <c r="D175" s="60"/>
      <c r="E175" s="60"/>
      <c r="F175" s="60"/>
      <c r="G175" s="60">
        <v>2882.35</v>
      </c>
      <c r="H175" s="60">
        <v>4158.3</v>
      </c>
      <c r="I175" s="52">
        <v>557.24300000000005</v>
      </c>
      <c r="J175" s="37"/>
      <c r="K175" s="52"/>
      <c r="L175" s="29"/>
    </row>
    <row r="176" spans="1:12" ht="16.5" customHeight="1" x14ac:dyDescent="0.25">
      <c r="A176" s="110"/>
      <c r="B176" s="101"/>
      <c r="C176" s="12" t="s">
        <v>34</v>
      </c>
      <c r="D176" s="60"/>
      <c r="E176" s="60"/>
      <c r="F176" s="60"/>
      <c r="G176" s="60">
        <f>600-477.5</f>
        <v>122.5</v>
      </c>
      <c r="H176" s="60">
        <f>150+41.085</f>
        <v>191.08500000000001</v>
      </c>
      <c r="I176" s="52">
        <f>165.7+50</f>
        <v>215.7</v>
      </c>
      <c r="J176" s="37"/>
      <c r="K176" s="52"/>
      <c r="L176" s="29"/>
    </row>
    <row r="177" spans="1:12" ht="30.75" customHeight="1" x14ac:dyDescent="0.25">
      <c r="A177" s="110"/>
      <c r="B177" s="101"/>
      <c r="C177" s="13" t="s">
        <v>35</v>
      </c>
      <c r="D177" s="60"/>
      <c r="E177" s="60"/>
      <c r="F177" s="60"/>
      <c r="G177" s="60"/>
      <c r="H177" s="60"/>
      <c r="I177" s="52"/>
      <c r="J177" s="37"/>
      <c r="K177" s="52"/>
      <c r="L177" s="29"/>
    </row>
    <row r="178" spans="1:12" ht="28.5" customHeight="1" x14ac:dyDescent="0.25">
      <c r="A178" s="110"/>
      <c r="B178" s="101"/>
      <c r="C178" s="13" t="s">
        <v>36</v>
      </c>
      <c r="D178" s="60"/>
      <c r="E178" s="60"/>
      <c r="F178" s="60"/>
      <c r="G178" s="60"/>
      <c r="H178" s="60"/>
      <c r="I178" s="52"/>
      <c r="J178" s="37"/>
      <c r="K178" s="52"/>
      <c r="L178" s="29"/>
    </row>
    <row r="179" spans="1:12" ht="20.25" customHeight="1" x14ac:dyDescent="0.25">
      <c r="A179" s="111"/>
      <c r="B179" s="90"/>
      <c r="C179" s="12" t="s">
        <v>37</v>
      </c>
      <c r="D179" s="60"/>
      <c r="E179" s="60"/>
      <c r="F179" s="60"/>
      <c r="G179" s="60"/>
      <c r="H179" s="60"/>
      <c r="I179" s="52"/>
      <c r="J179" s="37"/>
      <c r="K179" s="52"/>
      <c r="L179" s="29"/>
    </row>
    <row r="180" spans="1:12" ht="20.25" customHeight="1" x14ac:dyDescent="0.25">
      <c r="A180" s="109" t="s">
        <v>150</v>
      </c>
      <c r="B180" s="89" t="s">
        <v>148</v>
      </c>
      <c r="C180" s="12" t="s">
        <v>31</v>
      </c>
      <c r="D180" s="67"/>
      <c r="E180" s="67"/>
      <c r="F180" s="67"/>
      <c r="G180" s="67"/>
      <c r="H180" s="67">
        <f t="shared" ref="H180:K180" si="47">H181+H182+H183+H184+H185+H186</f>
        <v>180</v>
      </c>
      <c r="I180" s="68">
        <f t="shared" si="47"/>
        <v>0</v>
      </c>
      <c r="J180" s="68">
        <f t="shared" si="47"/>
        <v>0</v>
      </c>
      <c r="K180" s="68">
        <f t="shared" si="47"/>
        <v>0</v>
      </c>
      <c r="L180" s="29"/>
    </row>
    <row r="181" spans="1:12" ht="30" customHeight="1" x14ac:dyDescent="0.25">
      <c r="A181" s="110"/>
      <c r="B181" s="101"/>
      <c r="C181" s="13" t="s">
        <v>32</v>
      </c>
      <c r="D181" s="67"/>
      <c r="E181" s="67"/>
      <c r="F181" s="67"/>
      <c r="G181" s="67"/>
      <c r="H181" s="67"/>
      <c r="I181" s="52"/>
      <c r="J181" s="37"/>
      <c r="K181" s="52"/>
      <c r="L181" s="29"/>
    </row>
    <row r="182" spans="1:12" ht="27.75" customHeight="1" x14ac:dyDescent="0.25">
      <c r="A182" s="110"/>
      <c r="B182" s="101"/>
      <c r="C182" s="13" t="s">
        <v>33</v>
      </c>
      <c r="D182" s="67"/>
      <c r="E182" s="67"/>
      <c r="F182" s="67"/>
      <c r="G182" s="67"/>
      <c r="H182" s="67"/>
      <c r="I182" s="52"/>
      <c r="J182" s="37"/>
      <c r="K182" s="52"/>
      <c r="L182" s="29"/>
    </row>
    <row r="183" spans="1:12" ht="20.25" customHeight="1" x14ac:dyDescent="0.25">
      <c r="A183" s="110"/>
      <c r="B183" s="101"/>
      <c r="C183" s="12" t="s">
        <v>34</v>
      </c>
      <c r="D183" s="67"/>
      <c r="E183" s="67"/>
      <c r="F183" s="67"/>
      <c r="G183" s="67"/>
      <c r="H183" s="67">
        <v>180</v>
      </c>
      <c r="I183" s="52"/>
      <c r="J183" s="37"/>
      <c r="K183" s="52"/>
      <c r="L183" s="29"/>
    </row>
    <row r="184" spans="1:12" ht="31.5" customHeight="1" x14ac:dyDescent="0.25">
      <c r="A184" s="110"/>
      <c r="B184" s="101"/>
      <c r="C184" s="13" t="s">
        <v>35</v>
      </c>
      <c r="D184" s="67"/>
      <c r="E184" s="67"/>
      <c r="F184" s="67"/>
      <c r="G184" s="67"/>
      <c r="H184" s="67"/>
      <c r="I184" s="52"/>
      <c r="J184" s="37"/>
      <c r="K184" s="52"/>
      <c r="L184" s="29"/>
    </row>
    <row r="185" spans="1:12" ht="29.25" customHeight="1" x14ac:dyDescent="0.25">
      <c r="A185" s="110"/>
      <c r="B185" s="101"/>
      <c r="C185" s="13" t="s">
        <v>36</v>
      </c>
      <c r="D185" s="67"/>
      <c r="E185" s="67"/>
      <c r="F185" s="67"/>
      <c r="G185" s="67"/>
      <c r="H185" s="67"/>
      <c r="I185" s="52"/>
      <c r="J185" s="37"/>
      <c r="K185" s="52"/>
      <c r="L185" s="29"/>
    </row>
    <row r="186" spans="1:12" ht="27" customHeight="1" x14ac:dyDescent="0.25">
      <c r="A186" s="111"/>
      <c r="B186" s="90"/>
      <c r="C186" s="12" t="s">
        <v>37</v>
      </c>
      <c r="D186" s="67"/>
      <c r="E186" s="67"/>
      <c r="F186" s="67"/>
      <c r="G186" s="67"/>
      <c r="H186" s="67"/>
      <c r="I186" s="52"/>
      <c r="J186" s="37"/>
      <c r="K186" s="52"/>
      <c r="L186" s="29"/>
    </row>
    <row r="187" spans="1:12" ht="27" hidden="1" customHeight="1" x14ac:dyDescent="0.25">
      <c r="A187" s="109" t="s">
        <v>165</v>
      </c>
      <c r="B187" s="78" t="s">
        <v>162</v>
      </c>
      <c r="C187" s="12" t="s">
        <v>31</v>
      </c>
      <c r="D187" s="70">
        <f>D188+D189+D190+D191+D192+D193</f>
        <v>0</v>
      </c>
      <c r="E187" s="70">
        <f t="shared" ref="E187:I187" si="48">E188+E189+E190+E191+E192+E193</f>
        <v>0</v>
      </c>
      <c r="F187" s="70">
        <f t="shared" si="48"/>
        <v>0</v>
      </c>
      <c r="G187" s="70">
        <f t="shared" si="48"/>
        <v>0</v>
      </c>
      <c r="H187" s="70">
        <f t="shared" si="48"/>
        <v>0</v>
      </c>
      <c r="I187" s="70">
        <f t="shared" si="48"/>
        <v>0</v>
      </c>
      <c r="J187" s="70">
        <f t="shared" ref="J187" si="49">J188+J189+J190+J191+J192+J193</f>
        <v>0</v>
      </c>
      <c r="K187" s="70">
        <f t="shared" ref="K187" si="50">K188+K189+K190+K191+K192+K193</f>
        <v>0</v>
      </c>
      <c r="L187" s="29"/>
    </row>
    <row r="188" spans="1:12" ht="27" hidden="1" customHeight="1" x14ac:dyDescent="0.25">
      <c r="A188" s="110"/>
      <c r="B188" s="114"/>
      <c r="C188" s="13" t="s">
        <v>32</v>
      </c>
      <c r="D188" s="70"/>
      <c r="E188" s="70"/>
      <c r="F188" s="70"/>
      <c r="G188" s="70"/>
      <c r="H188" s="70"/>
      <c r="I188" s="52"/>
      <c r="J188" s="37"/>
      <c r="K188" s="52"/>
      <c r="L188" s="29"/>
    </row>
    <row r="189" spans="1:12" ht="27" hidden="1" customHeight="1" x14ac:dyDescent="0.25">
      <c r="A189" s="110"/>
      <c r="B189" s="114"/>
      <c r="C189" s="13" t="s">
        <v>33</v>
      </c>
      <c r="D189" s="70"/>
      <c r="E189" s="70"/>
      <c r="F189" s="70"/>
      <c r="G189" s="70"/>
      <c r="H189" s="70"/>
      <c r="I189" s="52"/>
      <c r="J189" s="37"/>
      <c r="K189" s="52"/>
      <c r="L189" s="29"/>
    </row>
    <row r="190" spans="1:12" ht="27" hidden="1" customHeight="1" x14ac:dyDescent="0.25">
      <c r="A190" s="110"/>
      <c r="B190" s="114"/>
      <c r="C190" s="12" t="s">
        <v>34</v>
      </c>
      <c r="D190" s="70"/>
      <c r="E190" s="70"/>
      <c r="F190" s="70"/>
      <c r="G190" s="70"/>
      <c r="H190" s="70"/>
      <c r="I190" s="52"/>
      <c r="J190" s="37"/>
      <c r="K190" s="52"/>
      <c r="L190" s="29"/>
    </row>
    <row r="191" spans="1:12" ht="27" hidden="1" customHeight="1" x14ac:dyDescent="0.25">
      <c r="A191" s="110"/>
      <c r="B191" s="114"/>
      <c r="C191" s="13" t="s">
        <v>35</v>
      </c>
      <c r="D191" s="70"/>
      <c r="E191" s="70"/>
      <c r="F191" s="70"/>
      <c r="G191" s="70"/>
      <c r="H191" s="70"/>
      <c r="I191" s="52"/>
      <c r="J191" s="37"/>
      <c r="K191" s="52"/>
      <c r="L191" s="29"/>
    </row>
    <row r="192" spans="1:12" ht="27" hidden="1" customHeight="1" x14ac:dyDescent="0.25">
      <c r="A192" s="110"/>
      <c r="B192" s="114"/>
      <c r="C192" s="13" t="s">
        <v>36</v>
      </c>
      <c r="D192" s="70"/>
      <c r="E192" s="70"/>
      <c r="F192" s="70"/>
      <c r="G192" s="70"/>
      <c r="H192" s="70"/>
      <c r="I192" s="52"/>
      <c r="J192" s="37"/>
      <c r="K192" s="52"/>
      <c r="L192" s="29"/>
    </row>
    <row r="193" spans="1:12" ht="41.25" hidden="1" customHeight="1" x14ac:dyDescent="0.25">
      <c r="A193" s="111"/>
      <c r="B193" s="79"/>
      <c r="C193" s="12" t="s">
        <v>37</v>
      </c>
      <c r="D193" s="70"/>
      <c r="E193" s="70"/>
      <c r="F193" s="70"/>
      <c r="G193" s="70"/>
      <c r="H193" s="70"/>
      <c r="I193" s="52"/>
      <c r="J193" s="37"/>
      <c r="K193" s="52"/>
      <c r="L193" s="29"/>
    </row>
    <row r="194" spans="1:12" ht="21.75" customHeight="1" x14ac:dyDescent="0.25">
      <c r="A194" s="118" t="s">
        <v>60</v>
      </c>
      <c r="B194" s="105" t="s">
        <v>160</v>
      </c>
      <c r="C194" s="12" t="s">
        <v>31</v>
      </c>
      <c r="D194" s="14">
        <f>D201+D208+D215+D222+D229+D236+D250</f>
        <v>14494.77</v>
      </c>
      <c r="E194" s="39">
        <f>E201+E208+E215+E222+E229+E236+E250+E243</f>
        <v>14930.529999999999</v>
      </c>
      <c r="F194" s="39">
        <f t="shared" ref="F194:K194" si="51">F201+F208+F215+F222+F229+F236+F250</f>
        <v>15344.1</v>
      </c>
      <c r="G194" s="25">
        <f t="shared" si="51"/>
        <v>16446.55</v>
      </c>
      <c r="H194" s="39">
        <f t="shared" si="51"/>
        <v>18346.63</v>
      </c>
      <c r="I194" s="41">
        <f t="shared" si="51"/>
        <v>19707.41</v>
      </c>
      <c r="J194" s="41">
        <f t="shared" si="51"/>
        <v>19672.41</v>
      </c>
      <c r="K194" s="68">
        <f t="shared" si="51"/>
        <v>19322.900000000001</v>
      </c>
      <c r="L194" s="29"/>
    </row>
    <row r="195" spans="1:12" ht="36" customHeight="1" x14ac:dyDescent="0.25">
      <c r="A195" s="118"/>
      <c r="B195" s="105"/>
      <c r="C195" s="13" t="s">
        <v>32</v>
      </c>
      <c r="D195" s="39">
        <f t="shared" ref="D195:K200" si="52">D202+D209+D216+D223+D230+D237+D251</f>
        <v>0</v>
      </c>
      <c r="E195" s="39">
        <f t="shared" si="52"/>
        <v>0</v>
      </c>
      <c r="F195" s="39">
        <f t="shared" si="52"/>
        <v>0</v>
      </c>
      <c r="G195" s="25">
        <f t="shared" si="52"/>
        <v>0</v>
      </c>
      <c r="H195" s="39">
        <f t="shared" si="52"/>
        <v>0</v>
      </c>
      <c r="I195" s="41">
        <f t="shared" si="52"/>
        <v>0</v>
      </c>
      <c r="J195" s="41">
        <f t="shared" si="52"/>
        <v>0</v>
      </c>
      <c r="K195" s="52"/>
      <c r="L195" s="29"/>
    </row>
    <row r="196" spans="1:12" ht="31.5" customHeight="1" x14ac:dyDescent="0.25">
      <c r="A196" s="118"/>
      <c r="B196" s="105"/>
      <c r="C196" s="13" t="s">
        <v>33</v>
      </c>
      <c r="D196" s="39">
        <f t="shared" si="52"/>
        <v>357.87</v>
      </c>
      <c r="E196" s="39">
        <f t="shared" si="52"/>
        <v>0</v>
      </c>
      <c r="F196" s="39">
        <f t="shared" si="52"/>
        <v>0</v>
      </c>
      <c r="G196" s="25">
        <f t="shared" si="52"/>
        <v>0</v>
      </c>
      <c r="H196" s="39">
        <f t="shared" si="52"/>
        <v>0</v>
      </c>
      <c r="I196" s="41">
        <f t="shared" si="52"/>
        <v>0</v>
      </c>
      <c r="J196" s="41">
        <f t="shared" si="52"/>
        <v>0</v>
      </c>
      <c r="K196" s="68">
        <f t="shared" si="52"/>
        <v>0</v>
      </c>
      <c r="L196" s="29"/>
    </row>
    <row r="197" spans="1:12" ht="15.75" x14ac:dyDescent="0.25">
      <c r="A197" s="118"/>
      <c r="B197" s="105"/>
      <c r="C197" s="12" t="s">
        <v>34</v>
      </c>
      <c r="D197" s="39">
        <f t="shared" si="52"/>
        <v>14136.9</v>
      </c>
      <c r="E197" s="39">
        <f>E204+E211+E218+E225+E232+E239+E253+E246</f>
        <v>14930.529999999999</v>
      </c>
      <c r="F197" s="39">
        <f t="shared" si="52"/>
        <v>15344.1</v>
      </c>
      <c r="G197" s="25">
        <f t="shared" si="52"/>
        <v>16446.55</v>
      </c>
      <c r="H197" s="39">
        <f t="shared" si="52"/>
        <v>18346.63</v>
      </c>
      <c r="I197" s="41">
        <f t="shared" si="52"/>
        <v>19707.41</v>
      </c>
      <c r="J197" s="41">
        <f t="shared" si="52"/>
        <v>19672.41</v>
      </c>
      <c r="K197" s="68">
        <f t="shared" si="52"/>
        <v>19322.900000000001</v>
      </c>
      <c r="L197" s="29"/>
    </row>
    <row r="198" spans="1:12" ht="31.5" x14ac:dyDescent="0.25">
      <c r="A198" s="118"/>
      <c r="B198" s="105"/>
      <c r="C198" s="13" t="s">
        <v>35</v>
      </c>
      <c r="D198" s="39">
        <f t="shared" si="52"/>
        <v>0</v>
      </c>
      <c r="E198" s="39">
        <f t="shared" si="52"/>
        <v>0</v>
      </c>
      <c r="F198" s="39">
        <f t="shared" si="52"/>
        <v>0</v>
      </c>
      <c r="G198" s="25">
        <f t="shared" si="52"/>
        <v>0</v>
      </c>
      <c r="H198" s="39">
        <f t="shared" si="52"/>
        <v>0</v>
      </c>
      <c r="I198" s="41">
        <f t="shared" si="52"/>
        <v>0</v>
      </c>
      <c r="J198" s="41">
        <f t="shared" si="52"/>
        <v>0</v>
      </c>
      <c r="K198" s="68">
        <f t="shared" si="52"/>
        <v>0</v>
      </c>
      <c r="L198" s="29"/>
    </row>
    <row r="199" spans="1:12" ht="35.25" customHeight="1" x14ac:dyDescent="0.25">
      <c r="A199" s="118"/>
      <c r="B199" s="105"/>
      <c r="C199" s="13" t="s">
        <v>36</v>
      </c>
      <c r="D199" s="39">
        <f t="shared" si="52"/>
        <v>0</v>
      </c>
      <c r="E199" s="39">
        <f t="shared" si="52"/>
        <v>0</v>
      </c>
      <c r="F199" s="39">
        <f t="shared" si="52"/>
        <v>0</v>
      </c>
      <c r="G199" s="25">
        <f t="shared" si="52"/>
        <v>0</v>
      </c>
      <c r="H199" s="39">
        <f t="shared" si="52"/>
        <v>0</v>
      </c>
      <c r="I199" s="41">
        <f t="shared" si="52"/>
        <v>0</v>
      </c>
      <c r="J199" s="41">
        <f t="shared" si="52"/>
        <v>0</v>
      </c>
      <c r="K199" s="52"/>
      <c r="L199" s="29"/>
    </row>
    <row r="200" spans="1:12" ht="15.75" x14ac:dyDescent="0.25">
      <c r="A200" s="118"/>
      <c r="B200" s="105"/>
      <c r="C200" s="12" t="s">
        <v>37</v>
      </c>
      <c r="D200" s="39">
        <f t="shared" si="52"/>
        <v>0</v>
      </c>
      <c r="E200" s="39">
        <f t="shared" si="52"/>
        <v>0</v>
      </c>
      <c r="F200" s="39">
        <f t="shared" si="52"/>
        <v>0</v>
      </c>
      <c r="G200" s="25">
        <f t="shared" si="52"/>
        <v>0</v>
      </c>
      <c r="H200" s="39">
        <f t="shared" si="52"/>
        <v>0</v>
      </c>
      <c r="I200" s="41">
        <f t="shared" si="52"/>
        <v>0</v>
      </c>
      <c r="J200" s="41">
        <f t="shared" si="52"/>
        <v>0</v>
      </c>
      <c r="K200" s="52"/>
      <c r="L200" s="29"/>
    </row>
    <row r="201" spans="1:12" ht="20.25" customHeight="1" x14ac:dyDescent="0.25">
      <c r="A201" s="118" t="s">
        <v>61</v>
      </c>
      <c r="B201" s="105" t="s">
        <v>76</v>
      </c>
      <c r="C201" s="12" t="s">
        <v>31</v>
      </c>
      <c r="D201" s="14">
        <f>D202+D203+D204+D205+D206+D207</f>
        <v>13637.2</v>
      </c>
      <c r="E201" s="14">
        <f>E202+E203+E204+E205+E206+E207</f>
        <v>14584.71</v>
      </c>
      <c r="F201" s="14">
        <f t="shared" ref="F201:K201" si="53">F202+F203+F204+F205+F206+F207</f>
        <v>15246.2</v>
      </c>
      <c r="G201" s="25">
        <f t="shared" si="53"/>
        <v>15968.75</v>
      </c>
      <c r="H201" s="14">
        <f t="shared" si="53"/>
        <v>18276.330000000002</v>
      </c>
      <c r="I201" s="41">
        <f t="shared" si="53"/>
        <v>19577.509999999998</v>
      </c>
      <c r="J201" s="41">
        <f t="shared" si="53"/>
        <v>19577.509999999998</v>
      </c>
      <c r="K201" s="68">
        <f t="shared" si="53"/>
        <v>19177</v>
      </c>
      <c r="L201" s="29"/>
    </row>
    <row r="202" spans="1:12" ht="33" customHeight="1" x14ac:dyDescent="0.25">
      <c r="A202" s="118"/>
      <c r="B202" s="105"/>
      <c r="C202" s="13" t="s">
        <v>32</v>
      </c>
      <c r="D202" s="14"/>
      <c r="E202" s="14"/>
      <c r="F202" s="14"/>
      <c r="G202" s="14"/>
      <c r="H202" s="14"/>
      <c r="I202" s="52"/>
      <c r="J202" s="37"/>
      <c r="K202" s="52"/>
      <c r="L202" s="29"/>
    </row>
    <row r="203" spans="1:12" ht="31.5" customHeight="1" x14ac:dyDescent="0.25">
      <c r="A203" s="118"/>
      <c r="B203" s="105"/>
      <c r="C203" s="13" t="s">
        <v>33</v>
      </c>
      <c r="D203" s="14"/>
      <c r="E203" s="14"/>
      <c r="F203" s="14"/>
      <c r="G203" s="14"/>
      <c r="H203" s="14"/>
      <c r="I203" s="52"/>
      <c r="J203" s="37"/>
      <c r="K203" s="52"/>
      <c r="L203" s="29"/>
    </row>
    <row r="204" spans="1:12" ht="15.75" x14ac:dyDescent="0.25">
      <c r="A204" s="118"/>
      <c r="B204" s="105"/>
      <c r="C204" s="12" t="s">
        <v>34</v>
      </c>
      <c r="D204" s="14">
        <v>13637.2</v>
      </c>
      <c r="E204" s="25">
        <f>13706.5+810+68.21</f>
        <v>14584.71</v>
      </c>
      <c r="F204" s="14">
        <f>16192.2+54-1000</f>
        <v>15246.2</v>
      </c>
      <c r="G204" s="25">
        <f>15398.5+205.07+540.18-175</f>
        <v>15968.75</v>
      </c>
      <c r="H204" s="14">
        <f>17769.45+302.18+287.52+417.18-500</f>
        <v>18276.330000000002</v>
      </c>
      <c r="I204" s="37">
        <f>19740.233-162.723</f>
        <v>19577.509999999998</v>
      </c>
      <c r="J204" s="37">
        <v>19577.509999999998</v>
      </c>
      <c r="K204" s="52">
        <v>19177</v>
      </c>
      <c r="L204" s="29"/>
    </row>
    <row r="205" spans="1:12" ht="27" customHeight="1" x14ac:dyDescent="0.25">
      <c r="A205" s="118"/>
      <c r="B205" s="105"/>
      <c r="C205" s="13" t="s">
        <v>35</v>
      </c>
      <c r="D205" s="14"/>
      <c r="E205" s="14"/>
      <c r="F205" s="14"/>
      <c r="G205" s="14"/>
      <c r="H205" s="14"/>
      <c r="I205" s="52"/>
      <c r="J205" s="37"/>
      <c r="K205" s="52"/>
      <c r="L205" s="29"/>
    </row>
    <row r="206" spans="1:12" ht="29.25" customHeight="1" x14ac:dyDescent="0.25">
      <c r="A206" s="118"/>
      <c r="B206" s="105"/>
      <c r="C206" s="13" t="s">
        <v>36</v>
      </c>
      <c r="D206" s="14"/>
      <c r="E206" s="14"/>
      <c r="F206" s="14"/>
      <c r="G206" s="14"/>
      <c r="H206" s="14"/>
      <c r="I206" s="52"/>
      <c r="J206" s="37"/>
      <c r="K206" s="52"/>
      <c r="L206" s="29"/>
    </row>
    <row r="207" spans="1:12" ht="15.75" x14ac:dyDescent="0.25">
      <c r="A207" s="118"/>
      <c r="B207" s="105"/>
      <c r="C207" s="12" t="s">
        <v>37</v>
      </c>
      <c r="D207" s="14"/>
      <c r="E207" s="14"/>
      <c r="F207" s="14"/>
      <c r="G207" s="14"/>
      <c r="H207" s="14"/>
      <c r="I207" s="52"/>
      <c r="J207" s="37"/>
      <c r="K207" s="52"/>
      <c r="L207" s="29"/>
    </row>
    <row r="208" spans="1:12" ht="22.5" customHeight="1" x14ac:dyDescent="0.25">
      <c r="A208" s="104" t="s">
        <v>63</v>
      </c>
      <c r="B208" s="105" t="s">
        <v>13</v>
      </c>
      <c r="C208" s="12" t="s">
        <v>31</v>
      </c>
      <c r="D208" s="14">
        <f>D209+D210+D211+D212+D213+D214</f>
        <v>328</v>
      </c>
      <c r="E208" s="14">
        <f t="shared" ref="E208" si="54">E209+E210+E211+E212+E213+E214</f>
        <v>0</v>
      </c>
      <c r="F208" s="14">
        <f t="shared" ref="F208:K208" si="55">F209+F210+F211+F212+F213+F214</f>
        <v>0</v>
      </c>
      <c r="G208" s="14">
        <f t="shared" si="55"/>
        <v>380</v>
      </c>
      <c r="H208" s="14">
        <f t="shared" si="55"/>
        <v>0</v>
      </c>
      <c r="I208" s="41">
        <f t="shared" si="55"/>
        <v>0</v>
      </c>
      <c r="J208" s="41">
        <f t="shared" si="55"/>
        <v>0</v>
      </c>
      <c r="K208" s="68">
        <f t="shared" si="55"/>
        <v>0</v>
      </c>
      <c r="L208" s="29"/>
    </row>
    <row r="209" spans="1:12" ht="34.5" customHeight="1" x14ac:dyDescent="0.25">
      <c r="A209" s="104"/>
      <c r="B209" s="105"/>
      <c r="C209" s="13" t="s">
        <v>32</v>
      </c>
      <c r="D209" s="14"/>
      <c r="E209" s="14"/>
      <c r="F209" s="14"/>
      <c r="G209" s="14"/>
      <c r="H209" s="14"/>
      <c r="I209" s="52"/>
      <c r="J209" s="37"/>
      <c r="K209" s="52"/>
      <c r="L209" s="29"/>
    </row>
    <row r="210" spans="1:12" ht="31.5" customHeight="1" x14ac:dyDescent="0.25">
      <c r="A210" s="104"/>
      <c r="B210" s="105"/>
      <c r="C210" s="13" t="s">
        <v>33</v>
      </c>
      <c r="D210" s="14"/>
      <c r="E210" s="14"/>
      <c r="F210" s="14"/>
      <c r="G210" s="14"/>
      <c r="H210" s="14"/>
      <c r="I210" s="52"/>
      <c r="J210" s="37"/>
      <c r="K210" s="52"/>
      <c r="L210" s="29"/>
    </row>
    <row r="211" spans="1:12" ht="15.75" customHeight="1" x14ac:dyDescent="0.25">
      <c r="A211" s="104"/>
      <c r="B211" s="105"/>
      <c r="C211" s="12" t="s">
        <v>34</v>
      </c>
      <c r="D211" s="14">
        <v>328</v>
      </c>
      <c r="E211" s="14"/>
      <c r="F211" s="14"/>
      <c r="G211" s="14">
        <v>380</v>
      </c>
      <c r="H211" s="14"/>
      <c r="I211" s="52"/>
      <c r="J211" s="37"/>
      <c r="K211" s="52"/>
      <c r="L211" s="29"/>
    </row>
    <row r="212" spans="1:12" ht="32.25" customHeight="1" x14ac:dyDescent="0.25">
      <c r="A212" s="104"/>
      <c r="B212" s="105"/>
      <c r="C212" s="13" t="s">
        <v>35</v>
      </c>
      <c r="D212" s="14"/>
      <c r="E212" s="14"/>
      <c r="F212" s="14"/>
      <c r="G212" s="14"/>
      <c r="H212" s="14"/>
      <c r="I212" s="52"/>
      <c r="J212" s="37"/>
      <c r="K212" s="52"/>
      <c r="L212" s="29"/>
    </row>
    <row r="213" spans="1:12" ht="29.25" customHeight="1" x14ac:dyDescent="0.25">
      <c r="A213" s="104"/>
      <c r="B213" s="105"/>
      <c r="C213" s="13" t="s">
        <v>36</v>
      </c>
      <c r="D213" s="14"/>
      <c r="E213" s="14"/>
      <c r="F213" s="14"/>
      <c r="G213" s="14"/>
      <c r="H213" s="14"/>
      <c r="I213" s="52"/>
      <c r="J213" s="37"/>
      <c r="K213" s="52"/>
      <c r="L213" s="29"/>
    </row>
    <row r="214" spans="1:12" ht="17.25" customHeight="1" x14ac:dyDescent="0.25">
      <c r="A214" s="104"/>
      <c r="B214" s="105"/>
      <c r="C214" s="13" t="s">
        <v>37</v>
      </c>
      <c r="D214" s="14"/>
      <c r="E214" s="14"/>
      <c r="F214" s="14"/>
      <c r="G214" s="14"/>
      <c r="H214" s="14"/>
      <c r="I214" s="52"/>
      <c r="J214" s="37"/>
      <c r="K214" s="52"/>
      <c r="L214" s="29"/>
    </row>
    <row r="215" spans="1:12" ht="23.25" customHeight="1" x14ac:dyDescent="0.25">
      <c r="A215" s="104" t="s">
        <v>64</v>
      </c>
      <c r="B215" s="105" t="s">
        <v>78</v>
      </c>
      <c r="C215" s="12" t="s">
        <v>31</v>
      </c>
      <c r="D215" s="14">
        <f>D216+D217+D218+D219+D220+D221</f>
        <v>511.27</v>
      </c>
      <c r="E215" s="14">
        <f t="shared" ref="E215" si="56">E216+E217+E218+E219+E220+E221</f>
        <v>0</v>
      </c>
      <c r="F215" s="14">
        <f t="shared" ref="F215:K215" si="57">F216+F217+F218+F219+F220+F221</f>
        <v>0</v>
      </c>
      <c r="G215" s="14">
        <f t="shared" si="57"/>
        <v>0</v>
      </c>
      <c r="H215" s="14">
        <f t="shared" si="57"/>
        <v>0</v>
      </c>
      <c r="I215" s="41">
        <f t="shared" si="57"/>
        <v>0</v>
      </c>
      <c r="J215" s="41">
        <f t="shared" si="57"/>
        <v>0</v>
      </c>
      <c r="K215" s="68">
        <f t="shared" si="57"/>
        <v>0</v>
      </c>
      <c r="L215" s="29"/>
    </row>
    <row r="216" spans="1:12" ht="30" customHeight="1" x14ac:dyDescent="0.25">
      <c r="A216" s="104"/>
      <c r="B216" s="105"/>
      <c r="C216" s="13" t="s">
        <v>32</v>
      </c>
      <c r="D216" s="14"/>
      <c r="E216" s="14"/>
      <c r="F216" s="14"/>
      <c r="G216" s="14"/>
      <c r="H216" s="14"/>
      <c r="I216" s="52"/>
      <c r="J216" s="37"/>
      <c r="K216" s="52"/>
      <c r="L216" s="29"/>
    </row>
    <row r="217" spans="1:12" ht="37.5" customHeight="1" x14ac:dyDescent="0.25">
      <c r="A217" s="104"/>
      <c r="B217" s="105"/>
      <c r="C217" s="13" t="s">
        <v>33</v>
      </c>
      <c r="D217" s="14">
        <v>357.87</v>
      </c>
      <c r="E217" s="14"/>
      <c r="F217" s="14"/>
      <c r="G217" s="14"/>
      <c r="H217" s="14"/>
      <c r="I217" s="52"/>
      <c r="J217" s="37"/>
      <c r="K217" s="52"/>
      <c r="L217" s="29"/>
    </row>
    <row r="218" spans="1:12" ht="15.75" customHeight="1" x14ac:dyDescent="0.25">
      <c r="A218" s="104"/>
      <c r="B218" s="105"/>
      <c r="C218" s="12" t="s">
        <v>34</v>
      </c>
      <c r="D218" s="14">
        <v>153.4</v>
      </c>
      <c r="E218" s="14"/>
      <c r="F218" s="14"/>
      <c r="G218" s="14"/>
      <c r="H218" s="14"/>
      <c r="I218" s="37"/>
      <c r="J218" s="37"/>
      <c r="K218" s="52"/>
      <c r="L218" s="29"/>
    </row>
    <row r="219" spans="1:12" ht="23.25" customHeight="1" x14ac:dyDescent="0.25">
      <c r="A219" s="104"/>
      <c r="B219" s="105"/>
      <c r="C219" s="13" t="s">
        <v>35</v>
      </c>
      <c r="D219" s="14"/>
      <c r="E219" s="14"/>
      <c r="F219" s="14"/>
      <c r="G219" s="14"/>
      <c r="H219" s="14"/>
      <c r="I219" s="52"/>
      <c r="J219" s="37"/>
      <c r="K219" s="52"/>
      <c r="L219" s="29"/>
    </row>
    <row r="220" spans="1:12" ht="27.75" customHeight="1" x14ac:dyDescent="0.25">
      <c r="A220" s="104"/>
      <c r="B220" s="105"/>
      <c r="C220" s="13" t="s">
        <v>36</v>
      </c>
      <c r="D220" s="14"/>
      <c r="E220" s="14"/>
      <c r="F220" s="14"/>
      <c r="G220" s="14"/>
      <c r="H220" s="14"/>
      <c r="I220" s="52"/>
      <c r="J220" s="37"/>
      <c r="K220" s="52"/>
      <c r="L220" s="29"/>
    </row>
    <row r="221" spans="1:12" ht="15.75" customHeight="1" x14ac:dyDescent="0.25">
      <c r="A221" s="104"/>
      <c r="B221" s="105"/>
      <c r="C221" s="12" t="s">
        <v>37</v>
      </c>
      <c r="D221" s="14"/>
      <c r="E221" s="14"/>
      <c r="F221" s="14"/>
      <c r="G221" s="14"/>
      <c r="H221" s="14"/>
      <c r="I221" s="52"/>
      <c r="J221" s="37"/>
      <c r="K221" s="52"/>
      <c r="L221" s="29"/>
    </row>
    <row r="222" spans="1:12" ht="23.25" customHeight="1" x14ac:dyDescent="0.25">
      <c r="A222" s="104" t="s">
        <v>66</v>
      </c>
      <c r="B222" s="105" t="s">
        <v>15</v>
      </c>
      <c r="C222" s="12" t="s">
        <v>31</v>
      </c>
      <c r="D222" s="14">
        <f>D223+D224+D225+D226+D227+D228</f>
        <v>18.3</v>
      </c>
      <c r="E222" s="14">
        <f t="shared" ref="E222:K222" si="58">E223+E224+E225+E226+E227+E228</f>
        <v>26.85</v>
      </c>
      <c r="F222" s="14">
        <f t="shared" si="58"/>
        <v>34.799999999999997</v>
      </c>
      <c r="G222" s="14">
        <f t="shared" si="58"/>
        <v>34.799999999999997</v>
      </c>
      <c r="H222" s="14">
        <f t="shared" si="58"/>
        <v>70.3</v>
      </c>
      <c r="I222" s="41">
        <f t="shared" si="58"/>
        <v>79.900000000000006</v>
      </c>
      <c r="J222" s="41">
        <f t="shared" si="58"/>
        <v>79.900000000000006</v>
      </c>
      <c r="K222" s="68">
        <f t="shared" si="58"/>
        <v>79.900000000000006</v>
      </c>
      <c r="L222" s="29"/>
    </row>
    <row r="223" spans="1:12" ht="35.25" customHeight="1" x14ac:dyDescent="0.25">
      <c r="A223" s="104"/>
      <c r="B223" s="105"/>
      <c r="C223" s="13" t="s">
        <v>32</v>
      </c>
      <c r="D223" s="14"/>
      <c r="E223" s="14"/>
      <c r="F223" s="14"/>
      <c r="G223" s="14"/>
      <c r="H223" s="14"/>
      <c r="I223" s="52"/>
      <c r="J223" s="37"/>
      <c r="K223" s="52"/>
      <c r="L223" s="29"/>
    </row>
    <row r="224" spans="1:12" ht="33" customHeight="1" x14ac:dyDescent="0.25">
      <c r="A224" s="104"/>
      <c r="B224" s="105"/>
      <c r="C224" s="13" t="s">
        <v>33</v>
      </c>
      <c r="D224" s="14"/>
      <c r="E224" s="14"/>
      <c r="F224" s="14"/>
      <c r="G224" s="14"/>
      <c r="H224" s="14"/>
      <c r="I224" s="52"/>
      <c r="J224" s="37"/>
      <c r="K224" s="52"/>
      <c r="L224" s="29"/>
    </row>
    <row r="225" spans="1:12" ht="15.75" customHeight="1" x14ac:dyDescent="0.25">
      <c r="A225" s="104"/>
      <c r="B225" s="105"/>
      <c r="C225" s="12" t="s">
        <v>34</v>
      </c>
      <c r="D225" s="14">
        <v>18.3</v>
      </c>
      <c r="E225" s="14">
        <f>24+2.85</f>
        <v>26.85</v>
      </c>
      <c r="F225" s="14">
        <v>34.799999999999997</v>
      </c>
      <c r="G225" s="14">
        <v>34.799999999999997</v>
      </c>
      <c r="H225" s="14">
        <v>70.3</v>
      </c>
      <c r="I225" s="37">
        <v>79.900000000000006</v>
      </c>
      <c r="J225" s="37">
        <v>79.900000000000006</v>
      </c>
      <c r="K225" s="52">
        <v>79.900000000000006</v>
      </c>
      <c r="L225" s="29"/>
    </row>
    <row r="226" spans="1:12" ht="31.5" customHeight="1" x14ac:dyDescent="0.25">
      <c r="A226" s="104"/>
      <c r="B226" s="105"/>
      <c r="C226" s="13" t="s">
        <v>35</v>
      </c>
      <c r="D226" s="14"/>
      <c r="E226" s="14"/>
      <c r="F226" s="14"/>
      <c r="G226" s="14"/>
      <c r="H226" s="14"/>
      <c r="I226" s="52"/>
      <c r="J226" s="37"/>
      <c r="K226" s="52"/>
      <c r="L226" s="29"/>
    </row>
    <row r="227" spans="1:12" ht="28.5" customHeight="1" x14ac:dyDescent="0.25">
      <c r="A227" s="104"/>
      <c r="B227" s="105"/>
      <c r="C227" s="13" t="s">
        <v>36</v>
      </c>
      <c r="D227" s="14"/>
      <c r="E227" s="14"/>
      <c r="F227" s="14"/>
      <c r="G227" s="14"/>
      <c r="H227" s="14"/>
      <c r="I227" s="52"/>
      <c r="J227" s="37"/>
      <c r="K227" s="52"/>
      <c r="L227" s="29"/>
    </row>
    <row r="228" spans="1:12" ht="15.75" customHeight="1" x14ac:dyDescent="0.25">
      <c r="A228" s="104"/>
      <c r="B228" s="105"/>
      <c r="C228" s="12" t="s">
        <v>37</v>
      </c>
      <c r="D228" s="14"/>
      <c r="E228" s="14"/>
      <c r="F228" s="14"/>
      <c r="G228" s="14"/>
      <c r="H228" s="14"/>
      <c r="I228" s="52"/>
      <c r="J228" s="37"/>
      <c r="K228" s="52"/>
      <c r="L228" s="29"/>
    </row>
    <row r="229" spans="1:12" ht="22.5" customHeight="1" x14ac:dyDescent="0.25">
      <c r="A229" s="104" t="s">
        <v>67</v>
      </c>
      <c r="B229" s="105" t="s">
        <v>12</v>
      </c>
      <c r="C229" s="12" t="s">
        <v>31</v>
      </c>
      <c r="D229" s="14">
        <f>D230+D231+D232+D233+D234+D235</f>
        <v>0</v>
      </c>
      <c r="E229" s="14">
        <f t="shared" ref="E229" si="59">E230+E231+E232+E233+E234+E235</f>
        <v>70</v>
      </c>
      <c r="F229" s="14">
        <f t="shared" ref="F229:K229" si="60">F230+F231+F232+F233+F234+F235</f>
        <v>0</v>
      </c>
      <c r="G229" s="14">
        <f t="shared" si="60"/>
        <v>0</v>
      </c>
      <c r="H229" s="14">
        <f t="shared" si="60"/>
        <v>0</v>
      </c>
      <c r="I229" s="41">
        <f t="shared" si="60"/>
        <v>50</v>
      </c>
      <c r="J229" s="41">
        <f t="shared" si="60"/>
        <v>15</v>
      </c>
      <c r="K229" s="68">
        <f t="shared" si="60"/>
        <v>66</v>
      </c>
      <c r="L229" s="29"/>
    </row>
    <row r="230" spans="1:12" ht="33" customHeight="1" x14ac:dyDescent="0.25">
      <c r="A230" s="104"/>
      <c r="B230" s="105"/>
      <c r="C230" s="13" t="s">
        <v>32</v>
      </c>
      <c r="D230" s="14"/>
      <c r="E230" s="14"/>
      <c r="F230" s="14"/>
      <c r="G230" s="14"/>
      <c r="H230" s="14"/>
      <c r="I230" s="52"/>
      <c r="J230" s="37"/>
      <c r="K230" s="52"/>
      <c r="L230" s="29"/>
    </row>
    <row r="231" spans="1:12" ht="29.25" customHeight="1" x14ac:dyDescent="0.25">
      <c r="A231" s="104"/>
      <c r="B231" s="105"/>
      <c r="C231" s="13" t="s">
        <v>33</v>
      </c>
      <c r="D231" s="14"/>
      <c r="E231" s="14"/>
      <c r="F231" s="14"/>
      <c r="G231" s="14"/>
      <c r="H231" s="14"/>
      <c r="I231" s="52"/>
      <c r="J231" s="37"/>
      <c r="K231" s="52"/>
      <c r="L231" s="29"/>
    </row>
    <row r="232" spans="1:12" ht="15.75" customHeight="1" x14ac:dyDescent="0.25">
      <c r="A232" s="104"/>
      <c r="B232" s="105"/>
      <c r="C232" s="12" t="s">
        <v>34</v>
      </c>
      <c r="D232" s="14"/>
      <c r="E232" s="14">
        <v>70</v>
      </c>
      <c r="F232" s="14"/>
      <c r="G232" s="14"/>
      <c r="H232" s="14"/>
      <c r="I232" s="52">
        <v>50</v>
      </c>
      <c r="J232" s="37">
        <v>15</v>
      </c>
      <c r="K232" s="52">
        <v>66</v>
      </c>
      <c r="L232" s="29"/>
    </row>
    <row r="233" spans="1:12" ht="30.75" customHeight="1" x14ac:dyDescent="0.25">
      <c r="A233" s="104"/>
      <c r="B233" s="105"/>
      <c r="C233" s="13" t="s">
        <v>35</v>
      </c>
      <c r="D233" s="14"/>
      <c r="E233" s="14"/>
      <c r="F233" s="14"/>
      <c r="G233" s="14"/>
      <c r="H233" s="14"/>
      <c r="I233" s="52"/>
      <c r="J233" s="37"/>
      <c r="K233" s="52"/>
      <c r="L233" s="29"/>
    </row>
    <row r="234" spans="1:12" ht="29.25" customHeight="1" x14ac:dyDescent="0.25">
      <c r="A234" s="104"/>
      <c r="B234" s="105"/>
      <c r="C234" s="13" t="s">
        <v>36</v>
      </c>
      <c r="D234" s="14"/>
      <c r="E234" s="14"/>
      <c r="F234" s="14"/>
      <c r="G234" s="14"/>
      <c r="H234" s="14"/>
      <c r="I234" s="52"/>
      <c r="J234" s="37"/>
      <c r="K234" s="52"/>
      <c r="L234" s="29"/>
    </row>
    <row r="235" spans="1:12" ht="15.75" customHeight="1" x14ac:dyDescent="0.25">
      <c r="A235" s="104"/>
      <c r="B235" s="105"/>
      <c r="C235" s="12" t="s">
        <v>37</v>
      </c>
      <c r="D235" s="14"/>
      <c r="E235" s="14"/>
      <c r="F235" s="14"/>
      <c r="G235" s="14"/>
      <c r="H235" s="14"/>
      <c r="I235" s="52"/>
      <c r="J235" s="37"/>
      <c r="K235" s="52"/>
      <c r="L235" s="29"/>
    </row>
    <row r="236" spans="1:12" ht="22.5" customHeight="1" x14ac:dyDescent="0.25">
      <c r="A236" s="104" t="s">
        <v>68</v>
      </c>
      <c r="B236" s="105" t="s">
        <v>58</v>
      </c>
      <c r="C236" s="12" t="s">
        <v>31</v>
      </c>
      <c r="D236" s="14">
        <f>D237+D238+D239+D240+D241+D242</f>
        <v>0</v>
      </c>
      <c r="E236" s="14">
        <f t="shared" ref="E236" si="61">E237+E238+E239+E240+E241+E242</f>
        <v>0</v>
      </c>
      <c r="F236" s="14">
        <f t="shared" ref="F236:K236" si="62">F237+F238+F239+F240+F241+F242</f>
        <v>0</v>
      </c>
      <c r="G236" s="14">
        <f t="shared" si="62"/>
        <v>0</v>
      </c>
      <c r="H236" s="14">
        <f t="shared" si="62"/>
        <v>0</v>
      </c>
      <c r="I236" s="41">
        <f t="shared" si="62"/>
        <v>0</v>
      </c>
      <c r="J236" s="41">
        <f t="shared" si="62"/>
        <v>0</v>
      </c>
      <c r="K236" s="68">
        <f t="shared" si="62"/>
        <v>0</v>
      </c>
      <c r="L236" s="29"/>
    </row>
    <row r="237" spans="1:12" ht="29.25" customHeight="1" x14ac:dyDescent="0.25">
      <c r="A237" s="104"/>
      <c r="B237" s="105"/>
      <c r="C237" s="13" t="s">
        <v>32</v>
      </c>
      <c r="D237" s="14"/>
      <c r="E237" s="14"/>
      <c r="F237" s="14"/>
      <c r="G237" s="14"/>
      <c r="H237" s="14"/>
      <c r="I237" s="52"/>
      <c r="J237" s="37"/>
      <c r="K237" s="52"/>
      <c r="L237" s="29"/>
    </row>
    <row r="238" spans="1:12" ht="33.75" customHeight="1" x14ac:dyDescent="0.25">
      <c r="A238" s="104"/>
      <c r="B238" s="105"/>
      <c r="C238" s="13" t="s">
        <v>33</v>
      </c>
      <c r="D238" s="14"/>
      <c r="E238" s="14"/>
      <c r="F238" s="14"/>
      <c r="G238" s="14"/>
      <c r="H238" s="14"/>
      <c r="I238" s="52"/>
      <c r="J238" s="37"/>
      <c r="K238" s="52"/>
      <c r="L238" s="29"/>
    </row>
    <row r="239" spans="1:12" ht="20.25" customHeight="1" x14ac:dyDescent="0.25">
      <c r="A239" s="104"/>
      <c r="B239" s="105"/>
      <c r="C239" s="13" t="s">
        <v>34</v>
      </c>
      <c r="D239" s="14"/>
      <c r="E239" s="14"/>
      <c r="F239" s="14"/>
      <c r="G239" s="14"/>
      <c r="H239" s="14"/>
      <c r="I239" s="37"/>
      <c r="J239" s="37"/>
      <c r="K239" s="52"/>
      <c r="L239" s="29"/>
    </row>
    <row r="240" spans="1:12" ht="33" customHeight="1" x14ac:dyDescent="0.25">
      <c r="A240" s="104"/>
      <c r="B240" s="105"/>
      <c r="C240" s="13" t="s">
        <v>35</v>
      </c>
      <c r="D240" s="14"/>
      <c r="E240" s="14"/>
      <c r="F240" s="14"/>
      <c r="G240" s="14"/>
      <c r="H240" s="14"/>
      <c r="I240" s="52"/>
      <c r="J240" s="37"/>
      <c r="K240" s="52"/>
      <c r="L240" s="29"/>
    </row>
    <row r="241" spans="1:12" ht="33" customHeight="1" x14ac:dyDescent="0.25">
      <c r="A241" s="104"/>
      <c r="B241" s="105"/>
      <c r="C241" s="13" t="s">
        <v>36</v>
      </c>
      <c r="D241" s="14"/>
      <c r="E241" s="14"/>
      <c r="F241" s="14"/>
      <c r="G241" s="14"/>
      <c r="H241" s="14"/>
      <c r="I241" s="52"/>
      <c r="J241" s="37"/>
      <c r="K241" s="52"/>
      <c r="L241" s="29"/>
    </row>
    <row r="242" spans="1:12" ht="15.75" customHeight="1" x14ac:dyDescent="0.25">
      <c r="A242" s="104"/>
      <c r="B242" s="105"/>
      <c r="C242" s="12" t="s">
        <v>37</v>
      </c>
      <c r="D242" s="14"/>
      <c r="E242" s="14"/>
      <c r="F242" s="14"/>
      <c r="G242" s="14"/>
      <c r="H242" s="14"/>
      <c r="I242" s="52"/>
      <c r="J242" s="37"/>
      <c r="K242" s="52"/>
      <c r="L242" s="29"/>
    </row>
    <row r="243" spans="1:12" ht="15.75" customHeight="1" x14ac:dyDescent="0.25">
      <c r="A243" s="120" t="s">
        <v>91</v>
      </c>
      <c r="B243" s="89" t="s">
        <v>92</v>
      </c>
      <c r="C243" s="12" t="s">
        <v>31</v>
      </c>
      <c r="D243" s="36">
        <f>D244+D245+D246+D247+D248+D249</f>
        <v>0</v>
      </c>
      <c r="E243" s="36">
        <f t="shared" ref="E243:K243" si="63">E244+E245+E246+E247+E248+E249</f>
        <v>248.97</v>
      </c>
      <c r="F243" s="36">
        <f t="shared" si="63"/>
        <v>0</v>
      </c>
      <c r="G243" s="36">
        <f t="shared" si="63"/>
        <v>0</v>
      </c>
      <c r="H243" s="36">
        <f t="shared" si="63"/>
        <v>0</v>
      </c>
      <c r="I243" s="41">
        <f t="shared" si="63"/>
        <v>0</v>
      </c>
      <c r="J243" s="41">
        <f t="shared" si="63"/>
        <v>0</v>
      </c>
      <c r="K243" s="68">
        <f t="shared" si="63"/>
        <v>0</v>
      </c>
      <c r="L243" s="29"/>
    </row>
    <row r="244" spans="1:12" ht="36" customHeight="1" x14ac:dyDescent="0.25">
      <c r="A244" s="121"/>
      <c r="B244" s="101"/>
      <c r="C244" s="13" t="s">
        <v>32</v>
      </c>
      <c r="D244" s="36"/>
      <c r="E244" s="36"/>
      <c r="F244" s="36"/>
      <c r="G244" s="36"/>
      <c r="H244" s="36"/>
      <c r="I244" s="52"/>
      <c r="J244" s="37"/>
      <c r="K244" s="52"/>
      <c r="L244" s="29"/>
    </row>
    <row r="245" spans="1:12" ht="34.5" customHeight="1" x14ac:dyDescent="0.25">
      <c r="A245" s="121"/>
      <c r="B245" s="101"/>
      <c r="C245" s="13" t="s">
        <v>33</v>
      </c>
      <c r="D245" s="36"/>
      <c r="E245" s="36"/>
      <c r="F245" s="36"/>
      <c r="G245" s="36"/>
      <c r="H245" s="36"/>
      <c r="I245" s="52"/>
      <c r="J245" s="37"/>
      <c r="K245" s="52"/>
      <c r="L245" s="29"/>
    </row>
    <row r="246" spans="1:12" ht="19.5" customHeight="1" x14ac:dyDescent="0.25">
      <c r="A246" s="121"/>
      <c r="B246" s="101"/>
      <c r="C246" s="13" t="s">
        <v>34</v>
      </c>
      <c r="D246" s="36"/>
      <c r="E246" s="36">
        <v>248.97</v>
      </c>
      <c r="F246" s="36"/>
      <c r="G246" s="36"/>
      <c r="H246" s="36"/>
      <c r="I246" s="52"/>
      <c r="J246" s="37"/>
      <c r="K246" s="52"/>
      <c r="L246" s="29"/>
    </row>
    <row r="247" spans="1:12" ht="33.75" customHeight="1" x14ac:dyDescent="0.25">
      <c r="A247" s="121"/>
      <c r="B247" s="101"/>
      <c r="C247" s="13" t="s">
        <v>35</v>
      </c>
      <c r="D247" s="36"/>
      <c r="E247" s="36"/>
      <c r="F247" s="36"/>
      <c r="G247" s="36"/>
      <c r="H247" s="36"/>
      <c r="I247" s="52"/>
      <c r="J247" s="37"/>
      <c r="K247" s="52"/>
      <c r="L247" s="29"/>
    </row>
    <row r="248" spans="1:12" ht="32.25" customHeight="1" x14ac:dyDescent="0.25">
      <c r="A248" s="121"/>
      <c r="B248" s="101"/>
      <c r="C248" s="13" t="s">
        <v>36</v>
      </c>
      <c r="D248" s="36"/>
      <c r="E248" s="36"/>
      <c r="F248" s="36"/>
      <c r="G248" s="36"/>
      <c r="H248" s="36"/>
      <c r="I248" s="52"/>
      <c r="J248" s="37"/>
      <c r="K248" s="52"/>
      <c r="L248" s="29"/>
    </row>
    <row r="249" spans="1:12" ht="15.75" customHeight="1" x14ac:dyDescent="0.25">
      <c r="A249" s="122"/>
      <c r="B249" s="90"/>
      <c r="C249" s="12" t="s">
        <v>37</v>
      </c>
      <c r="D249" s="36"/>
      <c r="E249" s="36"/>
      <c r="F249" s="36"/>
      <c r="G249" s="36"/>
      <c r="H249" s="36"/>
      <c r="I249" s="52"/>
      <c r="J249" s="37"/>
      <c r="K249" s="52"/>
      <c r="L249" s="29"/>
    </row>
    <row r="250" spans="1:12" ht="15.75" customHeight="1" x14ac:dyDescent="0.25">
      <c r="A250" s="120" t="s">
        <v>137</v>
      </c>
      <c r="B250" s="89" t="s">
        <v>102</v>
      </c>
      <c r="C250" s="12" t="s">
        <v>31</v>
      </c>
      <c r="D250" s="39">
        <f>D251+D252+D253+D254+D255+D256</f>
        <v>0</v>
      </c>
      <c r="E250" s="39">
        <f t="shared" ref="E250:K250" si="64">E251+E252+E253+E254+E255+E256</f>
        <v>0</v>
      </c>
      <c r="F250" s="39">
        <f t="shared" si="64"/>
        <v>63.1</v>
      </c>
      <c r="G250" s="39">
        <f t="shared" si="64"/>
        <v>63</v>
      </c>
      <c r="H250" s="39">
        <f t="shared" si="64"/>
        <v>0</v>
      </c>
      <c r="I250" s="41">
        <f t="shared" si="64"/>
        <v>0</v>
      </c>
      <c r="J250" s="41">
        <f t="shared" si="64"/>
        <v>0</v>
      </c>
      <c r="K250" s="68">
        <f t="shared" si="64"/>
        <v>0</v>
      </c>
      <c r="L250" s="29"/>
    </row>
    <row r="251" spans="1:12" ht="33.75" customHeight="1" x14ac:dyDescent="0.25">
      <c r="A251" s="121"/>
      <c r="B251" s="101"/>
      <c r="C251" s="13" t="s">
        <v>32</v>
      </c>
      <c r="D251" s="39"/>
      <c r="E251" s="39"/>
      <c r="F251" s="39"/>
      <c r="G251" s="39"/>
      <c r="H251" s="39"/>
      <c r="I251" s="52"/>
      <c r="J251" s="37"/>
      <c r="K251" s="52"/>
      <c r="L251" s="29"/>
    </row>
    <row r="252" spans="1:12" ht="27" customHeight="1" x14ac:dyDescent="0.25">
      <c r="A252" s="121"/>
      <c r="B252" s="101"/>
      <c r="C252" s="13" t="s">
        <v>33</v>
      </c>
      <c r="D252" s="39"/>
      <c r="E252" s="39"/>
      <c r="F252" s="39"/>
      <c r="G252" s="39"/>
      <c r="H252" s="39"/>
      <c r="I252" s="52"/>
      <c r="J252" s="37"/>
      <c r="K252" s="52"/>
      <c r="L252" s="29"/>
    </row>
    <row r="253" spans="1:12" ht="15.75" customHeight="1" x14ac:dyDescent="0.25">
      <c r="A253" s="121"/>
      <c r="B253" s="101"/>
      <c r="C253" s="12" t="s">
        <v>34</v>
      </c>
      <c r="D253" s="39"/>
      <c r="E253" s="39"/>
      <c r="F253" s="39">
        <v>63.1</v>
      </c>
      <c r="G253" s="39">
        <v>63</v>
      </c>
      <c r="H253" s="39"/>
      <c r="I253" s="52"/>
      <c r="J253" s="37"/>
      <c r="K253" s="52"/>
      <c r="L253" s="29"/>
    </row>
    <row r="254" spans="1:12" ht="15.75" customHeight="1" x14ac:dyDescent="0.25">
      <c r="A254" s="121"/>
      <c r="B254" s="101"/>
      <c r="C254" s="13" t="s">
        <v>35</v>
      </c>
      <c r="D254" s="39"/>
      <c r="E254" s="39"/>
      <c r="F254" s="39"/>
      <c r="G254" s="39"/>
      <c r="H254" s="39"/>
      <c r="I254" s="52"/>
      <c r="J254" s="37"/>
      <c r="K254" s="52"/>
      <c r="L254" s="29"/>
    </row>
    <row r="255" spans="1:12" ht="15.75" customHeight="1" x14ac:dyDescent="0.25">
      <c r="A255" s="121"/>
      <c r="B255" s="101"/>
      <c r="C255" s="13" t="s">
        <v>36</v>
      </c>
      <c r="D255" s="39"/>
      <c r="E255" s="39"/>
      <c r="F255" s="39"/>
      <c r="G255" s="39"/>
      <c r="H255" s="39"/>
      <c r="I255" s="52"/>
      <c r="J255" s="37"/>
      <c r="K255" s="52"/>
      <c r="L255" s="29"/>
    </row>
    <row r="256" spans="1:12" ht="15.75" customHeight="1" x14ac:dyDescent="0.25">
      <c r="A256" s="122"/>
      <c r="B256" s="90"/>
      <c r="C256" s="12" t="s">
        <v>37</v>
      </c>
      <c r="D256" s="39"/>
      <c r="E256" s="39"/>
      <c r="F256" s="39"/>
      <c r="G256" s="39"/>
      <c r="H256" s="39"/>
      <c r="I256" s="52"/>
      <c r="J256" s="37"/>
      <c r="K256" s="52"/>
      <c r="L256" s="29"/>
    </row>
    <row r="257" spans="1:12" ht="23.25" customHeight="1" x14ac:dyDescent="0.25">
      <c r="A257" s="104" t="s">
        <v>77</v>
      </c>
      <c r="B257" s="105" t="s">
        <v>19</v>
      </c>
      <c r="C257" s="12" t="s">
        <v>31</v>
      </c>
      <c r="D257" s="14">
        <f>D264+D271+D278+D285+D292</f>
        <v>12680.900000000001</v>
      </c>
      <c r="E257" s="70">
        <f>E264+E271+E278+E285+E292+E299</f>
        <v>13932.499999999998</v>
      </c>
      <c r="F257" s="70">
        <f t="shared" ref="F257:H257" si="65">F264+F271+F278+F285+F292+F299</f>
        <v>14491.04</v>
      </c>
      <c r="G257" s="70">
        <f t="shared" si="65"/>
        <v>14985.180000000002</v>
      </c>
      <c r="H257" s="70">
        <f t="shared" si="65"/>
        <v>16901.978999999999</v>
      </c>
      <c r="I257" s="70">
        <f>I264+I271+I278+I285+I292+I299+I306</f>
        <v>19935.39</v>
      </c>
      <c r="J257" s="72">
        <f t="shared" ref="J257:K257" si="66">J264+J271+J278+J285+J292+J299+J306</f>
        <v>19935.39</v>
      </c>
      <c r="K257" s="72">
        <f t="shared" si="66"/>
        <v>19622.189999999999</v>
      </c>
      <c r="L257" s="29"/>
    </row>
    <row r="258" spans="1:12" ht="33" customHeight="1" x14ac:dyDescent="0.25">
      <c r="A258" s="104"/>
      <c r="B258" s="105"/>
      <c r="C258" s="13" t="s">
        <v>32</v>
      </c>
      <c r="D258" s="14">
        <f t="shared" ref="D258:J263" si="67">D265+D272+D279+D286</f>
        <v>0</v>
      </c>
      <c r="E258" s="14">
        <f t="shared" si="67"/>
        <v>0</v>
      </c>
      <c r="F258" s="14">
        <f t="shared" si="67"/>
        <v>0</v>
      </c>
      <c r="G258" s="14">
        <f t="shared" si="67"/>
        <v>0</v>
      </c>
      <c r="H258" s="14">
        <f t="shared" si="67"/>
        <v>0</v>
      </c>
      <c r="I258" s="41">
        <f t="shared" si="67"/>
        <v>0</v>
      </c>
      <c r="J258" s="41">
        <f t="shared" si="67"/>
        <v>0</v>
      </c>
      <c r="K258" s="52"/>
      <c r="L258" s="29"/>
    </row>
    <row r="259" spans="1:12" ht="31.5" x14ac:dyDescent="0.25">
      <c r="A259" s="104"/>
      <c r="B259" s="105"/>
      <c r="C259" s="13" t="s">
        <v>33</v>
      </c>
      <c r="D259" s="14">
        <f>D266+D273+D280+D287</f>
        <v>0</v>
      </c>
      <c r="E259" s="70">
        <f t="shared" ref="E259:H259" si="68">E266+E273+E280+E287</f>
        <v>0</v>
      </c>
      <c r="F259" s="70">
        <f t="shared" si="68"/>
        <v>0</v>
      </c>
      <c r="G259" s="70">
        <f t="shared" si="68"/>
        <v>0</v>
      </c>
      <c r="H259" s="70">
        <f t="shared" si="68"/>
        <v>0</v>
      </c>
      <c r="I259" s="28">
        <f>I266+I273+I280+I287+I308</f>
        <v>2550</v>
      </c>
      <c r="J259" s="28">
        <f t="shared" ref="J259:K259" si="69">J266+J273+J280+J287+J308</f>
        <v>2550</v>
      </c>
      <c r="K259" s="28">
        <f t="shared" si="69"/>
        <v>2550</v>
      </c>
      <c r="L259" s="29"/>
    </row>
    <row r="260" spans="1:12" ht="15.75" customHeight="1" x14ac:dyDescent="0.25">
      <c r="A260" s="104"/>
      <c r="B260" s="105"/>
      <c r="C260" s="12" t="s">
        <v>34</v>
      </c>
      <c r="D260" s="14">
        <f>D267+D274+D281+D288+D295</f>
        <v>12680.900000000001</v>
      </c>
      <c r="E260" s="32">
        <f>E267+E274+E281+E288+E295+E302</f>
        <v>13932.499999999998</v>
      </c>
      <c r="F260" s="36">
        <f t="shared" ref="F260:H260" si="70">F267+F274+F281+F288+F295+F302</f>
        <v>14491.04</v>
      </c>
      <c r="G260" s="36">
        <f t="shared" si="70"/>
        <v>14985.180000000002</v>
      </c>
      <c r="H260" s="36">
        <f t="shared" si="70"/>
        <v>16901.978999999999</v>
      </c>
      <c r="I260" s="28">
        <f>I267+I274+I281+I288+I295+I302</f>
        <v>17385.39</v>
      </c>
      <c r="J260" s="28">
        <f t="shared" ref="J260:K260" si="71">J267+J274+J281+J288+J295+J302</f>
        <v>17385.39</v>
      </c>
      <c r="K260" s="28">
        <f t="shared" si="71"/>
        <v>17072.189999999999</v>
      </c>
      <c r="L260" s="29"/>
    </row>
    <row r="261" spans="1:12" ht="32.25" customHeight="1" x14ac:dyDescent="0.25">
      <c r="A261" s="104"/>
      <c r="B261" s="105"/>
      <c r="C261" s="13" t="s">
        <v>35</v>
      </c>
      <c r="D261" s="14">
        <f t="shared" si="67"/>
        <v>0</v>
      </c>
      <c r="E261" s="14">
        <f t="shared" si="67"/>
        <v>0</v>
      </c>
      <c r="F261" s="14">
        <f t="shared" si="67"/>
        <v>0</v>
      </c>
      <c r="G261" s="14">
        <f t="shared" si="67"/>
        <v>0</v>
      </c>
      <c r="H261" s="14">
        <f t="shared" si="67"/>
        <v>0</v>
      </c>
      <c r="I261" s="41">
        <f t="shared" si="67"/>
        <v>0</v>
      </c>
      <c r="J261" s="41">
        <f t="shared" si="67"/>
        <v>0</v>
      </c>
      <c r="K261" s="52"/>
      <c r="L261" s="29"/>
    </row>
    <row r="262" spans="1:12" ht="33.75" customHeight="1" x14ac:dyDescent="0.25">
      <c r="A262" s="104"/>
      <c r="B262" s="105"/>
      <c r="C262" s="13" t="s">
        <v>36</v>
      </c>
      <c r="D262" s="14">
        <f t="shared" si="67"/>
        <v>0</v>
      </c>
      <c r="E262" s="14">
        <f t="shared" si="67"/>
        <v>0</v>
      </c>
      <c r="F262" s="14">
        <f t="shared" si="67"/>
        <v>0</v>
      </c>
      <c r="G262" s="14">
        <f t="shared" si="67"/>
        <v>0</v>
      </c>
      <c r="H262" s="14">
        <f t="shared" si="67"/>
        <v>0</v>
      </c>
      <c r="I262" s="41">
        <f t="shared" si="67"/>
        <v>0</v>
      </c>
      <c r="J262" s="41">
        <f t="shared" si="67"/>
        <v>0</v>
      </c>
      <c r="K262" s="52"/>
      <c r="L262" s="29"/>
    </row>
    <row r="263" spans="1:12" ht="15.75" customHeight="1" x14ac:dyDescent="0.25">
      <c r="A263" s="104"/>
      <c r="B263" s="105"/>
      <c r="C263" s="12" t="s">
        <v>37</v>
      </c>
      <c r="D263" s="14">
        <f t="shared" si="67"/>
        <v>0</v>
      </c>
      <c r="E263" s="14">
        <f t="shared" si="67"/>
        <v>0</v>
      </c>
      <c r="F263" s="14">
        <f t="shared" si="67"/>
        <v>0</v>
      </c>
      <c r="G263" s="14">
        <f t="shared" si="67"/>
        <v>0</v>
      </c>
      <c r="H263" s="14">
        <f t="shared" si="67"/>
        <v>0</v>
      </c>
      <c r="I263" s="41">
        <f t="shared" si="67"/>
        <v>0</v>
      </c>
      <c r="J263" s="41">
        <f t="shared" si="67"/>
        <v>0</v>
      </c>
      <c r="K263" s="52"/>
      <c r="L263" s="29"/>
    </row>
    <row r="264" spans="1:12" ht="21" customHeight="1" x14ac:dyDescent="0.25">
      <c r="A264" s="104" t="s">
        <v>70</v>
      </c>
      <c r="B264" s="105" t="s">
        <v>20</v>
      </c>
      <c r="C264" s="12" t="s">
        <v>31</v>
      </c>
      <c r="D264" s="14">
        <f>D265+D266+D267+D268+D269+D270</f>
        <v>70</v>
      </c>
      <c r="E264" s="14">
        <f t="shared" ref="E264" si="72">E265+E266+E267+E268+E269+E270</f>
        <v>70</v>
      </c>
      <c r="F264" s="14">
        <f t="shared" ref="F264:K264" si="73">F265+F266+F267+F268+F269+F270</f>
        <v>0</v>
      </c>
      <c r="G264" s="14">
        <f t="shared" si="73"/>
        <v>0</v>
      </c>
      <c r="H264" s="14">
        <f t="shared" si="73"/>
        <v>0</v>
      </c>
      <c r="I264" s="41">
        <f t="shared" si="73"/>
        <v>0</v>
      </c>
      <c r="J264" s="41">
        <f t="shared" si="73"/>
        <v>0</v>
      </c>
      <c r="K264" s="68">
        <f t="shared" si="73"/>
        <v>0</v>
      </c>
      <c r="L264" s="29"/>
    </row>
    <row r="265" spans="1:12" ht="32.25" customHeight="1" x14ac:dyDescent="0.25">
      <c r="A265" s="104"/>
      <c r="B265" s="105"/>
      <c r="C265" s="13" t="s">
        <v>32</v>
      </c>
      <c r="D265" s="14"/>
      <c r="E265" s="14"/>
      <c r="F265" s="14"/>
      <c r="G265" s="14"/>
      <c r="H265" s="14"/>
      <c r="I265" s="52"/>
      <c r="J265" s="37"/>
      <c r="K265" s="52"/>
      <c r="L265" s="29"/>
    </row>
    <row r="266" spans="1:12" ht="33" customHeight="1" x14ac:dyDescent="0.25">
      <c r="A266" s="104"/>
      <c r="B266" s="105"/>
      <c r="C266" s="13" t="s">
        <v>33</v>
      </c>
      <c r="D266" s="14"/>
      <c r="E266" s="14"/>
      <c r="F266" s="14"/>
      <c r="G266" s="14"/>
      <c r="H266" s="14"/>
      <c r="I266" s="52"/>
      <c r="J266" s="37"/>
      <c r="K266" s="52"/>
      <c r="L266" s="29"/>
    </row>
    <row r="267" spans="1:12" ht="15.75" customHeight="1" x14ac:dyDescent="0.25">
      <c r="A267" s="104"/>
      <c r="B267" s="105"/>
      <c r="C267" s="12" t="s">
        <v>34</v>
      </c>
      <c r="D267" s="25">
        <v>70</v>
      </c>
      <c r="E267" s="25">
        <v>70</v>
      </c>
      <c r="F267" s="25"/>
      <c r="G267" s="25"/>
      <c r="H267" s="25"/>
      <c r="I267" s="52"/>
      <c r="J267" s="37"/>
      <c r="K267" s="52"/>
      <c r="L267" s="29"/>
    </row>
    <row r="268" spans="1:12" ht="32.25" customHeight="1" x14ac:dyDescent="0.25">
      <c r="A268" s="104"/>
      <c r="B268" s="105"/>
      <c r="C268" s="13" t="s">
        <v>35</v>
      </c>
      <c r="D268" s="14"/>
      <c r="E268" s="14"/>
      <c r="F268" s="14"/>
      <c r="G268" s="14"/>
      <c r="H268" s="14"/>
      <c r="I268" s="52"/>
      <c r="J268" s="37"/>
      <c r="K268" s="52"/>
      <c r="L268" s="29"/>
    </row>
    <row r="269" spans="1:12" ht="31.5" customHeight="1" x14ac:dyDescent="0.25">
      <c r="A269" s="104"/>
      <c r="B269" s="105"/>
      <c r="C269" s="13" t="s">
        <v>36</v>
      </c>
      <c r="D269" s="14"/>
      <c r="E269" s="14"/>
      <c r="F269" s="14"/>
      <c r="G269" s="14"/>
      <c r="H269" s="14"/>
      <c r="I269" s="52"/>
      <c r="J269" s="37"/>
      <c r="K269" s="52"/>
      <c r="L269" s="29"/>
    </row>
    <row r="270" spans="1:12" ht="15.75" customHeight="1" x14ac:dyDescent="0.25">
      <c r="A270" s="104"/>
      <c r="B270" s="105"/>
      <c r="C270" s="12" t="s">
        <v>37</v>
      </c>
      <c r="D270" s="14"/>
      <c r="E270" s="14"/>
      <c r="F270" s="14"/>
      <c r="G270" s="14"/>
      <c r="H270" s="14"/>
      <c r="I270" s="52"/>
      <c r="J270" s="37"/>
      <c r="K270" s="52"/>
      <c r="L270" s="29"/>
    </row>
    <row r="271" spans="1:12" ht="15.75" x14ac:dyDescent="0.25">
      <c r="A271" s="104" t="s">
        <v>71</v>
      </c>
      <c r="B271" s="105" t="s">
        <v>21</v>
      </c>
      <c r="C271" s="12" t="s">
        <v>31</v>
      </c>
      <c r="D271" s="14">
        <f>D272+D273+D274+D275+D276+D277</f>
        <v>2234.1</v>
      </c>
      <c r="E271" s="14">
        <f t="shared" ref="E271:K271" si="74">E272+E273+E274+E275+E276+E277</f>
        <v>2300.7999999999997</v>
      </c>
      <c r="F271" s="14">
        <f t="shared" si="74"/>
        <v>2241.87</v>
      </c>
      <c r="G271" s="14">
        <f t="shared" si="74"/>
        <v>2249.0699999999997</v>
      </c>
      <c r="H271" s="14">
        <f t="shared" si="74"/>
        <v>2661.3799999999997</v>
      </c>
      <c r="I271" s="41">
        <f t="shared" si="74"/>
        <v>2715.1</v>
      </c>
      <c r="J271" s="41">
        <f t="shared" si="74"/>
        <v>2715.1</v>
      </c>
      <c r="K271" s="68">
        <f t="shared" si="74"/>
        <v>2715.1</v>
      </c>
      <c r="L271" s="29"/>
    </row>
    <row r="272" spans="1:12" ht="32.25" customHeight="1" x14ac:dyDescent="0.25">
      <c r="A272" s="104"/>
      <c r="B272" s="105"/>
      <c r="C272" s="13" t="s">
        <v>32</v>
      </c>
      <c r="D272" s="14"/>
      <c r="E272" s="14"/>
      <c r="F272" s="14"/>
      <c r="G272" s="14"/>
      <c r="H272" s="14"/>
      <c r="I272" s="52"/>
      <c r="J272" s="37"/>
      <c r="K272" s="52"/>
      <c r="L272" s="29"/>
    </row>
    <row r="273" spans="1:12" ht="35.25" customHeight="1" x14ac:dyDescent="0.25">
      <c r="A273" s="104"/>
      <c r="B273" s="105"/>
      <c r="C273" s="13" t="s">
        <v>33</v>
      </c>
      <c r="D273" s="14"/>
      <c r="E273" s="14"/>
      <c r="F273" s="14"/>
      <c r="G273" s="14"/>
      <c r="H273" s="14"/>
      <c r="I273" s="52"/>
      <c r="J273" s="37"/>
      <c r="K273" s="52"/>
      <c r="L273" s="29"/>
    </row>
    <row r="274" spans="1:12" ht="15.75" x14ac:dyDescent="0.25">
      <c r="A274" s="104"/>
      <c r="B274" s="105"/>
      <c r="C274" s="12" t="s">
        <v>34</v>
      </c>
      <c r="D274" s="14">
        <v>2234.1</v>
      </c>
      <c r="E274" s="14">
        <f>2247.5+29.7+23.6</f>
        <v>2300.7999999999997</v>
      </c>
      <c r="F274" s="14">
        <f>2040.2+10+191.67</f>
        <v>2241.87</v>
      </c>
      <c r="G274" s="14">
        <f>2241.37-30+24+13.7</f>
        <v>2249.0699999999997</v>
      </c>
      <c r="H274" s="14">
        <f>2589.2+72.18</f>
        <v>2661.3799999999997</v>
      </c>
      <c r="I274" s="52">
        <v>2715.1</v>
      </c>
      <c r="J274" s="37">
        <v>2715.1</v>
      </c>
      <c r="K274" s="37">
        <v>2715.1</v>
      </c>
      <c r="L274" s="29"/>
    </row>
    <row r="275" spans="1:12" ht="31.5" customHeight="1" x14ac:dyDescent="0.25">
      <c r="A275" s="104"/>
      <c r="B275" s="105"/>
      <c r="C275" s="13" t="s">
        <v>35</v>
      </c>
      <c r="D275" s="14"/>
      <c r="E275" s="14"/>
      <c r="F275" s="14"/>
      <c r="G275" s="14"/>
      <c r="H275" s="14"/>
      <c r="I275" s="52"/>
      <c r="J275" s="37"/>
      <c r="K275" s="52"/>
      <c r="L275" s="29"/>
    </row>
    <row r="276" spans="1:12" ht="30.75" customHeight="1" x14ac:dyDescent="0.25">
      <c r="A276" s="104"/>
      <c r="B276" s="105"/>
      <c r="C276" s="13" t="s">
        <v>36</v>
      </c>
      <c r="D276" s="14"/>
      <c r="E276" s="14"/>
      <c r="F276" s="14"/>
      <c r="G276" s="14"/>
      <c r="H276" s="14"/>
      <c r="I276" s="52"/>
      <c r="J276" s="37"/>
      <c r="K276" s="52"/>
      <c r="L276" s="29"/>
    </row>
    <row r="277" spans="1:12" ht="15.75" x14ac:dyDescent="0.25">
      <c r="A277" s="104"/>
      <c r="B277" s="105"/>
      <c r="C277" s="12" t="s">
        <v>37</v>
      </c>
      <c r="D277" s="14"/>
      <c r="E277" s="14"/>
      <c r="F277" s="14"/>
      <c r="G277" s="14"/>
      <c r="H277" s="14"/>
      <c r="I277" s="52"/>
      <c r="J277" s="37"/>
      <c r="K277" s="52"/>
      <c r="L277" s="29"/>
    </row>
    <row r="278" spans="1:12" ht="15.75" x14ac:dyDescent="0.25">
      <c r="A278" s="104" t="s">
        <v>72</v>
      </c>
      <c r="B278" s="105" t="s">
        <v>22</v>
      </c>
      <c r="C278" s="12" t="s">
        <v>31</v>
      </c>
      <c r="D278" s="14">
        <f>D279+D280+D281+D282+D283+D284</f>
        <v>9945.6</v>
      </c>
      <c r="E278" s="14">
        <f t="shared" ref="E278:F278" si="75">E279+E280+E281+E282+E283+E284</f>
        <v>10123.4</v>
      </c>
      <c r="F278" s="39">
        <f t="shared" si="75"/>
        <v>10767.170000000002</v>
      </c>
      <c r="G278" s="25">
        <f t="shared" ref="G278:K278" si="76">G279+G280+G281+G282+G283+G284</f>
        <v>11207.460000000003</v>
      </c>
      <c r="H278" s="14">
        <f t="shared" si="76"/>
        <v>12555.799000000001</v>
      </c>
      <c r="I278" s="41">
        <f t="shared" si="76"/>
        <v>12902.5</v>
      </c>
      <c r="J278" s="41">
        <f t="shared" si="76"/>
        <v>12902.5</v>
      </c>
      <c r="K278" s="68">
        <f t="shared" si="76"/>
        <v>12589.3</v>
      </c>
      <c r="L278" s="29"/>
    </row>
    <row r="279" spans="1:12" ht="31.5" customHeight="1" x14ac:dyDescent="0.25">
      <c r="A279" s="104"/>
      <c r="B279" s="105"/>
      <c r="C279" s="13" t="s">
        <v>32</v>
      </c>
      <c r="D279" s="14"/>
      <c r="E279" s="14"/>
      <c r="F279" s="14"/>
      <c r="G279" s="25"/>
      <c r="H279" s="14"/>
      <c r="I279" s="52"/>
      <c r="J279" s="37"/>
      <c r="K279" s="52"/>
      <c r="L279" s="29"/>
    </row>
    <row r="280" spans="1:12" ht="33" customHeight="1" x14ac:dyDescent="0.25">
      <c r="A280" s="104"/>
      <c r="B280" s="105"/>
      <c r="C280" s="13" t="s">
        <v>33</v>
      </c>
      <c r="D280" s="14"/>
      <c r="E280" s="14"/>
      <c r="F280" s="14"/>
      <c r="G280" s="25"/>
      <c r="H280" s="14"/>
      <c r="I280" s="52"/>
      <c r="J280" s="37"/>
      <c r="K280" s="52"/>
      <c r="L280" s="29"/>
    </row>
    <row r="281" spans="1:12" ht="15.75" x14ac:dyDescent="0.25">
      <c r="A281" s="104"/>
      <c r="B281" s="105"/>
      <c r="C281" s="12" t="s">
        <v>34</v>
      </c>
      <c r="D281" s="14">
        <v>9945.6</v>
      </c>
      <c r="E281" s="14">
        <f>10397.9+115.5+50-440</f>
        <v>10123.4</v>
      </c>
      <c r="F281" s="14">
        <f>10120.1+121.6+266.37+176-57.9+141</f>
        <v>10767.170000000002</v>
      </c>
      <c r="G281" s="25">
        <f>10717.2+37.7+105.36+35+257.5+176.7-122</f>
        <v>11207.460000000003</v>
      </c>
      <c r="H281" s="14">
        <f>12078.4+75.27+51.5+350.629</f>
        <v>12555.799000000001</v>
      </c>
      <c r="I281" s="52">
        <v>12902.5</v>
      </c>
      <c r="J281" s="37">
        <v>12902.5</v>
      </c>
      <c r="K281" s="52">
        <v>12589.3</v>
      </c>
      <c r="L281" s="29"/>
    </row>
    <row r="282" spans="1:12" ht="32.25" customHeight="1" x14ac:dyDescent="0.25">
      <c r="A282" s="104"/>
      <c r="B282" s="105"/>
      <c r="C282" s="13" t="s">
        <v>35</v>
      </c>
      <c r="D282" s="14"/>
      <c r="E282" s="14"/>
      <c r="F282" s="14"/>
      <c r="G282" s="25"/>
      <c r="H282" s="14"/>
      <c r="I282" s="52"/>
      <c r="J282" s="37"/>
      <c r="K282" s="52"/>
      <c r="L282" s="29"/>
    </row>
    <row r="283" spans="1:12" ht="24.75" customHeight="1" x14ac:dyDescent="0.25">
      <c r="A283" s="104"/>
      <c r="B283" s="105"/>
      <c r="C283" s="13" t="s">
        <v>36</v>
      </c>
      <c r="D283" s="14"/>
      <c r="E283" s="14"/>
      <c r="F283" s="14"/>
      <c r="G283" s="25"/>
      <c r="H283" s="14"/>
      <c r="I283" s="52"/>
      <c r="J283" s="37"/>
      <c r="K283" s="52"/>
      <c r="L283" s="29"/>
    </row>
    <row r="284" spans="1:12" ht="15.75" x14ac:dyDescent="0.25">
      <c r="A284" s="104"/>
      <c r="B284" s="105"/>
      <c r="C284" s="12" t="s">
        <v>37</v>
      </c>
      <c r="D284" s="14"/>
      <c r="E284" s="14"/>
      <c r="F284" s="14"/>
      <c r="G284" s="25"/>
      <c r="H284" s="14"/>
      <c r="I284" s="52"/>
      <c r="J284" s="37"/>
      <c r="K284" s="52"/>
      <c r="L284" s="29"/>
    </row>
    <row r="285" spans="1:12" ht="26.25" customHeight="1" x14ac:dyDescent="0.25">
      <c r="A285" s="104" t="s">
        <v>73</v>
      </c>
      <c r="B285" s="105" t="s">
        <v>18</v>
      </c>
      <c r="C285" s="12" t="s">
        <v>31</v>
      </c>
      <c r="D285" s="14">
        <f>D286+D287+D288+D289+D290+D291</f>
        <v>0</v>
      </c>
      <c r="E285" s="14">
        <f t="shared" ref="E285" si="77">E286+E287+E288+E289+E290+E291</f>
        <v>0</v>
      </c>
      <c r="F285" s="14">
        <f t="shared" ref="F285:K285" si="78">F286+F287+F288+F289+F290+F291</f>
        <v>0</v>
      </c>
      <c r="G285" s="25">
        <f t="shared" si="78"/>
        <v>0</v>
      </c>
      <c r="H285" s="14">
        <f t="shared" si="78"/>
        <v>0</v>
      </c>
      <c r="I285" s="41">
        <f t="shared" si="78"/>
        <v>0</v>
      </c>
      <c r="J285" s="41">
        <f t="shared" si="78"/>
        <v>0</v>
      </c>
      <c r="K285" s="68">
        <f t="shared" si="78"/>
        <v>0</v>
      </c>
      <c r="L285" s="29"/>
    </row>
    <row r="286" spans="1:12" ht="29.25" customHeight="1" x14ac:dyDescent="0.25">
      <c r="A286" s="104"/>
      <c r="B286" s="105"/>
      <c r="C286" s="13" t="s">
        <v>32</v>
      </c>
      <c r="D286" s="14"/>
      <c r="E286" s="14"/>
      <c r="F286" s="14"/>
      <c r="G286" s="25"/>
      <c r="H286" s="14"/>
      <c r="I286" s="52"/>
      <c r="J286" s="37"/>
      <c r="K286" s="52"/>
      <c r="L286" s="29"/>
    </row>
    <row r="287" spans="1:12" ht="33" customHeight="1" x14ac:dyDescent="0.25">
      <c r="A287" s="104"/>
      <c r="B287" s="105"/>
      <c r="C287" s="13" t="s">
        <v>33</v>
      </c>
      <c r="D287" s="14"/>
      <c r="E287" s="14"/>
      <c r="F287" s="14"/>
      <c r="G287" s="25"/>
      <c r="H287" s="14"/>
      <c r="I287" s="52"/>
      <c r="J287" s="37"/>
      <c r="K287" s="52"/>
      <c r="L287" s="29"/>
    </row>
    <row r="288" spans="1:12" ht="23.25" customHeight="1" x14ac:dyDescent="0.25">
      <c r="A288" s="104"/>
      <c r="B288" s="105"/>
      <c r="C288" s="12" t="s">
        <v>34</v>
      </c>
      <c r="D288" s="14"/>
      <c r="E288" s="14"/>
      <c r="F288" s="14"/>
      <c r="G288" s="25"/>
      <c r="H288" s="14"/>
      <c r="I288" s="52"/>
      <c r="J288" s="37"/>
      <c r="K288" s="52"/>
      <c r="L288" s="29"/>
    </row>
    <row r="289" spans="1:12" ht="24.75" customHeight="1" x14ac:dyDescent="0.25">
      <c r="A289" s="104"/>
      <c r="B289" s="105"/>
      <c r="C289" s="13" t="s">
        <v>35</v>
      </c>
      <c r="D289" s="14"/>
      <c r="E289" s="14"/>
      <c r="F289" s="14"/>
      <c r="G289" s="25"/>
      <c r="H289" s="14"/>
      <c r="I289" s="52"/>
      <c r="J289" s="37"/>
      <c r="K289" s="52"/>
      <c r="L289" s="29"/>
    </row>
    <row r="290" spans="1:12" ht="28.5" customHeight="1" x14ac:dyDescent="0.25">
      <c r="A290" s="104"/>
      <c r="B290" s="105"/>
      <c r="C290" s="13" t="s">
        <v>36</v>
      </c>
      <c r="D290" s="14"/>
      <c r="E290" s="14"/>
      <c r="F290" s="14"/>
      <c r="G290" s="25"/>
      <c r="H290" s="14"/>
      <c r="I290" s="52"/>
      <c r="J290" s="37"/>
      <c r="K290" s="52"/>
      <c r="L290" s="29"/>
    </row>
    <row r="291" spans="1:12" ht="15.75" x14ac:dyDescent="0.25">
      <c r="A291" s="104"/>
      <c r="B291" s="105"/>
      <c r="C291" s="12" t="s">
        <v>37</v>
      </c>
      <c r="D291" s="14"/>
      <c r="E291" s="14"/>
      <c r="F291" s="14"/>
      <c r="G291" s="25"/>
      <c r="H291" s="14"/>
      <c r="I291" s="52"/>
      <c r="J291" s="37"/>
      <c r="K291" s="52"/>
      <c r="L291" s="29"/>
    </row>
    <row r="292" spans="1:12" ht="15.75" customHeight="1" x14ac:dyDescent="0.25">
      <c r="A292" s="104" t="s">
        <v>88</v>
      </c>
      <c r="B292" s="89" t="s">
        <v>87</v>
      </c>
      <c r="C292" s="12" t="s">
        <v>31</v>
      </c>
      <c r="D292" s="32">
        <f>D293+D294+D295+D296+D297+D298</f>
        <v>431.2</v>
      </c>
      <c r="E292" s="32">
        <f t="shared" ref="E292:K292" si="79">E293+E294+E295+E296+E297+E298</f>
        <v>1383.3</v>
      </c>
      <c r="F292" s="32">
        <f t="shared" si="79"/>
        <v>1408</v>
      </c>
      <c r="G292" s="25">
        <f t="shared" si="79"/>
        <v>1454.6499999999999</v>
      </c>
      <c r="H292" s="32">
        <f t="shared" si="79"/>
        <v>1610.7999999999997</v>
      </c>
      <c r="I292" s="41">
        <f t="shared" si="79"/>
        <v>1693.79</v>
      </c>
      <c r="J292" s="41">
        <f t="shared" si="79"/>
        <v>1693.79</v>
      </c>
      <c r="K292" s="68">
        <f t="shared" si="79"/>
        <v>1693.79</v>
      </c>
      <c r="L292" s="29"/>
    </row>
    <row r="293" spans="1:12" ht="33" customHeight="1" x14ac:dyDescent="0.25">
      <c r="A293" s="104"/>
      <c r="B293" s="101"/>
      <c r="C293" s="13" t="s">
        <v>32</v>
      </c>
      <c r="D293" s="32"/>
      <c r="E293" s="32"/>
      <c r="F293" s="32"/>
      <c r="G293" s="25"/>
      <c r="H293" s="32"/>
      <c r="I293" s="52"/>
      <c r="J293" s="37"/>
      <c r="K293" s="52"/>
      <c r="L293" s="29"/>
    </row>
    <row r="294" spans="1:12" ht="28.5" customHeight="1" x14ac:dyDescent="0.25">
      <c r="A294" s="104"/>
      <c r="B294" s="101"/>
      <c r="C294" s="13" t="s">
        <v>33</v>
      </c>
      <c r="D294" s="32"/>
      <c r="E294" s="32"/>
      <c r="F294" s="32"/>
      <c r="G294" s="25"/>
      <c r="H294" s="32"/>
      <c r="I294" s="52"/>
      <c r="J294" s="37"/>
      <c r="K294" s="52"/>
      <c r="L294" s="29"/>
    </row>
    <row r="295" spans="1:12" ht="15.75" x14ac:dyDescent="0.25">
      <c r="A295" s="104"/>
      <c r="B295" s="101"/>
      <c r="C295" s="12" t="s">
        <v>34</v>
      </c>
      <c r="D295" s="32">
        <v>431.2</v>
      </c>
      <c r="E295" s="32">
        <f>1400.2-16.9</f>
        <v>1383.3</v>
      </c>
      <c r="F295" s="32">
        <f>1400+8</f>
        <v>1408</v>
      </c>
      <c r="G295" s="25">
        <f>1416.1+22.55+16</f>
        <v>1454.6499999999999</v>
      </c>
      <c r="H295" s="32">
        <f>1488.3+25.09+36.61+60.8</f>
        <v>1610.7999999999997</v>
      </c>
      <c r="I295" s="37">
        <v>1693.79</v>
      </c>
      <c r="J295" s="37">
        <v>1693.79</v>
      </c>
      <c r="K295" s="52">
        <v>1693.79</v>
      </c>
      <c r="L295" s="29"/>
    </row>
    <row r="296" spans="1:12" ht="30.75" customHeight="1" x14ac:dyDescent="0.25">
      <c r="A296" s="104"/>
      <c r="B296" s="101"/>
      <c r="C296" s="13" t="s">
        <v>35</v>
      </c>
      <c r="D296" s="32"/>
      <c r="E296" s="32"/>
      <c r="F296" s="32"/>
      <c r="G296" s="25"/>
      <c r="H296" s="32"/>
      <c r="I296" s="52"/>
      <c r="J296" s="37"/>
      <c r="K296" s="52"/>
      <c r="L296" s="29"/>
    </row>
    <row r="297" spans="1:12" ht="28.5" customHeight="1" x14ac:dyDescent="0.25">
      <c r="A297" s="104"/>
      <c r="B297" s="101"/>
      <c r="C297" s="13" t="s">
        <v>36</v>
      </c>
      <c r="D297" s="32"/>
      <c r="E297" s="32"/>
      <c r="F297" s="32"/>
      <c r="G297" s="25"/>
      <c r="H297" s="32"/>
      <c r="I297" s="52"/>
      <c r="J297" s="37"/>
      <c r="K297" s="52"/>
      <c r="L297" s="29"/>
    </row>
    <row r="298" spans="1:12" ht="15.75" x14ac:dyDescent="0.25">
      <c r="A298" s="104"/>
      <c r="B298" s="90"/>
      <c r="C298" s="12" t="s">
        <v>37</v>
      </c>
      <c r="D298" s="32"/>
      <c r="E298" s="32"/>
      <c r="F298" s="32"/>
      <c r="G298" s="25"/>
      <c r="H298" s="32"/>
      <c r="I298" s="52"/>
      <c r="J298" s="37"/>
      <c r="K298" s="52"/>
      <c r="L298" s="29"/>
    </row>
    <row r="299" spans="1:12" ht="21" customHeight="1" x14ac:dyDescent="0.25">
      <c r="A299" s="115" t="s">
        <v>90</v>
      </c>
      <c r="B299" s="78" t="s">
        <v>97</v>
      </c>
      <c r="C299" s="5" t="s">
        <v>31</v>
      </c>
      <c r="D299" s="36">
        <f>D300+D301+D302+D303+D304+D305</f>
        <v>0</v>
      </c>
      <c r="E299" s="36">
        <f t="shared" ref="E299:K299" si="80">E300+E301+E302+E303+E304+E305</f>
        <v>55</v>
      </c>
      <c r="F299" s="36">
        <f>F300+F301+F302+F303+F304+F305</f>
        <v>74</v>
      </c>
      <c r="G299" s="25">
        <f t="shared" si="80"/>
        <v>74</v>
      </c>
      <c r="H299" s="36">
        <f t="shared" si="80"/>
        <v>74</v>
      </c>
      <c r="I299" s="41">
        <f t="shared" si="80"/>
        <v>74</v>
      </c>
      <c r="J299" s="41">
        <f t="shared" si="80"/>
        <v>74</v>
      </c>
      <c r="K299" s="68">
        <f t="shared" si="80"/>
        <v>74</v>
      </c>
      <c r="L299" s="29"/>
    </row>
    <row r="300" spans="1:12" ht="24.75" customHeight="1" x14ac:dyDescent="0.25">
      <c r="A300" s="116"/>
      <c r="B300" s="114"/>
      <c r="C300" s="4" t="s">
        <v>32</v>
      </c>
      <c r="D300" s="37"/>
      <c r="E300" s="37"/>
      <c r="F300" s="37"/>
      <c r="G300" s="47"/>
      <c r="H300" s="37"/>
      <c r="I300" s="52"/>
      <c r="J300" s="37"/>
      <c r="K300" s="52"/>
      <c r="L300" s="29"/>
    </row>
    <row r="301" spans="1:12" ht="31.5" customHeight="1" x14ac:dyDescent="0.25">
      <c r="A301" s="116"/>
      <c r="B301" s="114"/>
      <c r="C301" s="4" t="s">
        <v>33</v>
      </c>
      <c r="D301" s="37"/>
      <c r="E301" s="37"/>
      <c r="F301" s="37"/>
      <c r="G301" s="47"/>
      <c r="H301" s="37"/>
      <c r="I301" s="52"/>
      <c r="J301" s="37"/>
      <c r="K301" s="52"/>
      <c r="L301" s="29"/>
    </row>
    <row r="302" spans="1:12" ht="15.75" x14ac:dyDescent="0.25">
      <c r="A302" s="116"/>
      <c r="B302" s="114"/>
      <c r="C302" s="5" t="s">
        <v>34</v>
      </c>
      <c r="D302" s="37"/>
      <c r="E302" s="37">
        <f>55</f>
        <v>55</v>
      </c>
      <c r="F302" s="37">
        <v>74</v>
      </c>
      <c r="G302" s="47">
        <v>74</v>
      </c>
      <c r="H302" s="37">
        <v>74</v>
      </c>
      <c r="I302" s="37">
        <v>74</v>
      </c>
      <c r="J302" s="37">
        <v>74</v>
      </c>
      <c r="K302" s="52">
        <v>74</v>
      </c>
      <c r="L302" s="29"/>
    </row>
    <row r="303" spans="1:12" ht="33" customHeight="1" x14ac:dyDescent="0.25">
      <c r="A303" s="116"/>
      <c r="B303" s="114"/>
      <c r="C303" s="4" t="s">
        <v>35</v>
      </c>
      <c r="D303" s="37"/>
      <c r="E303" s="37"/>
      <c r="F303" s="37"/>
      <c r="G303" s="47"/>
      <c r="H303" s="37"/>
      <c r="I303" s="52"/>
      <c r="J303" s="37"/>
      <c r="K303" s="52"/>
      <c r="L303" s="29"/>
    </row>
    <row r="304" spans="1:12" ht="28.5" customHeight="1" x14ac:dyDescent="0.25">
      <c r="A304" s="116"/>
      <c r="B304" s="114"/>
      <c r="C304" s="4" t="s">
        <v>36</v>
      </c>
      <c r="D304" s="37"/>
      <c r="E304" s="37"/>
      <c r="F304" s="37"/>
      <c r="G304" s="47"/>
      <c r="H304" s="37"/>
      <c r="I304" s="52"/>
      <c r="J304" s="37"/>
      <c r="K304" s="52"/>
      <c r="L304" s="29"/>
    </row>
    <row r="305" spans="1:12" ht="15.75" x14ac:dyDescent="0.25">
      <c r="A305" s="117"/>
      <c r="B305" s="79"/>
      <c r="C305" s="5" t="s">
        <v>37</v>
      </c>
      <c r="D305" s="37"/>
      <c r="E305" s="37"/>
      <c r="F305" s="37"/>
      <c r="G305" s="47"/>
      <c r="H305" s="37"/>
      <c r="I305" s="52"/>
      <c r="J305" s="37"/>
      <c r="K305" s="52"/>
      <c r="L305" s="29"/>
    </row>
    <row r="306" spans="1:12" ht="15.75" customHeight="1" x14ac:dyDescent="0.25">
      <c r="A306" s="115" t="s">
        <v>166</v>
      </c>
      <c r="B306" s="78" t="s">
        <v>162</v>
      </c>
      <c r="C306" s="12" t="s">
        <v>31</v>
      </c>
      <c r="D306" s="72">
        <f>D307+D308+D309+D310+D311+D312</f>
        <v>0</v>
      </c>
      <c r="E306" s="72">
        <f t="shared" ref="E306:K306" si="81">E307+E308+E309+E310+E311+E312</f>
        <v>0</v>
      </c>
      <c r="F306" s="72">
        <f t="shared" si="81"/>
        <v>0</v>
      </c>
      <c r="G306" s="72">
        <f t="shared" si="81"/>
        <v>0</v>
      </c>
      <c r="H306" s="72">
        <f t="shared" si="81"/>
        <v>0</v>
      </c>
      <c r="I306" s="72">
        <f t="shared" si="81"/>
        <v>2550</v>
      </c>
      <c r="J306" s="72">
        <f t="shared" si="81"/>
        <v>2550</v>
      </c>
      <c r="K306" s="72">
        <f t="shared" si="81"/>
        <v>2550</v>
      </c>
    </row>
    <row r="307" spans="1:12" ht="31.5" x14ac:dyDescent="0.25">
      <c r="A307" s="116"/>
      <c r="B307" s="114"/>
      <c r="C307" s="13" t="s">
        <v>32</v>
      </c>
      <c r="D307" s="72"/>
      <c r="E307" s="72"/>
      <c r="F307" s="72"/>
      <c r="G307" s="72"/>
      <c r="H307" s="72"/>
      <c r="I307" s="52"/>
      <c r="J307" s="37"/>
      <c r="K307" s="52"/>
    </row>
    <row r="308" spans="1:12" ht="31.5" x14ac:dyDescent="0.25">
      <c r="A308" s="116"/>
      <c r="B308" s="114"/>
      <c r="C308" s="13" t="s">
        <v>33</v>
      </c>
      <c r="D308" s="72"/>
      <c r="E308" s="72"/>
      <c r="F308" s="72"/>
      <c r="G308" s="72"/>
      <c r="H308" s="72"/>
      <c r="I308" s="52">
        <v>2550</v>
      </c>
      <c r="J308" s="37">
        <v>2550</v>
      </c>
      <c r="K308" s="52">
        <v>2550</v>
      </c>
    </row>
    <row r="309" spans="1:12" ht="15.75" x14ac:dyDescent="0.25">
      <c r="A309" s="116"/>
      <c r="B309" s="114"/>
      <c r="C309" s="12" t="s">
        <v>34</v>
      </c>
      <c r="D309" s="72"/>
      <c r="E309" s="72"/>
      <c r="F309" s="72"/>
      <c r="G309" s="72"/>
      <c r="H309" s="72"/>
      <c r="I309" s="52"/>
      <c r="J309" s="37"/>
      <c r="K309" s="52"/>
    </row>
    <row r="310" spans="1:12" ht="31.5" x14ac:dyDescent="0.25">
      <c r="A310" s="116"/>
      <c r="B310" s="114"/>
      <c r="C310" s="13" t="s">
        <v>35</v>
      </c>
      <c r="D310" s="72"/>
      <c r="E310" s="72"/>
      <c r="F310" s="72"/>
      <c r="G310" s="72"/>
      <c r="H310" s="72"/>
      <c r="I310" s="52"/>
      <c r="J310" s="37"/>
      <c r="K310" s="52"/>
    </row>
    <row r="311" spans="1:12" ht="31.5" x14ac:dyDescent="0.25">
      <c r="A311" s="116"/>
      <c r="B311" s="114"/>
      <c r="C311" s="13" t="s">
        <v>36</v>
      </c>
      <c r="D311" s="72"/>
      <c r="E311" s="72"/>
      <c r="F311" s="72"/>
      <c r="G311" s="72"/>
      <c r="H311" s="72"/>
      <c r="I311" s="52"/>
      <c r="J311" s="37"/>
      <c r="K311" s="52"/>
    </row>
    <row r="312" spans="1:12" ht="15.75" x14ac:dyDescent="0.25">
      <c r="A312" s="117"/>
      <c r="B312" s="79"/>
      <c r="C312" s="12" t="s">
        <v>37</v>
      </c>
      <c r="D312" s="72"/>
      <c r="E312" s="72"/>
      <c r="F312" s="72"/>
      <c r="G312" s="72"/>
      <c r="H312" s="72"/>
      <c r="I312" s="52"/>
      <c r="J312" s="37"/>
      <c r="K312" s="52"/>
    </row>
  </sheetData>
  <mergeCells count="93">
    <mergeCell ref="A194:A200"/>
    <mergeCell ref="A173:A179"/>
    <mergeCell ref="A201:A207"/>
    <mergeCell ref="A180:A186"/>
    <mergeCell ref="B180:B186"/>
    <mergeCell ref="B187:B193"/>
    <mergeCell ref="A187:A193"/>
    <mergeCell ref="A208:A214"/>
    <mergeCell ref="A271:A277"/>
    <mergeCell ref="A250:A256"/>
    <mergeCell ref="A215:A221"/>
    <mergeCell ref="A222:A228"/>
    <mergeCell ref="A229:A235"/>
    <mergeCell ref="A236:A242"/>
    <mergeCell ref="A264:A270"/>
    <mergeCell ref="A257:A263"/>
    <mergeCell ref="A243:A249"/>
    <mergeCell ref="B257:B263"/>
    <mergeCell ref="B271:B277"/>
    <mergeCell ref="B278:B284"/>
    <mergeCell ref="B208:B214"/>
    <mergeCell ref="B131:B137"/>
    <mergeCell ref="B138:B144"/>
    <mergeCell ref="B152:B158"/>
    <mergeCell ref="B194:B200"/>
    <mergeCell ref="B201:B207"/>
    <mergeCell ref="B166:B172"/>
    <mergeCell ref="B229:B235"/>
    <mergeCell ref="B236:B242"/>
    <mergeCell ref="B145:B151"/>
    <mergeCell ref="B250:B256"/>
    <mergeCell ref="B215:B221"/>
    <mergeCell ref="B222:B228"/>
    <mergeCell ref="A299:A305"/>
    <mergeCell ref="B299:B305"/>
    <mergeCell ref="B292:B298"/>
    <mergeCell ref="A292:A298"/>
    <mergeCell ref="B264:B270"/>
    <mergeCell ref="B285:B291"/>
    <mergeCell ref="A278:A284"/>
    <mergeCell ref="A285:A291"/>
    <mergeCell ref="B124:B130"/>
    <mergeCell ref="B159:B165"/>
    <mergeCell ref="B75:B81"/>
    <mergeCell ref="B173:B179"/>
    <mergeCell ref="B82:B88"/>
    <mergeCell ref="B96:B102"/>
    <mergeCell ref="B117:B123"/>
    <mergeCell ref="A124:A130"/>
    <mergeCell ref="A166:A172"/>
    <mergeCell ref="A131:A137"/>
    <mergeCell ref="A159:A165"/>
    <mergeCell ref="A75:A81"/>
    <mergeCell ref="A138:A144"/>
    <mergeCell ref="A145:A151"/>
    <mergeCell ref="A152:A158"/>
    <mergeCell ref="A89:A95"/>
    <mergeCell ref="A96:A102"/>
    <mergeCell ref="A103:A109"/>
    <mergeCell ref="A110:A116"/>
    <mergeCell ref="A117:A123"/>
    <mergeCell ref="A306:A312"/>
    <mergeCell ref="D5:J8"/>
    <mergeCell ref="A10:J15"/>
    <mergeCell ref="A61:A67"/>
    <mergeCell ref="B17:B18"/>
    <mergeCell ref="C17:C18"/>
    <mergeCell ref="B19:B25"/>
    <mergeCell ref="A19:A25"/>
    <mergeCell ref="A47:A53"/>
    <mergeCell ref="A26:A32"/>
    <mergeCell ref="A33:A39"/>
    <mergeCell ref="A40:A46"/>
    <mergeCell ref="A54:A60"/>
    <mergeCell ref="D17:K17"/>
    <mergeCell ref="A68:A74"/>
    <mergeCell ref="A82:A88"/>
    <mergeCell ref="F1:J1"/>
    <mergeCell ref="E2:K2"/>
    <mergeCell ref="F3:J3"/>
    <mergeCell ref="F4:J4"/>
    <mergeCell ref="B306:B312"/>
    <mergeCell ref="B243:B249"/>
    <mergeCell ref="B26:B32"/>
    <mergeCell ref="B33:B39"/>
    <mergeCell ref="B40:B46"/>
    <mergeCell ref="B103:B109"/>
    <mergeCell ref="B110:B116"/>
    <mergeCell ref="B47:B53"/>
    <mergeCell ref="B54:B60"/>
    <mergeCell ref="B61:B67"/>
    <mergeCell ref="B68:B74"/>
    <mergeCell ref="B89:B95"/>
  </mergeCells>
  <pageMargins left="0.7" right="0.7" top="0.75" bottom="0.75" header="0.3" footer="0.3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мун.зад.</vt:lpstr>
      <vt:lpstr>Ресурсн.обеспеч.</vt:lpstr>
      <vt:lpstr>Инфор. о рес.об.</vt:lpstr>
      <vt:lpstr>'Инфор. о рес.об.'!Область_печати</vt:lpstr>
      <vt:lpstr>Ресурсн.обеспеч.!Область_печати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2019-01-30T05:31:24Z</dcterms:modified>
</cp:coreProperties>
</file>