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4935" activeTab="2"/>
  </bookViews>
  <sheets>
    <sheet name="ПРИЛОЖЕНИЕ № 4 (расх)" sheetId="1" r:id="rId1"/>
    <sheet name="ПРИЛОЖЕНИЕ № 5 (расх)" sheetId="2" r:id="rId2"/>
    <sheet name="ПРИЛОЖЕНИЕ № 6 (расх)" sheetId="3" r:id="rId3"/>
  </sheets>
  <externalReferences>
    <externalReference r:id="rId6"/>
  </externalReferences>
  <definedNames>
    <definedName name="_xlnm.Print_Titles" localSheetId="0">'ПРИЛОЖЕНИЕ № 4 (расх)'!$14:$14</definedName>
    <definedName name="_xlnm.Print_Titles" localSheetId="1">'ПРИЛОЖЕНИЕ № 5 (расх)'!$16:$16</definedName>
    <definedName name="_xlnm.Print_Titles" localSheetId="2">'ПРИЛОЖЕНИЕ № 6 (расх)'!$12:$12</definedName>
    <definedName name="_xlnm.Print_Area" localSheetId="0">'ПРИЛОЖЕНИЕ № 4 (расх)'!$A$1:$D$61</definedName>
    <definedName name="_xlnm.Print_Area" localSheetId="1">'ПРИЛОЖЕНИЕ № 5 (расх)'!$A$1:$I$556</definedName>
    <definedName name="_xlnm.Print_Area" localSheetId="2">'ПРИЛОЖЕНИЕ № 6 (расх)'!$A$1:$I$605</definedName>
  </definedNames>
  <calcPr fullCalcOnLoad="1"/>
</workbook>
</file>

<file path=xl/comments3.xml><?xml version="1.0" encoding="utf-8"?>
<comments xmlns="http://schemas.openxmlformats.org/spreadsheetml/2006/main">
  <authors>
    <author>user-3</author>
    <author>Минигалимова</author>
  </authors>
  <commentList>
    <comment ref="I237" authorId="0">
      <text>
        <r>
          <rPr>
            <b/>
            <sz val="9"/>
            <rFont val="Tahoma"/>
            <family val="2"/>
          </rPr>
          <t>user-3:</t>
        </r>
        <r>
          <rPr>
            <sz val="9"/>
            <rFont val="Tahoma"/>
            <family val="2"/>
          </rPr>
          <t xml:space="preserve">
вода ВС</t>
        </r>
      </text>
    </comment>
    <comment ref="I228" authorId="0">
      <text>
        <r>
          <rPr>
            <b/>
            <sz val="9"/>
            <rFont val="Tahoma"/>
            <family val="2"/>
          </rPr>
          <t>user-3:</t>
        </r>
        <r>
          <rPr>
            <sz val="9"/>
            <rFont val="Tahoma"/>
            <family val="2"/>
          </rPr>
          <t xml:space="preserve">
пустующий жилфонд</t>
        </r>
      </text>
    </comment>
    <comment ref="I496" authorId="1">
      <text>
        <r>
          <rPr>
            <b/>
            <sz val="8"/>
            <rFont val="Tahoma"/>
            <family val="2"/>
          </rPr>
          <t>Минигалимова:</t>
        </r>
        <r>
          <rPr>
            <sz val="8"/>
            <rFont val="Tahoma"/>
            <family val="2"/>
          </rPr>
          <t xml:space="preserve">
213- 604-полностью</t>
        </r>
      </text>
    </comment>
  </commentList>
</comments>
</file>

<file path=xl/sharedStrings.xml><?xml version="1.0" encoding="utf-8"?>
<sst xmlns="http://schemas.openxmlformats.org/spreadsheetml/2006/main" count="6354" uniqueCount="569">
  <si>
    <t>528</t>
  </si>
  <si>
    <t>529</t>
  </si>
  <si>
    <t>730</t>
  </si>
  <si>
    <t>главный распорядитель</t>
  </si>
  <si>
    <t>503</t>
  </si>
  <si>
    <t xml:space="preserve"> МО "Среднеканский район"</t>
  </si>
  <si>
    <t>Наименование показателя</t>
  </si>
  <si>
    <t>глав-ный распо-ряди-тель*</t>
  </si>
  <si>
    <t>целевая статья</t>
  </si>
  <si>
    <t>классификация операций сектора государственного управления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</si>
  <si>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</si>
  <si>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</si>
  <si>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</si>
  <si>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</si>
  <si>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</si>
  <si>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</si>
  <si>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</si>
  <si>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</si>
  <si>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Транспорт                                                            </t>
  </si>
  <si>
    <t>ЖИЛИЩНО-КОММУНАЛЬНОЕ ХОЗЯЙСТВО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</si>
  <si>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</si>
  <si>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</si>
  <si>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</si>
  <si>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</si>
  <si>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</si>
  <si>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</si>
  <si>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</si>
  <si>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</si>
  <si>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</si>
  <si>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</si>
  <si>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</si>
  <si>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</si>
  <si>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 РАСХОДОВ:</t>
  </si>
  <si>
    <t>раздел</t>
  </si>
  <si>
    <t>подраздел</t>
  </si>
  <si>
    <t>вид расхода</t>
  </si>
  <si>
    <t>К  О  Д  Ы   классификации расходов бюджетов</t>
  </si>
  <si>
    <t>тыс.рублей</t>
  </si>
  <si>
    <t>000</t>
  </si>
  <si>
    <t>01</t>
  </si>
  <si>
    <t>03</t>
  </si>
  <si>
    <t>05</t>
  </si>
  <si>
    <t>02</t>
  </si>
  <si>
    <t>06</t>
  </si>
  <si>
    <t>08</t>
  </si>
  <si>
    <t>09</t>
  </si>
  <si>
    <t>11</t>
  </si>
  <si>
    <t>10</t>
  </si>
  <si>
    <t>12</t>
  </si>
  <si>
    <t>14</t>
  </si>
  <si>
    <t xml:space="preserve"> Защита населения и территории от чрезвычайных ситуаций природного и техногенного характера, гражданская оборона                                                       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</si>
  <si>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</si>
  <si>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</si>
  <si>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13</t>
  </si>
  <si>
    <t>ОБСЛУЖИВАНИЕ ГОСУДАРСТВЕННОГО И МУНИЦИПАЛЬНОГО ДОЛГА</t>
  </si>
  <si>
    <t>Дорожное хозяйство (дорожные фонды)</t>
  </si>
  <si>
    <t>СРЕДСТВА МАССОВОЙ ИНФОРМАЦИИ</t>
  </si>
  <si>
    <t>ФИЗИЧЕСКАЯ КУЛЬТУРА И СПОРТ</t>
  </si>
  <si>
    <t>Физическая культура</t>
  </si>
  <si>
    <t>КУЛЬТУРА И КИНЕМАТОГРАФИЯ</t>
  </si>
  <si>
    <t>Субвенции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</si>
  <si>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Жилищное-хозяйство</t>
  </si>
  <si>
    <t>Субвенции на осуществление государственных полномочий по созданию и организации деятельности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</si>
  <si>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</si>
  <si>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внутреннего и муниципального долга</t>
  </si>
  <si>
    <t xml:space="preserve">Функционирование  законодательных (представительных)  органов государственной  власти и представительных  органов муниципальных образований        
</t>
  </si>
  <si>
    <t>Коммунальное-хозяйство</t>
  </si>
  <si>
    <t>ОХРАНА ОКРУЖАЮЩЕЙ СРЕДЫ</t>
  </si>
  <si>
    <t>Другие вопросы в области охраны окружающей среды</t>
  </si>
  <si>
    <t>%                   Исполнения</t>
  </si>
  <si>
    <t>План</t>
  </si>
  <si>
    <t>Благоустройство</t>
  </si>
  <si>
    <t>Исполнено                   на  01.10.2012 г.</t>
  </si>
  <si>
    <t xml:space="preserve">к решению Собрания представителей 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</si>
  <si>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</si>
  <si>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</si>
  <si>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</si>
  <si>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</si>
  <si>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средства</t>
  </si>
  <si>
    <t>870</t>
  </si>
  <si>
    <t>Субвенции на реализацию Закона Магаданской области от 28 декабря 2009 года N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</si>
  <si>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Обслуживание муниципального долга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</si>
  <si>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</si>
  <si>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</t>
  </si>
  <si>
    <t>810</t>
  </si>
  <si>
    <t>Жилищное хозяйство</t>
  </si>
  <si>
    <t xml:space="preserve">Функционирование  законодательных (представительных)  органов государственной  власти и представительных  органов муниципальных образований        </t>
  </si>
  <si>
    <t>Мероприятия в области жилищного хозяйства</t>
  </si>
  <si>
    <t>Коммунальное хозяйство</t>
  </si>
  <si>
    <t>Организация и содержание мест захоронения</t>
  </si>
  <si>
    <t>Реализация мер социальной поддержки в соответствии с пунктами 1.1, 1.2, 1.3 статьи 1 Закона Магаданской области от 28 декабря 2004 года N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</si>
  <si>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Мероприятия в области коммунального хозяйства</t>
  </si>
  <si>
    <t>Управление жилищно-коммунального хозяйства и градостроительства Администрации Среднеканского городского округа</t>
  </si>
  <si>
    <t>Другие вопросы в области жилищно-коммунального хозяйства</t>
  </si>
  <si>
    <t>702</t>
  </si>
  <si>
    <t>00000</t>
  </si>
  <si>
    <t xml:space="preserve">Функционирование высшего должностного лица субъекта Российской Федерации и муниципального образования
</t>
  </si>
  <si>
    <t>00203</t>
  </si>
  <si>
    <t>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</si>
  <si>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</si>
  <si>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002К4</t>
  </si>
  <si>
    <t>002Р0</t>
  </si>
  <si>
    <t>002Н4</t>
  </si>
  <si>
    <t>74020</t>
  </si>
  <si>
    <t>002А4</t>
  </si>
  <si>
    <t>74030</t>
  </si>
  <si>
    <t>04000</t>
  </si>
  <si>
    <t xml:space="preserve">Защита населения и территории от чрезвычайных ситуаций природного и техногенного характера, гражданская оборона                                                    </t>
  </si>
  <si>
    <t>002Ч4</t>
  </si>
  <si>
    <t>005Д0</t>
  </si>
  <si>
    <t>Дорожный фонд</t>
  </si>
  <si>
    <t>002С4</t>
  </si>
  <si>
    <t>74040</t>
  </si>
  <si>
    <t>704</t>
  </si>
  <si>
    <t>Собрание представителей Среднеканского городского округа</t>
  </si>
  <si>
    <t>Администрация Среднеканского городского округа</t>
  </si>
  <si>
    <t>701</t>
  </si>
  <si>
    <t>00212</t>
  </si>
  <si>
    <t>00225</t>
  </si>
  <si>
    <t>Обеспечение деятельности контрольно-счетной палаты</t>
  </si>
  <si>
    <t>703</t>
  </si>
  <si>
    <t>Управление финансов Администрации Среднеканского городского округа</t>
  </si>
  <si>
    <t>Обеспечение деятельности органов местного самоуправления</t>
  </si>
  <si>
    <t>Обеспечение деятельности высшего должностного лица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</si>
  <si>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</si>
  <si>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</si>
  <si>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</si>
  <si>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</si>
  <si>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</si>
  <si>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</si>
  <si>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</si>
  <si>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</si>
  <si>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002П4</t>
  </si>
  <si>
    <t>Мобилизационная и вневойсковая подготовка</t>
  </si>
  <si>
    <t>МОБИЛИЗАЦИОННАЯ И ВНЕВОЙСКОВАЯ ПОДГОТОВКА</t>
  </si>
  <si>
    <t>Сельское хозяйство и рыболовство</t>
  </si>
  <si>
    <t>Другие вопросы в области национальной безопасности и правоохранительной деятельности</t>
  </si>
  <si>
    <t>00601</t>
  </si>
  <si>
    <t>00602</t>
  </si>
  <si>
    <t>00604</t>
  </si>
  <si>
    <t>00605</t>
  </si>
  <si>
    <t>00600</t>
  </si>
  <si>
    <t>Прочие мероприятия по благоустройству</t>
  </si>
  <si>
    <t>705</t>
  </si>
  <si>
    <t>Доплаты к пенсиям муниципальных служащих</t>
  </si>
  <si>
    <t>Осуществление государственных полномочий по организации и осуществлению деятельности органов опеки и попечительства</t>
  </si>
  <si>
    <t>002ОП</t>
  </si>
  <si>
    <t>74090</t>
  </si>
  <si>
    <t>Субсидии бюджетным учреждениям</t>
  </si>
  <si>
    <t>610</t>
  </si>
  <si>
    <t>73320</t>
  </si>
  <si>
    <t>00800</t>
  </si>
  <si>
    <t>Субсидии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t>
  </si>
  <si>
    <t>74060</t>
  </si>
  <si>
    <t xml:space="preserve"> Субвенции на осуществление государственных полномочий по предоставлению дополнительных мер социальной поддержки работникам дошкольных учреждений</t>
  </si>
  <si>
    <t>74070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</si>
  <si>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дошкольных учреждений</t>
  </si>
  <si>
    <t>74120</t>
  </si>
  <si>
    <t>Субвенции  на финансовое обеспечение государственных гарантий реализации прав граждан на получение общедоступного и бесплатного дошкольного образования  в муниципальных дошкольных образовательных организациях</t>
  </si>
  <si>
    <t>75010</t>
  </si>
  <si>
    <t>Обеспечение деятельности детских дошкольных учреждений</t>
  </si>
  <si>
    <t>Реализация мер социальной поддержки по оплате жилых помещений и коммунальных услуг работникам дошкольных учреждений</t>
  </si>
  <si>
    <t>73440</t>
  </si>
  <si>
    <t xml:space="preserve">Субсидии на совершенствование питания учащихся в общеобразовательных организациях </t>
  </si>
  <si>
    <t>Субсидии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</si>
  <si>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74050</t>
  </si>
  <si>
    <t>00Ш00</t>
  </si>
  <si>
    <t>Субвенции бюджетам муниципальных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</si>
  <si>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на финансовое обеспечение общеобразовательных школ в части реализации ими государственного стандарта общего образования</t>
  </si>
  <si>
    <t>Субвенции на осуществление государственных полномочий по предоставлению дополнительных мер социальной поддержки работникам общеобразовательных школ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</si>
  <si>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</si>
  <si>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общеобразовательных школ</t>
  </si>
  <si>
    <t>74130</t>
  </si>
  <si>
    <t>Субвенции муниципальным образованиям на обеспечение ежемесячного денежное вознаграждения за классное руководство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</si>
  <si>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Реализация мер социальной поддержки по оплате жилых помещений и коммунальных услуг работникам общеобразовательных школ</t>
  </si>
  <si>
    <t>Обеспечение деятельности общеобразовательных школ</t>
  </si>
  <si>
    <t>00В00</t>
  </si>
  <si>
    <t>05000</t>
  </si>
  <si>
    <t>73210</t>
  </si>
  <si>
    <t>Субсидии на организацию отдыха и оздоровление детей в лагерях дневного пребывания</t>
  </si>
  <si>
    <t>Субсидии на организацию отдыха и оздоровление детей в лагерях дневного пребывания на базе общеобразовательных школ</t>
  </si>
  <si>
    <t>Обеспечение деятельности  централизованных бухгалтерий</t>
  </si>
  <si>
    <t>00852</t>
  </si>
  <si>
    <t>Расходы на выплаты персоналу казенных учреждений</t>
  </si>
  <si>
    <t>110</t>
  </si>
  <si>
    <t xml:space="preserve">Субсидии на совершенствование питания учащихся в сельской школе </t>
  </si>
  <si>
    <t>Субвенции на финансовое обеспечение сельских школ в части реализации ими государственного стандарта общего образования</t>
  </si>
  <si>
    <t>Субвенции на осуществление государственных полномочий по предоставлению дополнительных мер социальной поддержки работникам сельских школ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</si>
  <si>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сельских школ</t>
  </si>
  <si>
    <t>Обеспечение деятельности сельских школ</t>
  </si>
  <si>
    <t>Субсидии на организацию отдыха и оздоровление детей в лагерях дневного пребывания на базе сельских школ</t>
  </si>
  <si>
    <t>707</t>
  </si>
  <si>
    <t>00650</t>
  </si>
  <si>
    <t>00Ц00</t>
  </si>
  <si>
    <t>Обеспечение деятельности учреждений дополнительного образования</t>
  </si>
  <si>
    <t>Субвенции на осуществление государственных полномочий по предоставлению дополнительных мер социальной поддержки работникам в учреждениях дополнительного образования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</si>
  <si>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в учреждениях дополнительного образования</t>
  </si>
  <si>
    <t>Субсидии на организацию отдыха и оздоровление детей в лагерях дневного пребывания в учреждениях дополнительного образования</t>
  </si>
  <si>
    <t>Обеспечение деятельности  централизованных бухгалтерий и методических кабинетов</t>
  </si>
  <si>
    <t>00С00</t>
  </si>
  <si>
    <t>Обеспечение деятельности учреждений спорта</t>
  </si>
  <si>
    <t>Реализация мер социальной поддержки по оплате жилых помещений и коммунальных услуг работникам учреждений спорта</t>
  </si>
  <si>
    <t>Субсидии на организацию отдыха и оздоровление детей в лагерях дневного пребывания на базе учреждений спорта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</si>
  <si>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в учреждениях спорта</t>
  </si>
  <si>
    <t>Субвенции на осуществление государственных полномочий по предоставлению дополнительных мер социальной поддержки работникам в учреждениях спорта</t>
  </si>
  <si>
    <t>00Б00</t>
  </si>
  <si>
    <t>Обеспечение деятельности библиотеки</t>
  </si>
  <si>
    <t>Реализация мер социальной поддержки по оплате жилых помещений и коммунальных услуг работникам библиотек</t>
  </si>
  <si>
    <t>73160</t>
  </si>
  <si>
    <t>Субсидии на развитие библиотечного дела</t>
  </si>
  <si>
    <t>73260</t>
  </si>
  <si>
    <t>Субвенции на финансовое обеспечение дошкольного образования в муниципальных дошкольных образовательных организациях</t>
  </si>
  <si>
    <t>Обеспечение деятельности  музея</t>
  </si>
  <si>
    <t>00М00</t>
  </si>
  <si>
    <t>Реализация мер социальной поддержки по оплате жилых помещений и коммунальных услуг работникам музеев</t>
  </si>
  <si>
    <t>Обеспечение деятельности школ искусств</t>
  </si>
  <si>
    <t>00И00</t>
  </si>
  <si>
    <t>Субвенции на осуществление государственных полномочий по предоставлению дополнительных мер социальной поддержки работникам в школах искусств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</si>
  <si>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в школах искусств</t>
  </si>
  <si>
    <t>Реализация мер социальной поддержки по оплате жилых помещений и коммунальных услуг работникам в школах искусств</t>
  </si>
  <si>
    <t>00К00</t>
  </si>
  <si>
    <t>Обеспечение деятельности клубной системы</t>
  </si>
  <si>
    <t>Реализация мер социальной поддержки по оплате жилых помещений и коммунальных услуг работникам клубных систем</t>
  </si>
  <si>
    <t>Техническое обеспечение деятельности органов местного самоуправления</t>
  </si>
  <si>
    <t>002У4</t>
  </si>
  <si>
    <t>02Б00</t>
  </si>
  <si>
    <t>04Ц00</t>
  </si>
  <si>
    <t>04Ш00</t>
  </si>
  <si>
    <t>04600</t>
  </si>
  <si>
    <t>10046</t>
  </si>
  <si>
    <t>10646</t>
  </si>
  <si>
    <t>10846</t>
  </si>
  <si>
    <t>10017</t>
  </si>
  <si>
    <t>10617</t>
  </si>
  <si>
    <t>10817</t>
  </si>
  <si>
    <t>10В17</t>
  </si>
  <si>
    <t>10Ш17</t>
  </si>
  <si>
    <t>10038</t>
  </si>
  <si>
    <t>Реализация мер социальной поддержки по оплате жилых помещений и коммунальных услуг работникам сельских школ</t>
  </si>
  <si>
    <t>Реализация мер социальной поддержки по оплате жилых помещений и коммунальных услуг работникам дополнительного образования</t>
  </si>
  <si>
    <t>04С00</t>
  </si>
  <si>
    <t>Обеспечение деятельности периодической печати и издательства</t>
  </si>
  <si>
    <t>00Г00</t>
  </si>
  <si>
    <t>Реализация мер социальной поддержки по оплате жилых помещений и коммунальных услуг работникам муниципальных образовательных организаций</t>
  </si>
  <si>
    <t>04В00</t>
  </si>
  <si>
    <t>Обеспечение деятельности детских дошкольных учреждений комбинированного вида</t>
  </si>
  <si>
    <t>Субвенции на осуществление государственных полномочий по предоставлению дополнительных мер социальной поддержки работникам дошкольных учреждений комбинированного вида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</si>
  <si>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дошкольных учреждений комбинированного вида</t>
  </si>
  <si>
    <t>Субвенции  на финансовое обеспечение государственных гарантий реализации прав граждан на получение общедоступного и бесплатного дошкольного образования  в муниципальных дошкольных образовательных организациях комбинированного вида</t>
  </si>
  <si>
    <t>Реализация мер социальной поддержки по оплате жилых помещений и коммунальных услуг работникам дошкольных учреждений комбинированного вида</t>
  </si>
  <si>
    <t>Субсидии на организацию отдыха и оздоровление детей в лагерях дневного пребывания на базе дошкольных образовательных организаций комбинированного вида</t>
  </si>
  <si>
    <t xml:space="preserve">Другие вопросы в области культуры, кинематографии
</t>
  </si>
  <si>
    <t>Муниципальное казенное учреждение "Редакция газеты "Новая Колыма"</t>
  </si>
  <si>
    <t>РАСПРЕДЕЛЕНИЕ РАСХОДОВ</t>
  </si>
  <si>
    <t xml:space="preserve"> БЮДЖЕТА МУНИЦИПАЛЬНОГО ОБРАЗОВАНИЯ "СРЕДНЕКАНСКИЙ ГОРОДСКОЙ ОКРУГ" </t>
  </si>
  <si>
    <t>Приложение № 5</t>
  </si>
  <si>
    <t>РАСПРЕДЕЛЕНИЕ БЮДЖЕТНЫХ АССИГНОВАНИЙ</t>
  </si>
  <si>
    <t xml:space="preserve"> ПО РАЗДЕЛАМ И ПОДРАЗДЕЛАМ, ЦЕЛЕВЫМ СТАТЬЯМ, ПО ГРУППАМ, ПОДГРУППАМ ВИДОВ РАСХОДОВ </t>
  </si>
  <si>
    <t>Приложение № 6</t>
  </si>
  <si>
    <t>ВЕДОМСТВЕННАЯ СТРУКТУРА РАСХОДОВ БЮДЖЕТА</t>
  </si>
  <si>
    <t>Субсидии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 комбинированного вида</t>
  </si>
  <si>
    <t xml:space="preserve"> Приложение № 4</t>
  </si>
  <si>
    <t xml:space="preserve"> Среднеканского городского округа</t>
  </si>
  <si>
    <t>Среднеканского городского округа</t>
  </si>
  <si>
    <t>(тыс. руб.)</t>
  </si>
  <si>
    <t>73380</t>
  </si>
  <si>
    <t>10В24</t>
  </si>
  <si>
    <t>Муниципальное казенное учреждение дополнительного образования       Детско-юношеская спортивная школа п. Сеймчан</t>
  </si>
  <si>
    <t xml:space="preserve">Реализация муниципальной программы "Развитие образования в Среднеканском городском округе на 2015-2019 годы" </t>
  </si>
  <si>
    <t>Реализация муниципальной программы "Развитие образования в Среднеканском городском округе на 2015-2019 годы", совершенствование кадрового потенциала</t>
  </si>
  <si>
    <t>Реализация муниципальной программы "Развитие образования в Среднеканском городском округе на 2015-2019 годы"  обеспечение питанием</t>
  </si>
  <si>
    <t>Реализация муниципальной программы "Развитие образования в Среднеканском городском округе на 2015-2019 годы" в дошкольных учреждениях комбинированного вида, обеспечение питанием</t>
  </si>
  <si>
    <t>Реализация муниципальной программы "Развитие образования в Среднеканском городском округе на 2015-2019 годы", стипендии</t>
  </si>
  <si>
    <t xml:space="preserve">Реализация муниципальной программы "Программа летнего оздоровления и занятости детей Среднеканского городского округа «Лето» на 2014 – 2016 годы"  </t>
  </si>
  <si>
    <t>S3320</t>
  </si>
  <si>
    <t>Субвенции на обеспечение ежемесячного денежного вознаграждения за классное руководство в общеобразовательных школах</t>
  </si>
  <si>
    <t>Субвенции на обеспечение ежемесячного денежного вознаграждения за классное руководство в сельских школах</t>
  </si>
  <si>
    <t>Реализация муниципальной программы "Развитие образования в Среднеканском городском округе на 2015-2019 годы", обеспечение питанием</t>
  </si>
  <si>
    <t>Реализация муниципальной программы "Развитие образования в Среднеканском городском округе на 2015-2019 годы", совершенствование кадрового потенциала в общеобразовательных школах</t>
  </si>
  <si>
    <t>Реализация муниципальной программы "Развитие образования в Среднеканском городском округе на 2015-2019 годы", совершенствование кадрового потенциала в сельских школах</t>
  </si>
  <si>
    <t>Реализация муниципальной программы "Развитие образования в Среднеканском городском округе на 2015-2019 годы", совершенствование кадрового потенциала в детских дошкольных учреждениях</t>
  </si>
  <si>
    <t>Реализация муниципальной программы "Развитие образования в Среднеканском городском округе на 2015-2019 годы", совершенствование кадрового потенциала в  дошкольных учреждениях комбинированного вида</t>
  </si>
  <si>
    <t>Реализация муниципальной программы "Развитие образования в Среднеканском городском округе на 2015-2019 годы" в детских дошкольных учреждениях, обеспечение питанием</t>
  </si>
  <si>
    <t>10В46</t>
  </si>
  <si>
    <t>10Ш46</t>
  </si>
  <si>
    <t>Реализация муниципальной программы "Развитие торговли в Среднеканском городском округе на 2016-2018 годы"</t>
  </si>
  <si>
    <t>59300</t>
  </si>
  <si>
    <t>L9300</t>
  </si>
  <si>
    <t>03003</t>
  </si>
  <si>
    <t>01001</t>
  </si>
  <si>
    <t>14002</t>
  </si>
  <si>
    <t>05001</t>
  </si>
  <si>
    <t>000П0</t>
  </si>
  <si>
    <t>06001</t>
  </si>
  <si>
    <t xml:space="preserve">Социальные выплаты гражданам, кроме публичных нормативных социальных выплат
</t>
  </si>
  <si>
    <t>19001</t>
  </si>
  <si>
    <t>16001</t>
  </si>
  <si>
    <t>15611</t>
  </si>
  <si>
    <t>15008</t>
  </si>
  <si>
    <t>S3210</t>
  </si>
  <si>
    <t>21С00</t>
  </si>
  <si>
    <t>Реализация муниципальной программы "Развитие молодежной политики в Среднеканском городском округе на 2016 – 2018 годы",  в общеобразовательных школах</t>
  </si>
  <si>
    <t>21Ш00</t>
  </si>
  <si>
    <t>Реализация муниципальной программы "Развитие молодежной политики в Среднеканском городском округе на 2016 – 2018 годы"</t>
  </si>
  <si>
    <t>S3160</t>
  </si>
  <si>
    <t>Реализация муниципальной программы "Развитие библиотечного дела в Среднеканском городском округе на 2014 -  2018 годы", софинансирование cубсидии на развитие библиотечного дела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</si>
  <si>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</si>
  <si>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10705</t>
  </si>
  <si>
    <t>210МП</t>
  </si>
  <si>
    <t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годы", противопаводковые мероприятия</t>
  </si>
  <si>
    <t>Расходы на осуществление переданных органам государственной власти субъектов Российской Федерации полномочий Российской Федерации по государственной регистрации актов гражданского состояния, софинансирование</t>
  </si>
  <si>
    <t>S3110</t>
  </si>
  <si>
    <t>Реализация муниципальной программы "Развитие образования в Среднеканском городском округе на 2015-2019 годы" в сельских школах, замена окон на стеклопакеты в рамках софинансирования</t>
  </si>
  <si>
    <t>S3440</t>
  </si>
  <si>
    <t>Реализация муниципальной программы "Развитие образования в Среднеканском городском округе на 2015-2019 годы" в сельских школах, обеспечение питанием в рамках софинансирования</t>
  </si>
  <si>
    <t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2016- 2018 годы" в сфере образования</t>
  </si>
  <si>
    <t>Реализация муниципальной программы "Развитие системы обращения с отходами производства и потребления в Среднеканском городском округе на 2016–2018 годы"</t>
  </si>
  <si>
    <t>Реализация муниципальной программы "Благоустройство территории муниципального образования «Среднеканский городской округ» на 2016–2018 годы"</t>
  </si>
  <si>
    <t>Реализация муниципальной программы "Развитие молодежной политики в Среднеканском городском округе на 2016 – 2018 годы" в учреждениях спорта</t>
  </si>
  <si>
    <t>Реализация муниципальной программы "Развитие образования в Среднеканском городском округе на 2015-2019 годы", софинансирование субсидий бюджетам городских округов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t>
  </si>
  <si>
    <t>S3260</t>
  </si>
  <si>
    <t>S3380</t>
  </si>
  <si>
    <t>Реализация ликвидационных мероприятий в соответствии с Законом Магаданской области от 27.12.2014 N 1842-ОЗ</t>
  </si>
  <si>
    <t>002Л4</t>
  </si>
  <si>
    <t>Пособия, компенсации и иные социальные выплаты гражданам, кроме публичных нормативных обязательств</t>
  </si>
  <si>
    <t>Уличное освещение</t>
  </si>
  <si>
    <t>0060У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</si>
  <si>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</si>
  <si>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ИЗ БЮДЖЕТА МУНИЦИПАЛЬНОГО ОБРАЗОВАНИЯ "СРЕДНЕКАНСКИЙ ГОРОДСКОЙ ОКРУГ"</t>
  </si>
  <si>
    <t>00234</t>
  </si>
  <si>
    <t>Взносы на капитальный ремонт жилищного фонда</t>
  </si>
  <si>
    <t>00КР0</t>
  </si>
  <si>
    <t>73290</t>
  </si>
  <si>
    <t>S3290</t>
  </si>
  <si>
    <t>Субсидии на частичное возмещение расходов по присмотру и уходу за опекаемыми детьми, обучающимся в дошкольных образовательных организациях комбинированного вида</t>
  </si>
  <si>
    <t>Реализация муниципальной программы "Развитие физической культуры и спорта в Среднеканском городском округе на 2016 - 2018 годы"</t>
  </si>
  <si>
    <t>17С00</t>
  </si>
  <si>
    <t>Реализация муниципальной программы "Благоустройство территории муниципального образования «Среднеканский городской округ» на 2016–2018 годы" за счет субсидий из областного бюджета</t>
  </si>
  <si>
    <t>62010</t>
  </si>
  <si>
    <t>S2010</t>
  </si>
  <si>
    <t>Субсидии на питание в школе детей из многодетных семей</t>
  </si>
  <si>
    <t>73950</t>
  </si>
  <si>
    <t>S3950</t>
  </si>
  <si>
    <t>04800</t>
  </si>
  <si>
    <t>04И00</t>
  </si>
  <si>
    <t>Реализация муниципальной программы "Развитие культуры в Среднеканском городском округе на 2016 – 2018 годы"</t>
  </si>
  <si>
    <t>Реализация муниципальной программы "Развитие культуры в Среднеканском городском округе на 2016 – 2018 годы" в клубной системе</t>
  </si>
  <si>
    <t>Реализация муниципальной программы "Развитие культуры в Среднеканском городском округе на 2016 – 2018 годы" в клубной системе, организация праздников</t>
  </si>
  <si>
    <t>Реализация муниципальной программы "Развитие культуры в Среднеканском городском округе на 2016 – 2018 годы" в библиотечной системе</t>
  </si>
  <si>
    <t>Реализация муниципальной программы "Развитие культуры в Среднеканском городском округе на 2016 – 2018 годы" в библиотечной системе, организация праздников</t>
  </si>
  <si>
    <t>Реализация муниципальной программы "Развитие культуры в Среднеканском городском округе на 2016 – 2018 годы" в музее</t>
  </si>
  <si>
    <t>Реализация муниципальной программы "Развитие культуры в Среднеканском городском округе на 2016 – 2018 годы" в музее, организация праздников</t>
  </si>
  <si>
    <t>Реализация муниципальной программы "Развитие культуры в Среднеканском городском округе на 2016 – 2018 годы" в школе искусств</t>
  </si>
  <si>
    <t>Реализация муниципальной программы "Развитие культуры в Среднеканском городском округе на 2016 – 2018 годы" в школе искусств, организация праздников</t>
  </si>
  <si>
    <t>18000</t>
  </si>
  <si>
    <t>18К00</t>
  </si>
  <si>
    <t>18К10</t>
  </si>
  <si>
    <t>18Б00</t>
  </si>
  <si>
    <t>18Б10</t>
  </si>
  <si>
    <t>18М00</t>
  </si>
  <si>
    <t>18М10</t>
  </si>
  <si>
    <t>18И00</t>
  </si>
  <si>
    <t>18И10</t>
  </si>
  <si>
    <t>Реализация муниципальной программы "Развитие культуры в Среднеканском городском округе на 2016 – 2018 годы" в школе искусств, участие в фестивалях, конкурсах</t>
  </si>
  <si>
    <t>18И38</t>
  </si>
  <si>
    <t>Субсидии на организацию отдыха и оздоровление детей в лагерях дневного пребывания на базе школы искусств</t>
  </si>
  <si>
    <t>Обеспечение деятельности муниципальных учреждений</t>
  </si>
  <si>
    <t>00Т00</t>
  </si>
  <si>
    <t xml:space="preserve">Коммунальное хозяйство                                            </t>
  </si>
  <si>
    <t>12005</t>
  </si>
  <si>
    <t>04ЦС0</t>
  </si>
  <si>
    <t>04ВС0</t>
  </si>
  <si>
    <t>04СС0</t>
  </si>
  <si>
    <t>Реализация муниципальной программы "Развитие образования в Среднеканском городском округе на 2015-2019 годы", субсидии на совершенствование питания учащихся в школе в рамках софинансирования</t>
  </si>
  <si>
    <t>Реализация муниципальной программы "Развитие образования в Среднеканском городском округе на 2015-2019 годы", субсидии на питание детей из многодетных семей в рамках софинансирования</t>
  </si>
  <si>
    <t>310</t>
  </si>
  <si>
    <t>Публичные нормативные социальные выплаты гражданам</t>
  </si>
  <si>
    <t>002Т0</t>
  </si>
  <si>
    <t>73900</t>
  </si>
  <si>
    <t>62110</t>
  </si>
  <si>
    <t>Субсидии на осуществление мероприятий по подготовке к осенне-зимнему отопительному периоду 2016-2017 годов</t>
  </si>
  <si>
    <t>10842</t>
  </si>
  <si>
    <t>75050</t>
  </si>
  <si>
    <r>
      <rPr>
        <b/>
        <sz val="10"/>
        <rFont val="Times New Roman"/>
        <family val="1"/>
      </rPr>
      <t xml:space="preserve">Приложение 4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                                                     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2016 год»
</t>
    </r>
  </si>
  <si>
    <t>Субсидии на организацию и проведение областных универсальных совместных ярмарок</t>
  </si>
  <si>
    <t>Расходы, связанные с управлением муниципальным имуществом</t>
  </si>
  <si>
    <t>Расходы , связанные с содержанием и хранением архивных фондов</t>
  </si>
  <si>
    <t>21И00</t>
  </si>
  <si>
    <t>Реализация муниципальной программы "Развитие молодежной политики в Среднеканском городском округе на 2016 – 2018 годы"  в школах искусств</t>
  </si>
  <si>
    <t>08002</t>
  </si>
  <si>
    <t>Реализация муниципальной программы "Комплексное развитие коммунальной инфраструктуры Среднеканского городского округа на 2015-2017 годы", содержание бани</t>
  </si>
  <si>
    <t>Реализация муниципальной программы "Программа летнего оздоровления и занятости детей Среднеканского городского округа «Лето»"  в учреждениях спорта</t>
  </si>
  <si>
    <t xml:space="preserve">Реализация муниципальной программы "Программа летнего оздоровления и занятости детей Среднеканского городского округа «Лето» на 2017 – 2019 годы"  в дошкольных учреждениях 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</si>
  <si>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 в дошкольных учреждениях комбинированного вида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</si>
  <si>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 в муниципальных образовательных организациях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</si>
  <si>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 в общеобразовательных школах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</si>
  <si>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 в учреждениях дополнительного образования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</si>
  <si>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на базе сельских школ, социальное обеспечение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</si>
  <si>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 в школах искусств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</si>
  <si>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на базе сельских школ</t>
  </si>
  <si>
    <t xml:space="preserve">Реализация муниципальной программы "Программа летнего оздоровления и занятости детей Среднеканского городского округа «Лето» на 2017 – 2019 годы" </t>
  </si>
  <si>
    <t>Реализация муниципальной программы "Программа летнего оздоровления и занятости детей Среднеканского городского округа «Лето» на 2017 – 2019 годы"  в учреждениях спорта, социальное обеспечение</t>
  </si>
  <si>
    <t xml:space="preserve">Реализация муниципальной программы "Обеспечение жильем молодых семей Среднеканского городского округа на 2016 – 2020 годы" </t>
  </si>
  <si>
    <t>13001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</si>
  <si>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</t>
  </si>
  <si>
    <t>002АР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</si>
  <si>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</si>
  <si>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Реализация муниципальной программы "Профилактика терроризма и экстремизма в муниципальном образовании «Среднеканский городской округ» на 2017 - 2019 годы"</t>
  </si>
  <si>
    <t>Управление социальной политики Администрации  Среднеканского городского округа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</si>
  <si>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2019 годы", поддержка родовых общин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</si>
  <si>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2019 годы"</t>
  </si>
  <si>
    <t>340</t>
  </si>
  <si>
    <t>Стипендии</t>
  </si>
  <si>
    <t xml:space="preserve"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2016- 2018 годы" </t>
  </si>
  <si>
    <t>21015</t>
  </si>
  <si>
    <t>Реализация муниципальной программы "Развитие молодежной политики в Среднеканском городском округе на 2016 – 2018 годы", муниципальные мероприятия</t>
  </si>
  <si>
    <t>Другие вопросы в области культуры, кинематографии</t>
  </si>
  <si>
    <t xml:space="preserve">
 МУНИЦИПАЛЬНОГО ОБРАЗОВАНИЯ "СРЕДНЕКАНСКИЙ ГОРОДСКОЙ ОКРУГ" НА  2017 ГОД</t>
  </si>
  <si>
    <t>КЛАССИФИКАЦИИ РАСХОДОВ БЮДЖЕТОВ НА 2017 ГОД</t>
  </si>
  <si>
    <t xml:space="preserve"> ПО РАЗДЕЛАМ И ПОДРАЗДЕЛАМ КЛАССИФИКАЦИИ РАСХОДОВ НА 2017 ГОД</t>
  </si>
  <si>
    <t>002М0</t>
  </si>
  <si>
    <t>Реализация муниципальной программы "Социальная поддержка отдельных категорий граждан Среднеканского городского округа на 2016-2020 годы"</t>
  </si>
  <si>
    <t>Реализация муниципальной программы "Программа летнего оздоровления и занятости детей Среднеканского городского округа «Лето»  на 2017 – 2019 годы"  в учреждениях дополнительного образования, социальное обеспечение</t>
  </si>
  <si>
    <t xml:space="preserve">100 тыс. контейнер </t>
  </si>
  <si>
    <t>пособие сокращенным</t>
  </si>
  <si>
    <t>74140</t>
  </si>
  <si>
    <t>0ТБ00</t>
  </si>
  <si>
    <t>Разработка проектно-сметной документации и выполнение инженерных изысканий по объекту: «Межпоселенческий полигон ТКО в поселке Сеймчан»</t>
  </si>
  <si>
    <t>73750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</si>
  <si>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</si>
  <si>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73П06</t>
  </si>
  <si>
    <t>Субсидия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</si>
  <si>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Субсидии бюджетам городских округов на организацию обучения на условиях целевой контрактной подготовки молодежи из числа коренных малочисленных народов Севера в высших учебных заведениях и средних профессиональных образовательных организациях на территории Магаданской области и за ее пределами</t>
  </si>
  <si>
    <t>61060</t>
  </si>
  <si>
    <t>006ПР</t>
  </si>
  <si>
    <t>73330</t>
  </si>
  <si>
    <t>S3330</t>
  </si>
  <si>
    <t>10036</t>
  </si>
  <si>
    <t>Реализация муниципальной программы "Развитие образования в Среднеканском городском округе на 2015-2019 годы", одаренные дети</t>
  </si>
  <si>
    <t>Реализация муниципальной программы "Развитие образования в Среднеканском городском округе на 2015-2019 годы", проведение профессиональных праздников</t>
  </si>
  <si>
    <t>10013</t>
  </si>
  <si>
    <t>Реализация муниципальной программы "Развитие образования в Среднеканском городском округе на 2015-2019 годы", денежное пособие молодом специалистам, в сельских школах</t>
  </si>
  <si>
    <t>10В16</t>
  </si>
  <si>
    <t>Субсидия бюджетам городских округов на реализацию подпрограмма «Развитие водохозяйственного комплекса Магаданской области» на 2014-2020 годы» государтвенной программы Магаданской обалсти "Природные ресурсы и экология Магаданской обалсти" на 2014-2020 годы"</t>
  </si>
  <si>
    <t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годы", софинансирование</t>
  </si>
  <si>
    <t xml:space="preserve">Субсидии  бюджетам городских округов на расселение наиболее неблагоприятных для проживания населенных пунктов Магаданской области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</t>
  </si>
  <si>
    <t>S1060</t>
  </si>
  <si>
    <t>Субсидии  бюджетам городских округов на расселение наиболее неблагоприятных для проживания населенных пунктов Магаданской области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годы", софинансирование</t>
  </si>
  <si>
    <t>S4140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</si>
  <si>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 , софинансирование субсидии на организацию дополнительного профессионального образования для лиц, замещающих муниципальные должности</t>
  </si>
  <si>
    <t>S3900</t>
  </si>
  <si>
    <t>142Т0</t>
  </si>
  <si>
    <t>Реализация муниципальной программы "Развитие торговли в Среднеканском городском округе на 2016-2018 годы", софинансирование</t>
  </si>
  <si>
    <t>Субсидии бюджетам городских округов на организацию обучения на условиях целевой контрактной подготовки молодежи из числа коренных малочисленных народов Севера в высших учебных заведениях и средних профессиональных образовательных организациях на территории Магаданской области и за ее пределами, софинансирование</t>
  </si>
  <si>
    <t>70000</t>
  </si>
  <si>
    <t>S3750</t>
  </si>
  <si>
    <t>S3П06</t>
  </si>
  <si>
    <t>Разработка проектно-сметной документации и выполнение инженерных изысканий по объекту: «Межпоселенческий полигон ТКО в поселке Сеймчан», софинансирование</t>
  </si>
  <si>
    <t>Приобретение оборудования для термического уничтожения различного тип/вида отходов /утилизации отходов для городских округов, софинансирование</t>
  </si>
  <si>
    <t>Субсидии бюджетам городский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2015-2020 годы», софинансирование</t>
  </si>
  <si>
    <t>Субсидии бюджетам городский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2015-2020 годы»</t>
  </si>
  <si>
    <t>S0000</t>
  </si>
  <si>
    <t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2016-2018 годы"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</si>
  <si>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по государственной регистрации актов гражданского состояния</t>
  </si>
  <si>
    <t>Расходы за счет субсидий бюджетам городских округов на организацию  дополнительного профессионального образования для лиц, замещающих муниципальные должности в Магаданской области</t>
  </si>
  <si>
    <t>Расходы за счет субсидий, предоставляемых в рамках реализации подпрограммы "Развитие государственной гражданской службы и муниципальной службы в Магаданской области" на 2017-2021 годы"  государственной  программы   Магаданской области "Развитие системы государственного и муниципального управления и профилактика коррупции в Магаданской области" на 2017-2021 годы"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</si>
  <si>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 , софинансирование субсидий, предоставляемых в рамках реализации подпрограммы "Развитие государственной гражданской службы и муниципальной службы в Магаданской области" на 2017-2021 годы"  государственной  программы "Развитие системы государственного и муниципального управления и профилактика коррупции в Магаданской области" на 2017-2021 годы"</t>
  </si>
  <si>
    <t>Реализация муниципальной программы "Благоустройство территории муниципального образования «Среднеканский городской округ» на 2016–2018 годы" софинансирование субсидии</t>
  </si>
  <si>
    <t xml:space="preserve">Субсидии бюджетам городский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2015-2020 годы» </t>
  </si>
  <si>
    <t>от20.12.2016 г. № 63</t>
  </si>
  <si>
    <t xml:space="preserve"> от 20.12.2016 г. № 63    </t>
  </si>
  <si>
    <t xml:space="preserve"> от 20.12.2016 г. № 63</t>
  </si>
  <si>
    <t>00110</t>
  </si>
  <si>
    <t>Расходы на выплаты персоналу органов местного самоуправления</t>
  </si>
  <si>
    <t>Расходы на выплаты высшему должностному лицу</t>
  </si>
  <si>
    <t>Расходы на обеспечение функций органов местного самоуправления</t>
  </si>
  <si>
    <t>00190</t>
  </si>
  <si>
    <t>Расходы на выплаты персоналу, обслуживающему органы местного самоуправления</t>
  </si>
  <si>
    <t>Расходы на обеспечение функций персонала, обслуживающего органы местного самоуправления</t>
  </si>
  <si>
    <t>Расходы на выплаты персоналу контрольно-счетной палаты</t>
  </si>
  <si>
    <t>Расходы на обеспечение функций контрольно-счетной палаты</t>
  </si>
  <si>
    <t>00111</t>
  </si>
  <si>
    <t>Расходы , связанные с содержанием архива</t>
  </si>
  <si>
    <t>Расходы по управлению муниципального имущества</t>
  </si>
  <si>
    <t>Расходы, в рамках решения вопросов местного значения, не отнесенных к другим статьям расходов</t>
  </si>
  <si>
    <t>00113</t>
  </si>
  <si>
    <t>Расходы, связанные с ликвидационными мероприятиями в соответствии с Законом Магаданской области от 27.12.2014 N 1842-ОЗ, в рамках решения вопросов местного значения</t>
  </si>
  <si>
    <t>Прочие расходы, в рамках решения вопросов местного значения</t>
  </si>
  <si>
    <t>03006</t>
  </si>
  <si>
    <t>00001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</si>
  <si>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годы", размещение информации в СМИ и на сайте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</si>
  <si>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годы", создание системы открытости и прозрачности бюджетной системы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</si>
  <si>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годы", обучение, повышение квалификации</t>
  </si>
  <si>
    <t>03000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</si>
  <si>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годы", профессиональное развитие кадров</t>
  </si>
  <si>
    <t>Расходы на выплаты персоналу обеспечивающих учреждений</t>
  </si>
  <si>
    <t>Расходы на обеспечение функций обеспечивающих учреждений</t>
  </si>
  <si>
    <t>Предупреждение и ликвидация последствий чрезвычайных ситуаций и стихийных бедствий</t>
  </si>
  <si>
    <t>00309</t>
  </si>
  <si>
    <t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</t>
  </si>
  <si>
    <t>01000</t>
  </si>
  <si>
    <t>00003</t>
  </si>
  <si>
    <t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годы", руслоформирование</t>
  </si>
  <si>
    <t>Реализация муниципальной программы "Профилактика терроризма и экстремизма в муниципальном образовании «Среднеканский городской округ» на 2017 - 2019 годы", техническое обеспечение</t>
  </si>
  <si>
    <t>00005</t>
  </si>
  <si>
    <t>08000</t>
  </si>
  <si>
    <t>Реализация муниципальной программы "Профилактика терроризма и экстремизма в муниципальном образовании «Среднеканский городской округ» на 2017 - 2019 годы", система видеонаблюдения</t>
  </si>
  <si>
    <t>Создание условий для предоставления транспортных услуг населению и организация транспортного обслуживания населения</t>
  </si>
  <si>
    <t>00408</t>
  </si>
  <si>
    <t>66Э00</t>
  </si>
  <si>
    <t>00008</t>
  </si>
  <si>
    <t>00007</t>
  </si>
  <si>
    <t>Реализация муниципальной программы "Развитие торговли в Среднеканском городском округе на 2016-2018 годы", деятельность социального магазина</t>
  </si>
  <si>
    <t>Реализация муниципальной программы "Развитие торговли в Среднеканском городском округе на 2016-2018 годы", проведение ярмарок</t>
  </si>
  <si>
    <t>Реализация муниципальной программы "Комплексное развитие коммунальной инфраструктуры Среднеканского городского округа на 2015-2017 годы"</t>
  </si>
  <si>
    <t>12000</t>
  </si>
  <si>
    <t>00009</t>
  </si>
  <si>
    <t>Реализация муниципальной программы "Обеспечение жильем молодых семей Среднеканского городского округа на 2016 – 2020 годы", улучшение жилищных условий</t>
  </si>
  <si>
    <t>Пенсии муниципальных служащих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</si>
  <si>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2019 годы", адресная помощь</t>
  </si>
  <si>
    <t>00002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</si>
  <si>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2019 годы", доставка рыбной продукции</t>
  </si>
  <si>
    <t>Реализация муниципальной программы "Социальная поддержка отдельных категорий граждан Среднеканского городского округа на 2016-2020 годы", адресная помощь</t>
  </si>
  <si>
    <t xml:space="preserve">Реализация муниципальной программы "Социальная поддержка отдельных категорий граждан Среднеканского городского округа на 2016-2020 годы", проведение мероприятий </t>
  </si>
  <si>
    <t xml:space="preserve">Обеспечение деятельности представительного органа </t>
  </si>
  <si>
    <t>Муниципальный долг</t>
  </si>
  <si>
    <t>01301</t>
  </si>
  <si>
    <t>00409</t>
  </si>
  <si>
    <t>Дорожное хозяйство</t>
  </si>
  <si>
    <t>00501</t>
  </si>
  <si>
    <t>00502</t>
  </si>
  <si>
    <t>00503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</si>
  <si>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2019 годы", софинансирование субсидии на укрепление материально-технической базы</t>
  </si>
  <si>
    <t>00701</t>
  </si>
  <si>
    <t>Расходы на обеспечение функций представительного органа муниципального образования</t>
  </si>
  <si>
    <t>Расходы на выплаты персоналу представительного органа</t>
  </si>
  <si>
    <t>00702</t>
  </si>
  <si>
    <t>Расходы на обеспечение функций казенных учреждений, сельских школ</t>
  </si>
  <si>
    <t>Расходы на выплаты персоналу казенных учреждений, сельских школ</t>
  </si>
  <si>
    <t>Расходы на выплаты персоналу казенных учреждений, школ искусств</t>
  </si>
  <si>
    <t>Расходы на обеспечение функций казенных учреждений, школ искусств</t>
  </si>
  <si>
    <t>Расходы на выплаты персоналу казенных учреждений, дополнительного образования</t>
  </si>
  <si>
    <t>Расходы на обеспечение функций казенных учреждений, дополнительного образования</t>
  </si>
  <si>
    <t>Расходы на выплаты персоналу казенных учреждений, совершенствование кадрового потенциала в сельских школах</t>
  </si>
  <si>
    <t>Расходы на выплаты персоналу казенных учреждений, денежное пособие молодом специалистам в сельских школах</t>
  </si>
  <si>
    <t>Расходы на выплаты персоналу казенных учреждений, муниципальные мероприятия</t>
  </si>
  <si>
    <t>Расходы на обеспечение функций казенных учреждений, муниципальные мероприятия</t>
  </si>
  <si>
    <t>Расходы на обеспечение функций казенных учреждений, в школах искусств</t>
  </si>
  <si>
    <t>00709</t>
  </si>
  <si>
    <t>Расходы на выплаты персоналу казенных учреждений, клубной системы</t>
  </si>
  <si>
    <t>Расходы на обеспечение функций казенных учреждений, клубной системы</t>
  </si>
  <si>
    <t>Расходы на выплаты персоналу казенных учреждений, музея</t>
  </si>
  <si>
    <t>Расходы на обеспечение функций казенных учреждений, музея</t>
  </si>
  <si>
    <t>Расходы на выплаты персоналу казенных учреждений, библиотеки</t>
  </si>
  <si>
    <t>Расходы на обеспечение функций казенных учреждений, библиотеки</t>
  </si>
  <si>
    <t>00004</t>
  </si>
  <si>
    <t>00804</t>
  </si>
  <si>
    <t>708</t>
  </si>
  <si>
    <t>Расходы на выплаты персоналу казенных учреждений, спорта</t>
  </si>
  <si>
    <t>Расходы на обеспечение функций казенных учреждений, спорта</t>
  </si>
  <si>
    <t>01101</t>
  </si>
  <si>
    <t>Реализация муниципальной программы "Развитие физической культуры и спорта в Среднеканском городском округе на 2016 - 2018 годы", спортивно-массовые мероприятия</t>
  </si>
  <si>
    <t>Расходы на выплаты персоналу казенных учреждений, периодической печати и издательства</t>
  </si>
  <si>
    <t>Расходы на обеспечение функций казенных учреждений, периодической печати и издательства</t>
  </si>
  <si>
    <t xml:space="preserve">Дополнительное образование детей
</t>
  </si>
  <si>
    <t>Дополнительное образование детей</t>
  </si>
  <si>
    <r>
      <rPr>
        <b/>
        <sz val="10"/>
        <rFont val="Times New Roman"/>
        <family val="1"/>
      </rPr>
      <t xml:space="preserve">Приложение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                                              «Среднеканский городской округ» на 2017 год»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от  12.01.2017 № 1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</si>
  <si>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Приложение 4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                                                     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2017 год»
</t>
    </r>
    <r>
      <rPr>
        <u val="single"/>
        <sz val="10"/>
        <rFont val="Times New Roman"/>
        <family val="1"/>
      </rPr>
      <t xml:space="preserve">от 12.01.2017  №  1 </t>
    </r>
  </si>
  <si>
    <r>
      <rPr>
        <b/>
        <sz val="10"/>
        <rFont val="Times New Roman"/>
        <family val="1"/>
      </rPr>
      <t>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2017 год»
</t>
    </r>
    <r>
      <rPr>
        <u val="single"/>
        <sz val="10"/>
        <rFont val="Times New Roman"/>
        <family val="1"/>
      </rPr>
      <t>от 12.01.2017 №  1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</si>
</sst>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_р_."/>
    <numFmt numFmtId="186" formatCode="#,##0.00_р_."/>
    <numFmt numFmtId="187" formatCode="0.000"/>
    <numFmt numFmtId="188" formatCode="0.0"/>
    <numFmt numFmtId="189" formatCode="#,##0.000"/>
    <numFmt numFmtId="190" formatCode="0.0000"/>
    <numFmt numFmtId="191" formatCode="0.00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  <numFmt numFmtId="207" formatCode="0.000000000"/>
    <numFmt numFmtId="208" formatCode="0.0000000000"/>
    <numFmt numFmtId="209" formatCode="0.00000000"/>
    <numFmt numFmtId="210" formatCode="0.0000000"/>
    <numFmt numFmtId="211" formatCode="0.000000"/>
  </numFmts>
  <fonts count="6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4" fillId="33" borderId="0" xfId="53" applyFont="1" applyFill="1" applyAlignment="1">
      <alignment wrapText="1"/>
      <protection/>
    </xf>
    <xf numFmtId="0" fontId="5" fillId="33" borderId="0" xfId="53" applyFont="1" applyFill="1" applyAlignment="1">
      <alignment wrapText="1"/>
      <protection/>
    </xf>
    <xf numFmtId="0" fontId="4" fillId="0" borderId="0" xfId="53" applyFont="1" applyFill="1">
      <alignment/>
      <protection/>
    </xf>
    <xf numFmtId="0" fontId="4" fillId="33" borderId="0" xfId="53" applyFont="1" applyFill="1" applyAlignment="1">
      <alignment horizontal="right" wrapText="1"/>
      <protection/>
    </xf>
    <xf numFmtId="0" fontId="4" fillId="33" borderId="0" xfId="53" applyFont="1" applyFill="1" applyAlignment="1">
      <alignment horizontal="center" wrapText="1"/>
      <protection/>
    </xf>
    <xf numFmtId="0" fontId="7" fillId="33" borderId="0" xfId="53" applyFont="1" applyFill="1" applyAlignment="1">
      <alignment wrapText="1"/>
      <protection/>
    </xf>
    <xf numFmtId="4" fontId="4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 wrapText="1"/>
      <protection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49" fontId="8" fillId="0" borderId="11" xfId="53" applyNumberFormat="1" applyFont="1" applyBorder="1" applyAlignment="1">
      <alignment horizontal="center" vertical="center" textRotation="90" wrapText="1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49" fontId="4" fillId="0" borderId="13" xfId="53" applyNumberFormat="1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3" fontId="4" fillId="0" borderId="14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49" fontId="4" fillId="34" borderId="10" xfId="53" applyNumberFormat="1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4" fontId="7" fillId="34" borderId="13" xfId="53" applyNumberFormat="1" applyFont="1" applyFill="1" applyBorder="1" applyAlignment="1">
      <alignment horizontal="right" vertical="center"/>
      <protection/>
    </xf>
    <xf numFmtId="10" fontId="7" fillId="34" borderId="13" xfId="53" applyNumberFormat="1" applyFont="1" applyFill="1" applyBorder="1" applyAlignment="1">
      <alignment horizontal="right" vertical="center"/>
      <protection/>
    </xf>
    <xf numFmtId="4" fontId="4" fillId="0" borderId="0" xfId="53" applyNumberFormat="1" applyFont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0" fontId="5" fillId="35" borderId="16" xfId="53" applyFont="1" applyFill="1" applyBorder="1" applyAlignment="1">
      <alignment horizontal="right" vertical="center"/>
      <protection/>
    </xf>
    <xf numFmtId="49" fontId="5" fillId="35" borderId="17" xfId="53" applyNumberFormat="1" applyFont="1" applyFill="1" applyBorder="1" applyAlignment="1">
      <alignment horizontal="center" vertical="center"/>
      <protection/>
    </xf>
    <xf numFmtId="4" fontId="5" fillId="35" borderId="17" xfId="53" applyNumberFormat="1" applyFont="1" applyFill="1" applyBorder="1" applyAlignment="1">
      <alignment horizontal="right" vertical="center"/>
      <protection/>
    </xf>
    <xf numFmtId="10" fontId="5" fillId="35" borderId="17" xfId="53" applyNumberFormat="1" applyFont="1" applyFill="1" applyBorder="1" applyAlignment="1">
      <alignment horizontal="right" vertical="center"/>
      <protection/>
    </xf>
    <xf numFmtId="0" fontId="4" fillId="0" borderId="0" xfId="53" applyFont="1" applyAlignment="1">
      <alignment vertical="center"/>
      <protection/>
    </xf>
    <xf numFmtId="0" fontId="10" fillId="0" borderId="15" xfId="53" applyFont="1" applyBorder="1" applyAlignment="1">
      <alignment horizontal="right" vertical="center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" fontId="10" fillId="0" borderId="14" xfId="53" applyNumberFormat="1" applyFont="1" applyBorder="1" applyAlignment="1">
      <alignment horizontal="right" vertical="center"/>
      <protection/>
    </xf>
    <xf numFmtId="10" fontId="10" fillId="0" borderId="14" xfId="53" applyNumberFormat="1" applyFont="1" applyBorder="1" applyAlignment="1">
      <alignment horizontal="right" vertical="center"/>
      <protection/>
    </xf>
    <xf numFmtId="4" fontId="11" fillId="0" borderId="14" xfId="53" applyNumberFormat="1" applyFont="1" applyBorder="1" applyAlignment="1">
      <alignment horizontal="right" vertical="center"/>
      <protection/>
    </xf>
    <xf numFmtId="10" fontId="11" fillId="0" borderId="14" xfId="53" applyNumberFormat="1" applyFont="1" applyBorder="1" applyAlignment="1">
      <alignment horizontal="right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" fontId="4" fillId="0" borderId="14" xfId="53" applyNumberFormat="1" applyFont="1" applyBorder="1" applyAlignment="1">
      <alignment horizontal="right" vertical="center"/>
      <protection/>
    </xf>
    <xf numFmtId="10" fontId="4" fillId="0" borderId="14" xfId="53" applyNumberFormat="1" applyFont="1" applyBorder="1" applyAlignment="1">
      <alignment horizontal="right" vertical="center"/>
      <protection/>
    </xf>
    <xf numFmtId="0" fontId="5" fillId="35" borderId="15" xfId="53" applyFont="1" applyFill="1" applyBorder="1" applyAlignment="1">
      <alignment horizontal="right" vertical="center"/>
      <protection/>
    </xf>
    <xf numFmtId="49" fontId="5" fillId="35" borderId="14" xfId="53" applyNumberFormat="1" applyFont="1" applyFill="1" applyBorder="1" applyAlignment="1">
      <alignment horizontal="center" vertical="center"/>
      <protection/>
    </xf>
    <xf numFmtId="4" fontId="5" fillId="35" borderId="14" xfId="53" applyNumberFormat="1" applyFont="1" applyFill="1" applyBorder="1" applyAlignment="1">
      <alignment horizontal="right" vertical="center"/>
      <protection/>
    </xf>
    <xf numFmtId="10" fontId="5" fillId="35" borderId="14" xfId="53" applyNumberFormat="1" applyFont="1" applyFill="1" applyBorder="1" applyAlignment="1">
      <alignment horizontal="right" vertical="center"/>
      <protection/>
    </xf>
    <xf numFmtId="0" fontId="11" fillId="0" borderId="15" xfId="53" applyFont="1" applyBorder="1" applyAlignment="1">
      <alignment horizontal="right" vertical="center"/>
      <protection/>
    </xf>
    <xf numFmtId="0" fontId="4" fillId="0" borderId="15" xfId="53" applyFont="1" applyBorder="1" applyAlignment="1">
      <alignment horizontal="right" vertical="center"/>
      <protection/>
    </xf>
    <xf numFmtId="4" fontId="10" fillId="0" borderId="14" xfId="53" applyNumberFormat="1" applyFont="1" applyFill="1" applyBorder="1" applyAlignment="1">
      <alignment horizontal="right" vertical="center"/>
      <protection/>
    </xf>
    <xf numFmtId="4" fontId="4" fillId="0" borderId="14" xfId="53" applyNumberFormat="1" applyFont="1" applyFill="1" applyBorder="1" applyAlignment="1">
      <alignment horizontal="right" vertical="center"/>
      <protection/>
    </xf>
    <xf numFmtId="0" fontId="5" fillId="0" borderId="0" xfId="53" applyFont="1" applyFill="1" applyAlignment="1">
      <alignment vertical="center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4" fillId="0" borderId="14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6" fillId="36" borderId="14" xfId="53" applyFont="1" applyFill="1" applyBorder="1" applyAlignment="1">
      <alignment horizontal="center" vertical="center" wrapText="1"/>
      <protection/>
    </xf>
    <xf numFmtId="49" fontId="6" fillId="36" borderId="14" xfId="53" applyNumberFormat="1" applyFont="1" applyFill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/>
      <protection/>
    </xf>
    <xf numFmtId="10" fontId="10" fillId="0" borderId="17" xfId="53" applyNumberFormat="1" applyFont="1" applyBorder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49" fontId="11" fillId="0" borderId="16" xfId="53" applyNumberFormat="1" applyFont="1" applyBorder="1" applyAlignment="1">
      <alignment horizontal="center" vertical="center"/>
      <protection/>
    </xf>
    <xf numFmtId="10" fontId="11" fillId="0" borderId="17" xfId="53" applyNumberFormat="1" applyFont="1" applyBorder="1" applyAlignment="1">
      <alignment horizontal="right" vertical="center"/>
      <protection/>
    </xf>
    <xf numFmtId="0" fontId="11" fillId="0" borderId="0" xfId="53" applyFont="1" applyAlignment="1">
      <alignment vertical="center"/>
      <protection/>
    </xf>
    <xf numFmtId="49" fontId="4" fillId="0" borderId="16" xfId="53" applyNumberFormat="1" applyFont="1" applyBorder="1" applyAlignment="1">
      <alignment horizontal="center" vertical="center"/>
      <protection/>
    </xf>
    <xf numFmtId="10" fontId="4" fillId="0" borderId="17" xfId="53" applyNumberFormat="1" applyFont="1" applyBorder="1" applyAlignment="1">
      <alignment horizontal="right" vertical="center"/>
      <protection/>
    </xf>
    <xf numFmtId="49" fontId="10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11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35" borderId="16" xfId="53" applyNumberFormat="1" applyFont="1" applyFill="1" applyBorder="1" applyAlignment="1">
      <alignment horizontal="center" vertical="center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/>
    </xf>
    <xf numFmtId="4" fontId="6" fillId="36" borderId="14" xfId="0" applyNumberFormat="1" applyFont="1" applyFill="1" applyBorder="1" applyAlignment="1">
      <alignment horizontal="right" vertical="center"/>
    </xf>
    <xf numFmtId="49" fontId="5" fillId="35" borderId="16" xfId="0" applyNumberFormat="1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5" fillId="35" borderId="17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0" fontId="6" fillId="36" borderId="14" xfId="0" applyNumberFormat="1" applyFont="1" applyFill="1" applyBorder="1" applyAlignment="1">
      <alignment horizontal="right" vertical="center"/>
    </xf>
    <xf numFmtId="0" fontId="5" fillId="0" borderId="0" xfId="53" applyFont="1" applyAlignment="1">
      <alignment vertical="center"/>
      <protection/>
    </xf>
    <xf numFmtId="4" fontId="5" fillId="35" borderId="14" xfId="0" applyNumberFormat="1" applyFont="1" applyFill="1" applyBorder="1" applyAlignment="1">
      <alignment horizontal="right" vertical="center"/>
    </xf>
    <xf numFmtId="10" fontId="5" fillId="35" borderId="14" xfId="0" applyNumberFormat="1" applyFont="1" applyFill="1" applyBorder="1" applyAlignment="1">
      <alignment horizontal="right" vertical="center"/>
    </xf>
    <xf numFmtId="49" fontId="5" fillId="35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10" fillId="0" borderId="14" xfId="0" applyNumberFormat="1" applyFont="1" applyBorder="1" applyAlignment="1">
      <alignment horizontal="right" vertical="center"/>
    </xf>
    <xf numFmtId="10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0" fontId="11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35" borderId="18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3" xfId="53" applyNumberFormat="1" applyFont="1" applyBorder="1" applyAlignment="1">
      <alignment horizontal="right" vertical="center"/>
      <protection/>
    </xf>
    <xf numFmtId="0" fontId="5" fillId="35" borderId="14" xfId="53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4" fillId="0" borderId="14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/>
    </xf>
    <xf numFmtId="10" fontId="5" fillId="0" borderId="14" xfId="0" applyNumberFormat="1" applyFont="1" applyBorder="1" applyAlignment="1">
      <alignment horizontal="right" vertical="center"/>
    </xf>
    <xf numFmtId="0" fontId="4" fillId="0" borderId="14" xfId="53" applyFont="1" applyFill="1" applyBorder="1" applyAlignment="1">
      <alignment horizontal="center" vertical="center"/>
      <protection/>
    </xf>
    <xf numFmtId="4" fontId="4" fillId="0" borderId="11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4" fontId="6" fillId="34" borderId="19" xfId="53" applyNumberFormat="1" applyFont="1" applyFill="1" applyBorder="1" applyAlignment="1">
      <alignment horizontal="right" vertical="center"/>
      <protection/>
    </xf>
    <xf numFmtId="10" fontId="6" fillId="34" borderId="19" xfId="53" applyNumberFormat="1" applyFont="1" applyFill="1" applyBorder="1" applyAlignment="1">
      <alignment horizontal="right" vertical="center"/>
      <protection/>
    </xf>
    <xf numFmtId="0" fontId="14" fillId="0" borderId="0" xfId="53" applyFont="1" applyFill="1" applyBorder="1">
      <alignment/>
      <protection/>
    </xf>
    <xf numFmtId="4" fontId="4" fillId="0" borderId="0" xfId="53" applyNumberFormat="1" applyFont="1" applyFill="1" applyBorder="1">
      <alignment/>
      <protection/>
    </xf>
    <xf numFmtId="0" fontId="14" fillId="0" borderId="0" xfId="53" applyFont="1" applyFill="1">
      <alignment/>
      <protection/>
    </xf>
    <xf numFmtId="4" fontId="14" fillId="0" borderId="0" xfId="53" applyNumberFormat="1" applyFont="1" applyFill="1" applyBorder="1">
      <alignment/>
      <protection/>
    </xf>
    <xf numFmtId="0" fontId="12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>
      <alignment/>
      <protection/>
    </xf>
    <xf numFmtId="0" fontId="12" fillId="0" borderId="0" xfId="53" applyFont="1" applyFill="1" applyAlignment="1">
      <alignment wrapText="1"/>
      <protection/>
    </xf>
    <xf numFmtId="0" fontId="14" fillId="0" borderId="0" xfId="53" applyFont="1" applyFill="1" applyBorder="1" applyAlignment="1">
      <alignment horizontal="center"/>
      <protection/>
    </xf>
    <xf numFmtId="49" fontId="14" fillId="0" borderId="0" xfId="53" applyNumberFormat="1" applyFont="1" applyFill="1" applyBorder="1">
      <alignment/>
      <protection/>
    </xf>
    <xf numFmtId="4" fontId="4" fillId="0" borderId="0" xfId="53" applyNumberFormat="1" applyFont="1">
      <alignment/>
      <protection/>
    </xf>
    <xf numFmtId="0" fontId="14" fillId="0" borderId="0" xfId="53" applyFont="1" applyFill="1" applyAlignment="1">
      <alignment horizontal="center"/>
      <protection/>
    </xf>
    <xf numFmtId="49" fontId="14" fillId="0" borderId="0" xfId="53" applyNumberFormat="1" applyFont="1" applyFill="1">
      <alignment/>
      <protection/>
    </xf>
    <xf numFmtId="0" fontId="12" fillId="0" borderId="0" xfId="53" applyFont="1" applyFill="1" applyAlignment="1">
      <alignment horizontal="center"/>
      <protection/>
    </xf>
    <xf numFmtId="49" fontId="12" fillId="0" borderId="0" xfId="53" applyNumberFormat="1" applyFont="1" applyFill="1">
      <alignment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Alignment="1">
      <alignment wrapText="1"/>
      <protection/>
    </xf>
    <xf numFmtId="0" fontId="12" fillId="33" borderId="0" xfId="53" applyFont="1" applyFill="1" applyAlignment="1">
      <alignment wrapText="1"/>
      <protection/>
    </xf>
    <xf numFmtId="0" fontId="4" fillId="0" borderId="0" xfId="53" applyFont="1" applyFill="1" applyAlignment="1">
      <alignment horizontal="right" wrapText="1"/>
      <protection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textRotation="90" wrapText="1"/>
      <protection/>
    </xf>
    <xf numFmtId="0" fontId="12" fillId="0" borderId="12" xfId="53" applyFont="1" applyBorder="1" applyAlignment="1">
      <alignment horizontal="center" vertical="center" textRotation="90" wrapText="1"/>
      <protection/>
    </xf>
    <xf numFmtId="49" fontId="6" fillId="36" borderId="20" xfId="53" applyNumberFormat="1" applyFont="1" applyFill="1" applyBorder="1" applyAlignment="1">
      <alignment horizontal="center" vertical="center"/>
      <protection/>
    </xf>
    <xf numFmtId="10" fontId="6" fillId="36" borderId="20" xfId="53" applyNumberFormat="1" applyFont="1" applyFill="1" applyBorder="1" applyAlignment="1">
      <alignment horizontal="right" vertical="center"/>
      <protection/>
    </xf>
    <xf numFmtId="4" fontId="4" fillId="0" borderId="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right" vertical="center"/>
      <protection/>
    </xf>
    <xf numFmtId="10" fontId="5" fillId="35" borderId="13" xfId="53" applyNumberFormat="1" applyFont="1" applyFill="1" applyBorder="1" applyAlignment="1">
      <alignment horizontal="right" vertical="center"/>
      <protection/>
    </xf>
    <xf numFmtId="0" fontId="4" fillId="35" borderId="15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4" fontId="5" fillId="35" borderId="12" xfId="53" applyNumberFormat="1" applyFont="1" applyFill="1" applyBorder="1" applyAlignment="1">
      <alignment horizontal="right" vertical="center"/>
      <protection/>
    </xf>
    <xf numFmtId="10" fontId="5" fillId="35" borderId="12" xfId="53" applyNumberFormat="1" applyFont="1" applyFill="1" applyBorder="1" applyAlignment="1">
      <alignment horizontal="right" vertical="center"/>
      <protection/>
    </xf>
    <xf numFmtId="49" fontId="6" fillId="36" borderId="21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10" fontId="5" fillId="0" borderId="17" xfId="53" applyNumberFormat="1" applyFont="1" applyFill="1" applyBorder="1" applyAlignment="1">
      <alignment horizontal="right" vertical="center"/>
      <protection/>
    </xf>
    <xf numFmtId="0" fontId="10" fillId="0" borderId="14" xfId="53" applyFont="1" applyBorder="1" applyAlignment="1">
      <alignment horizontal="center" vertical="center"/>
      <protection/>
    </xf>
    <xf numFmtId="49" fontId="6" fillId="36" borderId="22" xfId="0" applyNumberFormat="1" applyFont="1" applyFill="1" applyBorder="1" applyAlignment="1">
      <alignment horizontal="center" vertical="center"/>
    </xf>
    <xf numFmtId="49" fontId="6" fillId="36" borderId="23" xfId="0" applyNumberFormat="1" applyFont="1" applyFill="1" applyBorder="1" applyAlignment="1">
      <alignment horizontal="center" vertical="center"/>
    </xf>
    <xf numFmtId="49" fontId="6" fillId="36" borderId="20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>
      <alignment horizontal="right" vertical="center"/>
    </xf>
    <xf numFmtId="10" fontId="6" fillId="36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0" fontId="10" fillId="0" borderId="14" xfId="0" applyNumberFormat="1" applyFont="1" applyFill="1" applyBorder="1" applyAlignment="1">
      <alignment horizontal="right" vertical="center"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6" fillId="36" borderId="21" xfId="0" applyNumberFormat="1" applyFont="1" applyFill="1" applyBorder="1" applyAlignment="1">
      <alignment horizontal="center" vertical="center"/>
    </xf>
    <xf numFmtId="10" fontId="6" fillId="36" borderId="26" xfId="0" applyNumberFormat="1" applyFont="1" applyFill="1" applyBorder="1" applyAlignment="1">
      <alignment horizontal="right" vertical="center"/>
    </xf>
    <xf numFmtId="49" fontId="4" fillId="35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10" fontId="6" fillId="36" borderId="20" xfId="0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horizontal="right" vertical="center"/>
    </xf>
    <xf numFmtId="10" fontId="6" fillId="36" borderId="12" xfId="0" applyNumberFormat="1" applyFont="1" applyFill="1" applyBorder="1" applyAlignment="1">
      <alignment horizontal="right" vertical="center"/>
    </xf>
    <xf numFmtId="0" fontId="4" fillId="0" borderId="27" xfId="53" applyFont="1" applyFill="1" applyBorder="1">
      <alignment/>
      <protection/>
    </xf>
    <xf numFmtId="0" fontId="6" fillId="36" borderId="21" xfId="0" applyFont="1" applyFill="1" applyBorder="1" applyAlignment="1">
      <alignment vertical="center"/>
    </xf>
    <xf numFmtId="0" fontId="12" fillId="0" borderId="0" xfId="53" applyFont="1" applyFill="1" applyBorder="1">
      <alignment/>
      <protection/>
    </xf>
    <xf numFmtId="0" fontId="4" fillId="0" borderId="0" xfId="53" applyFont="1" applyBorder="1">
      <alignment/>
      <protection/>
    </xf>
    <xf numFmtId="0" fontId="4" fillId="34" borderId="23" xfId="53" applyFont="1" applyFill="1" applyBorder="1" applyAlignment="1">
      <alignment vertical="center"/>
      <protection/>
    </xf>
    <xf numFmtId="0" fontId="4" fillId="34" borderId="22" xfId="53" applyFont="1" applyFill="1" applyBorder="1" applyAlignment="1">
      <alignment vertical="center"/>
      <protection/>
    </xf>
    <xf numFmtId="49" fontId="4" fillId="34" borderId="22" xfId="53" applyNumberFormat="1" applyFont="1" applyFill="1" applyBorder="1" applyAlignment="1">
      <alignment vertical="center"/>
      <protection/>
    </xf>
    <xf numFmtId="4" fontId="6" fillId="34" borderId="28" xfId="53" applyNumberFormat="1" applyFont="1" applyFill="1" applyBorder="1" applyAlignment="1">
      <alignment horizontal="right" vertical="center"/>
      <protection/>
    </xf>
    <xf numFmtId="49" fontId="4" fillId="0" borderId="27" xfId="53" applyNumberFormat="1" applyFont="1" applyFill="1" applyBorder="1">
      <alignment/>
      <protection/>
    </xf>
    <xf numFmtId="4" fontId="4" fillId="0" borderId="27" xfId="53" applyNumberFormat="1" applyFont="1" applyFill="1" applyBorder="1">
      <alignment/>
      <protection/>
    </xf>
    <xf numFmtId="10" fontId="4" fillId="0" borderId="0" xfId="53" applyNumberFormat="1" applyFont="1" applyFill="1">
      <alignment/>
      <protection/>
    </xf>
    <xf numFmtId="0" fontId="12" fillId="0" borderId="0" xfId="53" applyFont="1" applyFill="1" applyAlignment="1">
      <alignment horizontal="left"/>
      <protection/>
    </xf>
    <xf numFmtId="0" fontId="14" fillId="0" borderId="0" xfId="53" applyFont="1" applyFill="1" applyBorder="1" applyAlignment="1">
      <alignment wrapText="1"/>
      <protection/>
    </xf>
    <xf numFmtId="49" fontId="5" fillId="0" borderId="15" xfId="0" applyNumberFormat="1" applyFont="1" applyFill="1" applyBorder="1" applyAlignment="1">
      <alignment horizontal="center" vertical="center"/>
    </xf>
    <xf numFmtId="10" fontId="4" fillId="0" borderId="2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Alignment="1">
      <alignment vertical="center"/>
    </xf>
    <xf numFmtId="10" fontId="10" fillId="0" borderId="12" xfId="0" applyNumberFormat="1" applyFont="1" applyBorder="1" applyAlignment="1">
      <alignment horizontal="right" vertical="center"/>
    </xf>
    <xf numFmtId="49" fontId="4" fillId="37" borderId="14" xfId="53" applyNumberFormat="1" applyFont="1" applyFill="1" applyBorder="1" applyAlignment="1">
      <alignment horizontal="center" vertical="center"/>
      <protection/>
    </xf>
    <xf numFmtId="49" fontId="5" fillId="38" borderId="14" xfId="0" applyNumberFormat="1" applyFont="1" applyFill="1" applyBorder="1" applyAlignment="1">
      <alignment horizontal="center" vertical="center"/>
    </xf>
    <xf numFmtId="49" fontId="6" fillId="38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6" fillId="38" borderId="14" xfId="53" applyNumberFormat="1" applyFont="1" applyFill="1" applyBorder="1" applyAlignment="1">
      <alignment horizontal="center" vertical="center"/>
      <protection/>
    </xf>
    <xf numFmtId="49" fontId="4" fillId="38" borderId="14" xfId="53" applyNumberFormat="1" applyFont="1" applyFill="1" applyBorder="1" applyAlignment="1">
      <alignment horizontal="center" vertical="center"/>
      <protection/>
    </xf>
    <xf numFmtId="49" fontId="6" fillId="39" borderId="14" xfId="53" applyNumberFormat="1" applyFont="1" applyFill="1" applyBorder="1" applyAlignment="1">
      <alignment horizontal="center" vertical="center"/>
      <protection/>
    </xf>
    <xf numFmtId="49" fontId="4" fillId="39" borderId="14" xfId="53" applyNumberFormat="1" applyFont="1" applyFill="1" applyBorder="1" applyAlignment="1">
      <alignment horizontal="center" vertical="center"/>
      <protection/>
    </xf>
    <xf numFmtId="49" fontId="5" fillId="39" borderId="14" xfId="53" applyNumberFormat="1" applyFont="1" applyFill="1" applyBorder="1" applyAlignment="1">
      <alignment horizontal="center" vertical="center"/>
      <protection/>
    </xf>
    <xf numFmtId="49" fontId="4" fillId="39" borderId="14" xfId="0" applyNumberFormat="1" applyFont="1" applyFill="1" applyBorder="1" applyAlignment="1">
      <alignment horizontal="center" vertical="center"/>
    </xf>
    <xf numFmtId="49" fontId="5" fillId="39" borderId="14" xfId="0" applyNumberFormat="1" applyFont="1" applyFill="1" applyBorder="1" applyAlignment="1">
      <alignment horizontal="center" vertical="center"/>
    </xf>
    <xf numFmtId="49" fontId="5" fillId="36" borderId="14" xfId="53" applyNumberFormat="1" applyFont="1" applyFill="1" applyBorder="1" applyAlignment="1">
      <alignment horizontal="center" vertical="center"/>
      <protection/>
    </xf>
    <xf numFmtId="49" fontId="5" fillId="39" borderId="14" xfId="0" applyNumberFormat="1" applyFont="1" applyFill="1" applyBorder="1" applyAlignment="1">
      <alignment horizontal="center" vertical="center" wrapText="1"/>
    </xf>
    <xf numFmtId="1" fontId="10" fillId="40" borderId="14" xfId="0" applyNumberFormat="1" applyFont="1" applyFill="1" applyBorder="1" applyAlignment="1">
      <alignment horizontal="left" vertical="top" wrapText="1" shrinkToFit="1"/>
    </xf>
    <xf numFmtId="1" fontId="10" fillId="40" borderId="14" xfId="0" applyNumberFormat="1" applyFont="1" applyFill="1" applyBorder="1" applyAlignment="1">
      <alignment horizontal="center" vertical="center" wrapText="1" shrinkToFit="1"/>
    </xf>
    <xf numFmtId="1" fontId="4" fillId="4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0" fontId="4" fillId="40" borderId="14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 shrinkToFit="1"/>
    </xf>
    <xf numFmtId="1" fontId="4" fillId="0" borderId="14" xfId="0" applyNumberFormat="1" applyFont="1" applyFill="1" applyBorder="1" applyAlignment="1">
      <alignment horizontal="center" vertical="center" wrapText="1" shrinkToFit="1"/>
    </xf>
    <xf numFmtId="4" fontId="10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1" fontId="5" fillId="39" borderId="14" xfId="0" applyNumberFormat="1" applyFont="1" applyFill="1" applyBorder="1" applyAlignment="1">
      <alignment horizontal="center" vertical="center" wrapText="1" shrinkToFit="1"/>
    </xf>
    <xf numFmtId="4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" fontId="10" fillId="0" borderId="0" xfId="53" applyNumberFormat="1" applyFont="1" applyFill="1">
      <alignment/>
      <protection/>
    </xf>
    <xf numFmtId="0" fontId="10" fillId="0" borderId="0" xfId="53" applyFont="1" applyFill="1">
      <alignment/>
      <protection/>
    </xf>
    <xf numFmtId="4" fontId="4" fillId="0" borderId="0" xfId="53" applyNumberFormat="1" applyFont="1" applyFill="1">
      <alignment/>
      <protection/>
    </xf>
    <xf numFmtId="4" fontId="4" fillId="0" borderId="11" xfId="0" applyNumberFormat="1" applyFont="1" applyFill="1" applyBorder="1" applyAlignment="1">
      <alignment horizontal="right" vertical="center"/>
    </xf>
    <xf numFmtId="1" fontId="10" fillId="40" borderId="30" xfId="0" applyNumberFormat="1" applyFont="1" applyFill="1" applyBorder="1" applyAlignment="1">
      <alignment horizontal="left" vertical="top" wrapText="1" shrinkToFit="1"/>
    </xf>
    <xf numFmtId="0" fontId="10" fillId="0" borderId="0" xfId="0" applyFont="1" applyAlignment="1">
      <alignment horizontal="left" vertical="center"/>
    </xf>
    <xf numFmtId="4" fontId="4" fillId="41" borderId="14" xfId="0" applyNumberFormat="1" applyFont="1" applyFill="1" applyBorder="1" applyAlignment="1">
      <alignment horizontal="right" vertical="center"/>
    </xf>
    <xf numFmtId="0" fontId="4" fillId="0" borderId="31" xfId="53" applyFont="1" applyBorder="1" applyAlignment="1">
      <alignment vertical="center" wrapText="1"/>
      <protection/>
    </xf>
    <xf numFmtId="0" fontId="4" fillId="0" borderId="32" xfId="53" applyFont="1" applyBorder="1" applyAlignment="1">
      <alignment vertical="center" wrapText="1"/>
      <protection/>
    </xf>
    <xf numFmtId="0" fontId="6" fillId="35" borderId="31" xfId="53" applyFont="1" applyFill="1" applyBorder="1" applyAlignment="1">
      <alignment vertical="center" wrapText="1"/>
      <protection/>
    </xf>
    <xf numFmtId="0" fontId="10" fillId="0" borderId="31" xfId="53" applyFont="1" applyFill="1" applyBorder="1" applyAlignment="1">
      <alignment vertical="center" wrapText="1"/>
      <protection/>
    </xf>
    <xf numFmtId="0" fontId="6" fillId="39" borderId="29" xfId="53" applyFont="1" applyFill="1" applyBorder="1" applyAlignment="1">
      <alignment horizontal="left" vertical="center" wrapText="1"/>
      <protection/>
    </xf>
    <xf numFmtId="0" fontId="4" fillId="0" borderId="32" xfId="53" applyFont="1" applyFill="1" applyBorder="1" applyAlignment="1">
      <alignment vertical="center" wrapText="1"/>
      <protection/>
    </xf>
    <xf numFmtId="4" fontId="10" fillId="0" borderId="15" xfId="53" applyNumberFormat="1" applyFont="1" applyBorder="1" applyAlignment="1">
      <alignment horizontal="right" vertical="center"/>
      <protection/>
    </xf>
    <xf numFmtId="4" fontId="4" fillId="0" borderId="15" xfId="53" applyNumberFormat="1" applyFont="1" applyBorder="1" applyAlignment="1">
      <alignment horizontal="right" vertical="center"/>
      <protection/>
    </xf>
    <xf numFmtId="4" fontId="5" fillId="35" borderId="15" xfId="53" applyNumberFormat="1" applyFont="1" applyFill="1" applyBorder="1" applyAlignment="1">
      <alignment horizontal="right" vertical="center"/>
      <protection/>
    </xf>
    <xf numFmtId="4" fontId="5" fillId="0" borderId="15" xfId="53" applyNumberFormat="1" applyFont="1" applyFill="1" applyBorder="1" applyAlignment="1">
      <alignment horizontal="right" vertical="center"/>
      <protection/>
    </xf>
    <xf numFmtId="4" fontId="6" fillId="36" borderId="15" xfId="53" applyNumberFormat="1" applyFont="1" applyFill="1" applyBorder="1" applyAlignment="1">
      <alignment horizontal="right" vertical="center"/>
      <protection/>
    </xf>
    <xf numFmtId="4" fontId="4" fillId="35" borderId="16" xfId="53" applyNumberFormat="1" applyFont="1" applyFill="1" applyBorder="1" applyAlignment="1">
      <alignment horizontal="right" vertical="center"/>
      <protection/>
    </xf>
    <xf numFmtId="4" fontId="11" fillId="0" borderId="16" xfId="53" applyNumberFormat="1" applyFont="1" applyBorder="1" applyAlignment="1">
      <alignment horizontal="right" vertical="center"/>
      <protection/>
    </xf>
    <xf numFmtId="4" fontId="4" fillId="0" borderId="16" xfId="53" applyNumberFormat="1" applyFont="1" applyBorder="1" applyAlignment="1">
      <alignment horizontal="right" vertical="center"/>
      <protection/>
    </xf>
    <xf numFmtId="4" fontId="6" fillId="36" borderId="16" xfId="53" applyNumberFormat="1" applyFont="1" applyFill="1" applyBorder="1" applyAlignment="1">
      <alignment horizontal="right" vertical="center"/>
      <protection/>
    </xf>
    <xf numFmtId="4" fontId="6" fillId="0" borderId="16" xfId="53" applyNumberFormat="1" applyFont="1" applyFill="1" applyBorder="1" applyAlignment="1">
      <alignment horizontal="right" vertical="center"/>
      <protection/>
    </xf>
    <xf numFmtId="4" fontId="5" fillId="36" borderId="16" xfId="53" applyNumberFormat="1" applyFont="1" applyFill="1" applyBorder="1" applyAlignment="1">
      <alignment horizontal="right" vertical="center"/>
      <protection/>
    </xf>
    <xf numFmtId="4" fontId="5" fillId="0" borderId="16" xfId="53" applyNumberFormat="1" applyFont="1" applyFill="1" applyBorder="1" applyAlignment="1">
      <alignment horizontal="right" vertical="center"/>
      <protection/>
    </xf>
    <xf numFmtId="4" fontId="4" fillId="0" borderId="16" xfId="53" applyNumberFormat="1" applyFont="1" applyFill="1" applyBorder="1" applyAlignment="1">
      <alignment horizontal="right" vertical="center"/>
      <protection/>
    </xf>
    <xf numFmtId="4" fontId="4" fillId="0" borderId="11" xfId="53" applyNumberFormat="1" applyFont="1" applyBorder="1" applyAlignment="1">
      <alignment horizontal="right" vertical="center"/>
      <protection/>
    </xf>
    <xf numFmtId="4" fontId="5" fillId="0" borderId="16" xfId="53" applyNumberFormat="1" applyFont="1" applyBorder="1" applyAlignment="1">
      <alignment horizontal="right" vertical="center"/>
      <protection/>
    </xf>
    <xf numFmtId="4" fontId="5" fillId="0" borderId="10" xfId="53" applyNumberFormat="1" applyFont="1" applyBorder="1" applyAlignment="1">
      <alignment horizontal="right" vertical="center"/>
      <protection/>
    </xf>
    <xf numFmtId="4" fontId="10" fillId="0" borderId="16" xfId="53" applyNumberFormat="1" applyFont="1" applyBorder="1" applyAlignment="1">
      <alignment horizontal="right" vertical="center"/>
      <protection/>
    </xf>
    <xf numFmtId="4" fontId="5" fillId="35" borderId="16" xfId="53" applyNumberFormat="1" applyFont="1" applyFill="1" applyBorder="1" applyAlignment="1">
      <alignment horizontal="right" vertical="center"/>
      <protection/>
    </xf>
    <xf numFmtId="4" fontId="10" fillId="35" borderId="16" xfId="53" applyNumberFormat="1" applyFont="1" applyFill="1" applyBorder="1" applyAlignment="1">
      <alignment horizontal="right" vertical="center"/>
      <protection/>
    </xf>
    <xf numFmtId="4" fontId="11" fillId="0" borderId="15" xfId="0" applyNumberFormat="1" applyFont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0" fillId="35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9" fontId="5" fillId="38" borderId="14" xfId="53" applyNumberFormat="1" applyFont="1" applyFill="1" applyBorder="1" applyAlignment="1">
      <alignment horizontal="center" vertical="center"/>
      <protection/>
    </xf>
    <xf numFmtId="4" fontId="10" fillId="0" borderId="14" xfId="53" applyNumberFormat="1" applyFont="1" applyBorder="1" applyAlignment="1">
      <alignment horizontal="center" vertical="center"/>
      <protection/>
    </xf>
    <xf numFmtId="4" fontId="4" fillId="0" borderId="14" xfId="53" applyNumberFormat="1" applyFont="1" applyBorder="1" applyAlignment="1">
      <alignment horizontal="center" vertical="center"/>
      <protection/>
    </xf>
    <xf numFmtId="4" fontId="5" fillId="35" borderId="14" xfId="53" applyNumberFormat="1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4" fontId="10" fillId="0" borderId="14" xfId="53" applyNumberFormat="1" applyFont="1" applyFill="1" applyBorder="1" applyAlignment="1">
      <alignment horizontal="center" vertical="center"/>
      <protection/>
    </xf>
    <xf numFmtId="4" fontId="10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39" borderId="14" xfId="0" applyNumberFormat="1" applyFont="1" applyFill="1" applyBorder="1" applyAlignment="1">
      <alignment horizontal="center" vertical="center"/>
    </xf>
    <xf numFmtId="4" fontId="5" fillId="39" borderId="14" xfId="0" applyNumberFormat="1" applyFont="1" applyFill="1" applyBorder="1" applyAlignment="1">
      <alignment horizontal="center" vertical="center"/>
    </xf>
    <xf numFmtId="4" fontId="6" fillId="39" borderId="14" xfId="53" applyNumberFormat="1" applyFont="1" applyFill="1" applyBorder="1" applyAlignment="1">
      <alignment horizontal="center" vertical="center"/>
      <protection/>
    </xf>
    <xf numFmtId="4" fontId="5" fillId="35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13" fillId="36" borderId="16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4" fontId="13" fillId="36" borderId="16" xfId="0" applyNumberFormat="1" applyFont="1" applyFill="1" applyBorder="1" applyAlignment="1">
      <alignment horizontal="left" vertical="center"/>
    </xf>
    <xf numFmtId="4" fontId="6" fillId="34" borderId="33" xfId="53" applyNumberFormat="1" applyFont="1" applyFill="1" applyBorder="1" applyAlignment="1">
      <alignment horizontal="right" vertical="center"/>
      <protection/>
    </xf>
    <xf numFmtId="49" fontId="16" fillId="35" borderId="14" xfId="43" applyNumberFormat="1" applyFont="1" applyFill="1" applyBorder="1" applyAlignment="1">
      <alignment horizontal="center" vertical="center"/>
    </xf>
    <xf numFmtId="178" fontId="5" fillId="35" borderId="14" xfId="43" applyFont="1" applyFill="1" applyBorder="1" applyAlignment="1">
      <alignment horizontal="center" vertical="center"/>
    </xf>
    <xf numFmtId="178" fontId="5" fillId="35" borderId="14" xfId="43" applyFont="1" applyFill="1" applyBorder="1" applyAlignment="1">
      <alignment horizontal="right" vertical="center"/>
    </xf>
    <xf numFmtId="49" fontId="4" fillId="36" borderId="14" xfId="0" applyNumberFormat="1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/>
      <protection/>
    </xf>
    <xf numFmtId="49" fontId="4" fillId="34" borderId="14" xfId="53" applyNumberFormat="1" applyFont="1" applyFill="1" applyBorder="1" applyAlignment="1">
      <alignment vertical="center"/>
      <protection/>
    </xf>
    <xf numFmtId="0" fontId="4" fillId="34" borderId="14" xfId="53" applyFont="1" applyFill="1" applyBorder="1" applyAlignment="1">
      <alignment vertical="center"/>
      <protection/>
    </xf>
    <xf numFmtId="4" fontId="6" fillId="34" borderId="14" xfId="53" applyNumberFormat="1" applyFont="1" applyFill="1" applyBorder="1" applyAlignment="1">
      <alignment horizontal="right" vertical="center"/>
      <protection/>
    </xf>
    <xf numFmtId="4" fontId="4" fillId="0" borderId="11" xfId="53" applyNumberFormat="1" applyFont="1" applyFill="1" applyBorder="1" applyAlignment="1">
      <alignment horizontal="right" vertical="center"/>
      <protection/>
    </xf>
    <xf numFmtId="49" fontId="6" fillId="39" borderId="14" xfId="0" applyNumberFormat="1" applyFont="1" applyFill="1" applyBorder="1" applyAlignment="1">
      <alignment horizontal="center" vertical="center"/>
    </xf>
    <xf numFmtId="4" fontId="5" fillId="42" borderId="14" xfId="0" applyNumberFormat="1" applyFont="1" applyFill="1" applyBorder="1" applyAlignment="1">
      <alignment horizontal="center" vertical="center"/>
    </xf>
    <xf numFmtId="4" fontId="4" fillId="42" borderId="15" xfId="0" applyNumberFormat="1" applyFont="1" applyFill="1" applyBorder="1" applyAlignment="1">
      <alignment horizontal="right" vertical="center"/>
    </xf>
    <xf numFmtId="0" fontId="4" fillId="42" borderId="0" xfId="0" applyFont="1" applyFill="1" applyAlignment="1">
      <alignment vertical="center"/>
    </xf>
    <xf numFmtId="0" fontId="7" fillId="34" borderId="14" xfId="53" applyFont="1" applyFill="1" applyBorder="1" applyAlignment="1">
      <alignment horizontal="left" vertical="center"/>
      <protection/>
    </xf>
    <xf numFmtId="4" fontId="5" fillId="39" borderId="14" xfId="53" applyNumberFormat="1" applyFont="1" applyFill="1" applyBorder="1" applyAlignment="1">
      <alignment horizontal="right" vertical="center"/>
      <protection/>
    </xf>
    <xf numFmtId="4" fontId="6" fillId="39" borderId="14" xfId="53" applyNumberFormat="1" applyFont="1" applyFill="1" applyBorder="1" applyAlignment="1">
      <alignment vertical="center"/>
      <protection/>
    </xf>
    <xf numFmtId="4" fontId="4" fillId="0" borderId="14" xfId="53" applyNumberFormat="1" applyFont="1" applyBorder="1" applyAlignment="1">
      <alignment vertical="center"/>
      <protection/>
    </xf>
    <xf numFmtId="4" fontId="4" fillId="0" borderId="14" xfId="53" applyNumberFormat="1" applyFont="1" applyFill="1" applyBorder="1" applyAlignment="1">
      <alignment vertical="center"/>
      <protection/>
    </xf>
    <xf numFmtId="4" fontId="10" fillId="0" borderId="14" xfId="53" applyNumberFormat="1" applyFont="1" applyBorder="1" applyAlignment="1">
      <alignment vertical="center"/>
      <protection/>
    </xf>
    <xf numFmtId="4" fontId="10" fillId="0" borderId="14" xfId="53" applyNumberFormat="1" applyFont="1" applyFill="1" applyBorder="1" applyAlignment="1">
      <alignment vertical="center"/>
      <protection/>
    </xf>
    <xf numFmtId="4" fontId="6" fillId="39" borderId="14" xfId="0" applyNumberFormat="1" applyFont="1" applyFill="1" applyBorder="1" applyAlignment="1">
      <alignment horizontal="right" vertical="center"/>
    </xf>
    <xf numFmtId="4" fontId="6" fillId="36" borderId="34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5" fillId="35" borderId="14" xfId="0" applyNumberFormat="1" applyFont="1" applyFill="1" applyBorder="1" applyAlignment="1">
      <alignment vertical="center"/>
    </xf>
    <xf numFmtId="4" fontId="5" fillId="39" borderId="14" xfId="0" applyNumberFormat="1" applyFont="1" applyFill="1" applyBorder="1" applyAlignment="1">
      <alignment horizontal="right" vertical="center"/>
    </xf>
    <xf numFmtId="4" fontId="6" fillId="36" borderId="14" xfId="53" applyNumberFormat="1" applyFont="1" applyFill="1" applyBorder="1" applyAlignment="1">
      <alignment horizontal="right" vertical="center"/>
      <protection/>
    </xf>
    <xf numFmtId="4" fontId="6" fillId="38" borderId="14" xfId="0" applyNumberFormat="1" applyFont="1" applyFill="1" applyBorder="1" applyAlignment="1">
      <alignment horizontal="right" vertical="center"/>
    </xf>
    <xf numFmtId="4" fontId="9" fillId="37" borderId="14" xfId="53" applyNumberFormat="1" applyFont="1" applyFill="1" applyBorder="1" applyAlignment="1">
      <alignment horizontal="right" vertical="center"/>
      <protection/>
    </xf>
    <xf numFmtId="4" fontId="5" fillId="0" borderId="14" xfId="0" applyNumberFormat="1" applyFont="1" applyFill="1" applyBorder="1" applyAlignment="1">
      <alignment horizontal="right" vertical="center"/>
    </xf>
    <xf numFmtId="4" fontId="4" fillId="0" borderId="0" xfId="53" applyNumberFormat="1" applyFont="1" applyAlignment="1">
      <alignment horizontal="right"/>
      <protection/>
    </xf>
    <xf numFmtId="4" fontId="4" fillId="0" borderId="0" xfId="53" applyNumberFormat="1" applyFont="1" applyFill="1" applyBorder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/>
      <protection/>
    </xf>
    <xf numFmtId="0" fontId="12" fillId="0" borderId="0" xfId="53" applyFont="1" applyFill="1" applyAlignment="1">
      <alignment horizontal="right" wrapText="1"/>
      <protection/>
    </xf>
    <xf numFmtId="4" fontId="10" fillId="41" borderId="14" xfId="0" applyNumberFormat="1" applyFont="1" applyFill="1" applyBorder="1" applyAlignment="1">
      <alignment horizontal="right" vertical="center"/>
    </xf>
    <xf numFmtId="49" fontId="10" fillId="0" borderId="16" xfId="53" applyNumberFormat="1" applyFont="1" applyFill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horizontal="center" vertical="center"/>
      <protection/>
    </xf>
    <xf numFmtId="49" fontId="6" fillId="35" borderId="14" xfId="53" applyNumberFormat="1" applyFont="1" applyFill="1" applyBorder="1" applyAlignment="1">
      <alignment horizontal="center" vertical="center"/>
      <protection/>
    </xf>
    <xf numFmtId="4" fontId="6" fillId="35" borderId="14" xfId="53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center" wrapText="1" shrinkToFit="1"/>
    </xf>
    <xf numFmtId="49" fontId="5" fillId="35" borderId="14" xfId="43" applyNumberFormat="1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right" vertical="center"/>
    </xf>
    <xf numFmtId="10" fontId="6" fillId="36" borderId="0" xfId="0" applyNumberFormat="1" applyFont="1" applyFill="1" applyBorder="1" applyAlignment="1">
      <alignment horizontal="right" vertical="center"/>
    </xf>
    <xf numFmtId="4" fontId="5" fillId="35" borderId="14" xfId="43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horizontal="center" vertical="center"/>
    </xf>
    <xf numFmtId="4" fontId="5" fillId="38" borderId="14" xfId="53" applyNumberFormat="1" applyFont="1" applyFill="1" applyBorder="1" applyAlignment="1">
      <alignment horizontal="right" vertical="center"/>
      <protection/>
    </xf>
    <xf numFmtId="4" fontId="4" fillId="0" borderId="0" xfId="53" applyNumberFormat="1" applyFont="1" applyFill="1" applyAlignment="1">
      <alignment horizontal="right" wrapText="1"/>
      <protection/>
    </xf>
    <xf numFmtId="4" fontId="12" fillId="0" borderId="0" xfId="53" applyNumberFormat="1" applyFont="1" applyFill="1" applyAlignment="1">
      <alignment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6" fillId="38" borderId="14" xfId="53" applyFont="1" applyFill="1" applyBorder="1" applyAlignment="1">
      <alignment horizontal="center" vertical="center" wrapText="1"/>
      <protection/>
    </xf>
    <xf numFmtId="0" fontId="6" fillId="39" borderId="14" xfId="53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39" borderId="14" xfId="0" applyFont="1" applyFill="1" applyBorder="1" applyAlignment="1">
      <alignment horizontal="center" vertical="center" wrapText="1"/>
    </xf>
    <xf numFmtId="4" fontId="6" fillId="39" borderId="14" xfId="53" applyNumberFormat="1" applyFont="1" applyFill="1" applyBorder="1" applyAlignment="1">
      <alignment horizontal="right" vertical="center"/>
      <protection/>
    </xf>
    <xf numFmtId="0" fontId="6" fillId="39" borderId="14" xfId="0" applyFont="1" applyFill="1" applyBorder="1" applyAlignment="1">
      <alignment/>
    </xf>
    <xf numFmtId="0" fontId="5" fillId="36" borderId="14" xfId="53" applyFont="1" applyFill="1" applyBorder="1" applyAlignment="1">
      <alignment horizontal="center" vertical="center"/>
      <protection/>
    </xf>
    <xf numFmtId="4" fontId="6" fillId="38" borderId="14" xfId="53" applyNumberFormat="1" applyFont="1" applyFill="1" applyBorder="1" applyAlignment="1">
      <alignment horizontal="right" vertical="center"/>
      <protection/>
    </xf>
    <xf numFmtId="49" fontId="4" fillId="34" borderId="14" xfId="53" applyNumberFormat="1" applyFont="1" applyFill="1" applyBorder="1" applyAlignment="1">
      <alignment horizontal="center" vertical="center"/>
      <protection/>
    </xf>
    <xf numFmtId="4" fontId="7" fillId="34" borderId="14" xfId="53" applyNumberFormat="1" applyFont="1" applyFill="1" applyBorder="1" applyAlignment="1">
      <alignment horizontal="right" vertical="center"/>
      <protection/>
    </xf>
    <xf numFmtId="0" fontId="9" fillId="37" borderId="14" xfId="53" applyFont="1" applyFill="1" applyBorder="1" applyAlignment="1">
      <alignment vertical="center" wrapText="1"/>
      <protection/>
    </xf>
    <xf numFmtId="0" fontId="6" fillId="36" borderId="14" xfId="53" applyFont="1" applyFill="1" applyBorder="1" applyAlignment="1">
      <alignment horizontal="center" vertical="center"/>
      <protection/>
    </xf>
    <xf numFmtId="0" fontId="6" fillId="35" borderId="14" xfId="53" applyFont="1" applyFill="1" applyBorder="1" applyAlignment="1">
      <alignment vertical="center" wrapText="1"/>
      <protection/>
    </xf>
    <xf numFmtId="0" fontId="10" fillId="0" borderId="14" xfId="53" applyFont="1" applyBorder="1" applyAlignment="1">
      <alignment vertical="center" wrapText="1"/>
      <protection/>
    </xf>
    <xf numFmtId="0" fontId="4" fillId="0" borderId="14" xfId="53" applyFont="1" applyBorder="1" applyAlignment="1">
      <alignment vertical="center" wrapText="1"/>
      <protection/>
    </xf>
    <xf numFmtId="0" fontId="10" fillId="0" borderId="14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6" fillId="39" borderId="14" xfId="53" applyFont="1" applyFill="1" applyBorder="1" applyAlignment="1">
      <alignment horizontal="left" vertical="center" wrapText="1"/>
      <protection/>
    </xf>
    <xf numFmtId="0" fontId="6" fillId="39" borderId="14" xfId="53" applyFont="1" applyFill="1" applyBorder="1" applyAlignment="1">
      <alignment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6" fillId="35" borderId="14" xfId="53" applyFont="1" applyFill="1" applyBorder="1" applyAlignment="1">
      <alignment horizontal="left" vertical="center" wrapText="1"/>
      <protection/>
    </xf>
    <xf numFmtId="0" fontId="10" fillId="0" borderId="14" xfId="53" applyNumberFormat="1" applyFont="1" applyFill="1" applyBorder="1" applyAlignment="1">
      <alignment horizontal="left" vertical="center" wrapText="1"/>
      <protection/>
    </xf>
    <xf numFmtId="0" fontId="6" fillId="38" borderId="1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9" fillId="37" borderId="14" xfId="53" applyFont="1" applyFill="1" applyBorder="1" applyAlignment="1">
      <alignment horizontal="left" vertical="center"/>
      <protection/>
    </xf>
    <xf numFmtId="0" fontId="5" fillId="39" borderId="14" xfId="53" applyFont="1" applyFill="1" applyBorder="1" applyAlignment="1">
      <alignment vertical="center" wrapText="1"/>
      <protection/>
    </xf>
    <xf numFmtId="0" fontId="5" fillId="35" borderId="14" xfId="53" applyFont="1" applyFill="1" applyBorder="1" applyAlignment="1">
      <alignment vertical="center" wrapText="1"/>
      <protection/>
    </xf>
    <xf numFmtId="0" fontId="6" fillId="38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40" borderId="14" xfId="0" applyNumberFormat="1" applyFont="1" applyFill="1" applyBorder="1" applyAlignment="1">
      <alignment vertical="top" wrapText="1" shrinkToFit="1"/>
    </xf>
    <xf numFmtId="0" fontId="10" fillId="0" borderId="14" xfId="0" applyNumberFormat="1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vertical="top" wrapText="1" shrinkToFit="1"/>
    </xf>
    <xf numFmtId="0" fontId="5" fillId="0" borderId="14" xfId="0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10" fillId="40" borderId="14" xfId="0" applyFont="1" applyFill="1" applyBorder="1" applyAlignment="1">
      <alignment horizontal="left" vertical="center" wrapText="1"/>
    </xf>
    <xf numFmtId="0" fontId="4" fillId="0" borderId="14" xfId="5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10" fillId="0" borderId="14" xfId="53" applyFont="1" applyFill="1" applyBorder="1" applyAlignment="1">
      <alignment wrapText="1"/>
      <protection/>
    </xf>
    <xf numFmtId="178" fontId="6" fillId="35" borderId="14" xfId="43" applyFont="1" applyFill="1" applyBorder="1" applyAlignment="1">
      <alignment vertical="center" wrapText="1"/>
    </xf>
    <xf numFmtId="0" fontId="5" fillId="34" borderId="14" xfId="53" applyFont="1" applyFill="1" applyBorder="1" applyAlignment="1">
      <alignment horizontal="right" vertical="center"/>
      <protection/>
    </xf>
    <xf numFmtId="0" fontId="13" fillId="37" borderId="14" xfId="53" applyFont="1" applyFill="1" applyBorder="1" applyAlignment="1">
      <alignment horizontal="left" vertical="center" wrapText="1"/>
      <protection/>
    </xf>
    <xf numFmtId="49" fontId="13" fillId="37" borderId="14" xfId="53" applyNumberFormat="1" applyFont="1" applyFill="1" applyBorder="1" applyAlignment="1">
      <alignment horizontal="center" vertical="center"/>
      <protection/>
    </xf>
    <xf numFmtId="0" fontId="12" fillId="37" borderId="14" xfId="53" applyFont="1" applyFill="1" applyBorder="1" applyAlignment="1">
      <alignment horizontal="center" vertical="center"/>
      <protection/>
    </xf>
    <xf numFmtId="4" fontId="6" fillId="37" borderId="14" xfId="53" applyNumberFormat="1" applyFont="1" applyFill="1" applyBorder="1" applyAlignment="1">
      <alignment horizontal="right" vertical="center"/>
      <protection/>
    </xf>
    <xf numFmtId="4" fontId="10" fillId="0" borderId="16" xfId="53" applyNumberFormat="1" applyFont="1" applyFill="1" applyBorder="1" applyAlignment="1">
      <alignment horizontal="right" vertical="center"/>
      <protection/>
    </xf>
    <xf numFmtId="0" fontId="10" fillId="0" borderId="0" xfId="53" applyFont="1" applyFill="1" applyAlignment="1">
      <alignment vertical="center"/>
      <protection/>
    </xf>
    <xf numFmtId="0" fontId="13" fillId="37" borderId="14" xfId="53" applyFont="1" applyFill="1" applyBorder="1" applyAlignment="1">
      <alignment vertical="center" wrapText="1"/>
      <protection/>
    </xf>
    <xf numFmtId="49" fontId="17" fillId="37" borderId="14" xfId="53" applyNumberFormat="1" applyFont="1" applyFill="1" applyBorder="1" applyAlignment="1">
      <alignment horizontal="center" vertical="center"/>
      <protection/>
    </xf>
    <xf numFmtId="4" fontId="13" fillId="37" borderId="14" xfId="53" applyNumberFormat="1" applyFont="1" applyFill="1" applyBorder="1" applyAlignment="1">
      <alignment horizontal="right" vertical="center"/>
      <protection/>
    </xf>
    <xf numFmtId="0" fontId="13" fillId="37" borderId="14" xfId="0" applyFont="1" applyFill="1" applyBorder="1" applyAlignment="1">
      <alignment wrapText="1"/>
    </xf>
    <xf numFmtId="49" fontId="13" fillId="37" borderId="14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/>
    </xf>
    <xf numFmtId="4" fontId="13" fillId="37" borderId="1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9" fillId="43" borderId="14" xfId="0" applyFont="1" applyFill="1" applyBorder="1" applyAlignment="1">
      <alignment horizontal="left" vertical="center" wrapText="1"/>
    </xf>
    <xf numFmtId="49" fontId="7" fillId="43" borderId="14" xfId="53" applyNumberFormat="1" applyFont="1" applyFill="1" applyBorder="1" applyAlignment="1">
      <alignment horizontal="center" vertical="center"/>
      <protection/>
    </xf>
    <xf numFmtId="49" fontId="4" fillId="43" borderId="14" xfId="53" applyNumberFormat="1" applyFont="1" applyFill="1" applyBorder="1" applyAlignment="1">
      <alignment horizontal="center" vertical="center"/>
      <protection/>
    </xf>
    <xf numFmtId="0" fontId="4" fillId="43" borderId="14" xfId="53" applyFont="1" applyFill="1" applyBorder="1" applyAlignment="1">
      <alignment horizontal="center" vertical="center"/>
      <protection/>
    </xf>
    <xf numFmtId="4" fontId="7" fillId="43" borderId="14" xfId="53" applyNumberFormat="1" applyFont="1" applyFill="1" applyBorder="1" applyAlignment="1">
      <alignment horizontal="right" vertical="center"/>
      <protection/>
    </xf>
    <xf numFmtId="4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right" vertical="center"/>
    </xf>
    <xf numFmtId="49" fontId="9" fillId="37" borderId="14" xfId="53" applyNumberFormat="1" applyFont="1" applyFill="1" applyBorder="1" applyAlignment="1">
      <alignment horizontal="center" vertical="center"/>
      <protection/>
    </xf>
    <xf numFmtId="0" fontId="18" fillId="37" borderId="14" xfId="53" applyFont="1" applyFill="1" applyBorder="1" applyAlignment="1">
      <alignment horizontal="center" vertical="center"/>
      <protection/>
    </xf>
    <xf numFmtId="49" fontId="18" fillId="37" borderId="14" xfId="53" applyNumberFormat="1" applyFont="1" applyFill="1" applyBorder="1" applyAlignment="1">
      <alignment horizontal="center" vertical="center"/>
      <protection/>
    </xf>
    <xf numFmtId="0" fontId="4" fillId="36" borderId="14" xfId="0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center" vertical="center"/>
    </xf>
    <xf numFmtId="4" fontId="4" fillId="36" borderId="14" xfId="0" applyNumberFormat="1" applyFont="1" applyFill="1" applyBorder="1" applyAlignment="1">
      <alignment horizontal="right" vertical="center"/>
    </xf>
    <xf numFmtId="4" fontId="4" fillId="0" borderId="0" xfId="53" applyNumberFormat="1" applyFont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4" fontId="4" fillId="0" borderId="0" xfId="0" applyNumberFormat="1" applyFont="1" applyBorder="1" applyAlignment="1">
      <alignment vertical="center"/>
    </xf>
    <xf numFmtId="2" fontId="4" fillId="0" borderId="0" xfId="53" applyNumberFormat="1" applyFont="1" applyAlignment="1">
      <alignment vertical="center"/>
      <protection/>
    </xf>
    <xf numFmtId="0" fontId="6" fillId="33" borderId="0" xfId="53" applyFont="1" applyFill="1" applyAlignment="1">
      <alignment horizontal="center" wrapText="1"/>
      <protection/>
    </xf>
    <xf numFmtId="0" fontId="5" fillId="0" borderId="35" xfId="53" applyFont="1" applyFill="1" applyBorder="1" applyAlignment="1">
      <alignment horizontal="center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5" fillId="0" borderId="0" xfId="53" applyFont="1" applyFill="1" applyBorder="1" applyAlignment="1">
      <alignment vertical="center"/>
      <protection/>
    </xf>
    <xf numFmtId="4" fontId="6" fillId="36" borderId="21" xfId="0" applyNumberFormat="1" applyFont="1" applyFill="1" applyBorder="1" applyAlignment="1">
      <alignment horizontal="right" vertical="center"/>
    </xf>
    <xf numFmtId="0" fontId="4" fillId="0" borderId="36" xfId="53" applyFont="1" applyFill="1" applyBorder="1" applyAlignment="1">
      <alignment vertical="center" wrapText="1"/>
      <protection/>
    </xf>
    <xf numFmtId="49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5" fillId="35" borderId="37" xfId="53" applyFont="1" applyFill="1" applyBorder="1" applyAlignment="1">
      <alignment vertical="center" wrapText="1"/>
      <protection/>
    </xf>
    <xf numFmtId="0" fontId="6" fillId="36" borderId="23" xfId="53" applyFont="1" applyFill="1" applyBorder="1" applyAlignment="1">
      <alignment horizontal="center" vertical="center" wrapText="1"/>
      <protection/>
    </xf>
    <xf numFmtId="4" fontId="6" fillId="36" borderId="34" xfId="0" applyNumberFormat="1" applyFont="1" applyFill="1" applyBorder="1" applyAlignment="1">
      <alignment horizontal="right" vertical="center"/>
    </xf>
    <xf numFmtId="0" fontId="6" fillId="36" borderId="23" xfId="0" applyFont="1" applyFill="1" applyBorder="1" applyAlignment="1">
      <alignment horizontal="center" vertical="center" wrapText="1"/>
    </xf>
    <xf numFmtId="49" fontId="6" fillId="38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39" borderId="17" xfId="0" applyNumberFormat="1" applyFont="1" applyFill="1" applyBorder="1" applyAlignment="1">
      <alignment horizontal="center" vertical="center"/>
    </xf>
    <xf numFmtId="4" fontId="5" fillId="39" borderId="17" xfId="0" applyNumberFormat="1" applyFont="1" applyFill="1" applyBorder="1" applyAlignment="1">
      <alignment horizontal="right" vertical="center"/>
    </xf>
    <xf numFmtId="4" fontId="6" fillId="36" borderId="38" xfId="0" applyNumberFormat="1" applyFont="1" applyFill="1" applyBorder="1" applyAlignment="1">
      <alignment horizontal="right" vertical="center"/>
    </xf>
    <xf numFmtId="4" fontId="6" fillId="38" borderId="15" xfId="0" applyNumberFormat="1" applyFont="1" applyFill="1" applyBorder="1" applyAlignment="1">
      <alignment horizontal="center" vertical="center"/>
    </xf>
    <xf numFmtId="4" fontId="5" fillId="35" borderId="17" xfId="0" applyNumberFormat="1" applyFont="1" applyFill="1" applyBorder="1" applyAlignment="1">
      <alignment vertical="center"/>
    </xf>
    <xf numFmtId="49" fontId="4" fillId="0" borderId="11" xfId="53" applyNumberFormat="1" applyFont="1" applyBorder="1" applyAlignment="1">
      <alignment horizontal="center" vertical="center"/>
      <protection/>
    </xf>
    <xf numFmtId="4" fontId="6" fillId="39" borderId="17" xfId="53" applyNumberFormat="1" applyFont="1" applyFill="1" applyBorder="1" applyAlignment="1">
      <alignment vertical="center"/>
      <protection/>
    </xf>
    <xf numFmtId="49" fontId="5" fillId="35" borderId="21" xfId="53" applyNumberFormat="1" applyFont="1" applyFill="1" applyBorder="1" applyAlignment="1">
      <alignment horizontal="center" vertical="center"/>
      <protection/>
    </xf>
    <xf numFmtId="4" fontId="6" fillId="36" borderId="34" xfId="53" applyNumberFormat="1" applyFont="1" applyFill="1" applyBorder="1" applyAlignment="1">
      <alignment vertical="center"/>
      <protection/>
    </xf>
    <xf numFmtId="4" fontId="6" fillId="36" borderId="21" xfId="53" applyNumberFormat="1" applyFont="1" applyFill="1" applyBorder="1" applyAlignment="1">
      <alignment horizontal="right" vertical="center"/>
      <protection/>
    </xf>
    <xf numFmtId="0" fontId="7" fillId="34" borderId="13" xfId="53" applyFont="1" applyFill="1" applyBorder="1" applyAlignment="1">
      <alignment horizontal="left" vertical="center"/>
      <protection/>
    </xf>
    <xf numFmtId="49" fontId="5" fillId="0" borderId="32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10" fillId="0" borderId="32" xfId="53" applyNumberFormat="1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49" fontId="5" fillId="0" borderId="32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2" xfId="53" applyNumberFormat="1" applyFont="1" applyBorder="1" applyAlignment="1">
      <alignment horizontal="center" vertical="center"/>
      <protection/>
    </xf>
    <xf numFmtId="0" fontId="4" fillId="34" borderId="39" xfId="53" applyFont="1" applyFill="1" applyBorder="1" applyAlignment="1">
      <alignment vertical="center"/>
      <protection/>
    </xf>
    <xf numFmtId="49" fontId="4" fillId="0" borderId="32" xfId="53" applyNumberFormat="1" applyFont="1" applyFill="1" applyBorder="1" applyAlignment="1">
      <alignment horizontal="center" vertical="center"/>
      <protection/>
    </xf>
    <xf numFmtId="49" fontId="10" fillId="0" borderId="37" xfId="53" applyNumberFormat="1" applyFont="1" applyFill="1" applyBorder="1" applyAlignment="1">
      <alignment horizontal="center"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49" fontId="5" fillId="35" borderId="3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49" fontId="4" fillId="0" borderId="15" xfId="53" applyNumberFormat="1" applyFont="1" applyFill="1" applyBorder="1" applyAlignment="1">
      <alignment horizontal="center" vertical="center"/>
      <protection/>
    </xf>
    <xf numFmtId="49" fontId="5" fillId="39" borderId="15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14" fillId="0" borderId="0" xfId="53" applyFont="1" applyFill="1" applyBorder="1" applyAlignment="1">
      <alignment horizontal="center" wrapText="1"/>
      <protection/>
    </xf>
    <xf numFmtId="4" fontId="4" fillId="41" borderId="15" xfId="53" applyNumberFormat="1" applyFont="1" applyFill="1" applyBorder="1" applyAlignment="1">
      <alignment horizontal="right" vertical="center"/>
      <protection/>
    </xf>
    <xf numFmtId="0" fontId="4" fillId="41" borderId="0" xfId="53" applyFont="1" applyFill="1" applyAlignment="1">
      <alignment vertical="center"/>
      <protection/>
    </xf>
    <xf numFmtId="4" fontId="5" fillId="41" borderId="16" xfId="53" applyNumberFormat="1" applyFont="1" applyFill="1" applyBorder="1" applyAlignment="1">
      <alignment horizontal="right" vertical="center"/>
      <protection/>
    </xf>
    <xf numFmtId="0" fontId="5" fillId="41" borderId="0" xfId="53" applyFont="1" applyFill="1" applyAlignment="1">
      <alignment vertical="center"/>
      <protection/>
    </xf>
    <xf numFmtId="4" fontId="4" fillId="41" borderId="16" xfId="53" applyNumberFormat="1" applyFont="1" applyFill="1" applyBorder="1" applyAlignment="1">
      <alignment horizontal="right" vertical="center"/>
      <protection/>
    </xf>
    <xf numFmtId="10" fontId="4" fillId="41" borderId="14" xfId="0" applyNumberFormat="1" applyFont="1" applyFill="1" applyBorder="1" applyAlignment="1">
      <alignment horizontal="right" vertical="center"/>
    </xf>
    <xf numFmtId="4" fontId="4" fillId="41" borderId="0" xfId="0" applyNumberFormat="1" applyFont="1" applyFill="1" applyBorder="1" applyAlignment="1">
      <alignment horizontal="right" vertical="center"/>
    </xf>
    <xf numFmtId="0" fontId="4" fillId="41" borderId="0" xfId="0" applyFont="1" applyFill="1" applyAlignment="1">
      <alignment vertical="center"/>
    </xf>
    <xf numFmtId="4" fontId="5" fillId="0" borderId="14" xfId="53" applyNumberFormat="1" applyFont="1" applyFill="1" applyBorder="1" applyAlignment="1">
      <alignment horizontal="right" vertical="center"/>
      <protection/>
    </xf>
    <xf numFmtId="4" fontId="4" fillId="41" borderId="16" xfId="0" applyNumberFormat="1" applyFont="1" applyFill="1" applyBorder="1" applyAlignment="1">
      <alignment horizontal="right" vertical="center"/>
    </xf>
    <xf numFmtId="4" fontId="10" fillId="41" borderId="0" xfId="0" applyNumberFormat="1" applyFont="1" applyFill="1" applyBorder="1" applyAlignment="1">
      <alignment horizontal="right" vertical="center"/>
    </xf>
    <xf numFmtId="10" fontId="10" fillId="41" borderId="0" xfId="0" applyNumberFormat="1" applyFont="1" applyFill="1" applyBorder="1" applyAlignment="1">
      <alignment horizontal="right" vertical="center"/>
    </xf>
    <xf numFmtId="10" fontId="4" fillId="41" borderId="0" xfId="0" applyNumberFormat="1" applyFont="1" applyFill="1" applyBorder="1" applyAlignment="1">
      <alignment horizontal="right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14" xfId="53" applyNumberFormat="1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right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6" fillId="39" borderId="12" xfId="53" applyNumberFormat="1" applyFont="1" applyFill="1" applyBorder="1" applyAlignment="1">
      <alignment horizontal="center" vertical="center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vertical="center"/>
    </xf>
    <xf numFmtId="49" fontId="11" fillId="0" borderId="32" xfId="53" applyNumberFormat="1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top" wrapText="1"/>
    </xf>
    <xf numFmtId="0" fontId="4" fillId="0" borderId="0" xfId="53" applyFont="1" applyAlignment="1">
      <alignment vertical="top"/>
      <protection/>
    </xf>
    <xf numFmtId="0" fontId="15" fillId="33" borderId="0" xfId="53" applyFont="1" applyFill="1" applyAlignment="1">
      <alignment horizontal="right" wrapText="1"/>
      <protection/>
    </xf>
    <xf numFmtId="0" fontId="15" fillId="33" borderId="0" xfId="53" applyFont="1" applyFill="1" applyAlignment="1">
      <alignment wrapText="1"/>
      <protection/>
    </xf>
    <xf numFmtId="0" fontId="15" fillId="33" borderId="0" xfId="53" applyFont="1" applyFill="1" applyAlignment="1">
      <alignment horizontal="center" wrapText="1"/>
      <protection/>
    </xf>
    <xf numFmtId="4" fontId="4" fillId="0" borderId="15" xfId="53" applyNumberFormat="1" applyFont="1" applyFill="1" applyBorder="1" applyAlignment="1">
      <alignment horizontal="right" vertical="center"/>
      <protection/>
    </xf>
    <xf numFmtId="10" fontId="4" fillId="0" borderId="0" xfId="53" applyNumberFormat="1" applyFont="1" applyFill="1" applyAlignment="1">
      <alignment vertical="center"/>
      <protection/>
    </xf>
    <xf numFmtId="4" fontId="10" fillId="0" borderId="15" xfId="53" applyNumberFormat="1" applyFont="1" applyFill="1" applyBorder="1" applyAlignment="1">
      <alignment horizontal="right" vertical="center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53" applyFont="1" applyFill="1" applyAlignment="1">
      <alignment vertical="center" wrapText="1"/>
      <protection/>
    </xf>
    <xf numFmtId="1" fontId="11" fillId="0" borderId="14" xfId="0" applyNumberFormat="1" applyFont="1" applyFill="1" applyBorder="1" applyAlignment="1">
      <alignment vertical="top" wrapText="1" shrinkToFit="1"/>
    </xf>
    <xf numFmtId="1" fontId="11" fillId="0" borderId="14" xfId="0" applyNumberFormat="1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vertical="top" wrapText="1" shrinkToFit="1"/>
    </xf>
    <xf numFmtId="0" fontId="10" fillId="0" borderId="14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0" fontId="16" fillId="33" borderId="0" xfId="53" applyFont="1" applyFill="1" applyAlignment="1">
      <alignment wrapText="1"/>
      <protection/>
    </xf>
    <xf numFmtId="0" fontId="5" fillId="33" borderId="0" xfId="53" applyFont="1" applyFill="1" applyAlignment="1">
      <alignment horizontal="right" wrapText="1"/>
      <protection/>
    </xf>
    <xf numFmtId="0" fontId="5" fillId="39" borderId="14" xfId="0" applyFont="1" applyFill="1" applyBorder="1" applyAlignment="1">
      <alignment vertical="center" wrapText="1"/>
    </xf>
    <xf numFmtId="0" fontId="5" fillId="0" borderId="0" xfId="53" applyFont="1" applyFill="1" applyAlignment="1">
      <alignment horizontal="right" wrapText="1"/>
      <protection/>
    </xf>
    <xf numFmtId="4" fontId="10" fillId="0" borderId="10" xfId="53" applyNumberFormat="1" applyFont="1" applyBorder="1" applyAlignment="1">
      <alignment horizontal="right" vertical="center"/>
      <protection/>
    </xf>
    <xf numFmtId="4" fontId="4" fillId="41" borderId="14" xfId="0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vertical="center"/>
    </xf>
    <xf numFmtId="4" fontId="6" fillId="36" borderId="40" xfId="0" applyNumberFormat="1" applyFont="1" applyFill="1" applyBorder="1" applyAlignment="1">
      <alignment horizontal="right" vertical="center"/>
    </xf>
    <xf numFmtId="4" fontId="5" fillId="0" borderId="10" xfId="53" applyNumberFormat="1" applyFont="1" applyFill="1" applyBorder="1" applyAlignment="1">
      <alignment horizontal="right" vertical="center"/>
      <protection/>
    </xf>
    <xf numFmtId="4" fontId="4" fillId="0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2" xfId="53" applyNumberFormat="1" applyFont="1" applyFill="1" applyBorder="1" applyAlignment="1">
      <alignment horizontal="right" vertical="center"/>
      <protection/>
    </xf>
    <xf numFmtId="10" fontId="5" fillId="0" borderId="12" xfId="53" applyNumberFormat="1" applyFont="1" applyFill="1" applyBorder="1" applyAlignment="1">
      <alignment horizontal="right" vertical="center"/>
      <protection/>
    </xf>
    <xf numFmtId="0" fontId="10" fillId="0" borderId="11" xfId="53" applyFont="1" applyFill="1" applyBorder="1" applyAlignment="1">
      <alignment horizontal="right" vertical="center"/>
      <protection/>
    </xf>
    <xf numFmtId="0" fontId="4" fillId="0" borderId="14" xfId="53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" fontId="10" fillId="0" borderId="0" xfId="53" applyNumberFormat="1" applyFont="1" applyAlignment="1">
      <alignment vertical="top"/>
      <protection/>
    </xf>
    <xf numFmtId="4" fontId="10" fillId="33" borderId="0" xfId="53" applyNumberFormat="1" applyFont="1" applyFill="1" applyAlignment="1">
      <alignment wrapText="1"/>
      <protection/>
    </xf>
    <xf numFmtId="4" fontId="10" fillId="0" borderId="0" xfId="53" applyNumberFormat="1" applyFont="1">
      <alignment/>
      <protection/>
    </xf>
    <xf numFmtId="4" fontId="10" fillId="0" borderId="0" xfId="53" applyNumberFormat="1" applyFont="1" applyFill="1" applyBorder="1">
      <alignment/>
      <protection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horizontal="left" vertical="top" wrapText="1" shrinkToFit="1"/>
    </xf>
    <xf numFmtId="0" fontId="5" fillId="0" borderId="0" xfId="53" applyFont="1" applyBorder="1" applyAlignment="1">
      <alignment vertical="center"/>
      <protection/>
    </xf>
    <xf numFmtId="4" fontId="5" fillId="0" borderId="0" xfId="53" applyNumberFormat="1" applyFont="1" applyBorder="1" applyAlignment="1">
      <alignment vertical="center"/>
      <protection/>
    </xf>
    <xf numFmtId="184" fontId="19" fillId="0" borderId="0" xfId="0" applyNumberFormat="1" applyFont="1" applyFill="1" applyBorder="1" applyAlignment="1">
      <alignment vertical="top" wrapText="1"/>
    </xf>
    <xf numFmtId="4" fontId="5" fillId="34" borderId="0" xfId="53" applyNumberFormat="1" applyFont="1" applyFill="1" applyBorder="1" applyAlignment="1">
      <alignment horizontal="center" vertical="center"/>
      <protection/>
    </xf>
    <xf numFmtId="10" fontId="4" fillId="0" borderId="0" xfId="53" applyNumberFormat="1" applyFont="1" applyFill="1" applyBorder="1" applyAlignment="1">
      <alignment vertical="center"/>
      <protection/>
    </xf>
    <xf numFmtId="4" fontId="12" fillId="0" borderId="16" xfId="53" applyNumberFormat="1" applyFont="1" applyFill="1" applyBorder="1" applyAlignment="1">
      <alignment horizontal="right" vertical="center"/>
      <protection/>
    </xf>
    <xf numFmtId="4" fontId="5" fillId="0" borderId="0" xfId="53" applyNumberFormat="1" applyFont="1" applyFill="1" applyBorder="1" applyAlignment="1">
      <alignment vertical="center"/>
      <protection/>
    </xf>
    <xf numFmtId="2" fontId="4" fillId="0" borderId="0" xfId="53" applyNumberFormat="1" applyFont="1" applyFill="1" applyBorder="1" applyAlignment="1">
      <alignment vertical="center"/>
      <protection/>
    </xf>
    <xf numFmtId="4" fontId="10" fillId="44" borderId="14" xfId="0" applyNumberFormat="1" applyFont="1" applyFill="1" applyBorder="1" applyAlignment="1">
      <alignment horizontal="right" vertical="center"/>
    </xf>
    <xf numFmtId="0" fontId="11" fillId="44" borderId="15" xfId="0" applyFont="1" applyFill="1" applyBorder="1" applyAlignment="1">
      <alignment horizontal="center" vertical="center" wrapText="1"/>
    </xf>
    <xf numFmtId="10" fontId="11" fillId="44" borderId="0" xfId="0" applyNumberFormat="1" applyFont="1" applyFill="1" applyAlignment="1">
      <alignment vertical="center"/>
    </xf>
    <xf numFmtId="0" fontId="11" fillId="44" borderId="0" xfId="0" applyFont="1" applyFill="1" applyAlignment="1">
      <alignment vertical="center"/>
    </xf>
    <xf numFmtId="0" fontId="10" fillId="0" borderId="0" xfId="53" applyFont="1" applyFill="1" applyBorder="1" applyAlignment="1">
      <alignment vertical="center"/>
      <protection/>
    </xf>
    <xf numFmtId="4" fontId="5" fillId="41" borderId="0" xfId="53" applyNumberFormat="1" applyFont="1" applyFill="1">
      <alignment/>
      <protection/>
    </xf>
    <xf numFmtId="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4" fillId="0" borderId="32" xfId="53" applyNumberFormat="1" applyFont="1" applyBorder="1" applyAlignment="1">
      <alignment horizontal="center" vertical="center"/>
      <protection/>
    </xf>
    <xf numFmtId="10" fontId="7" fillId="34" borderId="36" xfId="53" applyNumberFormat="1" applyFont="1" applyFill="1" applyBorder="1" applyAlignment="1">
      <alignment horizontal="right" vertical="center"/>
      <protection/>
    </xf>
    <xf numFmtId="10" fontId="4" fillId="0" borderId="32" xfId="53" applyNumberFormat="1" applyFont="1" applyBorder="1" applyAlignment="1">
      <alignment horizontal="right" vertical="center"/>
      <protection/>
    </xf>
    <xf numFmtId="10" fontId="4" fillId="0" borderId="37" xfId="53" applyNumberFormat="1" applyFont="1" applyBorder="1" applyAlignment="1">
      <alignment horizontal="right" vertical="center"/>
      <protection/>
    </xf>
    <xf numFmtId="10" fontId="5" fillId="0" borderId="37" xfId="53" applyNumberFormat="1" applyFont="1" applyBorder="1" applyAlignment="1">
      <alignment horizontal="right" vertical="center"/>
      <protection/>
    </xf>
    <xf numFmtId="10" fontId="5" fillId="35" borderId="32" xfId="53" applyNumberFormat="1" applyFont="1" applyFill="1" applyBorder="1" applyAlignment="1">
      <alignment horizontal="right" vertical="center"/>
      <protection/>
    </xf>
    <xf numFmtId="10" fontId="10" fillId="0" borderId="32" xfId="53" applyNumberFormat="1" applyFont="1" applyBorder="1" applyAlignment="1">
      <alignment horizontal="right" vertical="center"/>
      <protection/>
    </xf>
    <xf numFmtId="10" fontId="10" fillId="0" borderId="32" xfId="53" applyNumberFormat="1" applyFont="1" applyFill="1" applyBorder="1" applyAlignment="1">
      <alignment horizontal="right" vertical="center"/>
      <protection/>
    </xf>
    <xf numFmtId="10" fontId="5" fillId="0" borderId="32" xfId="53" applyNumberFormat="1" applyFont="1" applyFill="1" applyBorder="1" applyAlignment="1">
      <alignment horizontal="right" vertical="center"/>
      <protection/>
    </xf>
    <xf numFmtId="10" fontId="4" fillId="0" borderId="32" xfId="53" applyNumberFormat="1" applyFont="1" applyFill="1" applyBorder="1" applyAlignment="1">
      <alignment horizontal="right" vertical="center"/>
      <protection/>
    </xf>
    <xf numFmtId="10" fontId="10" fillId="0" borderId="36" xfId="53" applyNumberFormat="1" applyFont="1" applyFill="1" applyBorder="1" applyAlignment="1">
      <alignment horizontal="right" vertical="center"/>
      <protection/>
    </xf>
    <xf numFmtId="10" fontId="6" fillId="36" borderId="32" xfId="53" applyNumberFormat="1" applyFont="1" applyFill="1" applyBorder="1" applyAlignment="1">
      <alignment horizontal="right" vertical="center"/>
      <protection/>
    </xf>
    <xf numFmtId="10" fontId="4" fillId="35" borderId="37" xfId="53" applyNumberFormat="1" applyFont="1" applyFill="1" applyBorder="1" applyAlignment="1">
      <alignment horizontal="right" vertical="center"/>
      <protection/>
    </xf>
    <xf numFmtId="10" fontId="11" fillId="0" borderId="37" xfId="53" applyNumberFormat="1" applyFont="1" applyBorder="1" applyAlignment="1">
      <alignment horizontal="right" vertical="center"/>
      <protection/>
    </xf>
    <xf numFmtId="10" fontId="6" fillId="36" borderId="37" xfId="53" applyNumberFormat="1" applyFont="1" applyFill="1" applyBorder="1" applyAlignment="1">
      <alignment horizontal="right" vertical="center"/>
      <protection/>
    </xf>
    <xf numFmtId="10" fontId="12" fillId="0" borderId="37" xfId="53" applyNumberFormat="1" applyFont="1" applyFill="1" applyBorder="1" applyAlignment="1">
      <alignment horizontal="right" vertical="center"/>
      <protection/>
    </xf>
    <xf numFmtId="10" fontId="6" fillId="0" borderId="37" xfId="53" applyNumberFormat="1" applyFont="1" applyFill="1" applyBorder="1" applyAlignment="1">
      <alignment horizontal="right" vertical="center"/>
      <protection/>
    </xf>
    <xf numFmtId="10" fontId="4" fillId="0" borderId="29" xfId="53" applyNumberFormat="1" applyFont="1" applyFill="1" applyBorder="1" applyAlignment="1">
      <alignment horizontal="right" vertical="center"/>
      <protection/>
    </xf>
    <xf numFmtId="10" fontId="5" fillId="36" borderId="37" xfId="53" applyNumberFormat="1" applyFont="1" applyFill="1" applyBorder="1" applyAlignment="1">
      <alignment horizontal="right" vertical="center"/>
      <protection/>
    </xf>
    <xf numFmtId="10" fontId="5" fillId="41" borderId="37" xfId="53" applyNumberFormat="1" applyFont="1" applyFill="1" applyBorder="1" applyAlignment="1">
      <alignment horizontal="right" vertical="center"/>
      <protection/>
    </xf>
    <xf numFmtId="10" fontId="4" fillId="41" borderId="37" xfId="53" applyNumberFormat="1" applyFont="1" applyFill="1" applyBorder="1" applyAlignment="1">
      <alignment horizontal="right" vertical="center"/>
      <protection/>
    </xf>
    <xf numFmtId="10" fontId="4" fillId="0" borderId="37" xfId="53" applyNumberFormat="1" applyFont="1" applyFill="1" applyBorder="1" applyAlignment="1">
      <alignment horizontal="right" vertical="center"/>
      <protection/>
    </xf>
    <xf numFmtId="10" fontId="4" fillId="0" borderId="29" xfId="53" applyNumberFormat="1" applyFont="1" applyBorder="1" applyAlignment="1">
      <alignment horizontal="right" vertical="center"/>
      <protection/>
    </xf>
    <xf numFmtId="10" fontId="4" fillId="41" borderId="32" xfId="53" applyNumberFormat="1" applyFont="1" applyFill="1" applyBorder="1" applyAlignment="1">
      <alignment horizontal="right" vertical="center"/>
      <protection/>
    </xf>
    <xf numFmtId="10" fontId="5" fillId="35" borderId="37" xfId="53" applyNumberFormat="1" applyFont="1" applyFill="1" applyBorder="1" applyAlignment="1">
      <alignment horizontal="right" vertical="center"/>
      <protection/>
    </xf>
    <xf numFmtId="10" fontId="4" fillId="0" borderId="29" xfId="0" applyNumberFormat="1" applyFont="1" applyBorder="1" applyAlignment="1">
      <alignment horizontal="right" vertical="center"/>
    </xf>
    <xf numFmtId="10" fontId="5" fillId="0" borderId="36" xfId="53" applyNumberFormat="1" applyFont="1" applyFill="1" applyBorder="1" applyAlignment="1">
      <alignment horizontal="right" vertical="center"/>
      <protection/>
    </xf>
    <xf numFmtId="10" fontId="10" fillId="0" borderId="36" xfId="53" applyNumberFormat="1" applyFont="1" applyBorder="1" applyAlignment="1">
      <alignment horizontal="right" vertical="center"/>
      <protection/>
    </xf>
    <xf numFmtId="10" fontId="5" fillId="0" borderId="36" xfId="53" applyNumberFormat="1" applyFont="1" applyBorder="1" applyAlignment="1">
      <alignment horizontal="right" vertical="center"/>
      <protection/>
    </xf>
    <xf numFmtId="10" fontId="10" fillId="0" borderId="37" xfId="53" applyNumberFormat="1" applyFont="1" applyBorder="1" applyAlignment="1">
      <alignment horizontal="right" vertical="center"/>
      <protection/>
    </xf>
    <xf numFmtId="10" fontId="5" fillId="0" borderId="37" xfId="53" applyNumberFormat="1" applyFont="1" applyFill="1" applyBorder="1" applyAlignment="1">
      <alignment horizontal="right" vertical="center"/>
      <protection/>
    </xf>
    <xf numFmtId="10" fontId="10" fillId="0" borderId="37" xfId="53" applyNumberFormat="1" applyFont="1" applyFill="1" applyBorder="1" applyAlignment="1">
      <alignment horizontal="right" vertical="center"/>
      <protection/>
    </xf>
    <xf numFmtId="10" fontId="10" fillId="35" borderId="37" xfId="53" applyNumberFormat="1" applyFont="1" applyFill="1" applyBorder="1" applyAlignment="1">
      <alignment horizontal="right" vertical="center"/>
      <protection/>
    </xf>
    <xf numFmtId="10" fontId="11" fillId="0" borderId="32" xfId="0" applyNumberFormat="1" applyFont="1" applyBorder="1" applyAlignment="1">
      <alignment horizontal="right" vertical="center"/>
    </xf>
    <xf numFmtId="10" fontId="10" fillId="35" borderId="32" xfId="0" applyNumberFormat="1" applyFont="1" applyFill="1" applyBorder="1" applyAlignment="1">
      <alignment horizontal="right" vertical="center"/>
    </xf>
    <xf numFmtId="10" fontId="10" fillId="0" borderId="32" xfId="0" applyNumberFormat="1" applyFont="1" applyBorder="1" applyAlignment="1">
      <alignment horizontal="right" vertical="center"/>
    </xf>
    <xf numFmtId="10" fontId="10" fillId="0" borderId="32" xfId="0" applyNumberFormat="1" applyFont="1" applyFill="1" applyBorder="1" applyAlignment="1">
      <alignment horizontal="right" vertical="center"/>
    </xf>
    <xf numFmtId="10" fontId="5" fillId="0" borderId="32" xfId="0" applyNumberFormat="1" applyFont="1" applyFill="1" applyBorder="1" applyAlignment="1">
      <alignment horizontal="right" vertical="center"/>
    </xf>
    <xf numFmtId="10" fontId="4" fillId="0" borderId="32" xfId="0" applyNumberFormat="1" applyFont="1" applyFill="1" applyBorder="1" applyAlignment="1">
      <alignment horizontal="right" vertical="center"/>
    </xf>
    <xf numFmtId="10" fontId="11" fillId="0" borderId="32" xfId="0" applyNumberFormat="1" applyFont="1" applyFill="1" applyBorder="1" applyAlignment="1">
      <alignment horizontal="right" vertical="center"/>
    </xf>
    <xf numFmtId="10" fontId="4" fillId="0" borderId="32" xfId="0" applyNumberFormat="1" applyFont="1" applyBorder="1" applyAlignment="1">
      <alignment horizontal="right" vertical="center"/>
    </xf>
    <xf numFmtId="10" fontId="4" fillId="42" borderId="32" xfId="0" applyNumberFormat="1" applyFont="1" applyFill="1" applyBorder="1" applyAlignment="1">
      <alignment horizontal="right" vertical="center"/>
    </xf>
    <xf numFmtId="10" fontId="5" fillId="0" borderId="37" xfId="0" applyNumberFormat="1" applyFont="1" applyFill="1" applyBorder="1" applyAlignment="1">
      <alignment horizontal="right" vertical="center"/>
    </xf>
    <xf numFmtId="10" fontId="4" fillId="41" borderId="37" xfId="0" applyNumberFormat="1" applyFont="1" applyFill="1" applyBorder="1" applyAlignment="1">
      <alignment horizontal="right" vertical="center"/>
    </xf>
    <xf numFmtId="10" fontId="10" fillId="0" borderId="37" xfId="0" applyNumberFormat="1" applyFont="1" applyFill="1" applyBorder="1" applyAlignment="1">
      <alignment horizontal="right" vertical="center"/>
    </xf>
    <xf numFmtId="10" fontId="4" fillId="0" borderId="37" xfId="0" applyNumberFormat="1" applyFont="1" applyFill="1" applyBorder="1" applyAlignment="1">
      <alignment horizontal="right" vertical="center"/>
    </xf>
    <xf numFmtId="10" fontId="10" fillId="0" borderId="29" xfId="0" applyNumberFormat="1" applyFont="1" applyBorder="1" applyAlignment="1">
      <alignment horizontal="right" vertical="center"/>
    </xf>
    <xf numFmtId="10" fontId="6" fillId="36" borderId="37" xfId="0" applyNumberFormat="1" applyFont="1" applyFill="1" applyBorder="1" applyAlignment="1">
      <alignment horizontal="right" vertical="center"/>
    </xf>
    <xf numFmtId="10" fontId="13" fillId="36" borderId="37" xfId="0" applyNumberFormat="1" applyFont="1" applyFill="1" applyBorder="1" applyAlignment="1">
      <alignment horizontal="right" vertical="center"/>
    </xf>
    <xf numFmtId="10" fontId="13" fillId="36" borderId="37" xfId="0" applyNumberFormat="1" applyFont="1" applyFill="1" applyBorder="1" applyAlignment="1">
      <alignment horizontal="left" vertical="center"/>
    </xf>
    <xf numFmtId="4" fontId="10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4" fontId="4" fillId="0" borderId="0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1" fillId="0" borderId="0" xfId="53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0" fillId="0" borderId="0" xfId="53" applyFont="1" applyFill="1" applyBorder="1">
      <alignment/>
      <protection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" fontId="10" fillId="41" borderId="16" xfId="0" applyNumberFormat="1" applyFont="1" applyFill="1" applyBorder="1" applyAlignment="1">
      <alignment horizontal="right" vertical="center"/>
    </xf>
    <xf numFmtId="10" fontId="10" fillId="41" borderId="37" xfId="0" applyNumberFormat="1" applyFont="1" applyFill="1" applyBorder="1" applyAlignment="1">
      <alignment horizontal="right" vertical="center"/>
    </xf>
    <xf numFmtId="0" fontId="11" fillId="0" borderId="0" xfId="53" applyFont="1" applyFill="1" applyAlignment="1">
      <alignment vertical="center"/>
      <protection/>
    </xf>
    <xf numFmtId="4" fontId="10" fillId="41" borderId="0" xfId="53" applyNumberFormat="1" applyFont="1" applyFill="1" applyBorder="1" applyAlignment="1">
      <alignment vertical="center"/>
      <protection/>
    </xf>
    <xf numFmtId="0" fontId="13" fillId="43" borderId="14" xfId="0" applyFont="1" applyFill="1" applyBorder="1" applyAlignment="1">
      <alignment vertical="center" wrapText="1"/>
    </xf>
    <xf numFmtId="49" fontId="13" fillId="43" borderId="14" xfId="0" applyNumberFormat="1" applyFont="1" applyFill="1" applyBorder="1" applyAlignment="1">
      <alignment horizontal="center" vertical="center"/>
    </xf>
    <xf numFmtId="4" fontId="13" fillId="43" borderId="14" xfId="0" applyNumberFormat="1" applyFont="1" applyFill="1" applyBorder="1" applyAlignment="1">
      <alignment horizontal="right" vertical="center"/>
    </xf>
    <xf numFmtId="188" fontId="4" fillId="0" borderId="0" xfId="53" applyNumberFormat="1" applyFont="1" applyAlignment="1">
      <alignment horizontal="center" vertical="center"/>
      <protection/>
    </xf>
    <xf numFmtId="4" fontId="10" fillId="0" borderId="0" xfId="0" applyNumberFormat="1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4" fontId="4" fillId="45" borderId="14" xfId="53" applyNumberFormat="1" applyFont="1" applyFill="1" applyBorder="1" applyAlignment="1">
      <alignment horizontal="right" vertical="center"/>
      <protection/>
    </xf>
    <xf numFmtId="4" fontId="4" fillId="2" borderId="14" xfId="53" applyNumberFormat="1" applyFont="1" applyFill="1" applyBorder="1" applyAlignment="1">
      <alignment horizontal="right" vertical="center"/>
      <protection/>
    </xf>
    <xf numFmtId="178" fontId="6" fillId="35" borderId="41" xfId="43" applyFont="1" applyFill="1" applyBorder="1" applyAlignment="1">
      <alignment vertical="center" wrapText="1"/>
    </xf>
    <xf numFmtId="4" fontId="10" fillId="2" borderId="14" xfId="53" applyNumberFormat="1" applyFont="1" applyFill="1" applyBorder="1" applyAlignment="1">
      <alignment horizontal="right" vertical="center"/>
      <protection/>
    </xf>
    <xf numFmtId="4" fontId="10" fillId="0" borderId="0" xfId="0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4" fillId="0" borderId="0" xfId="53" applyNumberFormat="1" applyFont="1" applyBorder="1">
      <alignment/>
      <protection/>
    </xf>
    <xf numFmtId="4" fontId="15" fillId="0" borderId="0" xfId="53" applyNumberFormat="1" applyFont="1" applyFill="1" applyAlignment="1">
      <alignment horizontal="left"/>
      <protection/>
    </xf>
    <xf numFmtId="4" fontId="4" fillId="0" borderId="0" xfId="53" applyNumberFormat="1" applyFont="1" applyFill="1" applyAlignment="1">
      <alignment vertical="center"/>
      <protection/>
    </xf>
    <xf numFmtId="4" fontId="5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32" xfId="53" applyFont="1" applyFill="1" applyBorder="1" applyAlignment="1">
      <alignment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184" fontId="4" fillId="0" borderId="14" xfId="53" applyNumberFormat="1" applyFont="1" applyFill="1" applyBorder="1" applyAlignment="1">
      <alignment horizontal="right" vertical="center"/>
      <protection/>
    </xf>
    <xf numFmtId="4" fontId="4" fillId="0" borderId="14" xfId="53" applyNumberFormat="1" applyFont="1" applyFill="1" applyBorder="1" applyAlignment="1">
      <alignment horizontal="center" vertical="center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4" xfId="53" applyFont="1" applyBorder="1" applyAlignment="1">
      <alignment horizontal="center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184" fontId="10" fillId="0" borderId="14" xfId="53" applyNumberFormat="1" applyFont="1" applyFill="1" applyBorder="1" applyAlignment="1">
      <alignment horizontal="right" vertical="center"/>
      <protection/>
    </xf>
    <xf numFmtId="10" fontId="10" fillId="0" borderId="0" xfId="0" applyNumberFormat="1" applyFont="1" applyBorder="1" applyAlignment="1">
      <alignment horizontal="right" vertical="center"/>
    </xf>
    <xf numFmtId="4" fontId="13" fillId="36" borderId="16" xfId="53" applyNumberFormat="1" applyFont="1" applyFill="1" applyBorder="1" applyAlignment="1">
      <alignment horizontal="right" vertical="center"/>
      <protection/>
    </xf>
    <xf numFmtId="10" fontId="13" fillId="36" borderId="37" xfId="53" applyNumberFormat="1" applyFont="1" applyFill="1" applyBorder="1" applyAlignment="1">
      <alignment horizontal="right" vertical="center"/>
      <protection/>
    </xf>
    <xf numFmtId="0" fontId="12" fillId="0" borderId="14" xfId="0" applyFont="1" applyFill="1" applyBorder="1" applyAlignment="1">
      <alignment/>
    </xf>
    <xf numFmtId="0" fontId="6" fillId="39" borderId="14" xfId="0" applyFont="1" applyFill="1" applyBorder="1" applyAlignment="1">
      <alignment vertical="center"/>
    </xf>
    <xf numFmtId="49" fontId="5" fillId="39" borderId="11" xfId="0" applyNumberFormat="1" applyFont="1" applyFill="1" applyBorder="1" applyAlignment="1">
      <alignment horizontal="center" vertical="center"/>
    </xf>
    <xf numFmtId="4" fontId="4" fillId="0" borderId="32" xfId="53" applyNumberFormat="1" applyFont="1" applyFill="1" applyBorder="1" applyAlignment="1">
      <alignment vertical="center"/>
      <protection/>
    </xf>
    <xf numFmtId="184" fontId="4" fillId="0" borderId="32" xfId="53" applyNumberFormat="1" applyFont="1" applyFill="1" applyBorder="1" applyAlignment="1">
      <alignment horizontal="right" vertical="center"/>
      <protection/>
    </xf>
    <xf numFmtId="4" fontId="12" fillId="0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4" fillId="0" borderId="14" xfId="53" applyFont="1" applyFill="1" applyBorder="1" applyAlignment="1">
      <alignment horizontal="left" vertical="center" wrapText="1"/>
      <protection/>
    </xf>
    <xf numFmtId="2" fontId="4" fillId="0" borderId="0" xfId="0" applyNumberFormat="1" applyFont="1" applyAlignment="1">
      <alignment vertical="center"/>
    </xf>
    <xf numFmtId="4" fontId="11" fillId="44" borderId="0" xfId="0" applyNumberFormat="1" applyFont="1" applyFill="1" applyAlignment="1">
      <alignment vertical="center"/>
    </xf>
    <xf numFmtId="184" fontId="4" fillId="0" borderId="0" xfId="53" applyNumberFormat="1" applyFont="1" applyFill="1">
      <alignment/>
      <protection/>
    </xf>
    <xf numFmtId="2" fontId="4" fillId="0" borderId="0" xfId="53" applyNumberFormat="1" applyFont="1" applyFill="1">
      <alignment/>
      <protection/>
    </xf>
    <xf numFmtId="49" fontId="4" fillId="0" borderId="0" xfId="53" applyNumberFormat="1" applyFont="1" applyAlignment="1">
      <alignment vertical="center"/>
      <protection/>
    </xf>
    <xf numFmtId="4" fontId="4" fillId="0" borderId="13" xfId="53" applyNumberFormat="1" applyFont="1" applyBorder="1" applyAlignment="1">
      <alignment horizontal="right" vertical="center"/>
      <protection/>
    </xf>
    <xf numFmtId="0" fontId="4" fillId="0" borderId="0" xfId="0" applyNumberFormat="1" applyFont="1" applyAlignment="1">
      <alignment vertical="center"/>
    </xf>
    <xf numFmtId="0" fontId="14" fillId="0" borderId="0" xfId="0" applyFont="1" applyAlignment="1">
      <alignment horizontal="justify"/>
    </xf>
    <xf numFmtId="0" fontId="5" fillId="0" borderId="14" xfId="53" applyFont="1" applyFill="1" applyBorder="1" applyAlignment="1">
      <alignment horizontal="center" vertical="center"/>
      <protection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32" xfId="53" applyNumberFormat="1" applyFont="1" applyFill="1" applyBorder="1" applyAlignment="1">
      <alignment horizontal="center" vertical="center"/>
      <protection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2" xfId="53" applyNumberFormat="1" applyFont="1" applyFill="1" applyBorder="1" applyAlignment="1">
      <alignment horizontal="center" vertical="center"/>
      <protection/>
    </xf>
    <xf numFmtId="2" fontId="4" fillId="0" borderId="15" xfId="53" applyNumberFormat="1" applyFont="1" applyBorder="1" applyAlignment="1">
      <alignment horizontal="center" vertical="center"/>
      <protection/>
    </xf>
    <xf numFmtId="2" fontId="10" fillId="0" borderId="32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10" fillId="0" borderId="37" xfId="53" applyNumberFormat="1" applyFont="1" applyFill="1" applyBorder="1" applyAlignment="1">
      <alignment horizontal="center" vertical="center"/>
      <protection/>
    </xf>
    <xf numFmtId="2" fontId="10" fillId="0" borderId="16" xfId="53" applyNumberFormat="1" applyFont="1" applyFill="1" applyBorder="1" applyAlignment="1">
      <alignment horizontal="center" vertical="center"/>
      <protection/>
    </xf>
    <xf numFmtId="2" fontId="4" fillId="0" borderId="15" xfId="53" applyNumberFormat="1" applyFont="1" applyFill="1" applyBorder="1" applyAlignment="1">
      <alignment horizontal="center" vertical="center"/>
      <protection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32" xfId="53" applyNumberFormat="1" applyFont="1" applyFill="1" applyBorder="1" applyAlignment="1">
      <alignment horizontal="center" vertical="center"/>
      <protection/>
    </xf>
    <xf numFmtId="2" fontId="5" fillId="0" borderId="15" xfId="53" applyNumberFormat="1" applyFont="1" applyFill="1" applyBorder="1" applyAlignment="1">
      <alignment horizontal="center" vertical="center"/>
      <protection/>
    </xf>
    <xf numFmtId="2" fontId="11" fillId="0" borderId="32" xfId="53" applyNumberFormat="1" applyFont="1" applyFill="1" applyBorder="1" applyAlignment="1">
      <alignment horizontal="center" vertical="center"/>
      <protection/>
    </xf>
    <xf numFmtId="2" fontId="11" fillId="0" borderId="15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 shrinkToFit="1"/>
    </xf>
    <xf numFmtId="2" fontId="10" fillId="0" borderId="15" xfId="0" applyNumberFormat="1" applyFont="1" applyFill="1" applyBorder="1" applyAlignment="1">
      <alignment horizontal="center" vertical="center" shrinkToFit="1"/>
    </xf>
    <xf numFmtId="2" fontId="4" fillId="0" borderId="32" xfId="0" applyNumberFormat="1" applyFont="1" applyFill="1" applyBorder="1" applyAlignment="1">
      <alignment horizontal="center" vertical="center" shrinkToFit="1"/>
    </xf>
    <xf numFmtId="2" fontId="4" fillId="0" borderId="15" xfId="0" applyNumberFormat="1" applyFont="1" applyFill="1" applyBorder="1" applyAlignment="1">
      <alignment horizontal="center" vertical="center" shrinkToFit="1"/>
    </xf>
    <xf numFmtId="2" fontId="11" fillId="0" borderId="1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2" xfId="53" applyNumberFormat="1" applyFont="1" applyBorder="1" applyAlignment="1">
      <alignment horizontal="center" vertical="center"/>
      <protection/>
    </xf>
    <xf numFmtId="2" fontId="5" fillId="0" borderId="15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vertical="center"/>
      <protection/>
    </xf>
    <xf numFmtId="4" fontId="10" fillId="0" borderId="0" xfId="53" applyNumberFormat="1" applyFont="1" applyAlignment="1">
      <alignment vertical="center"/>
      <protection/>
    </xf>
    <xf numFmtId="0" fontId="6" fillId="0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right" vertical="center"/>
      <protection/>
    </xf>
    <xf numFmtId="10" fontId="5" fillId="0" borderId="14" xfId="53" applyNumberFormat="1" applyFont="1" applyFill="1" applyBorder="1" applyAlignment="1">
      <alignment horizontal="right" vertical="center"/>
      <protection/>
    </xf>
    <xf numFmtId="0" fontId="13" fillId="0" borderId="31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right" vertical="center"/>
      <protection/>
    </xf>
    <xf numFmtId="1" fontId="4" fillId="0" borderId="14" xfId="53" applyNumberFormat="1" applyFont="1" applyFill="1" applyBorder="1" applyAlignment="1">
      <alignment vertical="center" wrapText="1"/>
      <protection/>
    </xf>
    <xf numFmtId="184" fontId="4" fillId="0" borderId="29" xfId="53" applyNumberFormat="1" applyFont="1" applyFill="1" applyBorder="1" applyAlignment="1">
      <alignment horizontal="right" vertical="center"/>
      <protection/>
    </xf>
    <xf numFmtId="2" fontId="4" fillId="0" borderId="14" xfId="53" applyNumberFormat="1" applyFont="1" applyFill="1" applyBorder="1" applyAlignment="1">
      <alignment horizontal="center" vertical="center"/>
      <protection/>
    </xf>
    <xf numFmtId="4" fontId="4" fillId="41" borderId="11" xfId="53" applyNumberFormat="1" applyFont="1" applyFill="1" applyBorder="1" applyAlignment="1">
      <alignment horizontal="right" vertical="center"/>
      <protection/>
    </xf>
    <xf numFmtId="10" fontId="4" fillId="41" borderId="29" xfId="53" applyNumberFormat="1" applyFont="1" applyFill="1" applyBorder="1" applyAlignment="1">
      <alignment horizontal="right" vertical="center"/>
      <protection/>
    </xf>
    <xf numFmtId="4" fontId="5" fillId="0" borderId="17" xfId="53" applyNumberFormat="1" applyFont="1" applyFill="1" applyBorder="1" applyAlignment="1">
      <alignment horizontal="right" vertical="center"/>
      <protection/>
    </xf>
    <xf numFmtId="4" fontId="5" fillId="0" borderId="14" xfId="53" applyNumberFormat="1" applyFont="1" applyFill="1" applyBorder="1" applyAlignment="1">
      <alignment horizontal="center" vertical="center"/>
      <protection/>
    </xf>
    <xf numFmtId="4" fontId="4" fillId="0" borderId="0" xfId="53" applyNumberFormat="1" applyFont="1" applyBorder="1" applyAlignment="1">
      <alignment horizontal="right" vertical="center"/>
      <protection/>
    </xf>
    <xf numFmtId="10" fontId="4" fillId="0" borderId="0" xfId="53" applyNumberFormat="1" applyFont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10" fontId="4" fillId="0" borderId="17" xfId="53" applyNumberFormat="1" applyFont="1" applyFill="1" applyBorder="1" applyAlignment="1">
      <alignment horizontal="right" vertical="center"/>
      <protection/>
    </xf>
    <xf numFmtId="4" fontId="10" fillId="0" borderId="13" xfId="0" applyNumberFormat="1" applyFont="1" applyBorder="1" applyAlignment="1">
      <alignment horizontal="right" vertical="center"/>
    </xf>
    <xf numFmtId="0" fontId="5" fillId="0" borderId="14" xfId="53" applyFont="1" applyFill="1" applyBorder="1" applyAlignment="1">
      <alignment horizontal="left" vertical="center" wrapText="1"/>
      <protection/>
    </xf>
    <xf numFmtId="49" fontId="13" fillId="0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1" xfId="53" applyNumberFormat="1" applyFont="1" applyBorder="1" applyAlignment="1">
      <alignment horizontal="right" vertical="center"/>
      <protection/>
    </xf>
    <xf numFmtId="10" fontId="5" fillId="0" borderId="29" xfId="53" applyNumberFormat="1" applyFont="1" applyBorder="1" applyAlignment="1">
      <alignment horizontal="right" vertical="center"/>
      <protection/>
    </xf>
    <xf numFmtId="4" fontId="10" fillId="0" borderId="11" xfId="53" applyNumberFormat="1" applyFont="1" applyBorder="1" applyAlignment="1">
      <alignment horizontal="right" vertical="center"/>
      <protection/>
    </xf>
    <xf numFmtId="10" fontId="10" fillId="0" borderId="29" xfId="53" applyNumberFormat="1" applyFont="1" applyBorder="1" applyAlignment="1">
      <alignment horizontal="right" vertical="center"/>
      <protection/>
    </xf>
    <xf numFmtId="10" fontId="4" fillId="0" borderId="0" xfId="0" applyNumberFormat="1" applyFont="1" applyAlignment="1">
      <alignment vertical="center"/>
    </xf>
    <xf numFmtId="0" fontId="5" fillId="0" borderId="15" xfId="53" applyFont="1" applyFill="1" applyBorder="1" applyAlignment="1">
      <alignment vertical="center" wrapText="1"/>
      <protection/>
    </xf>
    <xf numFmtId="10" fontId="10" fillId="0" borderId="0" xfId="0" applyNumberFormat="1" applyFont="1" applyFill="1" applyAlignment="1">
      <alignment vertical="center"/>
    </xf>
    <xf numFmtId="0" fontId="10" fillId="44" borderId="15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vertical="center" wrapText="1"/>
      <protection/>
    </xf>
    <xf numFmtId="4" fontId="5" fillId="0" borderId="15" xfId="53" applyNumberFormat="1" applyFont="1" applyBorder="1" applyAlignment="1">
      <alignment horizontal="right" vertical="center"/>
      <protection/>
    </xf>
    <xf numFmtId="10" fontId="5" fillId="0" borderId="32" xfId="53" applyNumberFormat="1" applyFont="1" applyBorder="1" applyAlignment="1">
      <alignment horizontal="right" vertical="center"/>
      <protection/>
    </xf>
    <xf numFmtId="4" fontId="5" fillId="0" borderId="14" xfId="53" applyNumberFormat="1" applyFont="1" applyBorder="1" applyAlignment="1">
      <alignment horizontal="right" vertical="center"/>
      <protection/>
    </xf>
    <xf numFmtId="0" fontId="5" fillId="0" borderId="15" xfId="53" applyFont="1" applyBorder="1" applyAlignment="1">
      <alignment horizontal="right" vertical="center"/>
      <protection/>
    </xf>
    <xf numFmtId="4" fontId="4" fillId="0" borderId="16" xfId="0" applyNumberFormat="1" applyFont="1" applyBorder="1" applyAlignment="1">
      <alignment horizontal="right" vertical="center"/>
    </xf>
    <xf numFmtId="10" fontId="4" fillId="0" borderId="37" xfId="0" applyNumberFormat="1" applyFont="1" applyBorder="1" applyAlignment="1">
      <alignment horizontal="right" vertical="center"/>
    </xf>
    <xf numFmtId="0" fontId="10" fillId="41" borderId="0" xfId="0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1" fontId="5" fillId="40" borderId="14" xfId="0" applyNumberFormat="1" applyFont="1" applyFill="1" applyBorder="1" applyAlignment="1">
      <alignment horizontal="left" vertical="top" wrapText="1" shrinkToFit="1"/>
    </xf>
    <xf numFmtId="1" fontId="5" fillId="40" borderId="14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Border="1" applyAlignment="1">
      <alignment vertical="center"/>
    </xf>
    <xf numFmtId="4" fontId="13" fillId="36" borderId="12" xfId="0" applyNumberFormat="1" applyFont="1" applyFill="1" applyBorder="1" applyAlignment="1">
      <alignment horizontal="right" vertical="center"/>
    </xf>
    <xf numFmtId="10" fontId="13" fillId="36" borderId="12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5" fillId="0" borderId="0" xfId="53" applyNumberFormat="1" applyFont="1" applyFill="1" applyBorder="1">
      <alignment/>
      <protection/>
    </xf>
    <xf numFmtId="0" fontId="11" fillId="0" borderId="0" xfId="53" applyFont="1">
      <alignment/>
      <protection/>
    </xf>
    <xf numFmtId="0" fontId="5" fillId="39" borderId="14" xfId="0" applyFont="1" applyFill="1" applyBorder="1" applyAlignment="1">
      <alignment vertical="top" wrapText="1"/>
    </xf>
    <xf numFmtId="4" fontId="4" fillId="0" borderId="32" xfId="53" applyNumberFormat="1" applyFont="1" applyFill="1" applyBorder="1" applyAlignment="1">
      <alignment horizontal="right" vertical="center"/>
      <protection/>
    </xf>
    <xf numFmtId="4" fontId="5" fillId="0" borderId="0" xfId="53" applyNumberFormat="1" applyFont="1" applyFill="1" applyAlignment="1">
      <alignment vertical="center"/>
      <protection/>
    </xf>
    <xf numFmtId="4" fontId="61" fillId="0" borderId="0" xfId="0" applyNumberFormat="1" applyFont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42" borderId="0" xfId="0" applyNumberFormat="1" applyFont="1" applyFill="1" applyAlignment="1">
      <alignment vertical="center"/>
    </xf>
    <xf numFmtId="4" fontId="12" fillId="0" borderId="0" xfId="53" applyNumberFormat="1" applyFont="1" applyFill="1" applyAlignment="1">
      <alignment/>
      <protection/>
    </xf>
    <xf numFmtId="0" fontId="4" fillId="0" borderId="0" xfId="0" applyFont="1" applyFill="1" applyAlignment="1">
      <alignment horizontal="right" vertical="top" wrapText="1"/>
    </xf>
    <xf numFmtId="49" fontId="5" fillId="0" borderId="44" xfId="53" applyNumberFormat="1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4" fontId="4" fillId="0" borderId="13" xfId="53" applyNumberFormat="1" applyFont="1" applyBorder="1" applyAlignment="1">
      <alignment horizontal="center" vertical="center" wrapText="1"/>
      <protection/>
    </xf>
    <xf numFmtId="4" fontId="4" fillId="0" borderId="17" xfId="53" applyNumberFormat="1" applyFont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right" wrapText="1"/>
      <protection/>
    </xf>
    <xf numFmtId="0" fontId="5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right" wrapText="1"/>
      <protection/>
    </xf>
    <xf numFmtId="4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2" fontId="5" fillId="35" borderId="37" xfId="53" applyNumberFormat="1" applyFont="1" applyFill="1" applyBorder="1" applyAlignment="1">
      <alignment horizontal="center" vertical="center"/>
      <protection/>
    </xf>
    <xf numFmtId="2" fontId="5" fillId="35" borderId="16" xfId="53" applyNumberFormat="1" applyFont="1" applyFill="1" applyBorder="1" applyAlignment="1">
      <alignment horizontal="center" vertical="center"/>
      <protection/>
    </xf>
    <xf numFmtId="2" fontId="6" fillId="36" borderId="45" xfId="53" applyNumberFormat="1" applyFont="1" applyFill="1" applyBorder="1" applyAlignment="1">
      <alignment horizontal="center" vertical="center"/>
      <protection/>
    </xf>
    <xf numFmtId="2" fontId="6" fillId="36" borderId="21" xfId="53" applyNumberFormat="1" applyFont="1" applyFill="1" applyBorder="1" applyAlignment="1">
      <alignment horizontal="center" vertical="center"/>
      <protection/>
    </xf>
    <xf numFmtId="2" fontId="5" fillId="35" borderId="32" xfId="53" applyNumberFormat="1" applyFont="1" applyFill="1" applyBorder="1" applyAlignment="1">
      <alignment horizontal="center" vertical="center"/>
      <protection/>
    </xf>
    <xf numFmtId="2" fontId="5" fillId="35" borderId="15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Border="1" applyAlignment="1">
      <alignment horizontal="center" wrapText="1"/>
      <protection/>
    </xf>
    <xf numFmtId="0" fontId="4" fillId="0" borderId="32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2" fontId="6" fillId="38" borderId="32" xfId="53" applyNumberFormat="1" applyFont="1" applyFill="1" applyBorder="1" applyAlignment="1">
      <alignment horizontal="center" vertical="center"/>
      <protection/>
    </xf>
    <xf numFmtId="2" fontId="6" fillId="38" borderId="15" xfId="53" applyNumberFormat="1" applyFont="1" applyFill="1" applyBorder="1" applyAlignment="1">
      <alignment horizontal="center" vertical="center"/>
      <protection/>
    </xf>
    <xf numFmtId="49" fontId="5" fillId="35" borderId="32" xfId="53" applyNumberFormat="1" applyFont="1" applyFill="1" applyBorder="1" applyAlignment="1">
      <alignment horizontal="center" vertical="center"/>
      <protection/>
    </xf>
    <xf numFmtId="49" fontId="5" fillId="35" borderId="15" xfId="53" applyNumberFormat="1" applyFont="1" applyFill="1" applyBorder="1" applyAlignment="1">
      <alignment horizontal="center" vertical="center"/>
      <protection/>
    </xf>
    <xf numFmtId="0" fontId="4" fillId="38" borderId="32" xfId="53" applyFont="1" applyFill="1" applyBorder="1" applyAlignment="1">
      <alignment horizontal="center" vertical="center"/>
      <protection/>
    </xf>
    <xf numFmtId="0" fontId="4" fillId="38" borderId="15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12" fillId="0" borderId="32" xfId="53" applyFont="1" applyBorder="1" applyAlignment="1">
      <alignment horizontal="center" vertical="center" textRotation="90" wrapText="1"/>
      <protection/>
    </xf>
    <xf numFmtId="0" fontId="12" fillId="0" borderId="15" xfId="53" applyFont="1" applyBorder="1" applyAlignment="1">
      <alignment horizontal="center" vertical="center" textRotation="90" wrapText="1"/>
      <protection/>
    </xf>
    <xf numFmtId="2" fontId="4" fillId="38" borderId="32" xfId="53" applyNumberFormat="1" applyFont="1" applyFill="1" applyBorder="1" applyAlignment="1">
      <alignment horizontal="center" vertical="center"/>
      <protection/>
    </xf>
    <xf numFmtId="2" fontId="4" fillId="38" borderId="15" xfId="53" applyNumberFormat="1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2" fontId="5" fillId="35" borderId="29" xfId="53" applyNumberFormat="1" applyFont="1" applyFill="1" applyBorder="1" applyAlignment="1">
      <alignment horizontal="center" vertical="center"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0" fontId="6" fillId="33" borderId="0" xfId="53" applyFont="1" applyFill="1" applyAlignment="1">
      <alignment horizontal="center" wrapText="1"/>
      <protection/>
    </xf>
    <xf numFmtId="0" fontId="4" fillId="33" borderId="0" xfId="53" applyFont="1" applyFill="1" applyAlignment="1">
      <alignment horizontal="right" wrapText="1"/>
      <protection/>
    </xf>
    <xf numFmtId="49" fontId="5" fillId="35" borderId="36" xfId="53" applyNumberFormat="1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/>
      <protection/>
    </xf>
    <xf numFmtId="49" fontId="13" fillId="43" borderId="32" xfId="0" applyNumberFormat="1" applyFont="1" applyFill="1" applyBorder="1" applyAlignment="1">
      <alignment horizontal="center" vertical="center" shrinkToFit="1"/>
    </xf>
    <xf numFmtId="49" fontId="13" fillId="43" borderId="15" xfId="0" applyNumberFormat="1" applyFont="1" applyFill="1" applyBorder="1" applyAlignment="1">
      <alignment horizontal="center" vertical="center" shrinkToFit="1"/>
    </xf>
    <xf numFmtId="0" fontId="4" fillId="0" borderId="0" xfId="53" applyFont="1" applyFill="1" applyBorder="1" applyAlignment="1">
      <alignment horizontal="center" vertical="center"/>
      <protection/>
    </xf>
    <xf numFmtId="0" fontId="4" fillId="34" borderId="37" xfId="53" applyFont="1" applyFill="1" applyBorder="1" applyAlignment="1">
      <alignment horizontal="center" vertical="center"/>
      <protection/>
    </xf>
    <xf numFmtId="0" fontId="4" fillId="34" borderId="16" xfId="53" applyFont="1" applyFill="1" applyBorder="1" applyAlignment="1">
      <alignment horizontal="center" vertical="center"/>
      <protection/>
    </xf>
    <xf numFmtId="49" fontId="4" fillId="43" borderId="32" xfId="53" applyNumberFormat="1" applyFont="1" applyFill="1" applyBorder="1" applyAlignment="1">
      <alignment horizontal="center" vertical="center"/>
      <protection/>
    </xf>
    <xf numFmtId="49" fontId="4" fillId="43" borderId="15" xfId="53" applyNumberFormat="1" applyFont="1" applyFill="1" applyBorder="1" applyAlignment="1">
      <alignment horizontal="center" vertical="center"/>
      <protection/>
    </xf>
    <xf numFmtId="49" fontId="13" fillId="37" borderId="32" xfId="0" applyNumberFormat="1" applyFont="1" applyFill="1" applyBorder="1" applyAlignment="1">
      <alignment horizontal="center" vertical="center"/>
    </xf>
    <xf numFmtId="49" fontId="13" fillId="37" borderId="15" xfId="0" applyNumberFormat="1" applyFont="1" applyFill="1" applyBorder="1" applyAlignment="1">
      <alignment horizontal="center" vertical="center"/>
    </xf>
    <xf numFmtId="49" fontId="6" fillId="38" borderId="32" xfId="53" applyNumberFormat="1" applyFont="1" applyFill="1" applyBorder="1" applyAlignment="1">
      <alignment horizontal="center" vertical="center"/>
      <protection/>
    </xf>
    <xf numFmtId="49" fontId="6" fillId="38" borderId="15" xfId="53" applyNumberFormat="1" applyFont="1" applyFill="1" applyBorder="1" applyAlignment="1">
      <alignment horizontal="center" vertical="center"/>
      <protection/>
    </xf>
    <xf numFmtId="49" fontId="17" fillId="37" borderId="32" xfId="53" applyNumberFormat="1" applyFont="1" applyFill="1" applyBorder="1" applyAlignment="1">
      <alignment horizontal="center" vertical="center"/>
      <protection/>
    </xf>
    <xf numFmtId="49" fontId="17" fillId="37" borderId="15" xfId="53" applyNumberFormat="1" applyFont="1" applyFill="1" applyBorder="1" applyAlignment="1">
      <alignment horizontal="center" vertical="center"/>
      <protection/>
    </xf>
    <xf numFmtId="0" fontId="12" fillId="37" borderId="32" xfId="53" applyFont="1" applyFill="1" applyBorder="1" applyAlignment="1">
      <alignment horizontal="center" vertical="center"/>
      <protection/>
    </xf>
    <xf numFmtId="0" fontId="12" fillId="37" borderId="15" xfId="53" applyFont="1" applyFill="1" applyBorder="1" applyAlignment="1">
      <alignment horizontal="center" vertical="center"/>
      <protection/>
    </xf>
    <xf numFmtId="0" fontId="18" fillId="37" borderId="32" xfId="53" applyFont="1" applyFill="1" applyBorder="1" applyAlignment="1">
      <alignment horizontal="center" vertical="center"/>
      <protection/>
    </xf>
    <xf numFmtId="0" fontId="18" fillId="37" borderId="15" xfId="53" applyFont="1" applyFill="1" applyBorder="1" applyAlignment="1">
      <alignment horizontal="center" vertical="center"/>
      <protection/>
    </xf>
    <xf numFmtId="4" fontId="4" fillId="0" borderId="36" xfId="53" applyNumberFormat="1" applyFont="1" applyBorder="1" applyAlignment="1">
      <alignment horizontal="center" vertical="center" wrapText="1"/>
      <protection/>
    </xf>
    <xf numFmtId="4" fontId="4" fillId="0" borderId="37" xfId="53" applyNumberFormat="1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textRotation="90" wrapText="1"/>
      <protection/>
    </xf>
    <xf numFmtId="0" fontId="8" fillId="0" borderId="15" xfId="53" applyFont="1" applyBorder="1" applyAlignment="1">
      <alignment horizontal="center" vertical="center" textRotation="90" wrapText="1"/>
      <protection/>
    </xf>
    <xf numFmtId="0" fontId="4" fillId="34" borderId="32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49" fontId="18" fillId="37" borderId="32" xfId="53" applyNumberFormat="1" applyFont="1" applyFill="1" applyBorder="1" applyAlignment="1">
      <alignment horizontal="center" vertical="center"/>
      <protection/>
    </xf>
    <xf numFmtId="49" fontId="18" fillId="37" borderId="15" xfId="53" applyNumberFormat="1" applyFont="1" applyFill="1" applyBorder="1" applyAlignment="1">
      <alignment horizontal="center" vertical="center"/>
      <protection/>
    </xf>
    <xf numFmtId="0" fontId="7" fillId="33" borderId="0" xfId="53" applyFont="1" applyFill="1" applyAlignment="1">
      <alignment horizontal="center" wrapText="1"/>
      <protection/>
    </xf>
    <xf numFmtId="49" fontId="4" fillId="0" borderId="44" xfId="53" applyNumberFormat="1" applyFont="1" applyBorder="1" applyAlignment="1">
      <alignment horizontal="center" wrapText="1"/>
      <protection/>
    </xf>
    <xf numFmtId="49" fontId="4" fillId="0" borderId="15" xfId="53" applyNumberFormat="1" applyFont="1" applyBorder="1" applyAlignment="1">
      <alignment horizontal="center" wrapText="1"/>
      <protection/>
    </xf>
    <xf numFmtId="0" fontId="5" fillId="33" borderId="0" xfId="53" applyFont="1" applyFill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изменения в бюджет 2008 Сред.р. от авгус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54;&#1041;&#1065;&#1048;&#1049;%20&#1050;&#1040;&#1058;&#1040;&#1051;&#1054;&#1043;\Minigalimova\&#1054;&#1058;&#1063;&#1025;&#1058;&#1067;\2016\&#1060;&#1080;&#1085;&#1072;&#1085;&#1089;&#1080;&#1088;&#1086;&#1074;&#1072;&#1085;&#1080;&#1077;%20&#1087;&#1086;%20&#1091;&#1095;&#1088;&#1077;&#1078;&#1076;&#1077;&#1085;&#1080;&#1103;&#1084;%20&#1079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, 8"/>
      <sheetName val="705_Ш"/>
      <sheetName val="525"/>
      <sheetName val="705_В"/>
      <sheetName val="705_Ц"/>
      <sheetName val="706"/>
      <sheetName val="706_И"/>
      <sheetName val="706_Б"/>
      <sheetName val="706_К"/>
      <sheetName val="706_М"/>
      <sheetName val="707"/>
      <sheetName val="708"/>
      <sheetName val="всего 2016"/>
      <sheetName val="форма 317"/>
      <sheetName val="Целев субвенции, субсидии"/>
      <sheetName val="лето"/>
      <sheetName val="форма 387"/>
      <sheetName val="ПОФ"/>
      <sheetName val="ЗАГС"/>
    </sheetNames>
    <sheetDataSet>
      <sheetData sheetId="3">
        <row r="31">
          <cell r="F31">
            <v>279100</v>
          </cell>
        </row>
      </sheetData>
      <sheetData sheetId="12">
        <row r="41">
          <cell r="F41">
            <v>10000</v>
          </cell>
        </row>
      </sheetData>
      <sheetData sheetId="14">
        <row r="19">
          <cell r="F19">
            <v>60000</v>
          </cell>
        </row>
      </sheetData>
      <sheetData sheetId="16">
        <row r="56">
          <cell r="F56">
            <v>59700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65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83.7109375" style="9" customWidth="1"/>
    <col min="2" max="3" width="3.7109375" style="139" customWidth="1"/>
    <col min="4" max="4" width="13.140625" style="133" customWidth="1"/>
    <col min="5" max="5" width="10.28125" style="9" bestFit="1" customWidth="1"/>
    <col min="6" max="16384" width="9.140625" style="9" customWidth="1"/>
  </cols>
  <sheetData>
    <row r="1" spans="1:10" s="509" customFormat="1" ht="93.75" customHeight="1">
      <c r="A1" s="779" t="s">
        <v>566</v>
      </c>
      <c r="B1" s="779"/>
      <c r="C1" s="779"/>
      <c r="D1" s="779"/>
      <c r="E1" s="508"/>
      <c r="F1" s="508"/>
      <c r="G1" s="508"/>
      <c r="H1" s="508"/>
      <c r="I1" s="508"/>
      <c r="J1" s="508"/>
    </row>
    <row r="2" spans="1:4" s="3" customFormat="1" ht="12.75" customHeight="1">
      <c r="A2" s="786" t="s">
        <v>261</v>
      </c>
      <c r="B2" s="786"/>
      <c r="C2" s="786"/>
      <c r="D2" s="786"/>
    </row>
    <row r="3" spans="1:4" s="3" customFormat="1" ht="12.75">
      <c r="A3" s="788" t="s">
        <v>73</v>
      </c>
      <c r="B3" s="788"/>
      <c r="C3" s="788"/>
      <c r="D3" s="788"/>
    </row>
    <row r="4" spans="1:4" s="3" customFormat="1" ht="12.75" customHeight="1">
      <c r="A4" s="788" t="s">
        <v>262</v>
      </c>
      <c r="B4" s="788"/>
      <c r="C4" s="788"/>
      <c r="D4" s="788"/>
    </row>
    <row r="5" spans="1:4" s="3" customFormat="1" ht="12.75" customHeight="1">
      <c r="A5" s="788" t="s">
        <v>469</v>
      </c>
      <c r="B5" s="788"/>
      <c r="C5" s="788"/>
      <c r="D5" s="788"/>
    </row>
    <row r="6" spans="1:4" s="3" customFormat="1" ht="12.75" customHeight="1">
      <c r="A6" s="143"/>
      <c r="B6" s="143"/>
      <c r="C6" s="143"/>
      <c r="D6" s="143"/>
    </row>
    <row r="7" spans="1:4" s="3" customFormat="1" ht="12.75" customHeight="1">
      <c r="A7" s="141"/>
      <c r="B7" s="143"/>
      <c r="C7" s="143"/>
      <c r="D7" s="143"/>
    </row>
    <row r="8" spans="1:4" s="3" customFormat="1" ht="12.75" customHeight="1">
      <c r="A8" s="785" t="s">
        <v>253</v>
      </c>
      <c r="B8" s="785"/>
      <c r="C8" s="785"/>
      <c r="D8" s="785"/>
    </row>
    <row r="9" spans="1:4" s="3" customFormat="1" ht="12.75" customHeight="1">
      <c r="A9" s="787" t="s">
        <v>254</v>
      </c>
      <c r="B9" s="787"/>
      <c r="C9" s="787"/>
      <c r="D9" s="787"/>
    </row>
    <row r="10" spans="1:4" s="3" customFormat="1" ht="12" customHeight="1">
      <c r="A10" s="787" t="s">
        <v>419</v>
      </c>
      <c r="B10" s="787"/>
      <c r="C10" s="787"/>
      <c r="D10" s="787"/>
    </row>
    <row r="11" spans="1:4" s="3" customFormat="1" ht="12.75">
      <c r="A11" s="141"/>
      <c r="B11" s="145"/>
      <c r="C11" s="145"/>
      <c r="D11" s="143" t="s">
        <v>264</v>
      </c>
    </row>
    <row r="12" spans="1:4" ht="12.75" customHeight="1">
      <c r="A12" s="781" t="s">
        <v>6</v>
      </c>
      <c r="B12" s="780"/>
      <c r="C12" s="780"/>
      <c r="D12" s="783" t="s">
        <v>70</v>
      </c>
    </row>
    <row r="13" spans="1:4" ht="84.75" customHeight="1">
      <c r="A13" s="782"/>
      <c r="B13" s="11" t="s">
        <v>33</v>
      </c>
      <c r="C13" s="12" t="s">
        <v>34</v>
      </c>
      <c r="D13" s="784"/>
    </row>
    <row r="14" spans="1:4" s="18" customFormat="1" ht="12.75">
      <c r="A14" s="14">
        <v>1</v>
      </c>
      <c r="B14" s="16">
        <v>2</v>
      </c>
      <c r="C14" s="16">
        <v>3</v>
      </c>
      <c r="D14" s="17">
        <v>4</v>
      </c>
    </row>
    <row r="15" spans="1:6" s="18" customFormat="1" ht="15.75">
      <c r="A15" s="311" t="s">
        <v>32</v>
      </c>
      <c r="B15" s="302"/>
      <c r="C15" s="302"/>
      <c r="D15" s="362">
        <f>D16+D23+D25+D28+D34+D43+D49+D52+D56+D58+D60+D41</f>
        <v>365220.27</v>
      </c>
      <c r="E15" s="152"/>
      <c r="F15" s="23"/>
    </row>
    <row r="16" spans="1:5" s="24" customFormat="1" ht="14.25">
      <c r="A16" s="51" t="s">
        <v>10</v>
      </c>
      <c r="B16" s="52" t="s">
        <v>39</v>
      </c>
      <c r="C16" s="52"/>
      <c r="D16" s="324">
        <f>SUM(D17:D22)</f>
        <v>97437.79000000001</v>
      </c>
      <c r="E16" s="152"/>
    </row>
    <row r="17" spans="1:5" s="50" customFormat="1" ht="25.5">
      <c r="A17" s="369" t="s">
        <v>63</v>
      </c>
      <c r="B17" s="49" t="s">
        <v>39</v>
      </c>
      <c r="C17" s="49" t="s">
        <v>42</v>
      </c>
      <c r="D17" s="46">
        <f>'ПРИЛОЖЕНИЕ № 5 (расх)'!H19</f>
        <v>4005.1699999999996</v>
      </c>
      <c r="E17" s="152"/>
    </row>
    <row r="18" spans="1:5" s="50" customFormat="1" ht="38.25">
      <c r="A18" s="369" t="s">
        <v>65</v>
      </c>
      <c r="B18" s="49" t="s">
        <v>39</v>
      </c>
      <c r="C18" s="49" t="s">
        <v>40</v>
      </c>
      <c r="D18" s="46">
        <f>'ПРИЛОЖЕНИЕ № 5 (расх)'!H23</f>
        <v>380.3</v>
      </c>
      <c r="E18" s="152"/>
    </row>
    <row r="19" spans="1:5" s="50" customFormat="1" ht="25.5">
      <c r="A19" s="369" t="s">
        <v>11</v>
      </c>
      <c r="B19" s="49" t="s">
        <v>39</v>
      </c>
      <c r="C19" s="49" t="s">
        <v>12</v>
      </c>
      <c r="D19" s="46">
        <f>'ПРИЛОЖЕНИЕ № 5 (расх)'!H30</f>
        <v>53903.16</v>
      </c>
      <c r="E19" s="152"/>
    </row>
    <row r="20" spans="1:10" s="29" customFormat="1" ht="25.5">
      <c r="A20" s="369" t="s">
        <v>75</v>
      </c>
      <c r="B20" s="49" t="s">
        <v>39</v>
      </c>
      <c r="C20" s="49" t="s">
        <v>43</v>
      </c>
      <c r="D20" s="46">
        <f>'ПРИЛОЖЕНИЕ № 5 (расх)'!H43</f>
        <v>10666.47</v>
      </c>
      <c r="E20" s="152"/>
      <c r="F20" s="24"/>
      <c r="G20" s="24"/>
      <c r="H20" s="24"/>
      <c r="I20" s="24"/>
      <c r="J20" s="24"/>
    </row>
    <row r="21" spans="1:5" s="50" customFormat="1" ht="12.75">
      <c r="A21" s="369" t="s">
        <v>13</v>
      </c>
      <c r="B21" s="49" t="s">
        <v>39</v>
      </c>
      <c r="C21" s="49" t="s">
        <v>46</v>
      </c>
      <c r="D21" s="46">
        <f>'ПРИЛОЖЕНИЕ № 5 (расх)'!H56</f>
        <v>87.8</v>
      </c>
      <c r="E21" s="152"/>
    </row>
    <row r="22" spans="1:5" s="50" customFormat="1" ht="12.75">
      <c r="A22" s="369" t="s">
        <v>15</v>
      </c>
      <c r="B22" s="49" t="s">
        <v>39</v>
      </c>
      <c r="C22" s="49" t="s">
        <v>53</v>
      </c>
      <c r="D22" s="46">
        <f>'ПРИЛОЖЕНИЕ № 5 (расх)'!H60</f>
        <v>28394.89</v>
      </c>
      <c r="E22" s="152"/>
    </row>
    <row r="23" spans="1:5" s="50" customFormat="1" ht="14.25">
      <c r="A23" s="353" t="s">
        <v>134</v>
      </c>
      <c r="B23" s="276" t="s">
        <v>42</v>
      </c>
      <c r="C23" s="276"/>
      <c r="D23" s="349">
        <f>D24</f>
        <v>375.5</v>
      </c>
      <c r="E23" s="654"/>
    </row>
    <row r="24" spans="1:5" s="50" customFormat="1" ht="12.75">
      <c r="A24" s="369" t="s">
        <v>133</v>
      </c>
      <c r="B24" s="49" t="s">
        <v>42</v>
      </c>
      <c r="C24" s="49" t="s">
        <v>40</v>
      </c>
      <c r="D24" s="46">
        <f>'ПРИЛОЖЕНИЕ № 5 (расх)'!H108</f>
        <v>375.5</v>
      </c>
      <c r="E24" s="654"/>
    </row>
    <row r="25" spans="1:5" s="24" customFormat="1" ht="28.5">
      <c r="A25" s="353" t="s">
        <v>16</v>
      </c>
      <c r="B25" s="52" t="s">
        <v>40</v>
      </c>
      <c r="C25" s="52"/>
      <c r="D25" s="324">
        <f>SUM(D26:D27)</f>
        <v>1869.5</v>
      </c>
      <c r="E25" s="152"/>
    </row>
    <row r="26" spans="1:5" s="47" customFormat="1" ht="25.5">
      <c r="A26" s="369" t="s">
        <v>50</v>
      </c>
      <c r="B26" s="49" t="s">
        <v>40</v>
      </c>
      <c r="C26" s="49" t="s">
        <v>45</v>
      </c>
      <c r="D26" s="46">
        <f>'ПРИЛОЖЕНИЕ № 5 (расх)'!H113</f>
        <v>1719.5</v>
      </c>
      <c r="E26" s="774"/>
    </row>
    <row r="27" spans="1:5" s="47" customFormat="1" ht="12.75">
      <c r="A27" s="369" t="s">
        <v>136</v>
      </c>
      <c r="B27" s="49" t="s">
        <v>40</v>
      </c>
      <c r="C27" s="49" t="s">
        <v>49</v>
      </c>
      <c r="D27" s="46">
        <f>'ПРИЛОЖЕНИЕ № 5 (расх)'!H123</f>
        <v>150</v>
      </c>
      <c r="E27" s="774"/>
    </row>
    <row r="28" spans="1:5" s="24" customFormat="1" ht="14.25">
      <c r="A28" s="51" t="s">
        <v>17</v>
      </c>
      <c r="B28" s="52" t="s">
        <v>12</v>
      </c>
      <c r="C28" s="52"/>
      <c r="D28" s="324">
        <f>SUM(D29:D33)</f>
        <v>11279.6</v>
      </c>
      <c r="E28" s="152"/>
    </row>
    <row r="29" spans="1:5" s="156" customFormat="1" ht="14.25" customHeight="1">
      <c r="A29" s="398" t="s">
        <v>135</v>
      </c>
      <c r="B29" s="49" t="s">
        <v>12</v>
      </c>
      <c r="C29" s="49" t="s">
        <v>41</v>
      </c>
      <c r="D29" s="46">
        <f>'ПРИЛОЖЕНИЕ № 5 (расх)'!H129</f>
        <v>298</v>
      </c>
      <c r="E29" s="431"/>
    </row>
    <row r="30" spans="1:5" s="156" customFormat="1" ht="14.25" customHeight="1">
      <c r="A30" s="398" t="s">
        <v>74</v>
      </c>
      <c r="B30" s="49" t="s">
        <v>12</v>
      </c>
      <c r="C30" s="49" t="s">
        <v>43</v>
      </c>
      <c r="D30" s="46">
        <f>'ПРИЛОЖЕНИЕ № 5 (расх)'!H135</f>
        <v>2000</v>
      </c>
      <c r="E30" s="431"/>
    </row>
    <row r="31" spans="1:5" s="50" customFormat="1" ht="12.75">
      <c r="A31" s="369" t="s">
        <v>18</v>
      </c>
      <c r="B31" s="49" t="s">
        <v>12</v>
      </c>
      <c r="C31" s="49" t="s">
        <v>44</v>
      </c>
      <c r="D31" s="46">
        <f>'ПРИЛОЖЕНИЕ № 5 (расх)'!H142</f>
        <v>2160</v>
      </c>
      <c r="E31" s="654"/>
    </row>
    <row r="32" spans="1:5" s="50" customFormat="1" ht="12.75">
      <c r="A32" s="369" t="s">
        <v>55</v>
      </c>
      <c r="B32" s="49" t="s">
        <v>12</v>
      </c>
      <c r="C32" s="49" t="s">
        <v>45</v>
      </c>
      <c r="D32" s="46">
        <f>'ПРИЛОЖЕНИЕ № 5 (расх)'!H146</f>
        <v>5025</v>
      </c>
      <c r="E32" s="654"/>
    </row>
    <row r="33" spans="1:5" s="50" customFormat="1" ht="16.5" customHeight="1">
      <c r="A33" s="369" t="s">
        <v>52</v>
      </c>
      <c r="B33" s="49" t="s">
        <v>12</v>
      </c>
      <c r="C33" s="49" t="s">
        <v>48</v>
      </c>
      <c r="D33" s="46">
        <f>'ПРИЛОЖЕНИЕ № 5 (расх)'!H151</f>
        <v>1796.6</v>
      </c>
      <c r="E33" s="654"/>
    </row>
    <row r="34" spans="1:5" s="82" customFormat="1" ht="14.25">
      <c r="A34" s="66" t="s">
        <v>19</v>
      </c>
      <c r="B34" s="67" t="s">
        <v>41</v>
      </c>
      <c r="C34" s="67"/>
      <c r="D34" s="68">
        <f>SUM(D35:D40)</f>
        <v>40369.520000000004</v>
      </c>
      <c r="E34" s="775"/>
    </row>
    <row r="35" spans="1:5" s="108" customFormat="1" ht="16.5" customHeight="1">
      <c r="A35" s="379" t="s">
        <v>61</v>
      </c>
      <c r="B35" s="94" t="s">
        <v>41</v>
      </c>
      <c r="C35" s="94" t="s">
        <v>39</v>
      </c>
      <c r="D35" s="103">
        <f>'ПРИЛОЖЕНИЕ № 5 (расх)'!H165</f>
        <v>18054.6</v>
      </c>
      <c r="E35" s="776"/>
    </row>
    <row r="36" spans="1:6" s="90" customFormat="1" ht="16.5" customHeight="1">
      <c r="A36" s="379" t="s">
        <v>66</v>
      </c>
      <c r="B36" s="94" t="s">
        <v>41</v>
      </c>
      <c r="C36" s="94" t="s">
        <v>42</v>
      </c>
      <c r="D36" s="103">
        <f>'ПРИЛОЖЕНИЕ № 5 (расх)'!H174</f>
        <v>5872.200000000001</v>
      </c>
      <c r="E36" s="775"/>
      <c r="F36" s="82"/>
    </row>
    <row r="37" spans="1:6" s="90" customFormat="1" ht="12.75">
      <c r="A37" s="379" t="s">
        <v>71</v>
      </c>
      <c r="B37" s="94" t="s">
        <v>41</v>
      </c>
      <c r="C37" s="94" t="s">
        <v>40</v>
      </c>
      <c r="D37" s="103">
        <f>'ПРИЛОЖЕНИЕ № 5 (расх)'!H182</f>
        <v>6098.6</v>
      </c>
      <c r="E37" s="432"/>
      <c r="F37" s="82"/>
    </row>
    <row r="38" spans="1:6" s="90" customFormat="1" ht="16.5" customHeight="1" hidden="1" thickBot="1">
      <c r="A38" s="427" t="s">
        <v>67</v>
      </c>
      <c r="B38" s="428" t="s">
        <v>43</v>
      </c>
      <c r="C38" s="301"/>
      <c r="D38" s="429">
        <f>D39</f>
        <v>0</v>
      </c>
      <c r="E38" s="82"/>
      <c r="F38" s="82"/>
    </row>
    <row r="39" spans="1:6" s="90" customFormat="1" ht="12.75" hidden="1">
      <c r="A39" s="379" t="s">
        <v>68</v>
      </c>
      <c r="B39" s="94" t="s">
        <v>43</v>
      </c>
      <c r="C39" s="94" t="s">
        <v>41</v>
      </c>
      <c r="D39" s="103"/>
      <c r="E39" s="82"/>
      <c r="F39" s="82"/>
    </row>
    <row r="40" spans="1:6" s="90" customFormat="1" ht="12.75">
      <c r="A40" s="379" t="s">
        <v>93</v>
      </c>
      <c r="B40" s="94" t="s">
        <v>41</v>
      </c>
      <c r="C40" s="94" t="s">
        <v>41</v>
      </c>
      <c r="D40" s="103">
        <f>'ПРИЛОЖЕНИЕ № 5 (расх)'!H201</f>
        <v>10344.119999999999</v>
      </c>
      <c r="E40" s="432"/>
      <c r="F40" s="82"/>
    </row>
    <row r="41" spans="1:6" s="90" customFormat="1" ht="14.25">
      <c r="A41" s="385" t="s">
        <v>67</v>
      </c>
      <c r="B41" s="67" t="s">
        <v>43</v>
      </c>
      <c r="C41" s="67"/>
      <c r="D41" s="68">
        <f>D42</f>
        <v>2410</v>
      </c>
      <c r="E41" s="432"/>
      <c r="F41" s="82"/>
    </row>
    <row r="42" spans="1:6" s="90" customFormat="1" ht="15">
      <c r="A42" s="671" t="s">
        <v>68</v>
      </c>
      <c r="B42" s="94" t="s">
        <v>43</v>
      </c>
      <c r="C42" s="94" t="s">
        <v>41</v>
      </c>
      <c r="D42" s="103">
        <f>'ПРИЛОЖЕНИЕ № 5 (расх)'!H215</f>
        <v>2410</v>
      </c>
      <c r="E42" s="432"/>
      <c r="F42" s="82"/>
    </row>
    <row r="43" spans="1:5" s="82" customFormat="1" ht="14.25">
      <c r="A43" s="66" t="s">
        <v>20</v>
      </c>
      <c r="B43" s="67" t="s">
        <v>21</v>
      </c>
      <c r="C43" s="67"/>
      <c r="D43" s="68">
        <f>SUM(D44:D48)</f>
        <v>143877.35</v>
      </c>
      <c r="E43" s="432"/>
    </row>
    <row r="44" spans="1:5" s="108" customFormat="1" ht="12.75">
      <c r="A44" s="379" t="s">
        <v>22</v>
      </c>
      <c r="B44" s="94" t="s">
        <v>21</v>
      </c>
      <c r="C44" s="94" t="s">
        <v>39</v>
      </c>
      <c r="D44" s="103">
        <f>'ПРИЛОЖЕНИЕ № 5 (расх)'!H229</f>
        <v>46006.170000000006</v>
      </c>
      <c r="E44" s="776"/>
    </row>
    <row r="45" spans="1:5" s="108" customFormat="1" ht="12.75">
      <c r="A45" s="379" t="s">
        <v>23</v>
      </c>
      <c r="B45" s="94" t="s">
        <v>21</v>
      </c>
      <c r="C45" s="94" t="s">
        <v>42</v>
      </c>
      <c r="D45" s="103">
        <f>'ПРИЛОЖЕНИЕ № 5 (расх)'!H270</f>
        <v>73750.69000000002</v>
      </c>
      <c r="E45" s="776"/>
    </row>
    <row r="46" spans="1:5" s="108" customFormat="1" ht="12.75">
      <c r="A46" s="379" t="s">
        <v>565</v>
      </c>
      <c r="B46" s="94" t="s">
        <v>21</v>
      </c>
      <c r="C46" s="94" t="s">
        <v>40</v>
      </c>
      <c r="D46" s="103">
        <f>'ПРИЛОЖЕНИЕ № 5 (расх)'!H331</f>
        <v>18682.49</v>
      </c>
      <c r="E46" s="776"/>
    </row>
    <row r="47" spans="1:5" s="108" customFormat="1" ht="12.75">
      <c r="A47" s="379" t="s">
        <v>24</v>
      </c>
      <c r="B47" s="94" t="s">
        <v>21</v>
      </c>
      <c r="C47" s="94" t="s">
        <v>21</v>
      </c>
      <c r="D47" s="103">
        <f>'ПРИЛОЖЕНИЕ № 5 (расх)'!H366</f>
        <v>4164.9</v>
      </c>
      <c r="E47" s="776"/>
    </row>
    <row r="48" spans="1:5" s="179" customFormat="1" ht="12.75">
      <c r="A48" s="379" t="s">
        <v>25</v>
      </c>
      <c r="B48" s="94" t="s">
        <v>21</v>
      </c>
      <c r="C48" s="94" t="s">
        <v>45</v>
      </c>
      <c r="D48" s="103">
        <f>'ПРИЛОЖЕНИЕ № 5 (расх)'!H421</f>
        <v>1273.1000000000001</v>
      </c>
      <c r="E48" s="766"/>
    </row>
    <row r="49" spans="1:5" s="108" customFormat="1" ht="14.25">
      <c r="A49" s="66" t="s">
        <v>59</v>
      </c>
      <c r="B49" s="67" t="s">
        <v>44</v>
      </c>
      <c r="C49" s="67"/>
      <c r="D49" s="68">
        <f>SUM(D50:D51)</f>
        <v>24250.86</v>
      </c>
      <c r="E49" s="776"/>
    </row>
    <row r="50" spans="1:5" s="82" customFormat="1" ht="12.75">
      <c r="A50" s="379" t="s">
        <v>26</v>
      </c>
      <c r="B50" s="94" t="s">
        <v>44</v>
      </c>
      <c r="C50" s="94" t="s">
        <v>39</v>
      </c>
      <c r="D50" s="103">
        <f>'ПРИЛОЖЕНИЕ № 5 (расх)'!H432</f>
        <v>24150.86</v>
      </c>
      <c r="E50" s="432"/>
    </row>
    <row r="51" spans="1:5" s="102" customFormat="1" ht="15" customHeight="1">
      <c r="A51" s="379" t="s">
        <v>416</v>
      </c>
      <c r="B51" s="94" t="s">
        <v>44</v>
      </c>
      <c r="C51" s="94" t="s">
        <v>12</v>
      </c>
      <c r="D51" s="103">
        <f>'ПРИЛОЖЕНИЕ № 5 (расх)'!H474</f>
        <v>100</v>
      </c>
      <c r="E51" s="477"/>
    </row>
    <row r="52" spans="1:5" s="108" customFormat="1" ht="14.25">
      <c r="A52" s="66" t="s">
        <v>28</v>
      </c>
      <c r="B52" s="67" t="s">
        <v>47</v>
      </c>
      <c r="C52" s="67"/>
      <c r="D52" s="68">
        <f>SUM(D53:D55)</f>
        <v>16944.89</v>
      </c>
      <c r="E52" s="776"/>
    </row>
    <row r="53" spans="1:5" s="108" customFormat="1" ht="12.75">
      <c r="A53" s="379" t="s">
        <v>29</v>
      </c>
      <c r="B53" s="94" t="s">
        <v>47</v>
      </c>
      <c r="C53" s="94" t="s">
        <v>39</v>
      </c>
      <c r="D53" s="103">
        <f>'ПРИЛОЖЕНИЕ № 5 (расх)'!H478</f>
        <v>1728</v>
      </c>
      <c r="E53" s="776"/>
    </row>
    <row r="54" spans="1:10" s="29" customFormat="1" ht="12.75">
      <c r="A54" s="379" t="s">
        <v>30</v>
      </c>
      <c r="B54" s="94" t="s">
        <v>47</v>
      </c>
      <c r="C54" s="94" t="s">
        <v>40</v>
      </c>
      <c r="D54" s="103">
        <f>'ПРИЛОЖЕНИЕ № 5 (расх)'!H482</f>
        <v>450</v>
      </c>
      <c r="E54" s="152"/>
      <c r="F54" s="24"/>
      <c r="G54" s="24"/>
      <c r="H54" s="24"/>
      <c r="I54" s="24"/>
      <c r="J54" s="24"/>
    </row>
    <row r="55" spans="1:10" s="83" customFormat="1" ht="12.75">
      <c r="A55" s="379" t="s">
        <v>31</v>
      </c>
      <c r="B55" s="94" t="s">
        <v>47</v>
      </c>
      <c r="C55" s="94" t="s">
        <v>43</v>
      </c>
      <c r="D55" s="103">
        <f>'ПРИЛОЖЕНИЕ № 5 (расх)'!H495</f>
        <v>14766.89</v>
      </c>
      <c r="E55" s="766"/>
      <c r="F55" s="179"/>
      <c r="G55" s="179"/>
      <c r="H55" s="179"/>
      <c r="I55" s="179"/>
      <c r="J55" s="179"/>
    </row>
    <row r="56" spans="1:5" s="82" customFormat="1" ht="14.25">
      <c r="A56" s="66" t="s">
        <v>57</v>
      </c>
      <c r="B56" s="67" t="s">
        <v>46</v>
      </c>
      <c r="C56" s="67"/>
      <c r="D56" s="68">
        <f>D57</f>
        <v>16725.379999999997</v>
      </c>
      <c r="E56" s="432"/>
    </row>
    <row r="57" spans="1:5" s="50" customFormat="1" ht="12.75">
      <c r="A57" s="379" t="s">
        <v>58</v>
      </c>
      <c r="B57" s="94" t="s">
        <v>46</v>
      </c>
      <c r="C57" s="94" t="s">
        <v>39</v>
      </c>
      <c r="D57" s="103">
        <f>'ПРИЛОЖЕНИЕ № 5 (расх)'!H528</f>
        <v>16725.379999999997</v>
      </c>
      <c r="E57" s="654"/>
    </row>
    <row r="58" spans="1:5" s="82" customFormat="1" ht="24" customHeight="1">
      <c r="A58" s="66" t="s">
        <v>56</v>
      </c>
      <c r="B58" s="67" t="s">
        <v>48</v>
      </c>
      <c r="C58" s="67"/>
      <c r="D58" s="68">
        <f>D59</f>
        <v>5831.08</v>
      </c>
      <c r="E58" s="432"/>
    </row>
    <row r="59" spans="1:5" s="310" customFormat="1" ht="12.75">
      <c r="A59" s="379" t="s">
        <v>27</v>
      </c>
      <c r="B59" s="94" t="s">
        <v>48</v>
      </c>
      <c r="C59" s="94" t="s">
        <v>42</v>
      </c>
      <c r="D59" s="103">
        <f>'ПРИЛОЖЕНИЕ № 5 (расх)'!H544</f>
        <v>5831.08</v>
      </c>
      <c r="E59" s="777"/>
    </row>
    <row r="60" spans="1:5" s="126" customFormat="1" ht="15">
      <c r="A60" s="66" t="s">
        <v>54</v>
      </c>
      <c r="B60" s="67" t="s">
        <v>53</v>
      </c>
      <c r="C60" s="67"/>
      <c r="D60" s="68">
        <f>D61</f>
        <v>3848.8</v>
      </c>
      <c r="E60" s="778"/>
    </row>
    <row r="61" spans="1:5" s="126" customFormat="1" ht="15">
      <c r="A61" s="369" t="s">
        <v>64</v>
      </c>
      <c r="B61" s="49" t="s">
        <v>53</v>
      </c>
      <c r="C61" s="49" t="s">
        <v>39</v>
      </c>
      <c r="D61" s="46">
        <f>'ПРИЛОЖЕНИЕ № 5 (расх)'!H552</f>
        <v>3848.8</v>
      </c>
      <c r="E61" s="778"/>
    </row>
    <row r="62" spans="1:4" ht="12.75">
      <c r="A62" s="127"/>
      <c r="B62" s="129"/>
      <c r="C62" s="129"/>
      <c r="D62" s="123"/>
    </row>
    <row r="63" spans="1:4" ht="18.75">
      <c r="A63" s="122"/>
      <c r="B63" s="132"/>
      <c r="C63" s="132"/>
      <c r="D63" s="125"/>
    </row>
    <row r="64" spans="1:4" ht="18.75">
      <c r="A64" s="124"/>
      <c r="B64" s="124"/>
      <c r="C64" s="135"/>
      <c r="D64" s="202"/>
    </row>
    <row r="65" spans="1:4" ht="15">
      <c r="A65" s="126"/>
      <c r="B65" s="126"/>
      <c r="C65" s="137"/>
      <c r="D65" s="130"/>
    </row>
  </sheetData>
  <sheetProtection/>
  <mergeCells count="11">
    <mergeCell ref="A5:D5"/>
    <mergeCell ref="A1:D1"/>
    <mergeCell ref="B12:C12"/>
    <mergeCell ref="A12:A13"/>
    <mergeCell ref="D12:D13"/>
    <mergeCell ref="A8:D8"/>
    <mergeCell ref="A2:D2"/>
    <mergeCell ref="A9:D9"/>
    <mergeCell ref="A10:D10"/>
    <mergeCell ref="A3:D3"/>
    <mergeCell ref="A4:D4"/>
  </mergeCells>
  <printOptions horizontalCentered="1"/>
  <pageMargins left="0.7480314960629921" right="0.1968503937007874" top="0.31496062992125984" bottom="0.15748031496062992" header="0.2362204724409449" footer="0.15748031496062992"/>
  <pageSetup firstPageNumber="9" useFirstPageNumber="1" horizontalDpi="600" verticalDpi="600" orientation="portrait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S560"/>
  <sheetViews>
    <sheetView showGridLines="0" view="pageBreakPreview" zoomScaleSheetLayoutView="100" workbookViewId="0" topLeftCell="A2">
      <selection activeCell="A2" sqref="A2:H2"/>
    </sheetView>
  </sheetViews>
  <sheetFormatPr defaultColWidth="9.140625" defaultRowHeight="12.75"/>
  <cols>
    <col min="1" max="1" width="69.7109375" style="9" customWidth="1"/>
    <col min="2" max="2" width="4.28125" style="193" hidden="1" customWidth="1"/>
    <col min="3" max="3" width="4.140625" style="139" customWidth="1"/>
    <col min="4" max="4" width="4.421875" style="139" customWidth="1"/>
    <col min="5" max="6" width="9.7109375" style="9" customWidth="1"/>
    <col min="7" max="7" width="7.28125" style="139" customWidth="1"/>
    <col min="8" max="8" width="15.8515625" style="133" customWidth="1"/>
    <col min="9" max="9" width="14.00390625" style="133" hidden="1" customWidth="1"/>
    <col min="10" max="10" width="13.8515625" style="3" hidden="1" customWidth="1"/>
    <col min="11" max="11" width="9.8515625" style="193" bestFit="1" customWidth="1"/>
    <col min="12" max="12" width="9.28125" style="9" bestFit="1" customWidth="1"/>
    <col min="13" max="13" width="11.7109375" style="9" customWidth="1"/>
    <col min="14" max="14" width="9.140625" style="9" customWidth="1"/>
    <col min="15" max="15" width="9.28125" style="9" bestFit="1" customWidth="1"/>
    <col min="16" max="16384" width="9.140625" style="9" customWidth="1"/>
  </cols>
  <sheetData>
    <row r="1" spans="1:11" s="3" customFormat="1" ht="89.25" customHeight="1" hidden="1">
      <c r="A1" s="816" t="s">
        <v>383</v>
      </c>
      <c r="B1" s="816"/>
      <c r="C1" s="816"/>
      <c r="D1" s="816"/>
      <c r="E1" s="816"/>
      <c r="F1" s="816"/>
      <c r="G1" s="816"/>
      <c r="H1" s="816"/>
      <c r="I1" s="815"/>
      <c r="J1" s="815"/>
      <c r="K1" s="127"/>
    </row>
    <row r="2" spans="1:14" s="3" customFormat="1" ht="89.25" customHeight="1">
      <c r="A2" s="816" t="s">
        <v>567</v>
      </c>
      <c r="B2" s="816"/>
      <c r="C2" s="816"/>
      <c r="D2" s="816"/>
      <c r="E2" s="816"/>
      <c r="F2" s="816"/>
      <c r="G2" s="816"/>
      <c r="H2" s="816"/>
      <c r="I2" s="815"/>
      <c r="J2" s="815"/>
      <c r="K2" s="127"/>
      <c r="L2" s="127"/>
      <c r="M2" s="127"/>
      <c r="N2" s="127"/>
    </row>
    <row r="3" spans="1:11" s="3" customFormat="1" ht="9" customHeight="1">
      <c r="A3" s="141"/>
      <c r="B3" s="141"/>
      <c r="C3" s="529"/>
      <c r="D3" s="529"/>
      <c r="E3" s="529"/>
      <c r="F3" s="529"/>
      <c r="G3" s="529"/>
      <c r="H3" s="529"/>
      <c r="I3" s="434"/>
      <c r="J3" s="434"/>
      <c r="K3" s="127"/>
    </row>
    <row r="4" spans="1:11" s="3" customFormat="1" ht="12.75" customHeight="1">
      <c r="A4" s="141"/>
      <c r="B4" s="141"/>
      <c r="C4" s="529"/>
      <c r="D4" s="529"/>
      <c r="E4" s="529"/>
      <c r="F4" s="529"/>
      <c r="G4" s="529"/>
      <c r="H4" s="529" t="s">
        <v>255</v>
      </c>
      <c r="I4" s="528"/>
      <c r="J4" s="528"/>
      <c r="K4" s="127"/>
    </row>
    <row r="5" spans="1:11" s="3" customFormat="1" ht="12.75" customHeight="1">
      <c r="A5" s="141"/>
      <c r="B5" s="141"/>
      <c r="C5" s="816" t="s">
        <v>73</v>
      </c>
      <c r="D5" s="816"/>
      <c r="E5" s="816"/>
      <c r="F5" s="816"/>
      <c r="G5" s="816"/>
      <c r="H5" s="816"/>
      <c r="I5" s="142"/>
      <c r="J5" s="141"/>
      <c r="K5" s="127"/>
    </row>
    <row r="6" spans="1:18" s="3" customFormat="1" ht="12.75" customHeight="1">
      <c r="A6" s="141"/>
      <c r="B6" s="141"/>
      <c r="C6" s="816" t="s">
        <v>263</v>
      </c>
      <c r="D6" s="816"/>
      <c r="E6" s="816"/>
      <c r="F6" s="816"/>
      <c r="G6" s="816"/>
      <c r="H6" s="816"/>
      <c r="I6" s="142"/>
      <c r="J6" s="141"/>
      <c r="K6" s="127"/>
      <c r="L6" s="237"/>
      <c r="M6" s="237"/>
      <c r="N6" s="237"/>
      <c r="Q6" s="237"/>
      <c r="R6" s="237"/>
    </row>
    <row r="7" spans="1:18" s="3" customFormat="1" ht="12.75" customHeight="1">
      <c r="A7" s="141"/>
      <c r="B7" s="141"/>
      <c r="C7" s="531"/>
      <c r="D7" s="788" t="s">
        <v>470</v>
      </c>
      <c r="E7" s="788"/>
      <c r="F7" s="788"/>
      <c r="G7" s="788"/>
      <c r="H7" s="788"/>
      <c r="I7" s="144"/>
      <c r="J7" s="144"/>
      <c r="K7" s="127"/>
      <c r="L7" s="237"/>
      <c r="M7" s="237"/>
      <c r="Q7" s="237"/>
      <c r="R7" s="237"/>
    </row>
    <row r="8" spans="1:18" s="3" customFormat="1" ht="7.5" customHeight="1">
      <c r="A8" s="141"/>
      <c r="B8" s="141"/>
      <c r="C8" s="141"/>
      <c r="D8" s="141"/>
      <c r="E8" s="141"/>
      <c r="F8" s="141"/>
      <c r="G8" s="141"/>
      <c r="H8" s="350"/>
      <c r="I8" s="143"/>
      <c r="J8" s="143"/>
      <c r="K8" s="127"/>
      <c r="L8" s="237"/>
      <c r="M8" s="237"/>
      <c r="Q8" s="237"/>
      <c r="R8" s="237"/>
    </row>
    <row r="9" spans="1:19" s="3" customFormat="1" ht="15.75" customHeight="1">
      <c r="A9" s="787" t="s">
        <v>256</v>
      </c>
      <c r="B9" s="787"/>
      <c r="C9" s="787"/>
      <c r="D9" s="787"/>
      <c r="E9" s="787"/>
      <c r="F9" s="787"/>
      <c r="G9" s="787"/>
      <c r="H9" s="787"/>
      <c r="I9" s="143"/>
      <c r="J9" s="143"/>
      <c r="K9" s="127"/>
      <c r="L9" s="237"/>
      <c r="M9" s="237"/>
      <c r="Q9" s="237"/>
      <c r="R9" s="237"/>
      <c r="S9" s="237"/>
    </row>
    <row r="10" spans="1:18" s="3" customFormat="1" ht="15.75" customHeight="1">
      <c r="A10" s="787" t="s">
        <v>328</v>
      </c>
      <c r="B10" s="787"/>
      <c r="C10" s="787"/>
      <c r="D10" s="787"/>
      <c r="E10" s="787"/>
      <c r="F10" s="787"/>
      <c r="G10" s="787"/>
      <c r="H10" s="787"/>
      <c r="I10" s="143"/>
      <c r="J10" s="143"/>
      <c r="K10" s="127"/>
      <c r="L10" s="237"/>
      <c r="M10" s="237"/>
      <c r="N10" s="682"/>
      <c r="Q10" s="237"/>
      <c r="R10" s="237"/>
    </row>
    <row r="11" spans="1:18" s="3" customFormat="1" ht="15" customHeight="1">
      <c r="A11" s="787" t="s">
        <v>257</v>
      </c>
      <c r="B11" s="787"/>
      <c r="C11" s="787"/>
      <c r="D11" s="787"/>
      <c r="E11" s="787"/>
      <c r="F11" s="787"/>
      <c r="G11" s="787"/>
      <c r="H11" s="787"/>
      <c r="I11" s="144"/>
      <c r="J11" s="144"/>
      <c r="K11" s="29"/>
      <c r="L11" s="237"/>
      <c r="M11" s="430"/>
      <c r="Q11" s="237"/>
      <c r="R11" s="683"/>
    </row>
    <row r="12" spans="1:18" s="3" customFormat="1" ht="16.5" customHeight="1">
      <c r="A12" s="806" t="s">
        <v>418</v>
      </c>
      <c r="B12" s="806"/>
      <c r="C12" s="806"/>
      <c r="D12" s="806"/>
      <c r="E12" s="806"/>
      <c r="F12" s="806"/>
      <c r="G12" s="806"/>
      <c r="H12" s="806"/>
      <c r="I12" s="146"/>
      <c r="J12" s="146" t="s">
        <v>37</v>
      </c>
      <c r="K12" s="29"/>
      <c r="L12" s="237"/>
      <c r="M12" s="430"/>
      <c r="Q12" s="237"/>
      <c r="R12" s="237"/>
    </row>
    <row r="13" spans="1:18" s="3" customFormat="1" ht="24" customHeight="1">
      <c r="A13" s="436"/>
      <c r="B13" s="435"/>
      <c r="C13" s="435"/>
      <c r="D13" s="435"/>
      <c r="E13" s="435"/>
      <c r="F13" s="435"/>
      <c r="G13" s="435"/>
      <c r="H13" s="143" t="s">
        <v>264</v>
      </c>
      <c r="I13" s="146"/>
      <c r="J13" s="146"/>
      <c r="K13" s="29"/>
      <c r="L13" s="237"/>
      <c r="M13" s="430"/>
      <c r="Q13" s="237"/>
      <c r="R13" s="237"/>
    </row>
    <row r="14" spans="1:17" ht="12.75" customHeight="1">
      <c r="A14" s="781" t="s">
        <v>6</v>
      </c>
      <c r="B14" s="780" t="s">
        <v>36</v>
      </c>
      <c r="C14" s="780"/>
      <c r="D14" s="780"/>
      <c r="E14" s="780"/>
      <c r="F14" s="780"/>
      <c r="G14" s="797"/>
      <c r="H14" s="783" t="s">
        <v>70</v>
      </c>
      <c r="I14" s="783" t="s">
        <v>72</v>
      </c>
      <c r="J14" s="783" t="s">
        <v>69</v>
      </c>
      <c r="K14" s="29"/>
      <c r="L14" s="237"/>
      <c r="M14" s="430"/>
      <c r="Q14" s="237"/>
    </row>
    <row r="15" spans="1:19" ht="108" customHeight="1">
      <c r="A15" s="782"/>
      <c r="B15" s="147" t="s">
        <v>7</v>
      </c>
      <c r="C15" s="148" t="s">
        <v>33</v>
      </c>
      <c r="D15" s="149" t="s">
        <v>34</v>
      </c>
      <c r="E15" s="807" t="s">
        <v>8</v>
      </c>
      <c r="F15" s="808"/>
      <c r="G15" s="149" t="s">
        <v>35</v>
      </c>
      <c r="H15" s="784"/>
      <c r="I15" s="784"/>
      <c r="J15" s="784"/>
      <c r="K15" s="29"/>
      <c r="L15" s="237"/>
      <c r="M15" s="29"/>
      <c r="Q15" s="133"/>
      <c r="R15" s="133"/>
      <c r="S15" s="133"/>
    </row>
    <row r="16" spans="1:13" s="18" customFormat="1" ht="12.75">
      <c r="A16" s="14">
        <v>1</v>
      </c>
      <c r="B16" s="15">
        <v>2</v>
      </c>
      <c r="C16" s="16">
        <v>2</v>
      </c>
      <c r="D16" s="16">
        <v>3</v>
      </c>
      <c r="E16" s="798">
        <v>4</v>
      </c>
      <c r="F16" s="799"/>
      <c r="G16" s="14">
        <v>5</v>
      </c>
      <c r="H16" s="17">
        <v>6</v>
      </c>
      <c r="I16" s="17">
        <v>7</v>
      </c>
      <c r="J16" s="17">
        <v>8</v>
      </c>
      <c r="K16" s="29"/>
      <c r="L16" s="29"/>
      <c r="M16" s="29"/>
    </row>
    <row r="17" spans="1:13" s="18" customFormat="1" ht="15.75">
      <c r="A17" s="458" t="s">
        <v>32</v>
      </c>
      <c r="B17" s="19"/>
      <c r="C17" s="20"/>
      <c r="D17" s="20"/>
      <c r="E17" s="811"/>
      <c r="F17" s="812"/>
      <c r="G17" s="20"/>
      <c r="H17" s="21">
        <f>H19+H23+H30+H43+H56+H60+H113+H123+H129+H142+H146+H151+H165+H174+H182+H201+H229+H270+H366+H432+H478+H482+H495+H528+H544+H552+H421+H474+H108+H215+H135+H331</f>
        <v>365220.2700000001</v>
      </c>
      <c r="I17" s="21" t="e">
        <f>#REF!+I112+#REF!+I164+#REF!+I228+I421+#REF!+I463+I544+#REF!+I533+I522</f>
        <v>#REF!</v>
      </c>
      <c r="J17" s="22" t="e">
        <f aca="true" t="shared" si="0" ref="J17:J29">I17/H17</f>
        <v>#REF!</v>
      </c>
      <c r="K17" s="430"/>
      <c r="L17" s="29"/>
      <c r="M17" s="29"/>
    </row>
    <row r="18" spans="1:13" s="29" customFormat="1" ht="14.25">
      <c r="A18" s="353" t="s">
        <v>10</v>
      </c>
      <c r="B18" s="52" t="s">
        <v>39</v>
      </c>
      <c r="C18" s="52" t="s">
        <v>39</v>
      </c>
      <c r="D18" s="52"/>
      <c r="E18" s="804"/>
      <c r="F18" s="805"/>
      <c r="G18" s="213"/>
      <c r="H18" s="360">
        <f>H19+H23++H30+H43+H56+H60</f>
        <v>97437.79000000001</v>
      </c>
      <c r="I18" s="252">
        <v>0</v>
      </c>
      <c r="J18" s="28">
        <f t="shared" si="0"/>
        <v>0</v>
      </c>
      <c r="K18" s="24"/>
      <c r="M18" s="684"/>
    </row>
    <row r="19" spans="1:11" s="29" customFormat="1" ht="36.75" customHeight="1">
      <c r="A19" s="383" t="s">
        <v>96</v>
      </c>
      <c r="B19" s="40" t="s">
        <v>39</v>
      </c>
      <c r="C19" s="40" t="s">
        <v>39</v>
      </c>
      <c r="D19" s="40" t="s">
        <v>42</v>
      </c>
      <c r="E19" s="817"/>
      <c r="F19" s="818"/>
      <c r="G19" s="40"/>
      <c r="H19" s="41">
        <f>SUM(H22:H22)</f>
        <v>4005.1699999999996</v>
      </c>
      <c r="I19" s="41">
        <v>0</v>
      </c>
      <c r="J19" s="33">
        <f t="shared" si="0"/>
        <v>0</v>
      </c>
      <c r="K19" s="24"/>
    </row>
    <row r="20" spans="1:11" s="29" customFormat="1" ht="13.5">
      <c r="A20" s="368" t="s">
        <v>123</v>
      </c>
      <c r="B20" s="48" t="s">
        <v>39</v>
      </c>
      <c r="C20" s="48" t="s">
        <v>39</v>
      </c>
      <c r="D20" s="461" t="s">
        <v>42</v>
      </c>
      <c r="E20" s="461" t="s">
        <v>97</v>
      </c>
      <c r="F20" s="462" t="s">
        <v>95</v>
      </c>
      <c r="G20" s="462"/>
      <c r="H20" s="45">
        <f>H21</f>
        <v>4005.1699999999996</v>
      </c>
      <c r="I20" s="45">
        <v>0</v>
      </c>
      <c r="J20" s="35">
        <f t="shared" si="0"/>
        <v>0</v>
      </c>
      <c r="K20" s="24"/>
    </row>
    <row r="21" spans="1:11" s="29" customFormat="1" ht="13.5">
      <c r="A21" s="368" t="str">
        <f>'ПРИЛОЖЕНИЕ № 6 (расх)'!A18</f>
        <v>Расходы на выплаты высшему должностному лицу</v>
      </c>
      <c r="B21" s="48"/>
      <c r="C21" s="48" t="s">
        <v>39</v>
      </c>
      <c r="D21" s="461" t="s">
        <v>42</v>
      </c>
      <c r="E21" s="690" t="s">
        <v>97</v>
      </c>
      <c r="F21" s="689" t="str">
        <f>'ПРИЛОЖЕНИЕ № 6 (расх)'!F18</f>
        <v>00110</v>
      </c>
      <c r="G21" s="462"/>
      <c r="H21" s="45">
        <f>SUM(H22)</f>
        <v>4005.1699999999996</v>
      </c>
      <c r="I21" s="45"/>
      <c r="J21" s="35"/>
      <c r="K21" s="24"/>
    </row>
    <row r="22" spans="1:11" s="29" customFormat="1" ht="24.75" customHeight="1">
      <c r="A22" s="367" t="s">
        <v>126</v>
      </c>
      <c r="B22" s="49" t="s">
        <v>39</v>
      </c>
      <c r="C22" s="49" t="s">
        <v>39</v>
      </c>
      <c r="D22" s="49" t="s">
        <v>42</v>
      </c>
      <c r="E22" s="691" t="s">
        <v>97</v>
      </c>
      <c r="F22" s="692" t="str">
        <f>'ПРИЛОЖЕНИЕ № 6 (расх)'!F19</f>
        <v>00110</v>
      </c>
      <c r="G22" s="49" t="s">
        <v>127</v>
      </c>
      <c r="H22" s="46">
        <f>'ПРИЛОЖЕНИЕ № 6 (расх)'!I17</f>
        <v>4005.1699999999996</v>
      </c>
      <c r="I22" s="45"/>
      <c r="J22" s="38">
        <f t="shared" si="0"/>
        <v>0</v>
      </c>
      <c r="K22" s="24"/>
    </row>
    <row r="23" spans="1:11" s="29" customFormat="1" ht="38.25">
      <c r="A23" s="384" t="s">
        <v>86</v>
      </c>
      <c r="B23" s="40" t="s">
        <v>39</v>
      </c>
      <c r="C23" s="40" t="s">
        <v>39</v>
      </c>
      <c r="D23" s="40" t="s">
        <v>40</v>
      </c>
      <c r="E23" s="795"/>
      <c r="F23" s="796"/>
      <c r="G23" s="40"/>
      <c r="H23" s="41">
        <f>H24</f>
        <v>380.3</v>
      </c>
      <c r="I23" s="279" t="e">
        <f>SUM(I29)</f>
        <v>#REF!</v>
      </c>
      <c r="J23" s="42" t="e">
        <f t="shared" si="0"/>
        <v>#REF!</v>
      </c>
      <c r="K23" s="24"/>
    </row>
    <row r="24" spans="1:11" s="29" customFormat="1" ht="12.75">
      <c r="A24" s="663" t="s">
        <v>524</v>
      </c>
      <c r="B24" s="40"/>
      <c r="C24" s="665" t="s">
        <v>39</v>
      </c>
      <c r="D24" s="665" t="s">
        <v>40</v>
      </c>
      <c r="E24" s="459" t="s">
        <v>117</v>
      </c>
      <c r="F24" s="460" t="s">
        <v>95</v>
      </c>
      <c r="G24" s="665"/>
      <c r="H24" s="493">
        <f>H25+H27</f>
        <v>380.3</v>
      </c>
      <c r="I24" s="279"/>
      <c r="J24" s="42"/>
      <c r="K24" s="24"/>
    </row>
    <row r="25" spans="1:11" s="29" customFormat="1" ht="13.5">
      <c r="A25" s="368" t="s">
        <v>535</v>
      </c>
      <c r="B25" s="40"/>
      <c r="C25" s="48" t="s">
        <v>39</v>
      </c>
      <c r="D25" s="48" t="s">
        <v>40</v>
      </c>
      <c r="E25" s="461" t="s">
        <v>117</v>
      </c>
      <c r="F25" s="465" t="s">
        <v>472</v>
      </c>
      <c r="G25" s="49"/>
      <c r="H25" s="45">
        <f>H26</f>
        <v>345.3</v>
      </c>
      <c r="I25" s="279"/>
      <c r="J25" s="42"/>
      <c r="K25" s="24"/>
    </row>
    <row r="26" spans="1:11" s="29" customFormat="1" ht="12.75">
      <c r="A26" s="367" t="s">
        <v>126</v>
      </c>
      <c r="B26" s="40"/>
      <c r="C26" s="36" t="s">
        <v>39</v>
      </c>
      <c r="D26" s="36" t="s">
        <v>40</v>
      </c>
      <c r="E26" s="466" t="s">
        <v>117</v>
      </c>
      <c r="F26" s="467" t="s">
        <v>472</v>
      </c>
      <c r="G26" s="36" t="s">
        <v>127</v>
      </c>
      <c r="H26" s="46">
        <f>'ПРИЛОЖЕНИЕ № 6 (расх)'!I181</f>
        <v>345.3</v>
      </c>
      <c r="I26" s="279"/>
      <c r="J26" s="42"/>
      <c r="K26" s="24"/>
    </row>
    <row r="27" spans="1:11" s="29" customFormat="1" ht="27">
      <c r="A27" s="368" t="s">
        <v>534</v>
      </c>
      <c r="B27" s="40"/>
      <c r="C27" s="48" t="s">
        <v>39</v>
      </c>
      <c r="D27" s="48" t="s">
        <v>40</v>
      </c>
      <c r="E27" s="464" t="s">
        <v>117</v>
      </c>
      <c r="F27" s="465" t="s">
        <v>476</v>
      </c>
      <c r="G27" s="36"/>
      <c r="H27" s="45">
        <f>SUM(H28:H29)</f>
        <v>35</v>
      </c>
      <c r="I27" s="279"/>
      <c r="J27" s="42"/>
      <c r="K27" s="24"/>
    </row>
    <row r="28" spans="1:11" s="29" customFormat="1" ht="25.5">
      <c r="A28" s="367" t="s">
        <v>128</v>
      </c>
      <c r="B28" s="40"/>
      <c r="C28" s="36" t="s">
        <v>39</v>
      </c>
      <c r="D28" s="36" t="s">
        <v>40</v>
      </c>
      <c r="E28" s="466" t="s">
        <v>117</v>
      </c>
      <c r="F28" s="467" t="s">
        <v>476</v>
      </c>
      <c r="G28" s="36" t="s">
        <v>129</v>
      </c>
      <c r="H28" s="46">
        <f>'ПРИЛОЖЕНИЕ № 6 (расх)'!I183</f>
        <v>20</v>
      </c>
      <c r="I28" s="279"/>
      <c r="J28" s="42"/>
      <c r="K28" s="24"/>
    </row>
    <row r="29" spans="1:13" s="29" customFormat="1" ht="13.5">
      <c r="A29" s="367" t="s">
        <v>76</v>
      </c>
      <c r="B29" s="31" t="s">
        <v>39</v>
      </c>
      <c r="C29" s="36" t="s">
        <v>39</v>
      </c>
      <c r="D29" s="36" t="s">
        <v>40</v>
      </c>
      <c r="E29" s="466" t="s">
        <v>117</v>
      </c>
      <c r="F29" s="467" t="s">
        <v>476</v>
      </c>
      <c r="G29" s="36" t="s">
        <v>77</v>
      </c>
      <c r="H29" s="46">
        <f>'ПРИЛОЖЕНИЕ № 6 (расх)'!I184</f>
        <v>15</v>
      </c>
      <c r="I29" s="277" t="e">
        <f>SUM(#REF!)</f>
        <v>#REF!</v>
      </c>
      <c r="J29" s="38" t="e">
        <f t="shared" si="0"/>
        <v>#REF!</v>
      </c>
      <c r="K29" s="24"/>
      <c r="M29" s="430"/>
    </row>
    <row r="30" spans="1:11" s="29" customFormat="1" ht="42.75">
      <c r="A30" s="365" t="s">
        <v>99</v>
      </c>
      <c r="B30" s="39"/>
      <c r="C30" s="40" t="s">
        <v>39</v>
      </c>
      <c r="D30" s="40" t="s">
        <v>12</v>
      </c>
      <c r="E30" s="795"/>
      <c r="F30" s="796"/>
      <c r="G30" s="40"/>
      <c r="H30" s="41">
        <f>H31+H37</f>
        <v>53903.16</v>
      </c>
      <c r="I30" s="41" t="e">
        <f>I31+#REF!+I37+#REF!</f>
        <v>#REF!</v>
      </c>
      <c r="J30" s="41" t="e">
        <f>J31+#REF!+J37+#REF!</f>
        <v>#REF!</v>
      </c>
      <c r="K30" s="24"/>
    </row>
    <row r="31" spans="1:11" s="29" customFormat="1" ht="33.75" customHeight="1">
      <c r="A31" s="368" t="s">
        <v>122</v>
      </c>
      <c r="B31" s="30"/>
      <c r="C31" s="48" t="s">
        <v>39</v>
      </c>
      <c r="D31" s="48" t="s">
        <v>12</v>
      </c>
      <c r="E31" s="690" t="s">
        <v>98</v>
      </c>
      <c r="F31" s="689" t="s">
        <v>95</v>
      </c>
      <c r="G31" s="48"/>
      <c r="H31" s="45">
        <f>H32+H34</f>
        <v>43011.16</v>
      </c>
      <c r="I31" s="45">
        <f>SUM(I33:I36)</f>
        <v>36333.04</v>
      </c>
      <c r="J31" s="45">
        <f>SUM(J33:J36)</f>
        <v>36333.04</v>
      </c>
      <c r="K31" s="24"/>
    </row>
    <row r="32" spans="1:11" s="29" customFormat="1" ht="13.5">
      <c r="A32" s="368" t="str">
        <f>'ПРИЛОЖЕНИЕ № 6 (расх)'!A22</f>
        <v>Расходы на выплаты персоналу органов местного самоуправления</v>
      </c>
      <c r="B32" s="30"/>
      <c r="C32" s="48" t="s">
        <v>39</v>
      </c>
      <c r="D32" s="48" t="s">
        <v>12</v>
      </c>
      <c r="E32" s="690" t="s">
        <v>98</v>
      </c>
      <c r="F32" s="689" t="str">
        <f>'ПРИЛОЖЕНИЕ № 6 (расх)'!F22</f>
        <v>00110</v>
      </c>
      <c r="G32" s="48"/>
      <c r="H32" s="45">
        <f>H33</f>
        <v>30108.73</v>
      </c>
      <c r="I32" s="45"/>
      <c r="J32" s="45"/>
      <c r="K32" s="24"/>
    </row>
    <row r="33" spans="1:11" s="29" customFormat="1" ht="12.75">
      <c r="A33" s="369" t="s">
        <v>126</v>
      </c>
      <c r="B33" s="43"/>
      <c r="C33" s="49" t="s">
        <v>39</v>
      </c>
      <c r="D33" s="49" t="s">
        <v>12</v>
      </c>
      <c r="E33" s="691" t="s">
        <v>98</v>
      </c>
      <c r="F33" s="692" t="str">
        <f>'ПРИЛОЖЕНИЕ № 6 (расх)'!F23</f>
        <v>00110</v>
      </c>
      <c r="G33" s="49" t="s">
        <v>127</v>
      </c>
      <c r="H33" s="46">
        <f>'ПРИЛОЖЕНИЕ № 6 (расх)'!I23</f>
        <v>30108.73</v>
      </c>
      <c r="I33" s="46">
        <f>(27163.36-1000+6503/2+600)-822.1</f>
        <v>29192.760000000002</v>
      </c>
      <c r="J33" s="46">
        <f>(27163.36-1000+6503/2+600)-822.1</f>
        <v>29192.760000000002</v>
      </c>
      <c r="K33" s="24"/>
    </row>
    <row r="34" spans="1:11" s="55" customFormat="1" ht="13.5">
      <c r="A34" s="368" t="str">
        <f>'ПРИЛОЖЕНИЕ № 6 (расх)'!A24</f>
        <v>Расходы на обеспечение функций органов местного самоуправления</v>
      </c>
      <c r="B34" s="30"/>
      <c r="C34" s="48" t="s">
        <v>39</v>
      </c>
      <c r="D34" s="48" t="s">
        <v>12</v>
      </c>
      <c r="E34" s="695" t="s">
        <v>98</v>
      </c>
      <c r="F34" s="696" t="str">
        <f>'ПРИЛОЖЕНИЕ № 6 (расх)'!F24</f>
        <v>00190</v>
      </c>
      <c r="G34" s="48"/>
      <c r="H34" s="45">
        <f>SUM(H35:H36)</f>
        <v>12902.43</v>
      </c>
      <c r="I34" s="45"/>
      <c r="J34" s="45"/>
      <c r="K34" s="722"/>
    </row>
    <row r="35" spans="1:11" s="29" customFormat="1" ht="25.5">
      <c r="A35" s="369" t="s">
        <v>128</v>
      </c>
      <c r="B35" s="44"/>
      <c r="C35" s="49" t="s">
        <v>39</v>
      </c>
      <c r="D35" s="49" t="s">
        <v>12</v>
      </c>
      <c r="E35" s="691" t="s">
        <v>98</v>
      </c>
      <c r="F35" s="692" t="str">
        <f>'ПРИЛОЖЕНИЕ № 6 (расх)'!F25</f>
        <v>00190</v>
      </c>
      <c r="G35" s="49" t="s">
        <v>129</v>
      </c>
      <c r="H35" s="46">
        <f>'ПРИЛОЖЕНИЕ № 6 (расх)'!I25</f>
        <v>12709.33</v>
      </c>
      <c r="I35" s="46">
        <f>6700-650+1512.9+123.2+162.6+600.5+6.4+12.2+1+78.5-10-1500-90.12</f>
        <v>6947.180000000001</v>
      </c>
      <c r="J35" s="46">
        <f>6700-650+1512.9+123.2+162.6+600.5+6.4+12.2+1+78.5-10-1500-90.12</f>
        <v>6947.180000000001</v>
      </c>
      <c r="K35" s="24"/>
    </row>
    <row r="36" spans="1:11" s="29" customFormat="1" ht="12.75">
      <c r="A36" s="369" t="s">
        <v>76</v>
      </c>
      <c r="B36" s="153"/>
      <c r="C36" s="49" t="s">
        <v>39</v>
      </c>
      <c r="D36" s="49" t="s">
        <v>12</v>
      </c>
      <c r="E36" s="691" t="s">
        <v>98</v>
      </c>
      <c r="F36" s="692" t="str">
        <f>'ПРИЛОЖЕНИЕ № 6 (расх)'!F26</f>
        <v>00190</v>
      </c>
      <c r="G36" s="49" t="s">
        <v>77</v>
      </c>
      <c r="H36" s="46">
        <f>'ПРИЛОЖЕНИЕ № 6 (расх)'!I26</f>
        <v>193.1</v>
      </c>
      <c r="I36" s="46">
        <v>193.1</v>
      </c>
      <c r="J36" s="46">
        <v>193.1</v>
      </c>
      <c r="K36" s="24"/>
    </row>
    <row r="37" spans="1:11" s="29" customFormat="1" ht="13.5">
      <c r="A37" s="368" t="s">
        <v>223</v>
      </c>
      <c r="B37" s="153"/>
      <c r="C37" s="48" t="s">
        <v>39</v>
      </c>
      <c r="D37" s="48" t="s">
        <v>12</v>
      </c>
      <c r="E37" s="690" t="s">
        <v>224</v>
      </c>
      <c r="F37" s="689" t="s">
        <v>95</v>
      </c>
      <c r="G37" s="48"/>
      <c r="H37" s="45">
        <f>H38+H40</f>
        <v>10892</v>
      </c>
      <c r="I37" s="45">
        <f>SUM(I39:I42)</f>
        <v>11453.61</v>
      </c>
      <c r="J37" s="45">
        <f>SUM(J39:J42)</f>
        <v>11453.61</v>
      </c>
      <c r="K37" s="24"/>
    </row>
    <row r="38" spans="1:11" s="29" customFormat="1" ht="27">
      <c r="A38" s="368" t="str">
        <f>'ПРИЛОЖЕНИЕ № 6 (расх)'!A28</f>
        <v>Расходы на выплаты персоналу, обслуживающему органы местного самоуправления</v>
      </c>
      <c r="B38" s="153"/>
      <c r="C38" s="48" t="s">
        <v>39</v>
      </c>
      <c r="D38" s="48" t="s">
        <v>12</v>
      </c>
      <c r="E38" s="690" t="s">
        <v>224</v>
      </c>
      <c r="F38" s="689" t="str">
        <f>'ПРИЛОЖЕНИЕ № 6 (расх)'!F28</f>
        <v>00110</v>
      </c>
      <c r="G38" s="48"/>
      <c r="H38" s="45">
        <f>H39</f>
        <v>8242</v>
      </c>
      <c r="I38" s="45"/>
      <c r="J38" s="45"/>
      <c r="K38" s="24"/>
    </row>
    <row r="39" spans="1:11" s="29" customFormat="1" ht="12.75">
      <c r="A39" s="369" t="s">
        <v>126</v>
      </c>
      <c r="B39" s="153"/>
      <c r="C39" s="49" t="s">
        <v>39</v>
      </c>
      <c r="D39" s="49" t="s">
        <v>12</v>
      </c>
      <c r="E39" s="691" t="s">
        <v>224</v>
      </c>
      <c r="F39" s="692" t="str">
        <f>'ПРИЛОЖЕНИЕ № 6 (расх)'!F29</f>
        <v>00110</v>
      </c>
      <c r="G39" s="49" t="s">
        <v>127</v>
      </c>
      <c r="H39" s="46">
        <f>'ПРИЛОЖЕНИЕ № 6 (расх)'!I29</f>
        <v>8242</v>
      </c>
      <c r="I39" s="46">
        <f>(7453.61+2000/2+350)</f>
        <v>8803.61</v>
      </c>
      <c r="J39" s="46">
        <f>(7453.61+2000/2+350)</f>
        <v>8803.61</v>
      </c>
      <c r="K39" s="24"/>
    </row>
    <row r="40" spans="1:11" s="29" customFormat="1" ht="27">
      <c r="A40" s="368" t="str">
        <f>'ПРИЛОЖЕНИЕ № 6 (расх)'!A30</f>
        <v>Расходы на обеспечение функций персонала, обслуживающего органы местного самоуправления</v>
      </c>
      <c r="B40" s="153"/>
      <c r="C40" s="48" t="s">
        <v>39</v>
      </c>
      <c r="D40" s="48" t="s">
        <v>12</v>
      </c>
      <c r="E40" s="690" t="s">
        <v>224</v>
      </c>
      <c r="F40" s="689" t="str">
        <f>'ПРИЛОЖЕНИЕ № 6 (расх)'!F30</f>
        <v>00190</v>
      </c>
      <c r="G40" s="49"/>
      <c r="H40" s="45">
        <f>SUM(H41:H42)</f>
        <v>2650</v>
      </c>
      <c r="I40" s="46"/>
      <c r="J40" s="46"/>
      <c r="K40" s="24"/>
    </row>
    <row r="41" spans="1:11" s="29" customFormat="1" ht="25.5">
      <c r="A41" s="369" t="s">
        <v>128</v>
      </c>
      <c r="B41" s="478"/>
      <c r="C41" s="49" t="s">
        <v>39</v>
      </c>
      <c r="D41" s="49" t="s">
        <v>12</v>
      </c>
      <c r="E41" s="691" t="s">
        <v>224</v>
      </c>
      <c r="F41" s="692" t="str">
        <f>'ПРИЛОЖЕНИЕ № 6 (расх)'!F31</f>
        <v>00190</v>
      </c>
      <c r="G41" s="49" t="s">
        <v>129</v>
      </c>
      <c r="H41" s="46">
        <f>'ПРИЛОЖЕНИЕ № 6 (расх)'!I31</f>
        <v>2500</v>
      </c>
      <c r="I41" s="46">
        <f>3200-700</f>
        <v>2500</v>
      </c>
      <c r="J41" s="46">
        <f>3200-700</f>
        <v>2500</v>
      </c>
      <c r="K41" s="24"/>
    </row>
    <row r="42" spans="1:11" s="29" customFormat="1" ht="12.75">
      <c r="A42" s="369" t="s">
        <v>76</v>
      </c>
      <c r="B42" s="544"/>
      <c r="C42" s="49" t="s">
        <v>39</v>
      </c>
      <c r="D42" s="49" t="s">
        <v>12</v>
      </c>
      <c r="E42" s="691" t="s">
        <v>224</v>
      </c>
      <c r="F42" s="692" t="str">
        <f>'ПРИЛОЖЕНИЕ № 6 (расх)'!F32</f>
        <v>00190</v>
      </c>
      <c r="G42" s="49" t="s">
        <v>77</v>
      </c>
      <c r="H42" s="46">
        <f>'ПРИЛОЖЕНИЕ № 6 (расх)'!I32</f>
        <v>150</v>
      </c>
      <c r="I42" s="46">
        <v>150</v>
      </c>
      <c r="J42" s="46">
        <v>150</v>
      </c>
      <c r="K42" s="24"/>
    </row>
    <row r="43" spans="1:11" s="29" customFormat="1" ht="25.5">
      <c r="A43" s="384" t="s">
        <v>75</v>
      </c>
      <c r="B43" s="40" t="s">
        <v>39</v>
      </c>
      <c r="C43" s="40" t="s">
        <v>39</v>
      </c>
      <c r="D43" s="40" t="s">
        <v>43</v>
      </c>
      <c r="E43" s="795"/>
      <c r="F43" s="796"/>
      <c r="G43" s="40"/>
      <c r="H43" s="41">
        <f>H44+H50</f>
        <v>10666.47</v>
      </c>
      <c r="I43" s="41" t="e">
        <f>I44+#REF!</f>
        <v>#REF!</v>
      </c>
      <c r="J43" s="154" t="e">
        <f>I43/H43</f>
        <v>#REF!</v>
      </c>
      <c r="K43" s="24"/>
    </row>
    <row r="44" spans="1:11" s="78" customFormat="1" ht="12.75">
      <c r="A44" s="754" t="s">
        <v>122</v>
      </c>
      <c r="B44" s="171" t="s">
        <v>39</v>
      </c>
      <c r="C44" s="171" t="s">
        <v>39</v>
      </c>
      <c r="D44" s="171" t="s">
        <v>43</v>
      </c>
      <c r="E44" s="459" t="s">
        <v>98</v>
      </c>
      <c r="F44" s="460" t="s">
        <v>95</v>
      </c>
      <c r="G44" s="171"/>
      <c r="H44" s="493">
        <f>H45+H47</f>
        <v>10025.5</v>
      </c>
      <c r="I44" s="493">
        <f>SUM(I48:I49)</f>
        <v>5170</v>
      </c>
      <c r="J44" s="154"/>
      <c r="K44" s="555"/>
    </row>
    <row r="45" spans="1:11" s="29" customFormat="1" ht="13.5">
      <c r="A45" s="368" t="s">
        <v>473</v>
      </c>
      <c r="B45" s="48"/>
      <c r="C45" s="48" t="s">
        <v>39</v>
      </c>
      <c r="D45" s="48" t="s">
        <v>43</v>
      </c>
      <c r="E45" s="464" t="s">
        <v>98</v>
      </c>
      <c r="F45" s="465" t="s">
        <v>472</v>
      </c>
      <c r="G45" s="48"/>
      <c r="H45" s="45">
        <f>H46</f>
        <v>8705.5</v>
      </c>
      <c r="I45" s="45"/>
      <c r="J45" s="154"/>
      <c r="K45" s="24"/>
    </row>
    <row r="46" spans="1:11" s="29" customFormat="1" ht="13.5">
      <c r="A46" s="369" t="s">
        <v>126</v>
      </c>
      <c r="B46" s="48"/>
      <c r="C46" s="49" t="s">
        <v>39</v>
      </c>
      <c r="D46" s="49" t="s">
        <v>43</v>
      </c>
      <c r="E46" s="466" t="s">
        <v>98</v>
      </c>
      <c r="F46" s="467" t="s">
        <v>472</v>
      </c>
      <c r="G46" s="49" t="s">
        <v>127</v>
      </c>
      <c r="H46" s="46">
        <f>'ПРИЛОЖЕНИЕ № 6 (расх)'!I190</f>
        <v>8705.5</v>
      </c>
      <c r="I46" s="45"/>
      <c r="J46" s="154"/>
      <c r="K46" s="24"/>
    </row>
    <row r="47" spans="1:11" s="29" customFormat="1" ht="13.5">
      <c r="A47" s="368" t="s">
        <v>475</v>
      </c>
      <c r="B47" s="48"/>
      <c r="C47" s="48" t="s">
        <v>39</v>
      </c>
      <c r="D47" s="48" t="s">
        <v>43</v>
      </c>
      <c r="E47" s="464" t="s">
        <v>98</v>
      </c>
      <c r="F47" s="465" t="s">
        <v>476</v>
      </c>
      <c r="G47" s="49"/>
      <c r="H47" s="45">
        <f>SUM(H48:H49)</f>
        <v>1320</v>
      </c>
      <c r="I47" s="45"/>
      <c r="J47" s="154"/>
      <c r="K47" s="24"/>
    </row>
    <row r="48" spans="1:11" s="29" customFormat="1" ht="25.5">
      <c r="A48" s="369" t="s">
        <v>128</v>
      </c>
      <c r="B48" s="49" t="s">
        <v>39</v>
      </c>
      <c r="C48" s="49" t="s">
        <v>39</v>
      </c>
      <c r="D48" s="49" t="s">
        <v>43</v>
      </c>
      <c r="E48" s="466" t="s">
        <v>98</v>
      </c>
      <c r="F48" s="467" t="s">
        <v>476</v>
      </c>
      <c r="G48" s="49" t="s">
        <v>129</v>
      </c>
      <c r="H48" s="46">
        <f>'ПРИЛОЖЕНИЕ № 6 (расх)'!I192</f>
        <v>1270</v>
      </c>
      <c r="I48" s="646">
        <f>(7000-500-3500+2000/2+220)</f>
        <v>4220</v>
      </c>
      <c r="J48" s="154"/>
      <c r="K48" s="24"/>
    </row>
    <row r="49" spans="1:11" s="29" customFormat="1" ht="12.75">
      <c r="A49" s="367" t="s">
        <v>76</v>
      </c>
      <c r="B49" s="49" t="s">
        <v>39</v>
      </c>
      <c r="C49" s="36" t="s">
        <v>39</v>
      </c>
      <c r="D49" s="36" t="s">
        <v>43</v>
      </c>
      <c r="E49" s="466" t="s">
        <v>98</v>
      </c>
      <c r="F49" s="467" t="s">
        <v>476</v>
      </c>
      <c r="G49" s="36" t="s">
        <v>77</v>
      </c>
      <c r="H49" s="46">
        <f>'ПРИЛОЖЕНИЕ № 6 (расх)'!I193</f>
        <v>50</v>
      </c>
      <c r="I49" s="646">
        <v>950</v>
      </c>
      <c r="J49" s="154"/>
      <c r="K49" s="24"/>
    </row>
    <row r="50" spans="1:11" s="29" customFormat="1" ht="13.5">
      <c r="A50" s="368" t="s">
        <v>119</v>
      </c>
      <c r="B50" s="544"/>
      <c r="C50" s="48" t="s">
        <v>39</v>
      </c>
      <c r="D50" s="48" t="s">
        <v>43</v>
      </c>
      <c r="E50" s="690" t="s">
        <v>118</v>
      </c>
      <c r="F50" s="689" t="s">
        <v>95</v>
      </c>
      <c r="G50" s="48"/>
      <c r="H50" s="45">
        <f>H51+H53</f>
        <v>640.97</v>
      </c>
      <c r="I50" s="649">
        <f>SUM(I52:I55)</f>
        <v>700</v>
      </c>
      <c r="J50" s="97"/>
      <c r="K50" s="24"/>
    </row>
    <row r="51" spans="1:11" s="29" customFormat="1" ht="13.5">
      <c r="A51" s="368" t="str">
        <f>'ПРИЛОЖЕНИЕ № 6 (расх)'!A35</f>
        <v>Расходы на выплаты персоналу контрольно-счетной палаты</v>
      </c>
      <c r="B51" s="544"/>
      <c r="C51" s="48" t="s">
        <v>39</v>
      </c>
      <c r="D51" s="48" t="s">
        <v>43</v>
      </c>
      <c r="E51" s="695" t="s">
        <v>118</v>
      </c>
      <c r="F51" s="696" t="str">
        <f>'ПРИЛОЖЕНИЕ № 6 (расх)'!F35</f>
        <v>00110</v>
      </c>
      <c r="G51" s="31"/>
      <c r="H51" s="45">
        <f>H52</f>
        <v>540.97</v>
      </c>
      <c r="I51" s="649"/>
      <c r="J51" s="97"/>
      <c r="K51" s="24"/>
    </row>
    <row r="52" spans="1:11" s="29" customFormat="1" ht="12.75">
      <c r="A52" s="367" t="s">
        <v>126</v>
      </c>
      <c r="B52" s="544"/>
      <c r="C52" s="49" t="s">
        <v>39</v>
      </c>
      <c r="D52" s="49" t="s">
        <v>43</v>
      </c>
      <c r="E52" s="691" t="s">
        <v>118</v>
      </c>
      <c r="F52" s="692" t="str">
        <f>'ПРИЛОЖЕНИЕ № 6 (расх)'!F36</f>
        <v>00110</v>
      </c>
      <c r="G52" s="36" t="s">
        <v>127</v>
      </c>
      <c r="H52" s="46">
        <f>'ПРИЛОЖЕНИЕ № 6 (расх)'!I36</f>
        <v>540.97</v>
      </c>
      <c r="I52" s="647">
        <v>600</v>
      </c>
      <c r="J52" s="97"/>
      <c r="K52" s="24"/>
    </row>
    <row r="53" spans="1:11" s="29" customFormat="1" ht="13.5">
      <c r="A53" s="367" t="str">
        <f>'ПРИЛОЖЕНИЕ № 6 (расх)'!A37</f>
        <v>Расходы на обеспечение функций контрольно-счетной палаты</v>
      </c>
      <c r="B53" s="544"/>
      <c r="C53" s="48" t="s">
        <v>39</v>
      </c>
      <c r="D53" s="48" t="s">
        <v>43</v>
      </c>
      <c r="E53" s="695" t="s">
        <v>118</v>
      </c>
      <c r="F53" s="696" t="str">
        <f>'ПРИЛОЖЕНИЕ № 6 (расх)'!F37</f>
        <v>00190</v>
      </c>
      <c r="G53" s="31"/>
      <c r="H53" s="45">
        <f>SUM(H54:H55)</f>
        <v>100</v>
      </c>
      <c r="I53" s="647"/>
      <c r="J53" s="97"/>
      <c r="K53" s="24"/>
    </row>
    <row r="54" spans="1:11" s="29" customFormat="1" ht="25.5">
      <c r="A54" s="367" t="s">
        <v>128</v>
      </c>
      <c r="B54" s="544"/>
      <c r="C54" s="49" t="s">
        <v>39</v>
      </c>
      <c r="D54" s="49" t="s">
        <v>43</v>
      </c>
      <c r="E54" s="691" t="s">
        <v>118</v>
      </c>
      <c r="F54" s="692" t="str">
        <f>'ПРИЛОЖЕНИЕ № 6 (расх)'!F38</f>
        <v>00190</v>
      </c>
      <c r="G54" s="36" t="s">
        <v>129</v>
      </c>
      <c r="H54" s="46">
        <f>'ПРИЛОЖЕНИЕ № 6 (расх)'!I38</f>
        <v>90</v>
      </c>
      <c r="I54" s="647">
        <v>90</v>
      </c>
      <c r="J54" s="97"/>
      <c r="K54" s="24"/>
    </row>
    <row r="55" spans="1:11" s="29" customFormat="1" ht="12.75">
      <c r="A55" s="367" t="s">
        <v>76</v>
      </c>
      <c r="B55" s="544"/>
      <c r="C55" s="49" t="s">
        <v>39</v>
      </c>
      <c r="D55" s="49" t="s">
        <v>43</v>
      </c>
      <c r="E55" s="691" t="s">
        <v>118</v>
      </c>
      <c r="F55" s="692" t="str">
        <f>'ПРИЛОЖЕНИЕ № 6 (расх)'!F39</f>
        <v>00190</v>
      </c>
      <c r="G55" s="36" t="s">
        <v>77</v>
      </c>
      <c r="H55" s="46">
        <f>'ПРИЛОЖЕНИЕ № 6 (расх)'!I39</f>
        <v>10</v>
      </c>
      <c r="I55" s="647">
        <v>10</v>
      </c>
      <c r="J55" s="97"/>
      <c r="K55" s="24"/>
    </row>
    <row r="56" spans="1:11" s="29" customFormat="1" ht="14.25">
      <c r="A56" s="244" t="s">
        <v>13</v>
      </c>
      <c r="B56" s="39"/>
      <c r="C56" s="40" t="s">
        <v>39</v>
      </c>
      <c r="D56" s="40" t="s">
        <v>46</v>
      </c>
      <c r="E56" s="795"/>
      <c r="F56" s="796"/>
      <c r="G56" s="40"/>
      <c r="H56" s="41">
        <f>H57</f>
        <v>87.8</v>
      </c>
      <c r="I56" s="41" t="e">
        <f>I58</f>
        <v>#REF!</v>
      </c>
      <c r="J56" s="42" t="e">
        <f>I56/H56</f>
        <v>#REF!</v>
      </c>
      <c r="K56" s="24"/>
    </row>
    <row r="57" spans="1:11" s="50" customFormat="1" ht="15">
      <c r="A57" s="727" t="str">
        <f>'ПРИЛОЖЕНИЕ № 6 (расх)'!A41</f>
        <v>Резервные фонды</v>
      </c>
      <c r="B57" s="725"/>
      <c r="C57" s="48" t="s">
        <v>39</v>
      </c>
      <c r="D57" s="48" t="s">
        <v>46</v>
      </c>
      <c r="E57" s="690" t="s">
        <v>101</v>
      </c>
      <c r="F57" s="689" t="str">
        <f>'ПРИЛОЖЕНИЕ № 6 (расх)'!F41</f>
        <v>00000</v>
      </c>
      <c r="G57" s="171"/>
      <c r="H57" s="493">
        <f>H58</f>
        <v>87.8</v>
      </c>
      <c r="I57" s="493"/>
      <c r="J57" s="726"/>
      <c r="K57" s="156"/>
    </row>
    <row r="58" spans="1:11" s="29" customFormat="1" ht="13.5">
      <c r="A58" s="245" t="s">
        <v>14</v>
      </c>
      <c r="B58" s="30"/>
      <c r="C58" s="48" t="s">
        <v>39</v>
      </c>
      <c r="D58" s="48" t="s">
        <v>46</v>
      </c>
      <c r="E58" s="690" t="s">
        <v>101</v>
      </c>
      <c r="F58" s="689" t="str">
        <f>'ПРИЛОЖЕНИЕ № 6 (расх)'!F42</f>
        <v>00111</v>
      </c>
      <c r="G58" s="171"/>
      <c r="H58" s="32">
        <f>H59</f>
        <v>87.8</v>
      </c>
      <c r="I58" s="32" t="e">
        <f>I59</f>
        <v>#REF!</v>
      </c>
      <c r="J58" s="33" t="e">
        <f>I58/H58</f>
        <v>#REF!</v>
      </c>
      <c r="K58" s="24"/>
    </row>
    <row r="59" spans="1:11" s="29" customFormat="1" ht="12.75">
      <c r="A59" s="242" t="s">
        <v>78</v>
      </c>
      <c r="B59" s="43"/>
      <c r="C59" s="36" t="s">
        <v>39</v>
      </c>
      <c r="D59" s="36" t="s">
        <v>46</v>
      </c>
      <c r="E59" s="693" t="s">
        <v>101</v>
      </c>
      <c r="F59" s="694" t="str">
        <f>'ПРИЛОЖЕНИЕ № 6 (расх)'!F43</f>
        <v>00111</v>
      </c>
      <c r="G59" s="36" t="s">
        <v>79</v>
      </c>
      <c r="H59" s="34">
        <f>'ПРИЛОЖЕНИЕ № 6 (расх)'!I43</f>
        <v>87.8</v>
      </c>
      <c r="I59" s="34" t="e">
        <f>#REF!</f>
        <v>#REF!</v>
      </c>
      <c r="J59" s="35" t="e">
        <f>I59/H59</f>
        <v>#REF!</v>
      </c>
      <c r="K59" s="24"/>
    </row>
    <row r="60" spans="1:11" s="50" customFormat="1" ht="14.25">
      <c r="A60" s="365" t="s">
        <v>15</v>
      </c>
      <c r="B60" s="155"/>
      <c r="C60" s="40" t="s">
        <v>39</v>
      </c>
      <c r="D60" s="40" t="s">
        <v>53</v>
      </c>
      <c r="E60" s="795"/>
      <c r="F60" s="796"/>
      <c r="G60" s="40"/>
      <c r="H60" s="41">
        <f>H67+H75+H81+H93+H72+H96+H104+H101+H98+H61+H64</f>
        <v>28394.89</v>
      </c>
      <c r="I60" s="41" t="e">
        <f>#REF!+#REF!+#REF!+#REF!+#REF!</f>
        <v>#REF!</v>
      </c>
      <c r="J60" s="42" t="e">
        <f>I60/H60</f>
        <v>#REF!</v>
      </c>
      <c r="K60" s="156"/>
    </row>
    <row r="61" spans="1:11" s="50" customFormat="1" ht="14.25">
      <c r="A61" s="724" t="str">
        <f>'ПРИЛОЖЕНИЕ № 6 (расх)'!A45</f>
        <v>Расходы , связанные с содержанием архива</v>
      </c>
      <c r="B61" s="728"/>
      <c r="C61" s="48" t="s">
        <v>39</v>
      </c>
      <c r="D61" s="48" t="s">
        <v>53</v>
      </c>
      <c r="E61" s="690" t="s">
        <v>405</v>
      </c>
      <c r="F61" s="689" t="s">
        <v>95</v>
      </c>
      <c r="G61" s="171"/>
      <c r="H61" s="493">
        <f>H62</f>
        <v>50</v>
      </c>
      <c r="I61" s="493"/>
      <c r="J61" s="726"/>
      <c r="K61" s="156"/>
    </row>
    <row r="62" spans="1:11" s="29" customFormat="1" ht="13.5">
      <c r="A62" s="368" t="s">
        <v>386</v>
      </c>
      <c r="B62" s="153"/>
      <c r="C62" s="48" t="s">
        <v>39</v>
      </c>
      <c r="D62" s="48" t="s">
        <v>53</v>
      </c>
      <c r="E62" s="690" t="s">
        <v>405</v>
      </c>
      <c r="F62" s="689" t="str">
        <f>'ПРИЛОЖЕНИЕ № 6 (расх)'!F46</f>
        <v>00190</v>
      </c>
      <c r="G62" s="48"/>
      <c r="H62" s="45">
        <f>SUM(H63)</f>
        <v>50</v>
      </c>
      <c r="I62" s="45">
        <f>SUM(I63:I63)</f>
        <v>50</v>
      </c>
      <c r="J62" s="45">
        <f>SUM(J63:J63)</f>
        <v>50</v>
      </c>
      <c r="K62" s="24"/>
    </row>
    <row r="63" spans="1:11" s="29" customFormat="1" ht="25.5">
      <c r="A63" s="369" t="s">
        <v>128</v>
      </c>
      <c r="B63" s="478"/>
      <c r="C63" s="49" t="s">
        <v>39</v>
      </c>
      <c r="D63" s="49" t="s">
        <v>53</v>
      </c>
      <c r="E63" s="691" t="s">
        <v>405</v>
      </c>
      <c r="F63" s="692" t="str">
        <f>'ПРИЛОЖЕНИЕ № 6 (расх)'!F47</f>
        <v>00190</v>
      </c>
      <c r="G63" s="49" t="s">
        <v>129</v>
      </c>
      <c r="H63" s="46">
        <f>'ПРИЛОЖЕНИЕ № 6 (расх)'!I47</f>
        <v>50</v>
      </c>
      <c r="I63" s="647">
        <v>50</v>
      </c>
      <c r="J63" s="647">
        <v>50</v>
      </c>
      <c r="K63" s="24"/>
    </row>
    <row r="64" spans="1:11" s="29" customFormat="1" ht="13.5">
      <c r="A64" s="729" t="str">
        <f>'ПРИЛОЖЕНИЕ № 6 (расх)'!A48</f>
        <v>Расходы по управлению муниципального имущества</v>
      </c>
      <c r="B64" s="544"/>
      <c r="C64" s="48" t="s">
        <v>39</v>
      </c>
      <c r="D64" s="48" t="s">
        <v>53</v>
      </c>
      <c r="E64" s="690" t="s">
        <v>100</v>
      </c>
      <c r="F64" s="689" t="s">
        <v>95</v>
      </c>
      <c r="G64" s="49"/>
      <c r="H64" s="46">
        <f>H65</f>
        <v>136</v>
      </c>
      <c r="I64" s="647"/>
      <c r="J64" s="647"/>
      <c r="K64" s="24"/>
    </row>
    <row r="65" spans="1:11" s="29" customFormat="1" ht="13.5">
      <c r="A65" s="554" t="s">
        <v>385</v>
      </c>
      <c r="B65" s="153"/>
      <c r="C65" s="48" t="s">
        <v>39</v>
      </c>
      <c r="D65" s="48" t="s">
        <v>53</v>
      </c>
      <c r="E65" s="690" t="s">
        <v>100</v>
      </c>
      <c r="F65" s="689" t="str">
        <f>'ПРИЛОЖЕНИЕ № 6 (расх)'!F49</f>
        <v>00190</v>
      </c>
      <c r="G65" s="49"/>
      <c r="H65" s="45">
        <f>SUM(H66)</f>
        <v>136</v>
      </c>
      <c r="I65" s="45">
        <f>SUM(I66:I66)</f>
        <v>136</v>
      </c>
      <c r="J65" s="45">
        <f>SUM(J66:J66)</f>
        <v>136</v>
      </c>
      <c r="K65" s="24"/>
    </row>
    <row r="66" spans="1:11" s="29" customFormat="1" ht="25.5">
      <c r="A66" s="369" t="s">
        <v>128</v>
      </c>
      <c r="B66" s="153"/>
      <c r="C66" s="49" t="s">
        <v>39</v>
      </c>
      <c r="D66" s="49" t="s">
        <v>53</v>
      </c>
      <c r="E66" s="691" t="s">
        <v>100</v>
      </c>
      <c r="F66" s="692" t="str">
        <f>'ПРИЛОЖЕНИЕ № 6 (расх)'!F50</f>
        <v>00190</v>
      </c>
      <c r="G66" s="49" t="s">
        <v>129</v>
      </c>
      <c r="H66" s="46">
        <f>'ПРИЛОЖЕНИЕ № 6 (расх)'!I50</f>
        <v>136</v>
      </c>
      <c r="I66" s="46">
        <v>136</v>
      </c>
      <c r="J66" s="46">
        <v>136</v>
      </c>
      <c r="K66" s="24"/>
    </row>
    <row r="67" spans="1:11" s="50" customFormat="1" ht="27">
      <c r="A67" s="368" t="s">
        <v>322</v>
      </c>
      <c r="B67" s="542"/>
      <c r="C67" s="48" t="s">
        <v>39</v>
      </c>
      <c r="D67" s="48" t="s">
        <v>53</v>
      </c>
      <c r="E67" s="695" t="s">
        <v>323</v>
      </c>
      <c r="F67" s="696" t="s">
        <v>95</v>
      </c>
      <c r="G67" s="49"/>
      <c r="H67" s="493">
        <f>H68</f>
        <v>3600</v>
      </c>
      <c r="I67" s="540"/>
      <c r="J67" s="541"/>
      <c r="K67" s="156"/>
    </row>
    <row r="68" spans="1:11" s="50" customFormat="1" ht="40.5">
      <c r="A68" s="368" t="str">
        <f>'ПРИЛОЖЕНИЕ № 6 (расх)'!A52</f>
        <v>Расходы, связанные с ликвидационными мероприятиями в соответствии с Законом Магаданской области от 27.12.2014 N 1842-ОЗ, в рамках решения вопросов местного значения</v>
      </c>
      <c r="B68" s="542"/>
      <c r="C68" s="48" t="s">
        <v>39</v>
      </c>
      <c r="D68" s="48" t="s">
        <v>53</v>
      </c>
      <c r="E68" s="695" t="s">
        <v>323</v>
      </c>
      <c r="F68" s="696" t="str">
        <f>'ПРИЛОЖЕНИЕ № 6 (расх)'!F52</f>
        <v>00113</v>
      </c>
      <c r="G68" s="49"/>
      <c r="H68" s="493">
        <f>SUM(H69:H71)</f>
        <v>3600</v>
      </c>
      <c r="I68" s="540"/>
      <c r="J68" s="541"/>
      <c r="K68" s="156"/>
    </row>
    <row r="69" spans="1:11" s="50" customFormat="1" ht="12.75">
      <c r="A69" s="369" t="s">
        <v>126</v>
      </c>
      <c r="B69" s="501"/>
      <c r="C69" s="49" t="s">
        <v>39</v>
      </c>
      <c r="D69" s="49" t="s">
        <v>53</v>
      </c>
      <c r="E69" s="691" t="s">
        <v>323</v>
      </c>
      <c r="F69" s="692" t="str">
        <f>'ПРИЛОЖЕНИЕ № 6 (расх)'!F53</f>
        <v>00113</v>
      </c>
      <c r="G69" s="49" t="s">
        <v>127</v>
      </c>
      <c r="H69" s="46">
        <f>'ПРИЛОЖЕНИЕ № 6 (расх)'!I53</f>
        <v>2700</v>
      </c>
      <c r="I69" s="540"/>
      <c r="J69" s="541"/>
      <c r="K69" s="156"/>
    </row>
    <row r="70" spans="1:11" s="50" customFormat="1" ht="25.5">
      <c r="A70" s="369" t="s">
        <v>128</v>
      </c>
      <c r="B70" s="501"/>
      <c r="C70" s="49" t="s">
        <v>39</v>
      </c>
      <c r="D70" s="49" t="s">
        <v>53</v>
      </c>
      <c r="E70" s="691" t="s">
        <v>323</v>
      </c>
      <c r="F70" s="692" t="str">
        <f>'ПРИЛОЖЕНИЕ № 6 (расх)'!F54</f>
        <v>00113</v>
      </c>
      <c r="G70" s="49" t="s">
        <v>129</v>
      </c>
      <c r="H70" s="46">
        <f>'ПРИЛОЖЕНИЕ № 6 (расх)'!I54+'ПРИЛОЖЕНИЕ № 6 (расх)'!I209</f>
        <v>200</v>
      </c>
      <c r="I70" s="540"/>
      <c r="J70" s="541"/>
      <c r="K70" s="156"/>
    </row>
    <row r="71" spans="1:11" s="50" customFormat="1" ht="12.75">
      <c r="A71" s="369" t="s">
        <v>76</v>
      </c>
      <c r="B71" s="501"/>
      <c r="C71" s="49" t="s">
        <v>39</v>
      </c>
      <c r="D71" s="49" t="s">
        <v>53</v>
      </c>
      <c r="E71" s="691" t="s">
        <v>323</v>
      </c>
      <c r="F71" s="692" t="str">
        <f>'ПРИЛОЖЕНИЕ № 6 (расх)'!F55</f>
        <v>00113</v>
      </c>
      <c r="G71" s="49" t="s">
        <v>77</v>
      </c>
      <c r="H71" s="46">
        <f>'ПРИЛОЖЕНИЕ № 6 (расх)'!I55</f>
        <v>700</v>
      </c>
      <c r="I71" s="540"/>
      <c r="J71" s="541"/>
      <c r="K71" s="156"/>
    </row>
    <row r="72" spans="1:11" s="50" customFormat="1" ht="27">
      <c r="A72" s="368" t="str">
        <f>'ПРИЛОЖЕНИЕ № 6 (расх)'!A56</f>
        <v>Расходы, в рамках решения вопросов местного значения, не отнесенных к другим статьям расходов</v>
      </c>
      <c r="B72" s="501"/>
      <c r="C72" s="48" t="s">
        <v>39</v>
      </c>
      <c r="D72" s="48" t="s">
        <v>53</v>
      </c>
      <c r="E72" s="697" t="str">
        <f>'ПРИЛОЖЕНИЕ № 6 (расх)'!E56</f>
        <v>002М0</v>
      </c>
      <c r="F72" s="698" t="str">
        <f>'ПРИЛОЖЕНИЕ № 6 (расх)'!F56</f>
        <v>00000</v>
      </c>
      <c r="G72" s="281"/>
      <c r="H72" s="45">
        <f>H73</f>
        <v>100</v>
      </c>
      <c r="I72" s="540"/>
      <c r="J72" s="541"/>
      <c r="K72" s="156"/>
    </row>
    <row r="73" spans="1:11" s="50" customFormat="1" ht="13.5">
      <c r="A73" s="368" t="str">
        <f>'ПРИЛОЖЕНИЕ № 6 (расх)'!A57</f>
        <v>Прочие расходы, в рамках решения вопросов местного значения</v>
      </c>
      <c r="B73" s="501"/>
      <c r="C73" s="48" t="s">
        <v>39</v>
      </c>
      <c r="D73" s="48" t="s">
        <v>53</v>
      </c>
      <c r="E73" s="697" t="str">
        <f>'ПРИЛОЖЕНИЕ № 6 (расх)'!E57</f>
        <v>002М0</v>
      </c>
      <c r="F73" s="698" t="str">
        <f>'ПРИЛОЖЕНИЕ № 6 (расх)'!F57</f>
        <v>00113</v>
      </c>
      <c r="G73" s="281"/>
      <c r="H73" s="45">
        <f>SUM(H74)</f>
        <v>100</v>
      </c>
      <c r="I73" s="540"/>
      <c r="J73" s="541"/>
      <c r="K73" s="156"/>
    </row>
    <row r="74" spans="1:11" s="50" customFormat="1" ht="25.5">
      <c r="A74" s="369" t="str">
        <f>'ПРИЛОЖЕНИЕ № 6 (расх)'!A58</f>
        <v>Иные закупки товаров, работ и услуг для обеспечения государственных (муниципальных) нужд</v>
      </c>
      <c r="B74" s="501"/>
      <c r="C74" s="49" t="s">
        <v>39</v>
      </c>
      <c r="D74" s="49" t="s">
        <v>53</v>
      </c>
      <c r="E74" s="699" t="str">
        <f>'ПРИЛОЖЕНИЕ № 6 (расх)'!E58</f>
        <v>002М0</v>
      </c>
      <c r="F74" s="700" t="str">
        <f>'ПРИЛОЖЕНИЕ № 6 (расх)'!F58</f>
        <v>00113</v>
      </c>
      <c r="G74" s="662" t="str">
        <f>'ПРИЛОЖЕНИЕ № 6 (расх)'!G58</f>
        <v>240</v>
      </c>
      <c r="H74" s="46">
        <f>'ПРИЛОЖЕНИЕ № 6 (расх)'!I58</f>
        <v>100</v>
      </c>
      <c r="I74" s="540"/>
      <c r="J74" s="541"/>
      <c r="K74" s="156"/>
    </row>
    <row r="75" spans="1:11" s="50" customFormat="1" ht="13.5">
      <c r="A75" s="368" t="s">
        <v>366</v>
      </c>
      <c r="B75" s="542"/>
      <c r="C75" s="48" t="s">
        <v>39</v>
      </c>
      <c r="D75" s="48" t="s">
        <v>53</v>
      </c>
      <c r="E75" s="701" t="s">
        <v>367</v>
      </c>
      <c r="F75" s="702" t="s">
        <v>95</v>
      </c>
      <c r="G75" s="48"/>
      <c r="H75" s="45">
        <f>H76+H78</f>
        <v>21806.14</v>
      </c>
      <c r="I75" s="540"/>
      <c r="J75" s="541"/>
      <c r="K75" s="156"/>
    </row>
    <row r="76" spans="1:11" s="50" customFormat="1" ht="13.5">
      <c r="A76" s="368" t="str">
        <f>'ПРИЛОЖЕНИЕ № 6 (расх)'!A211</f>
        <v>Расходы на выплаты персоналу обеспечивающих учреждений</v>
      </c>
      <c r="B76" s="542"/>
      <c r="C76" s="48" t="s">
        <v>39</v>
      </c>
      <c r="D76" s="48" t="s">
        <v>53</v>
      </c>
      <c r="E76" s="695" t="s">
        <v>367</v>
      </c>
      <c r="F76" s="696" t="str">
        <f>'ПРИЛОЖЕНИЕ № 6 (расх)'!F211</f>
        <v>00110</v>
      </c>
      <c r="G76" s="48"/>
      <c r="H76" s="45">
        <f>H77</f>
        <v>20163.18</v>
      </c>
      <c r="I76" s="540"/>
      <c r="J76" s="541"/>
      <c r="K76" s="156"/>
    </row>
    <row r="77" spans="1:11" s="50" customFormat="1" ht="12.75">
      <c r="A77" s="379" t="s">
        <v>183</v>
      </c>
      <c r="B77" s="501"/>
      <c r="C77" s="49" t="s">
        <v>39</v>
      </c>
      <c r="D77" s="49" t="s">
        <v>53</v>
      </c>
      <c r="E77" s="691" t="s">
        <v>367</v>
      </c>
      <c r="F77" s="692" t="str">
        <f>'ПРИЛОЖЕНИЕ № 6 (расх)'!F212</f>
        <v>00110</v>
      </c>
      <c r="G77" s="49" t="s">
        <v>184</v>
      </c>
      <c r="H77" s="46">
        <f>'ПРИЛОЖЕНИЕ № 6 (расх)'!I212</f>
        <v>20163.18</v>
      </c>
      <c r="I77" s="540"/>
      <c r="J77" s="541"/>
      <c r="K77" s="156"/>
    </row>
    <row r="78" spans="1:11" s="50" customFormat="1" ht="13.5">
      <c r="A78" s="347" t="str">
        <f>'ПРИЛОЖЕНИЕ № 6 (расх)'!A213</f>
        <v>Расходы на обеспечение функций обеспечивающих учреждений</v>
      </c>
      <c r="B78" s="542"/>
      <c r="C78" s="48" t="s">
        <v>39</v>
      </c>
      <c r="D78" s="48" t="s">
        <v>53</v>
      </c>
      <c r="E78" s="695" t="s">
        <v>367</v>
      </c>
      <c r="F78" s="696" t="str">
        <f>'ПРИЛОЖЕНИЕ № 6 (расх)'!F213</f>
        <v>00190</v>
      </c>
      <c r="G78" s="48"/>
      <c r="H78" s="45">
        <f>SUM(H79:H80)</f>
        <v>1642.96</v>
      </c>
      <c r="I78" s="540"/>
      <c r="J78" s="541"/>
      <c r="K78" s="156"/>
    </row>
    <row r="79" spans="1:13" s="50" customFormat="1" ht="25.5">
      <c r="A79" s="369" t="s">
        <v>128</v>
      </c>
      <c r="B79" s="501"/>
      <c r="C79" s="49" t="s">
        <v>39</v>
      </c>
      <c r="D79" s="49" t="s">
        <v>53</v>
      </c>
      <c r="E79" s="691" t="s">
        <v>367</v>
      </c>
      <c r="F79" s="692" t="str">
        <f>'ПРИЛОЖЕНИЕ № 6 (расх)'!F214</f>
        <v>00190</v>
      </c>
      <c r="G79" s="49" t="s">
        <v>129</v>
      </c>
      <c r="H79" s="46">
        <f>'ПРИЛОЖЕНИЕ № 6 (расх)'!I214</f>
        <v>1423.96</v>
      </c>
      <c r="I79" s="540"/>
      <c r="J79" s="541"/>
      <c r="K79" s="156"/>
      <c r="M79" s="654"/>
    </row>
    <row r="80" spans="1:11" s="50" customFormat="1" ht="12.75">
      <c r="A80" s="369" t="s">
        <v>76</v>
      </c>
      <c r="B80" s="501"/>
      <c r="C80" s="49" t="s">
        <v>39</v>
      </c>
      <c r="D80" s="49" t="s">
        <v>53</v>
      </c>
      <c r="E80" s="691" t="s">
        <v>367</v>
      </c>
      <c r="F80" s="692" t="str">
        <f>'ПРИЛОЖЕНИЕ № 6 (расх)'!F215</f>
        <v>00190</v>
      </c>
      <c r="G80" s="94" t="s">
        <v>77</v>
      </c>
      <c r="H80" s="46">
        <f>'ПРИЛОЖЕНИЕ № 6 (расх)'!I215</f>
        <v>219</v>
      </c>
      <c r="I80" s="540"/>
      <c r="J80" s="541"/>
      <c r="K80" s="156"/>
    </row>
    <row r="81" spans="1:15" s="50" customFormat="1" ht="40.5">
      <c r="A81" s="500" t="str">
        <f>'ПРИЛОЖЕНИЕ № 6 (расх)'!A59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81" s="501"/>
      <c r="C81" s="48" t="s">
        <v>39</v>
      </c>
      <c r="D81" s="48" t="s">
        <v>53</v>
      </c>
      <c r="E81" s="701" t="str">
        <f>'ПРИЛОЖЕНИЕ № 6 (расх)'!E59</f>
        <v>03000</v>
      </c>
      <c r="F81" s="702" t="s">
        <v>95</v>
      </c>
      <c r="G81" s="48"/>
      <c r="H81" s="45">
        <f>H82+H90</f>
        <v>290</v>
      </c>
      <c r="I81" s="157"/>
      <c r="J81" s="158"/>
      <c r="K81" s="156"/>
      <c r="L81" s="654"/>
      <c r="M81" s="654"/>
      <c r="N81" s="654"/>
      <c r="O81" s="654"/>
    </row>
    <row r="82" spans="1:15" s="50" customFormat="1" ht="40.5">
      <c r="A82" s="500" t="str">
        <f>'ПРИЛОЖЕНИЕ № 6 (расх)'!A60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годы", профессиональное развитие кадров</v>
      </c>
      <c r="B82" s="501"/>
      <c r="C82" s="48" t="s">
        <v>39</v>
      </c>
      <c r="D82" s="48" t="s">
        <v>53</v>
      </c>
      <c r="E82" s="701" t="str">
        <f>'ПРИЛОЖЕНИЕ № 6 (расх)'!E60</f>
        <v>03003</v>
      </c>
      <c r="F82" s="702" t="str">
        <f>'ПРИЛОЖЕНИЕ № 6 (расх)'!F60</f>
        <v>00000</v>
      </c>
      <c r="G82" s="48"/>
      <c r="H82" s="45">
        <f>H83+H86+H88</f>
        <v>190</v>
      </c>
      <c r="I82" s="157"/>
      <c r="J82" s="158"/>
      <c r="K82" s="156"/>
      <c r="L82" s="654"/>
      <c r="M82" s="654"/>
      <c r="N82" s="654"/>
      <c r="O82" s="654"/>
    </row>
    <row r="83" spans="1:15" s="50" customFormat="1" ht="40.5">
      <c r="A83" s="500" t="s">
        <v>492</v>
      </c>
      <c r="B83" s="501"/>
      <c r="C83" s="48" t="s">
        <v>39</v>
      </c>
      <c r="D83" s="48" t="s">
        <v>53</v>
      </c>
      <c r="E83" s="472" t="s">
        <v>288</v>
      </c>
      <c r="F83" s="333" t="s">
        <v>489</v>
      </c>
      <c r="G83" s="48"/>
      <c r="H83" s="45">
        <f>SUM(H84:H85)</f>
        <v>180</v>
      </c>
      <c r="I83" s="157"/>
      <c r="J83" s="158"/>
      <c r="K83" s="156"/>
      <c r="L83" s="654"/>
      <c r="M83" s="654"/>
      <c r="N83" s="654"/>
      <c r="O83" s="654"/>
    </row>
    <row r="84" spans="1:11" s="50" customFormat="1" ht="12.75">
      <c r="A84" s="369" t="s">
        <v>126</v>
      </c>
      <c r="B84" s="501"/>
      <c r="C84" s="49" t="s">
        <v>39</v>
      </c>
      <c r="D84" s="49" t="s">
        <v>53</v>
      </c>
      <c r="E84" s="466" t="s">
        <v>288</v>
      </c>
      <c r="F84" s="467" t="s">
        <v>489</v>
      </c>
      <c r="G84" s="49" t="s">
        <v>127</v>
      </c>
      <c r="H84" s="46">
        <f>'ПРИЛОЖЕНИЕ № 6 (расх)'!I62+'ПРИЛОЖЕНИЕ № 6 (расх)'!I197+'ПРИЛОЖЕНИЕ № 6 (расх)'!I218+'ПРИЛОЖЕНИЕ № 6 (расх)'!I296</f>
        <v>104.6</v>
      </c>
      <c r="I84" s="157"/>
      <c r="J84" s="158"/>
      <c r="K84" s="156"/>
    </row>
    <row r="85" spans="1:11" s="50" customFormat="1" ht="25.5">
      <c r="A85" s="369" t="s">
        <v>128</v>
      </c>
      <c r="B85" s="501"/>
      <c r="C85" s="49" t="s">
        <v>39</v>
      </c>
      <c r="D85" s="49" t="s">
        <v>53</v>
      </c>
      <c r="E85" s="691" t="s">
        <v>288</v>
      </c>
      <c r="F85" s="467" t="s">
        <v>489</v>
      </c>
      <c r="G85" s="49" t="s">
        <v>129</v>
      </c>
      <c r="H85" s="46">
        <f>'ПРИЛОЖЕНИЕ № 6 (расх)'!I198+'ПРИЛОЖЕНИЕ № 6 (расх)'!I219+'ПРИЛОЖЕНИЕ № 6 (расх)'!I297</f>
        <v>75.4</v>
      </c>
      <c r="I85" s="157"/>
      <c r="J85" s="158"/>
      <c r="K85" s="156"/>
    </row>
    <row r="86" spans="1:11" s="50" customFormat="1" ht="67.5">
      <c r="A86" s="368" t="s">
        <v>449</v>
      </c>
      <c r="B86" s="501"/>
      <c r="C86" s="93" t="s">
        <v>39</v>
      </c>
      <c r="D86" s="93" t="s">
        <v>53</v>
      </c>
      <c r="E86" s="695" t="s">
        <v>288</v>
      </c>
      <c r="F86" s="696" t="s">
        <v>320</v>
      </c>
      <c r="G86" s="94"/>
      <c r="H86" s="95">
        <f>H87</f>
        <v>5</v>
      </c>
      <c r="I86" s="95">
        <f>I87</f>
        <v>5</v>
      </c>
      <c r="J86" s="158"/>
      <c r="K86" s="156"/>
    </row>
    <row r="87" spans="1:11" s="50" customFormat="1" ht="12.75">
      <c r="A87" s="369" t="s">
        <v>126</v>
      </c>
      <c r="B87" s="501"/>
      <c r="C87" s="94" t="s">
        <v>39</v>
      </c>
      <c r="D87" s="94" t="s">
        <v>53</v>
      </c>
      <c r="E87" s="691" t="s">
        <v>288</v>
      </c>
      <c r="F87" s="692" t="s">
        <v>320</v>
      </c>
      <c r="G87" s="94" t="s">
        <v>127</v>
      </c>
      <c r="H87" s="103">
        <f>'ПРИЛОЖЕНИЕ № 6 (расх)'!I64</f>
        <v>5</v>
      </c>
      <c r="I87" s="103">
        <v>5</v>
      </c>
      <c r="J87" s="158"/>
      <c r="K87" s="156"/>
    </row>
    <row r="88" spans="1:11" s="50" customFormat="1" ht="108">
      <c r="A88" s="368" t="str">
        <f>'ПРИЛОЖЕНИЕ № 6 (расх)'!A65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 , софинансирование субсидий, предоставляемых в рамках реализации подпрограммы "Развитие государственной гражданской службы и муниципальной службы в Магаданской области" на 2017-2021 годы"  государственной  программы "Развитие системы государственного и муниципального управления и профилактика коррупции в Магаданской области" на 2017-2021 годы"</v>
      </c>
      <c r="B88" s="501"/>
      <c r="C88" s="48" t="s">
        <v>39</v>
      </c>
      <c r="D88" s="48" t="s">
        <v>53</v>
      </c>
      <c r="E88" s="695" t="s">
        <v>288</v>
      </c>
      <c r="F88" s="696" t="s">
        <v>448</v>
      </c>
      <c r="G88" s="48"/>
      <c r="H88" s="45">
        <f>H89</f>
        <v>5</v>
      </c>
      <c r="I88" s="45">
        <f>I89</f>
        <v>5</v>
      </c>
      <c r="J88" s="158"/>
      <c r="K88" s="156"/>
    </row>
    <row r="89" spans="1:11" s="50" customFormat="1" ht="12.75">
      <c r="A89" s="369" t="s">
        <v>126</v>
      </c>
      <c r="B89" s="501"/>
      <c r="C89" s="49" t="s">
        <v>39</v>
      </c>
      <c r="D89" s="49" t="s">
        <v>53</v>
      </c>
      <c r="E89" s="691" t="s">
        <v>288</v>
      </c>
      <c r="F89" s="692" t="s">
        <v>448</v>
      </c>
      <c r="G89" s="49" t="s">
        <v>127</v>
      </c>
      <c r="H89" s="46">
        <f>'ПРИЛОЖЕНИЕ № 6 (расх)'!I66</f>
        <v>5</v>
      </c>
      <c r="I89" s="675">
        <v>5</v>
      </c>
      <c r="J89" s="158"/>
      <c r="K89" s="156"/>
    </row>
    <row r="90" spans="1:11" s="50" customFormat="1" ht="40.5">
      <c r="A90" s="368" t="str">
        <f>'ПРИЛОЖЕНИЕ № 6 (расх)'!A67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годы", создание системы открытости и прозрачности бюджетной системы</v>
      </c>
      <c r="B90" s="501"/>
      <c r="C90" s="48" t="s">
        <v>39</v>
      </c>
      <c r="D90" s="48" t="s">
        <v>53</v>
      </c>
      <c r="E90" s="695" t="str">
        <f>'ПРИЛОЖЕНИЕ № 6 (расх)'!E67</f>
        <v>03006</v>
      </c>
      <c r="F90" s="696" t="str">
        <f>'ПРИЛОЖЕНИЕ № 6 (расх)'!F67</f>
        <v>00000</v>
      </c>
      <c r="G90" s="49"/>
      <c r="H90" s="45">
        <f>H91</f>
        <v>100</v>
      </c>
      <c r="I90" s="730"/>
      <c r="J90" s="158"/>
      <c r="K90" s="156"/>
    </row>
    <row r="91" spans="1:11" s="50" customFormat="1" ht="40.5">
      <c r="A91" s="368" t="str">
        <f>'ПРИЛОЖЕНИЕ № 6 (расх)'!A68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годы", размещение информации в СМИ и на сайте</v>
      </c>
      <c r="B91" s="501"/>
      <c r="C91" s="48" t="s">
        <v>39</v>
      </c>
      <c r="D91" s="48" t="s">
        <v>53</v>
      </c>
      <c r="E91" s="695" t="str">
        <f>'ПРИЛОЖЕНИЕ № 6 (расх)'!E68</f>
        <v>03006</v>
      </c>
      <c r="F91" s="696" t="str">
        <f>'ПРИЛОЖЕНИЕ № 6 (расх)'!F68</f>
        <v>00001</v>
      </c>
      <c r="G91" s="48"/>
      <c r="H91" s="45">
        <f>H92</f>
        <v>100</v>
      </c>
      <c r="I91" s="730"/>
      <c r="J91" s="158"/>
      <c r="K91" s="156"/>
    </row>
    <row r="92" spans="1:11" s="50" customFormat="1" ht="25.5">
      <c r="A92" s="369" t="str">
        <f>'ПРИЛОЖЕНИЕ № 6 (расх)'!A69</f>
        <v>Иные закупки товаров, работ и услуг для обеспечения государственных (муниципальных) нужд</v>
      </c>
      <c r="B92" s="501"/>
      <c r="C92" s="49" t="s">
        <v>39</v>
      </c>
      <c r="D92" s="49" t="s">
        <v>53</v>
      </c>
      <c r="E92" s="691" t="str">
        <f>'ПРИЛОЖЕНИЕ № 6 (расх)'!E69</f>
        <v>03006</v>
      </c>
      <c r="F92" s="692" t="str">
        <f>'ПРИЛОЖЕНИЕ № 6 (расх)'!F69</f>
        <v>00001</v>
      </c>
      <c r="G92" s="731" t="str">
        <f>'ПРИЛОЖЕНИЕ № 6 (расх)'!G69</f>
        <v>240</v>
      </c>
      <c r="H92" s="46">
        <f>'ПРИЛОЖЕНИЕ № 6 (расх)'!I69</f>
        <v>100</v>
      </c>
      <c r="I92" s="730"/>
      <c r="J92" s="158"/>
      <c r="K92" s="156"/>
    </row>
    <row r="93" spans="1:11" s="50" customFormat="1" ht="54">
      <c r="A93" s="500" t="s">
        <v>310</v>
      </c>
      <c r="B93" s="501"/>
      <c r="C93" s="48" t="s">
        <v>39</v>
      </c>
      <c r="D93" s="48" t="s">
        <v>53</v>
      </c>
      <c r="E93" s="690" t="s">
        <v>329</v>
      </c>
      <c r="F93" s="689" t="s">
        <v>287</v>
      </c>
      <c r="G93" s="48"/>
      <c r="H93" s="45">
        <f>SUM(H94:H95)</f>
        <v>758.15</v>
      </c>
      <c r="I93" s="157"/>
      <c r="J93" s="158"/>
      <c r="K93" s="156"/>
    </row>
    <row r="94" spans="1:11" s="50" customFormat="1" ht="12.75">
      <c r="A94" s="369" t="s">
        <v>126</v>
      </c>
      <c r="B94" s="501"/>
      <c r="C94" s="49" t="s">
        <v>39</v>
      </c>
      <c r="D94" s="49" t="s">
        <v>53</v>
      </c>
      <c r="E94" s="691" t="s">
        <v>329</v>
      </c>
      <c r="F94" s="692" t="s">
        <v>287</v>
      </c>
      <c r="G94" s="49" t="s">
        <v>127</v>
      </c>
      <c r="H94" s="46">
        <f>'ПРИЛОЖЕНИЕ № 6 (расх)'!I71</f>
        <v>748.15</v>
      </c>
      <c r="I94" s="157"/>
      <c r="J94" s="158"/>
      <c r="K94" s="156"/>
    </row>
    <row r="95" spans="1:11" s="50" customFormat="1" ht="25.5">
      <c r="A95" s="369" t="s">
        <v>128</v>
      </c>
      <c r="B95" s="501"/>
      <c r="C95" s="49" t="s">
        <v>39</v>
      </c>
      <c r="D95" s="49" t="s">
        <v>53</v>
      </c>
      <c r="E95" s="691" t="s">
        <v>329</v>
      </c>
      <c r="F95" s="692" t="s">
        <v>287</v>
      </c>
      <c r="G95" s="49" t="s">
        <v>129</v>
      </c>
      <c r="H95" s="46">
        <f>'ПРИЛОЖЕНИЕ № 6 (расх)'!I72</f>
        <v>10</v>
      </c>
      <c r="I95" s="157"/>
      <c r="J95" s="158"/>
      <c r="K95" s="156"/>
    </row>
    <row r="96" spans="1:11" s="50" customFormat="1" ht="67.5">
      <c r="A96" s="500" t="s">
        <v>463</v>
      </c>
      <c r="B96" s="501"/>
      <c r="C96" s="48" t="s">
        <v>39</v>
      </c>
      <c r="D96" s="48" t="s">
        <v>53</v>
      </c>
      <c r="E96" s="690" t="s">
        <v>329</v>
      </c>
      <c r="F96" s="689" t="s">
        <v>286</v>
      </c>
      <c r="G96" s="48"/>
      <c r="H96" s="45">
        <f>H97</f>
        <v>482</v>
      </c>
      <c r="I96" s="45">
        <f>SUM(I97:I97)</f>
        <v>0</v>
      </c>
      <c r="J96" s="158"/>
      <c r="K96" s="156"/>
    </row>
    <row r="97" spans="1:11" s="50" customFormat="1" ht="12.75">
      <c r="A97" s="369" t="s">
        <v>126</v>
      </c>
      <c r="B97" s="501"/>
      <c r="C97" s="49" t="s">
        <v>39</v>
      </c>
      <c r="D97" s="49" t="s">
        <v>53</v>
      </c>
      <c r="E97" s="691" t="s">
        <v>329</v>
      </c>
      <c r="F97" s="692" t="s">
        <v>286</v>
      </c>
      <c r="G97" s="49" t="s">
        <v>127</v>
      </c>
      <c r="H97" s="46">
        <f>'ПРИЛОЖЕНИЕ № 6 (расх)'!I74</f>
        <v>482</v>
      </c>
      <c r="I97" s="46">
        <v>0</v>
      </c>
      <c r="J97" s="158"/>
      <c r="K97" s="156"/>
    </row>
    <row r="98" spans="1:11" s="50" customFormat="1" ht="27">
      <c r="A98" s="500" t="s">
        <v>62</v>
      </c>
      <c r="B98" s="501"/>
      <c r="C98" s="48" t="s">
        <v>39</v>
      </c>
      <c r="D98" s="48" t="s">
        <v>53</v>
      </c>
      <c r="E98" s="690" t="s">
        <v>104</v>
      </c>
      <c r="F98" s="689" t="s">
        <v>105</v>
      </c>
      <c r="G98" s="48"/>
      <c r="H98" s="45">
        <f>SUM(H99:H100)</f>
        <v>1082.1</v>
      </c>
      <c r="I98" s="45">
        <f>SUM(I99:I100)</f>
        <v>1082.1</v>
      </c>
      <c r="J98" s="158"/>
      <c r="K98" s="156"/>
    </row>
    <row r="99" spans="1:11" s="50" customFormat="1" ht="12.75">
      <c r="A99" s="369" t="s">
        <v>126</v>
      </c>
      <c r="B99" s="501"/>
      <c r="C99" s="49" t="s">
        <v>39</v>
      </c>
      <c r="D99" s="49" t="s">
        <v>53</v>
      </c>
      <c r="E99" s="691" t="s">
        <v>104</v>
      </c>
      <c r="F99" s="692" t="s">
        <v>105</v>
      </c>
      <c r="G99" s="49" t="s">
        <v>127</v>
      </c>
      <c r="H99" s="46">
        <f>'ПРИЛОЖЕНИЕ № 6 (расх)'!I82</f>
        <v>900</v>
      </c>
      <c r="I99" s="46">
        <v>900</v>
      </c>
      <c r="J99" s="158"/>
      <c r="K99" s="156"/>
    </row>
    <row r="100" spans="1:11" s="50" customFormat="1" ht="25.5">
      <c r="A100" s="369" t="s">
        <v>128</v>
      </c>
      <c r="B100" s="501"/>
      <c r="C100" s="49" t="s">
        <v>39</v>
      </c>
      <c r="D100" s="49" t="s">
        <v>53</v>
      </c>
      <c r="E100" s="691" t="s">
        <v>104</v>
      </c>
      <c r="F100" s="692" t="s">
        <v>105</v>
      </c>
      <c r="G100" s="49" t="s">
        <v>129</v>
      </c>
      <c r="H100" s="46">
        <f>'ПРИЛОЖЕНИЕ № 6 (расх)'!I83</f>
        <v>182.1</v>
      </c>
      <c r="I100" s="46">
        <v>182.1</v>
      </c>
      <c r="J100" s="158"/>
      <c r="K100" s="156"/>
    </row>
    <row r="101" spans="1:11" s="50" customFormat="1" ht="40.5">
      <c r="A101" s="368" t="str">
        <f>'ПРИЛОЖЕНИЕ № 6 (расх)'!A75</f>
        <v>Расходы за счет субсидий бюджетам городских округов на организацию  дополнительного профессионального образования для лиц, замещающих муниципальные должности в Магаданской области</v>
      </c>
      <c r="B101" s="501"/>
      <c r="C101" s="48" t="s">
        <v>39</v>
      </c>
      <c r="D101" s="461" t="s">
        <v>53</v>
      </c>
      <c r="E101" s="690" t="s">
        <v>98</v>
      </c>
      <c r="F101" s="689" t="s">
        <v>210</v>
      </c>
      <c r="G101" s="462"/>
      <c r="H101" s="45">
        <f>SUM(H102:H103)</f>
        <v>35.5</v>
      </c>
      <c r="I101" s="317">
        <f>SUM(I102:I103)</f>
        <v>35.5</v>
      </c>
      <c r="J101" s="158"/>
      <c r="K101" s="156"/>
    </row>
    <row r="102" spans="1:11" s="50" customFormat="1" ht="12.75">
      <c r="A102" s="369" t="s">
        <v>126</v>
      </c>
      <c r="B102" s="501"/>
      <c r="C102" s="49" t="s">
        <v>39</v>
      </c>
      <c r="D102" s="471" t="s">
        <v>53</v>
      </c>
      <c r="E102" s="693" t="s">
        <v>98</v>
      </c>
      <c r="F102" s="703" t="s">
        <v>210</v>
      </c>
      <c r="G102" s="49" t="s">
        <v>127</v>
      </c>
      <c r="H102" s="46">
        <f>'ПРИЛОЖЕНИЕ № 6 (расх)'!I76</f>
        <v>15.5</v>
      </c>
      <c r="I102" s="674">
        <v>15.5</v>
      </c>
      <c r="J102" s="158"/>
      <c r="K102" s="156"/>
    </row>
    <row r="103" spans="1:11" s="50" customFormat="1" ht="25.5">
      <c r="A103" s="369" t="s">
        <v>128</v>
      </c>
      <c r="B103" s="501"/>
      <c r="C103" s="49" t="s">
        <v>39</v>
      </c>
      <c r="D103" s="471" t="s">
        <v>53</v>
      </c>
      <c r="E103" s="693" t="s">
        <v>98</v>
      </c>
      <c r="F103" s="703" t="s">
        <v>210</v>
      </c>
      <c r="G103" s="49" t="s">
        <v>129</v>
      </c>
      <c r="H103" s="46">
        <f>'ПРИЛОЖЕНИЕ № 6 (расх)'!I77</f>
        <v>20</v>
      </c>
      <c r="I103" s="46">
        <v>20</v>
      </c>
      <c r="J103" s="158"/>
      <c r="K103" s="156"/>
    </row>
    <row r="104" spans="1:11" s="50" customFormat="1" ht="81">
      <c r="A104" s="368" t="str">
        <f>'ПРИЛОЖЕНИЕ № 6 (расх)'!A78</f>
        <v>Расходы за счет субсидий, предоставляемых в рамках реализации подпрограммы "Развитие государственной гражданской службы и муниципальной службы в Магаданской области" на 2017-2021 годы"  государственной  программы   Магаданской области "Развитие системы государственного и муниципального управления и профилактика коррупции в Магаданской области" на 2017-2021 годы"</v>
      </c>
      <c r="B104" s="501"/>
      <c r="C104" s="48" t="s">
        <v>39</v>
      </c>
      <c r="D104" s="48" t="s">
        <v>53</v>
      </c>
      <c r="E104" s="690" t="s">
        <v>98</v>
      </c>
      <c r="F104" s="689" t="s">
        <v>425</v>
      </c>
      <c r="G104" s="48"/>
      <c r="H104" s="45">
        <f>SUM(H105:H106)</f>
        <v>55</v>
      </c>
      <c r="I104" s="45">
        <f>SUM(I105:I106)</f>
        <v>100</v>
      </c>
      <c r="J104" s="158"/>
      <c r="K104" s="156"/>
    </row>
    <row r="105" spans="1:11" s="50" customFormat="1" ht="12.75">
      <c r="A105" s="369" t="s">
        <v>126</v>
      </c>
      <c r="B105" s="501"/>
      <c r="C105" s="49" t="s">
        <v>39</v>
      </c>
      <c r="D105" s="49" t="s">
        <v>53</v>
      </c>
      <c r="E105" s="691" t="s">
        <v>98</v>
      </c>
      <c r="F105" s="692" t="s">
        <v>425</v>
      </c>
      <c r="G105" s="49" t="s">
        <v>127</v>
      </c>
      <c r="H105" s="46">
        <f>'ПРИЛОЖЕНИЕ № 6 (расх)'!I79</f>
        <v>15</v>
      </c>
      <c r="I105" s="46">
        <v>40</v>
      </c>
      <c r="J105" s="158"/>
      <c r="K105" s="156"/>
    </row>
    <row r="106" spans="1:11" s="50" customFormat="1" ht="25.5">
      <c r="A106" s="369" t="s">
        <v>128</v>
      </c>
      <c r="B106" s="501"/>
      <c r="C106" s="49" t="s">
        <v>39</v>
      </c>
      <c r="D106" s="49" t="s">
        <v>53</v>
      </c>
      <c r="E106" s="691" t="s">
        <v>98</v>
      </c>
      <c r="F106" s="692" t="s">
        <v>425</v>
      </c>
      <c r="G106" s="49" t="s">
        <v>129</v>
      </c>
      <c r="H106" s="46">
        <f>'ПРИЛОЖЕНИЕ № 6 (расх)'!I80</f>
        <v>40</v>
      </c>
      <c r="I106" s="46">
        <v>60</v>
      </c>
      <c r="J106" s="158"/>
      <c r="K106" s="156"/>
    </row>
    <row r="107" spans="1:11" s="50" customFormat="1" ht="14.25">
      <c r="A107" s="353" t="s">
        <v>134</v>
      </c>
      <c r="B107" s="501"/>
      <c r="C107" s="213" t="s">
        <v>42</v>
      </c>
      <c r="D107" s="214"/>
      <c r="E107" s="809"/>
      <c r="F107" s="810"/>
      <c r="G107" s="214"/>
      <c r="H107" s="349">
        <f>H108</f>
        <v>375.5</v>
      </c>
      <c r="I107" s="360">
        <f>I108</f>
        <v>375.5</v>
      </c>
      <c r="J107" s="158"/>
      <c r="K107" s="156"/>
    </row>
    <row r="108" spans="1:11" s="50" customFormat="1" ht="14.25">
      <c r="A108" s="370" t="s">
        <v>133</v>
      </c>
      <c r="B108" s="501"/>
      <c r="C108" s="215" t="s">
        <v>42</v>
      </c>
      <c r="D108" s="215" t="s">
        <v>40</v>
      </c>
      <c r="E108" s="795"/>
      <c r="F108" s="796"/>
      <c r="G108" s="216"/>
      <c r="H108" s="312">
        <f>H109</f>
        <v>375.5</v>
      </c>
      <c r="I108" s="312">
        <f>I109</f>
        <v>375.5</v>
      </c>
      <c r="J108" s="158"/>
      <c r="K108" s="156"/>
    </row>
    <row r="109" spans="1:11" s="50" customFormat="1" ht="27">
      <c r="A109" s="368" t="s">
        <v>124</v>
      </c>
      <c r="B109" s="501"/>
      <c r="C109" s="31" t="s">
        <v>42</v>
      </c>
      <c r="D109" s="31" t="s">
        <v>40</v>
      </c>
      <c r="E109" s="690" t="s">
        <v>509</v>
      </c>
      <c r="F109" s="689" t="s">
        <v>125</v>
      </c>
      <c r="G109" s="31"/>
      <c r="H109" s="32">
        <f>SUM(H110:H111)</f>
        <v>375.5</v>
      </c>
      <c r="I109" s="45">
        <f>SUM(I110:I111)</f>
        <v>375.5</v>
      </c>
      <c r="J109" s="158"/>
      <c r="K109" s="156"/>
    </row>
    <row r="110" spans="1:11" s="50" customFormat="1" ht="12.75">
      <c r="A110" s="367" t="s">
        <v>126</v>
      </c>
      <c r="B110" s="501"/>
      <c r="C110" s="36" t="s">
        <v>42</v>
      </c>
      <c r="D110" s="36" t="s">
        <v>40</v>
      </c>
      <c r="E110" s="691" t="s">
        <v>509</v>
      </c>
      <c r="F110" s="692" t="s">
        <v>125</v>
      </c>
      <c r="G110" s="36" t="s">
        <v>127</v>
      </c>
      <c r="H110" s="37">
        <f>'ПРИЛОЖЕНИЕ № 6 (расх)'!I87</f>
        <v>360</v>
      </c>
      <c r="I110" s="37">
        <v>360</v>
      </c>
      <c r="J110" s="158"/>
      <c r="K110" s="156"/>
    </row>
    <row r="111" spans="1:11" s="50" customFormat="1" ht="26.25" thickBot="1">
      <c r="A111" s="369" t="s">
        <v>128</v>
      </c>
      <c r="B111" s="501"/>
      <c r="C111" s="36" t="s">
        <v>42</v>
      </c>
      <c r="D111" s="36" t="s">
        <v>40</v>
      </c>
      <c r="E111" s="691" t="s">
        <v>509</v>
      </c>
      <c r="F111" s="692" t="s">
        <v>125</v>
      </c>
      <c r="G111" s="36" t="s">
        <v>129</v>
      </c>
      <c r="H111" s="685">
        <f>'ПРИЛОЖЕНИЕ № 6 (расх)'!I88</f>
        <v>15.5</v>
      </c>
      <c r="I111" s="37">
        <v>15.5</v>
      </c>
      <c r="J111" s="158"/>
      <c r="K111" s="156"/>
    </row>
    <row r="112" spans="1:11" s="29" customFormat="1" ht="29.25" thickBot="1">
      <c r="A112" s="353" t="s">
        <v>16</v>
      </c>
      <c r="B112" s="159"/>
      <c r="C112" s="52" t="s">
        <v>40</v>
      </c>
      <c r="D112" s="52"/>
      <c r="E112" s="809"/>
      <c r="F112" s="810"/>
      <c r="G112" s="52"/>
      <c r="H112" s="324">
        <f>H113+H123</f>
        <v>1869.5</v>
      </c>
      <c r="I112" s="457">
        <f>I113</f>
        <v>0</v>
      </c>
      <c r="J112" s="151">
        <f>I112/H112</f>
        <v>0</v>
      </c>
      <c r="K112" s="24"/>
    </row>
    <row r="113" spans="1:10" s="78" customFormat="1" ht="28.5">
      <c r="A113" s="371" t="s">
        <v>107</v>
      </c>
      <c r="B113" s="65" t="s">
        <v>4</v>
      </c>
      <c r="C113" s="40" t="s">
        <v>40</v>
      </c>
      <c r="D113" s="40" t="s">
        <v>45</v>
      </c>
      <c r="E113" s="795"/>
      <c r="F113" s="796"/>
      <c r="G113" s="40"/>
      <c r="H113" s="27">
        <f>H114+H118</f>
        <v>1719.5</v>
      </c>
      <c r="I113" s="279">
        <f>I115+I119</f>
        <v>0</v>
      </c>
      <c r="J113" s="28">
        <f>I113/H113</f>
        <v>0</v>
      </c>
    </row>
    <row r="114" spans="1:10" s="47" customFormat="1" ht="28.5">
      <c r="A114" s="724" t="str">
        <f>'ПРИЛОЖЕНИЕ № 6 (расх)'!A91</f>
        <v>Предупреждение и ликвидация последствий чрезвычайных ситуаций и стихийных бедствий</v>
      </c>
      <c r="B114" s="160"/>
      <c r="C114" s="48" t="s">
        <v>40</v>
      </c>
      <c r="D114" s="48" t="s">
        <v>45</v>
      </c>
      <c r="E114" s="690" t="s">
        <v>108</v>
      </c>
      <c r="F114" s="689" t="s">
        <v>95</v>
      </c>
      <c r="G114" s="171"/>
      <c r="H114" s="734">
        <f>H115</f>
        <v>1128.8</v>
      </c>
      <c r="I114" s="735"/>
      <c r="J114" s="161"/>
    </row>
    <row r="115" spans="1:10" s="55" customFormat="1" ht="27">
      <c r="A115" s="368" t="s">
        <v>51</v>
      </c>
      <c r="B115" s="53">
        <v>503</v>
      </c>
      <c r="C115" s="48" t="s">
        <v>40</v>
      </c>
      <c r="D115" s="48" t="s">
        <v>45</v>
      </c>
      <c r="E115" s="690" t="s">
        <v>108</v>
      </c>
      <c r="F115" s="689" t="str">
        <f>'ПРИЛОЖЕНИЕ № 6 (расх)'!F92</f>
        <v>00309</v>
      </c>
      <c r="G115" s="48"/>
      <c r="H115" s="32">
        <f>SUM(H116:H117)</f>
        <v>1128.8</v>
      </c>
      <c r="I115" s="277">
        <f>SUM(I116:I117)</f>
        <v>0</v>
      </c>
      <c r="J115" s="54">
        <f>I115/H115</f>
        <v>0</v>
      </c>
    </row>
    <row r="116" spans="1:10" s="58" customFormat="1" ht="25.5">
      <c r="A116" s="369" t="s">
        <v>128</v>
      </c>
      <c r="B116" s="56" t="s">
        <v>4</v>
      </c>
      <c r="C116" s="49" t="s">
        <v>40</v>
      </c>
      <c r="D116" s="49" t="s">
        <v>45</v>
      </c>
      <c r="E116" s="691" t="s">
        <v>108</v>
      </c>
      <c r="F116" s="692" t="str">
        <f>'ПРИЛОЖЕНИЕ № 6 (расх)'!F93</f>
        <v>00309</v>
      </c>
      <c r="G116" s="49" t="s">
        <v>129</v>
      </c>
      <c r="H116" s="37">
        <f>'ПРИЛОЖЕНИЕ № 6 (расх)'!I93</f>
        <v>900</v>
      </c>
      <c r="I116" s="278"/>
      <c r="J116" s="57">
        <f>I116/H116</f>
        <v>0</v>
      </c>
    </row>
    <row r="117" spans="1:10" s="29" customFormat="1" ht="38.25">
      <c r="A117" s="369" t="s">
        <v>327</v>
      </c>
      <c r="B117" s="59" t="s">
        <v>4</v>
      </c>
      <c r="C117" s="49" t="s">
        <v>40</v>
      </c>
      <c r="D117" s="49" t="s">
        <v>45</v>
      </c>
      <c r="E117" s="691" t="s">
        <v>108</v>
      </c>
      <c r="F117" s="692" t="str">
        <f>'ПРИЛОЖЕНИЕ № 6 (расх)'!F94</f>
        <v>00309</v>
      </c>
      <c r="G117" s="49" t="s">
        <v>84</v>
      </c>
      <c r="H117" s="37">
        <f>'ПРИЛОЖЕНИЕ № 6 (расх)'!I94</f>
        <v>228.8</v>
      </c>
      <c r="I117" s="278"/>
      <c r="J117" s="60">
        <f>I117/H117</f>
        <v>0</v>
      </c>
    </row>
    <row r="118" spans="1:10" s="29" customFormat="1" ht="38.25">
      <c r="A118" s="369" t="str">
        <f>'ПРИЛОЖЕНИЕ № 6 (расх)'!A95</f>
        <v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</v>
      </c>
      <c r="B118" s="59"/>
      <c r="C118" s="93" t="s">
        <v>40</v>
      </c>
      <c r="D118" s="93" t="s">
        <v>45</v>
      </c>
      <c r="E118" s="690" t="str">
        <f>'ПРИЛОЖЕНИЕ № 6 (расх)'!E95</f>
        <v>01000</v>
      </c>
      <c r="F118" s="689" t="s">
        <v>95</v>
      </c>
      <c r="G118" s="49"/>
      <c r="H118" s="32">
        <f>H119</f>
        <v>590.7</v>
      </c>
      <c r="I118" s="278"/>
      <c r="J118" s="60"/>
    </row>
    <row r="119" spans="1:12" s="29" customFormat="1" ht="54">
      <c r="A119" s="347" t="s">
        <v>309</v>
      </c>
      <c r="B119" s="59"/>
      <c r="C119" s="93" t="s">
        <v>40</v>
      </c>
      <c r="D119" s="93" t="s">
        <v>45</v>
      </c>
      <c r="E119" s="690" t="s">
        <v>289</v>
      </c>
      <c r="F119" s="689" t="s">
        <v>95</v>
      </c>
      <c r="G119" s="93"/>
      <c r="H119" s="84">
        <f>H120</f>
        <v>590.7</v>
      </c>
      <c r="I119" s="283">
        <f>SUM(I122)</f>
        <v>0</v>
      </c>
      <c r="J119" s="60"/>
      <c r="L119" s="430"/>
    </row>
    <row r="120" spans="1:12" s="29" customFormat="1" ht="40.5">
      <c r="A120" s="347" t="str">
        <f>'ПРИЛОЖЕНИЕ № 6 (расх)'!A97</f>
        <v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годы", руслоформирование</v>
      </c>
      <c r="B120" s="59"/>
      <c r="C120" s="93" t="s">
        <v>40</v>
      </c>
      <c r="D120" s="93" t="s">
        <v>45</v>
      </c>
      <c r="E120" s="695" t="s">
        <v>289</v>
      </c>
      <c r="F120" s="696" t="str">
        <f>'ПРИЛОЖЕНИЕ № 6 (расх)'!F97</f>
        <v>00003</v>
      </c>
      <c r="G120" s="93"/>
      <c r="H120" s="84">
        <f>SUM(H121:H122)</f>
        <v>590.7</v>
      </c>
      <c r="I120" s="283"/>
      <c r="J120" s="60"/>
      <c r="L120" s="430"/>
    </row>
    <row r="121" spans="1:10" s="29" customFormat="1" ht="25.5">
      <c r="A121" s="369" t="s">
        <v>128</v>
      </c>
      <c r="B121" s="59"/>
      <c r="C121" s="94" t="s">
        <v>40</v>
      </c>
      <c r="D121" s="94" t="s">
        <v>45</v>
      </c>
      <c r="E121" s="691" t="s">
        <v>289</v>
      </c>
      <c r="F121" s="692" t="str">
        <f>'ПРИЛОЖЕНИЕ № 6 (расх)'!F98</f>
        <v>00003</v>
      </c>
      <c r="G121" s="94" t="s">
        <v>129</v>
      </c>
      <c r="H121" s="72">
        <f>'ПРИЛОЖЕНИЕ № 6 (расх)'!I98</f>
        <v>140.7</v>
      </c>
      <c r="I121" s="283"/>
      <c r="J121" s="60"/>
    </row>
    <row r="122" spans="1:10" s="29" customFormat="1" ht="29.25" customHeight="1">
      <c r="A122" s="369" t="s">
        <v>327</v>
      </c>
      <c r="B122" s="59"/>
      <c r="C122" s="94" t="s">
        <v>40</v>
      </c>
      <c r="D122" s="94" t="s">
        <v>45</v>
      </c>
      <c r="E122" s="691" t="s">
        <v>289</v>
      </c>
      <c r="F122" s="692" t="str">
        <f>'ПРИЛОЖЕНИЕ № 6 (расх)'!F99</f>
        <v>00003</v>
      </c>
      <c r="G122" s="94" t="s">
        <v>84</v>
      </c>
      <c r="H122" s="72">
        <f>'ПРИЛОЖЕНИЕ № 6 (расх)'!I99</f>
        <v>450</v>
      </c>
      <c r="I122" s="284"/>
      <c r="J122" s="60"/>
    </row>
    <row r="123" spans="1:10" s="29" customFormat="1" ht="28.5">
      <c r="A123" s="371" t="s">
        <v>136</v>
      </c>
      <c r="B123" s="59"/>
      <c r="C123" s="219" t="s">
        <v>40</v>
      </c>
      <c r="D123" s="219" t="s">
        <v>49</v>
      </c>
      <c r="E123" s="795"/>
      <c r="F123" s="796"/>
      <c r="G123" s="218"/>
      <c r="H123" s="323">
        <f>H124</f>
        <v>150</v>
      </c>
      <c r="I123" s="286">
        <f>I125</f>
        <v>100</v>
      </c>
      <c r="J123" s="60"/>
    </row>
    <row r="124" spans="1:10" s="50" customFormat="1" ht="42.75">
      <c r="A124" s="724" t="str">
        <f>'ПРИЛОЖЕНИЕ № 6 (расх)'!A101</f>
        <v>Реализация муниципальной программы "Профилактика терроризма и экстремизма в муниципальном образовании «Среднеканский городской округ» на 2017 - 2019 годы"</v>
      </c>
      <c r="B124" s="504"/>
      <c r="C124" s="61" t="s">
        <v>40</v>
      </c>
      <c r="D124" s="61" t="s">
        <v>49</v>
      </c>
      <c r="E124" s="690" t="str">
        <f>'ПРИЛОЖЕНИЕ № 6 (расх)'!E101</f>
        <v>08000</v>
      </c>
      <c r="F124" s="689" t="s">
        <v>95</v>
      </c>
      <c r="G124" s="94"/>
      <c r="H124" s="327">
        <f>H125</f>
        <v>150</v>
      </c>
      <c r="I124" s="293"/>
      <c r="J124" s="740"/>
    </row>
    <row r="125" spans="1:12" s="29" customFormat="1" ht="40.5">
      <c r="A125" s="347" t="str">
        <f>'ПРИЛОЖЕНИЕ № 6 (расх)'!A102</f>
        <v>Реализация муниципальной программы "Профилактика терроризма и экстремизма в муниципальном образовании «Среднеканский городской округ» на 2017 - 2019 годы", техническое обеспечение</v>
      </c>
      <c r="B125" s="59"/>
      <c r="C125" s="61" t="s">
        <v>40</v>
      </c>
      <c r="D125" s="61" t="s">
        <v>49</v>
      </c>
      <c r="E125" s="690" t="s">
        <v>389</v>
      </c>
      <c r="F125" s="689" t="s">
        <v>95</v>
      </c>
      <c r="G125" s="61"/>
      <c r="H125" s="84">
        <f>H126</f>
        <v>150</v>
      </c>
      <c r="I125" s="282">
        <f>I127</f>
        <v>100</v>
      </c>
      <c r="J125" s="60"/>
      <c r="L125" s="430"/>
    </row>
    <row r="126" spans="1:12" s="29" customFormat="1" ht="40.5">
      <c r="A126" s="347" t="str">
        <f>'ПРИЛОЖЕНИЕ № 6 (расх)'!A103</f>
        <v>Реализация муниципальной программы "Профилактика терроризма и экстремизма в муниципальном образовании «Среднеканский городской округ» на 2017 - 2019 годы", система видеонаблюдения</v>
      </c>
      <c r="B126" s="453"/>
      <c r="C126" s="64" t="s">
        <v>40</v>
      </c>
      <c r="D126" s="64" t="s">
        <v>49</v>
      </c>
      <c r="E126" s="690" t="str">
        <f>'ПРИЛОЖЕНИЕ № 6 (расх)'!E103</f>
        <v>08002</v>
      </c>
      <c r="F126" s="689" t="str">
        <f>'ПРИЛОЖЕНИЕ № 6 (расх)'!F103</f>
        <v>00005</v>
      </c>
      <c r="G126" s="61"/>
      <c r="H126" s="741">
        <f>H127</f>
        <v>150</v>
      </c>
      <c r="I126" s="282"/>
      <c r="J126" s="60"/>
      <c r="L126" s="430"/>
    </row>
    <row r="127" spans="1:10" s="29" customFormat="1" ht="26.25" thickBot="1">
      <c r="A127" s="367" t="s">
        <v>128</v>
      </c>
      <c r="B127" s="453"/>
      <c r="C127" s="64" t="s">
        <v>40</v>
      </c>
      <c r="D127" s="64" t="s">
        <v>49</v>
      </c>
      <c r="E127" s="691" t="s">
        <v>389</v>
      </c>
      <c r="F127" s="692" t="str">
        <f>'ПРИЛОЖЕНИЕ № 6 (расх)'!F104</f>
        <v>00005</v>
      </c>
      <c r="G127" s="64" t="s">
        <v>129</v>
      </c>
      <c r="H127" s="441">
        <f>'ПРИЛОЖЕНИЕ № 6 (расх)'!I104</f>
        <v>150</v>
      </c>
      <c r="I127" s="284">
        <v>100</v>
      </c>
      <c r="J127" s="60"/>
    </row>
    <row r="128" spans="1:11" s="29" customFormat="1" ht="15" thickBot="1">
      <c r="A128" s="443" t="s">
        <v>17</v>
      </c>
      <c r="B128" s="455"/>
      <c r="C128" s="150" t="s">
        <v>12</v>
      </c>
      <c r="D128" s="150"/>
      <c r="E128" s="793"/>
      <c r="F128" s="794"/>
      <c r="G128" s="150"/>
      <c r="H128" s="456">
        <f>H129+H142+H146+H151+H135</f>
        <v>11279.6</v>
      </c>
      <c r="I128" s="265" t="e">
        <f>#REF!</f>
        <v>#REF!</v>
      </c>
      <c r="J128" s="28" t="e">
        <f>I128/H128</f>
        <v>#REF!</v>
      </c>
      <c r="K128" s="24"/>
    </row>
    <row r="129" spans="1:11" s="50" customFormat="1" ht="14.25">
      <c r="A129" s="246" t="s">
        <v>135</v>
      </c>
      <c r="B129" s="502"/>
      <c r="C129" s="503" t="s">
        <v>12</v>
      </c>
      <c r="D129" s="503" t="s">
        <v>41</v>
      </c>
      <c r="E129" s="813"/>
      <c r="F129" s="814"/>
      <c r="G129" s="503"/>
      <c r="H129" s="454">
        <f>H132+H130</f>
        <v>298</v>
      </c>
      <c r="I129" s="287" t="e">
        <f>#REF!</f>
        <v>#REF!</v>
      </c>
      <c r="J129" s="161"/>
      <c r="K129" s="156"/>
    </row>
    <row r="130" spans="1:11" s="50" customFormat="1" ht="27">
      <c r="A130" s="372" t="s">
        <v>452</v>
      </c>
      <c r="B130" s="502"/>
      <c r="C130" s="48" t="s">
        <v>12</v>
      </c>
      <c r="D130" s="48" t="s">
        <v>41</v>
      </c>
      <c r="E130" s="690" t="s">
        <v>451</v>
      </c>
      <c r="F130" s="689" t="s">
        <v>450</v>
      </c>
      <c r="G130" s="48"/>
      <c r="H130" s="45">
        <f>H131</f>
        <v>10</v>
      </c>
      <c r="I130" s="45">
        <f>I131</f>
        <v>5</v>
      </c>
      <c r="J130" s="161"/>
      <c r="K130" s="156"/>
    </row>
    <row r="131" spans="1:11" s="50" customFormat="1" ht="25.5">
      <c r="A131" s="398" t="s">
        <v>128</v>
      </c>
      <c r="B131" s="502"/>
      <c r="C131" s="49" t="s">
        <v>12</v>
      </c>
      <c r="D131" s="49" t="s">
        <v>41</v>
      </c>
      <c r="E131" s="693" t="s">
        <v>451</v>
      </c>
      <c r="F131" s="703" t="s">
        <v>450</v>
      </c>
      <c r="G131" s="49" t="s">
        <v>129</v>
      </c>
      <c r="H131" s="46">
        <f>'ПРИЛОЖЕНИЕ № 6 (расх)'!I108</f>
        <v>10</v>
      </c>
      <c r="I131" s="46">
        <v>5</v>
      </c>
      <c r="J131" s="161"/>
      <c r="K131" s="156"/>
    </row>
    <row r="132" spans="1:11" s="50" customFormat="1" ht="27">
      <c r="A132" s="372" t="s">
        <v>384</v>
      </c>
      <c r="B132" s="502"/>
      <c r="C132" s="48" t="s">
        <v>12</v>
      </c>
      <c r="D132" s="48" t="s">
        <v>41</v>
      </c>
      <c r="E132" s="690" t="s">
        <v>377</v>
      </c>
      <c r="F132" s="689" t="s">
        <v>378</v>
      </c>
      <c r="G132" s="48"/>
      <c r="H132" s="45">
        <f>SUM(H133:H134)</f>
        <v>288</v>
      </c>
      <c r="I132" s="45">
        <f>SUM(I133:I134)</f>
        <v>288</v>
      </c>
      <c r="J132" s="161"/>
      <c r="K132" s="156"/>
    </row>
    <row r="133" spans="1:11" s="50" customFormat="1" ht="25.5">
      <c r="A133" s="398" t="s">
        <v>128</v>
      </c>
      <c r="B133" s="502"/>
      <c r="C133" s="49" t="s">
        <v>12</v>
      </c>
      <c r="D133" s="49" t="s">
        <v>41</v>
      </c>
      <c r="E133" s="693" t="s">
        <v>377</v>
      </c>
      <c r="F133" s="703" t="s">
        <v>378</v>
      </c>
      <c r="G133" s="49" t="s">
        <v>129</v>
      </c>
      <c r="H133" s="46">
        <f>'ПРИЛОЖЕНИЕ № 6 (расх)'!I110</f>
        <v>38</v>
      </c>
      <c r="I133" s="46">
        <v>38</v>
      </c>
      <c r="J133" s="161"/>
      <c r="K133" s="156"/>
    </row>
    <row r="134" spans="1:11" s="50" customFormat="1" ht="38.25">
      <c r="A134" s="369" t="s">
        <v>327</v>
      </c>
      <c r="B134" s="502"/>
      <c r="C134" s="49" t="s">
        <v>12</v>
      </c>
      <c r="D134" s="49" t="s">
        <v>41</v>
      </c>
      <c r="E134" s="693" t="s">
        <v>377</v>
      </c>
      <c r="F134" s="703" t="s">
        <v>378</v>
      </c>
      <c r="G134" s="49" t="s">
        <v>84</v>
      </c>
      <c r="H134" s="46">
        <f>'ПРИЛОЖЕНИЕ № 6 (расх)'!I111</f>
        <v>250</v>
      </c>
      <c r="I134" s="46">
        <v>250</v>
      </c>
      <c r="J134" s="161"/>
      <c r="K134" s="156"/>
    </row>
    <row r="135" spans="1:11" s="50" customFormat="1" ht="14.25">
      <c r="A135" s="672" t="s">
        <v>74</v>
      </c>
      <c r="B135" s="502"/>
      <c r="C135" s="307" t="s">
        <v>12</v>
      </c>
      <c r="D135" s="307" t="s">
        <v>43</v>
      </c>
      <c r="E135" s="795"/>
      <c r="F135" s="796"/>
      <c r="G135" s="307"/>
      <c r="H135" s="318">
        <f>H136+H139</f>
        <v>2000</v>
      </c>
      <c r="I135" s="318" t="e">
        <f>I139+#REF!</f>
        <v>#REF!</v>
      </c>
      <c r="J135" s="161"/>
      <c r="K135" s="156"/>
    </row>
    <row r="136" spans="1:13" s="50" customFormat="1" ht="40.5">
      <c r="A136" s="347" t="s">
        <v>444</v>
      </c>
      <c r="B136" s="502"/>
      <c r="C136" s="93" t="s">
        <v>12</v>
      </c>
      <c r="D136" s="93" t="s">
        <v>43</v>
      </c>
      <c r="E136" s="690" t="s">
        <v>289</v>
      </c>
      <c r="F136" s="689" t="s">
        <v>436</v>
      </c>
      <c r="G136" s="93"/>
      <c r="H136" s="677">
        <f>SUM(H137:H138)</f>
        <v>100</v>
      </c>
      <c r="I136" s="332">
        <f>SUM(I137:I138)</f>
        <v>500</v>
      </c>
      <c r="J136" s="161"/>
      <c r="K136" s="156"/>
      <c r="M136" s="654"/>
    </row>
    <row r="137" spans="1:11" s="50" customFormat="1" ht="14.25" customHeight="1">
      <c r="A137" s="369" t="s">
        <v>128</v>
      </c>
      <c r="B137" s="502"/>
      <c r="C137" s="49" t="s">
        <v>12</v>
      </c>
      <c r="D137" s="49" t="s">
        <v>43</v>
      </c>
      <c r="E137" s="691" t="s">
        <v>289</v>
      </c>
      <c r="F137" s="703" t="s">
        <v>436</v>
      </c>
      <c r="G137" s="49" t="s">
        <v>129</v>
      </c>
      <c r="H137" s="676">
        <f>'ПРИЛОЖЕНИЕ № 6 (расх)'!I114</f>
        <v>50</v>
      </c>
      <c r="I137" s="241">
        <v>400</v>
      </c>
      <c r="J137" s="161"/>
      <c r="K137" s="156"/>
    </row>
    <row r="138" spans="1:11" s="50" customFormat="1" ht="14.25" customHeight="1">
      <c r="A138" s="369" t="s">
        <v>327</v>
      </c>
      <c r="B138" s="502"/>
      <c r="C138" s="49" t="s">
        <v>12</v>
      </c>
      <c r="D138" s="49" t="s">
        <v>43</v>
      </c>
      <c r="E138" s="691" t="s">
        <v>289</v>
      </c>
      <c r="F138" s="703" t="s">
        <v>436</v>
      </c>
      <c r="G138" s="49" t="s">
        <v>84</v>
      </c>
      <c r="H138" s="676">
        <f>'ПРИЛОЖЕНИЕ № 6 (расх)'!I115</f>
        <v>50</v>
      </c>
      <c r="I138" s="241">
        <v>100</v>
      </c>
      <c r="J138" s="161"/>
      <c r="K138" s="156"/>
    </row>
    <row r="139" spans="1:11" s="50" customFormat="1" ht="54">
      <c r="A139" s="387" t="s">
        <v>443</v>
      </c>
      <c r="B139" s="502"/>
      <c r="C139" s="93" t="s">
        <v>12</v>
      </c>
      <c r="D139" s="93" t="s">
        <v>43</v>
      </c>
      <c r="E139" s="690" t="s">
        <v>289</v>
      </c>
      <c r="F139" s="696" t="s">
        <v>435</v>
      </c>
      <c r="G139" s="93"/>
      <c r="H139" s="677">
        <f>SUM(H140:H141)</f>
        <v>1900</v>
      </c>
      <c r="I139" s="332">
        <f>SUM(I140:I141)</f>
        <v>1900</v>
      </c>
      <c r="J139" s="161"/>
      <c r="K139" s="156"/>
    </row>
    <row r="140" spans="1:11" s="50" customFormat="1" ht="25.5">
      <c r="A140" s="369" t="s">
        <v>128</v>
      </c>
      <c r="B140" s="502"/>
      <c r="C140" s="49" t="s">
        <v>12</v>
      </c>
      <c r="D140" s="49" t="s">
        <v>43</v>
      </c>
      <c r="E140" s="693" t="s">
        <v>289</v>
      </c>
      <c r="F140" s="692" t="s">
        <v>435</v>
      </c>
      <c r="G140" s="49" t="s">
        <v>129</v>
      </c>
      <c r="H140" s="676">
        <f>'ПРИЛОЖЕНИЕ № 6 (расх)'!I117</f>
        <v>200</v>
      </c>
      <c r="I140" s="241">
        <v>200</v>
      </c>
      <c r="J140" s="161"/>
      <c r="K140" s="156"/>
    </row>
    <row r="141" spans="1:11" s="50" customFormat="1" ht="38.25">
      <c r="A141" s="369" t="s">
        <v>327</v>
      </c>
      <c r="B141" s="502"/>
      <c r="C141" s="49" t="s">
        <v>12</v>
      </c>
      <c r="D141" s="49" t="s">
        <v>43</v>
      </c>
      <c r="E141" s="691" t="s">
        <v>289</v>
      </c>
      <c r="F141" s="692" t="s">
        <v>435</v>
      </c>
      <c r="G141" s="49" t="s">
        <v>84</v>
      </c>
      <c r="H141" s="676">
        <f>'ПРИЛОЖЕНИЕ № 6 (расх)'!I118</f>
        <v>1700</v>
      </c>
      <c r="I141" s="241">
        <v>1700</v>
      </c>
      <c r="J141" s="161"/>
      <c r="K141" s="156"/>
    </row>
    <row r="142" spans="1:11" s="50" customFormat="1" ht="14.25">
      <c r="A142" s="365" t="s">
        <v>18</v>
      </c>
      <c r="B142" s="334"/>
      <c r="C142" s="335" t="s">
        <v>12</v>
      </c>
      <c r="D142" s="335" t="s">
        <v>44</v>
      </c>
      <c r="E142" s="795"/>
      <c r="F142" s="796"/>
      <c r="G142" s="335"/>
      <c r="H142" s="336">
        <f>H143</f>
        <v>2160</v>
      </c>
      <c r="I142" s="279">
        <f>I143</f>
        <v>0</v>
      </c>
      <c r="J142" s="161"/>
      <c r="K142" s="156"/>
    </row>
    <row r="143" spans="1:11" s="50" customFormat="1" ht="41.25" customHeight="1">
      <c r="A143" s="347" t="s">
        <v>306</v>
      </c>
      <c r="B143" s="160"/>
      <c r="C143" s="48" t="s">
        <v>12</v>
      </c>
      <c r="D143" s="48" t="s">
        <v>44</v>
      </c>
      <c r="E143" s="690" t="s">
        <v>292</v>
      </c>
      <c r="F143" s="689" t="s">
        <v>95</v>
      </c>
      <c r="G143" s="48"/>
      <c r="H143" s="316">
        <f>H144</f>
        <v>2160</v>
      </c>
      <c r="I143" s="277">
        <f>I145</f>
        <v>0</v>
      </c>
      <c r="J143" s="161"/>
      <c r="K143" s="156"/>
    </row>
    <row r="144" spans="1:11" s="50" customFormat="1" ht="41.25" customHeight="1">
      <c r="A144" s="347" t="str">
        <f>'ПРИЛОЖЕНИЕ № 6 (расх)'!A121</f>
        <v>Создание условий для предоставления транспортных услуг населению и организация транспортного обслуживания населения в границах городского округа</v>
      </c>
      <c r="B144" s="160"/>
      <c r="C144" s="49" t="s">
        <v>12</v>
      </c>
      <c r="D144" s="49" t="s">
        <v>44</v>
      </c>
      <c r="E144" s="693" t="s">
        <v>292</v>
      </c>
      <c r="F144" s="689" t="str">
        <f>'ПРИЛОЖЕНИЕ № 6 (расх)'!F121</f>
        <v>00408</v>
      </c>
      <c r="G144" s="48"/>
      <c r="H144" s="316">
        <f>H145</f>
        <v>2160</v>
      </c>
      <c r="I144" s="277"/>
      <c r="J144" s="161"/>
      <c r="K144" s="156"/>
    </row>
    <row r="145" spans="1:11" s="50" customFormat="1" ht="38.25">
      <c r="A145" s="369" t="s">
        <v>327</v>
      </c>
      <c r="B145" s="160"/>
      <c r="C145" s="49" t="s">
        <v>12</v>
      </c>
      <c r="D145" s="49" t="s">
        <v>44</v>
      </c>
      <c r="E145" s="693" t="s">
        <v>292</v>
      </c>
      <c r="F145" s="692" t="str">
        <f>'ПРИЛОЖЕНИЕ № 6 (расх)'!F122</f>
        <v>00408</v>
      </c>
      <c r="G145" s="49" t="s">
        <v>84</v>
      </c>
      <c r="H145" s="314">
        <f>'ПРИЛОЖЕНИЕ № 6 (расх)'!I122</f>
        <v>2160</v>
      </c>
      <c r="I145" s="278"/>
      <c r="J145" s="161"/>
      <c r="K145" s="156"/>
    </row>
    <row r="146" spans="1:11" s="50" customFormat="1" ht="14.25">
      <c r="A146" s="370" t="s">
        <v>55</v>
      </c>
      <c r="B146" s="334"/>
      <c r="C146" s="335" t="s">
        <v>12</v>
      </c>
      <c r="D146" s="335" t="s">
        <v>45</v>
      </c>
      <c r="E146" s="795"/>
      <c r="F146" s="796"/>
      <c r="G146" s="215"/>
      <c r="H146" s="313">
        <f>H147</f>
        <v>5025</v>
      </c>
      <c r="I146" s="278"/>
      <c r="J146" s="161"/>
      <c r="K146" s="156"/>
    </row>
    <row r="147" spans="1:11" s="50" customFormat="1" ht="12.75">
      <c r="A147" s="742" t="s">
        <v>528</v>
      </c>
      <c r="B147" s="160"/>
      <c r="C147" s="171" t="s">
        <v>12</v>
      </c>
      <c r="D147" s="171" t="s">
        <v>45</v>
      </c>
      <c r="E147" s="459" t="s">
        <v>109</v>
      </c>
      <c r="F147" s="460" t="s">
        <v>95</v>
      </c>
      <c r="G147" s="171"/>
      <c r="H147" s="493">
        <f>H148</f>
        <v>5025</v>
      </c>
      <c r="I147" s="493">
        <f>I148</f>
        <v>0</v>
      </c>
      <c r="J147" s="161"/>
      <c r="K147" s="156"/>
    </row>
    <row r="148" spans="1:11" s="50" customFormat="1" ht="13.5">
      <c r="A148" s="742" t="s">
        <v>110</v>
      </c>
      <c r="B148" s="160"/>
      <c r="C148" s="48" t="s">
        <v>12</v>
      </c>
      <c r="D148" s="48" t="s">
        <v>45</v>
      </c>
      <c r="E148" s="461" t="s">
        <v>109</v>
      </c>
      <c r="F148" s="462" t="s">
        <v>527</v>
      </c>
      <c r="G148" s="48"/>
      <c r="H148" s="45">
        <f>SUM(H149:H150)</f>
        <v>5025</v>
      </c>
      <c r="I148" s="45">
        <f>SUM(I149:I150)</f>
        <v>0</v>
      </c>
      <c r="J148" s="161"/>
      <c r="K148" s="156"/>
    </row>
    <row r="149" spans="1:11" s="50" customFormat="1" ht="25.5">
      <c r="A149" s="367" t="s">
        <v>128</v>
      </c>
      <c r="B149" s="160"/>
      <c r="C149" s="49" t="s">
        <v>12</v>
      </c>
      <c r="D149" s="49" t="s">
        <v>45</v>
      </c>
      <c r="E149" s="691" t="s">
        <v>109</v>
      </c>
      <c r="F149" s="692" t="s">
        <v>95</v>
      </c>
      <c r="G149" s="49" t="s">
        <v>129</v>
      </c>
      <c r="H149" s="314">
        <f>'ПРИЛОЖЕНИЕ № 6 (расх)'!I224</f>
        <v>3025</v>
      </c>
      <c r="I149" s="278"/>
      <c r="J149" s="161"/>
      <c r="K149" s="156"/>
    </row>
    <row r="150" spans="1:11" s="50" customFormat="1" ht="38.25">
      <c r="A150" s="367" t="s">
        <v>327</v>
      </c>
      <c r="B150" s="160"/>
      <c r="C150" s="49" t="s">
        <v>12</v>
      </c>
      <c r="D150" s="49" t="s">
        <v>45</v>
      </c>
      <c r="E150" s="691" t="s">
        <v>109</v>
      </c>
      <c r="F150" s="692" t="s">
        <v>95</v>
      </c>
      <c r="G150" s="49" t="s">
        <v>84</v>
      </c>
      <c r="H150" s="314">
        <f>'ПРИЛОЖЕНИЕ № 6 (расх)'!I225</f>
        <v>2000</v>
      </c>
      <c r="I150" s="278"/>
      <c r="J150" s="161"/>
      <c r="K150" s="156"/>
    </row>
    <row r="151" spans="1:11" s="50" customFormat="1" ht="14.25">
      <c r="A151" s="374" t="s">
        <v>52</v>
      </c>
      <c r="B151" s="334"/>
      <c r="C151" s="335" t="s">
        <v>12</v>
      </c>
      <c r="D151" s="335" t="s">
        <v>48</v>
      </c>
      <c r="E151" s="795"/>
      <c r="F151" s="796"/>
      <c r="G151" s="335"/>
      <c r="H151" s="336">
        <f>H152+H159+H161+H157</f>
        <v>1796.6</v>
      </c>
      <c r="I151" s="279" t="e">
        <f>#REF!+#REF!</f>
        <v>#REF!</v>
      </c>
      <c r="J151" s="161"/>
      <c r="K151" s="156"/>
    </row>
    <row r="152" spans="1:12" s="50" customFormat="1" ht="27">
      <c r="A152" s="372" t="s">
        <v>285</v>
      </c>
      <c r="B152" s="160"/>
      <c r="C152" s="48" t="s">
        <v>12</v>
      </c>
      <c r="D152" s="48" t="s">
        <v>48</v>
      </c>
      <c r="E152" s="690" t="s">
        <v>290</v>
      </c>
      <c r="F152" s="689" t="s">
        <v>95</v>
      </c>
      <c r="G152" s="171"/>
      <c r="H152" s="317">
        <f>H153+H155</f>
        <v>254</v>
      </c>
      <c r="I152" s="279">
        <v>254</v>
      </c>
      <c r="J152" s="161"/>
      <c r="K152" s="156"/>
      <c r="L152" s="654"/>
    </row>
    <row r="153" spans="1:12" s="50" customFormat="1" ht="27">
      <c r="A153" s="372" t="s">
        <v>512</v>
      </c>
      <c r="B153" s="160"/>
      <c r="C153" s="48" t="s">
        <v>12</v>
      </c>
      <c r="D153" s="48" t="s">
        <v>48</v>
      </c>
      <c r="E153" s="690" t="s">
        <v>290</v>
      </c>
      <c r="F153" s="689" t="s">
        <v>511</v>
      </c>
      <c r="G153" s="171"/>
      <c r="H153" s="317">
        <f>H154</f>
        <v>100</v>
      </c>
      <c r="I153" s="279">
        <v>100</v>
      </c>
      <c r="J153" s="161"/>
      <c r="K153" s="156"/>
      <c r="L153" s="654"/>
    </row>
    <row r="154" spans="1:12" s="50" customFormat="1" ht="38.25">
      <c r="A154" s="398" t="s">
        <v>327</v>
      </c>
      <c r="B154" s="504"/>
      <c r="C154" s="49" t="s">
        <v>12</v>
      </c>
      <c r="D154" s="49" t="s">
        <v>48</v>
      </c>
      <c r="E154" s="693" t="s">
        <v>290</v>
      </c>
      <c r="F154" s="703" t="s">
        <v>511</v>
      </c>
      <c r="G154" s="49" t="s">
        <v>84</v>
      </c>
      <c r="H154" s="315">
        <f>'ПРИЛОЖЕНИЕ № 6 (расх)'!I128</f>
        <v>100</v>
      </c>
      <c r="I154" s="279">
        <v>100</v>
      </c>
      <c r="J154" s="161"/>
      <c r="K154" s="156"/>
      <c r="L154" s="654"/>
    </row>
    <row r="155" spans="1:12" s="50" customFormat="1" ht="27">
      <c r="A155" s="372" t="s">
        <v>513</v>
      </c>
      <c r="B155" s="160"/>
      <c r="C155" s="48" t="s">
        <v>12</v>
      </c>
      <c r="D155" s="48" t="s">
        <v>48</v>
      </c>
      <c r="E155" s="690" t="s">
        <v>290</v>
      </c>
      <c r="F155" s="689" t="s">
        <v>510</v>
      </c>
      <c r="G155" s="171"/>
      <c r="H155" s="317">
        <f>H156</f>
        <v>154</v>
      </c>
      <c r="I155" s="279">
        <v>154</v>
      </c>
      <c r="J155" s="161"/>
      <c r="K155" s="156"/>
      <c r="L155" s="654"/>
    </row>
    <row r="156" spans="1:12" s="50" customFormat="1" ht="25.5">
      <c r="A156" s="398" t="s">
        <v>128</v>
      </c>
      <c r="B156" s="504"/>
      <c r="C156" s="49" t="s">
        <v>12</v>
      </c>
      <c r="D156" s="49" t="s">
        <v>48</v>
      </c>
      <c r="E156" s="693" t="s">
        <v>290</v>
      </c>
      <c r="F156" s="703" t="s">
        <v>510</v>
      </c>
      <c r="G156" s="49" t="s">
        <v>129</v>
      </c>
      <c r="H156" s="315">
        <f>'ПРИЛОЖЕНИЕ № 6 (расх)'!I130</f>
        <v>154</v>
      </c>
      <c r="I156" s="279">
        <v>154</v>
      </c>
      <c r="J156" s="161"/>
      <c r="K156" s="156"/>
      <c r="L156" s="654"/>
    </row>
    <row r="157" spans="1:11" s="50" customFormat="1" ht="54">
      <c r="A157" s="500" t="s">
        <v>532</v>
      </c>
      <c r="B157" s="666"/>
      <c r="C157" s="48" t="s">
        <v>12</v>
      </c>
      <c r="D157" s="48" t="s">
        <v>48</v>
      </c>
      <c r="E157" s="690" t="s">
        <v>177</v>
      </c>
      <c r="F157" s="689" t="s">
        <v>333</v>
      </c>
      <c r="G157" s="48"/>
      <c r="H157" s="45">
        <f>H158</f>
        <v>1</v>
      </c>
      <c r="I157" s="45">
        <f>I158</f>
        <v>1</v>
      </c>
      <c r="J157" s="541"/>
      <c r="K157" s="156"/>
    </row>
    <row r="158" spans="1:11" s="50" customFormat="1" ht="25.5">
      <c r="A158" s="369" t="s">
        <v>128</v>
      </c>
      <c r="B158" s="666"/>
      <c r="C158" s="49" t="s">
        <v>12</v>
      </c>
      <c r="D158" s="49" t="s">
        <v>48</v>
      </c>
      <c r="E158" s="693" t="s">
        <v>177</v>
      </c>
      <c r="F158" s="703" t="s">
        <v>333</v>
      </c>
      <c r="G158" s="49" t="s">
        <v>129</v>
      </c>
      <c r="H158" s="46">
        <f>'ПРИЛОЖЕНИЕ № 6 (расх)'!I125</f>
        <v>1</v>
      </c>
      <c r="I158" s="46">
        <v>1</v>
      </c>
      <c r="J158" s="541"/>
      <c r="K158" s="156"/>
    </row>
    <row r="159" spans="1:11" s="50" customFormat="1" ht="67.5">
      <c r="A159" s="372" t="s">
        <v>431</v>
      </c>
      <c r="B159" s="666"/>
      <c r="C159" s="48" t="s">
        <v>12</v>
      </c>
      <c r="D159" s="48" t="s">
        <v>48</v>
      </c>
      <c r="E159" s="690" t="s">
        <v>177</v>
      </c>
      <c r="F159" s="689" t="s">
        <v>332</v>
      </c>
      <c r="G159" s="48"/>
      <c r="H159" s="667">
        <f>H160</f>
        <v>300</v>
      </c>
      <c r="I159" s="45">
        <f>I160</f>
        <v>300</v>
      </c>
      <c r="J159" s="541"/>
      <c r="K159" s="156"/>
    </row>
    <row r="160" spans="1:11" s="50" customFormat="1" ht="25.5">
      <c r="A160" s="369" t="s">
        <v>128</v>
      </c>
      <c r="B160" s="666"/>
      <c r="C160" s="49" t="s">
        <v>12</v>
      </c>
      <c r="D160" s="49" t="s">
        <v>48</v>
      </c>
      <c r="E160" s="693" t="s">
        <v>177</v>
      </c>
      <c r="F160" s="703" t="s">
        <v>332</v>
      </c>
      <c r="G160" s="49" t="s">
        <v>129</v>
      </c>
      <c r="H160" s="661">
        <f>'ПРИЛОЖЕНИЕ № 6 (расх)'!I132</f>
        <v>300</v>
      </c>
      <c r="I160" s="46">
        <v>300</v>
      </c>
      <c r="J160" s="541"/>
      <c r="K160" s="156"/>
    </row>
    <row r="161" spans="1:11" s="50" customFormat="1" ht="81">
      <c r="A161" s="375" t="s">
        <v>80</v>
      </c>
      <c r="B161" s="666"/>
      <c r="C161" s="48" t="s">
        <v>12</v>
      </c>
      <c r="D161" s="48" t="s">
        <v>48</v>
      </c>
      <c r="E161" s="690" t="s">
        <v>111</v>
      </c>
      <c r="F161" s="689" t="s">
        <v>112</v>
      </c>
      <c r="G161" s="48"/>
      <c r="H161" s="45">
        <f>SUM(H162:H163)</f>
        <v>1241.6</v>
      </c>
      <c r="I161" s="45">
        <f>SUM(I162:I163)</f>
        <v>1241.6</v>
      </c>
      <c r="J161" s="541"/>
      <c r="K161" s="156"/>
    </row>
    <row r="162" spans="1:11" s="50" customFormat="1" ht="12.75">
      <c r="A162" s="367" t="s">
        <v>126</v>
      </c>
      <c r="B162" s="666"/>
      <c r="C162" s="36" t="s">
        <v>12</v>
      </c>
      <c r="D162" s="36" t="s">
        <v>48</v>
      </c>
      <c r="E162" s="691" t="s">
        <v>111</v>
      </c>
      <c r="F162" s="692" t="s">
        <v>112</v>
      </c>
      <c r="G162" s="36" t="s">
        <v>127</v>
      </c>
      <c r="H162" s="37">
        <f>'ПРИЛОЖЕНИЕ № 6 (расх)'!I134</f>
        <v>1000</v>
      </c>
      <c r="I162" s="37">
        <v>1000</v>
      </c>
      <c r="J162" s="541"/>
      <c r="K162" s="156"/>
    </row>
    <row r="163" spans="1:11" s="50" customFormat="1" ht="26.25" thickBot="1">
      <c r="A163" s="367" t="s">
        <v>128</v>
      </c>
      <c r="B163" s="666"/>
      <c r="C163" s="36" t="s">
        <v>12</v>
      </c>
      <c r="D163" s="36" t="s">
        <v>48</v>
      </c>
      <c r="E163" s="691" t="s">
        <v>111</v>
      </c>
      <c r="F163" s="692" t="s">
        <v>112</v>
      </c>
      <c r="G163" s="36" t="s">
        <v>129</v>
      </c>
      <c r="H163" s="37">
        <f>'ПРИЛОЖЕНИЕ № 6 (расх)'!I135</f>
        <v>241.6</v>
      </c>
      <c r="I163" s="37">
        <v>241.6</v>
      </c>
      <c r="J163" s="541"/>
      <c r="K163" s="156"/>
    </row>
    <row r="164" spans="1:10" s="82" customFormat="1" ht="15" thickBot="1">
      <c r="A164" s="66" t="s">
        <v>19</v>
      </c>
      <c r="B164" s="163"/>
      <c r="C164" s="164" t="s">
        <v>41</v>
      </c>
      <c r="D164" s="165"/>
      <c r="E164" s="793"/>
      <c r="F164" s="794"/>
      <c r="G164" s="165"/>
      <c r="H164" s="319">
        <f>H165+H174+H182+H201</f>
        <v>40369.520000000004</v>
      </c>
      <c r="I164" s="166" t="e">
        <f>#REF!+#REF!+I182</f>
        <v>#REF!</v>
      </c>
      <c r="J164" s="167" t="e">
        <f>I164/H164</f>
        <v>#REF!</v>
      </c>
    </row>
    <row r="165" spans="1:10" s="168" customFormat="1" ht="14.25">
      <c r="A165" s="386" t="s">
        <v>85</v>
      </c>
      <c r="B165" s="169"/>
      <c r="C165" s="70" t="s">
        <v>41</v>
      </c>
      <c r="D165" s="70" t="s">
        <v>39</v>
      </c>
      <c r="E165" s="791"/>
      <c r="F165" s="792"/>
      <c r="G165" s="70"/>
      <c r="H165" s="452">
        <f>H166+H168+H172+H170</f>
        <v>18054.6</v>
      </c>
      <c r="I165" s="288" t="e">
        <f>I166</f>
        <v>#REF!</v>
      </c>
      <c r="J165" s="104"/>
    </row>
    <row r="166" spans="1:10" s="168" customFormat="1" ht="14.25">
      <c r="A166" s="387" t="s">
        <v>87</v>
      </c>
      <c r="B166" s="169"/>
      <c r="C166" s="93" t="s">
        <v>41</v>
      </c>
      <c r="D166" s="93" t="s">
        <v>39</v>
      </c>
      <c r="E166" s="690" t="s">
        <v>137</v>
      </c>
      <c r="F166" s="462" t="s">
        <v>529</v>
      </c>
      <c r="G166" s="93"/>
      <c r="H166" s="320">
        <f>H167</f>
        <v>5407.2</v>
      </c>
      <c r="I166" s="233" t="e">
        <f>#REF!</f>
        <v>#REF!</v>
      </c>
      <c r="J166" s="104"/>
    </row>
    <row r="167" spans="1:13" s="168" customFormat="1" ht="38.25">
      <c r="A167" s="369" t="s">
        <v>327</v>
      </c>
      <c r="B167" s="169"/>
      <c r="C167" s="94" t="s">
        <v>41</v>
      </c>
      <c r="D167" s="94" t="s">
        <v>39</v>
      </c>
      <c r="E167" s="691" t="s">
        <v>137</v>
      </c>
      <c r="F167" s="467" t="s">
        <v>529</v>
      </c>
      <c r="G167" s="94" t="s">
        <v>84</v>
      </c>
      <c r="H167" s="321">
        <f>'ПРИЛОЖЕНИЕ № 6 (расх)'!I229</f>
        <v>5407.2</v>
      </c>
      <c r="I167" s="233"/>
      <c r="J167" s="104"/>
      <c r="M167" s="537"/>
    </row>
    <row r="168" spans="1:10" s="168" customFormat="1" ht="14.25">
      <c r="A168" s="368" t="s">
        <v>330</v>
      </c>
      <c r="B168" s="169"/>
      <c r="C168" s="93" t="s">
        <v>41</v>
      </c>
      <c r="D168" s="93" t="s">
        <v>39</v>
      </c>
      <c r="E168" s="695" t="s">
        <v>331</v>
      </c>
      <c r="F168" s="696" t="s">
        <v>529</v>
      </c>
      <c r="G168" s="93"/>
      <c r="H168" s="320">
        <f>H169</f>
        <v>6396.4</v>
      </c>
      <c r="I168" s="233"/>
      <c r="J168" s="104"/>
    </row>
    <row r="169" spans="1:10" s="534" customFormat="1" ht="25.5">
      <c r="A169" s="369" t="s">
        <v>128</v>
      </c>
      <c r="B169" s="169"/>
      <c r="C169" s="94" t="s">
        <v>41</v>
      </c>
      <c r="D169" s="94" t="s">
        <v>39</v>
      </c>
      <c r="E169" s="691" t="s">
        <v>331</v>
      </c>
      <c r="F169" s="692" t="s">
        <v>529</v>
      </c>
      <c r="G169" s="94" t="s">
        <v>129</v>
      </c>
      <c r="H169" s="321">
        <f>'ПРИЛОЖЕНИЕ № 6 (расх)'!I231</f>
        <v>6396.4</v>
      </c>
      <c r="I169" s="533"/>
      <c r="J169" s="490"/>
    </row>
    <row r="170" spans="1:10" s="534" customFormat="1" ht="81">
      <c r="A170" s="368" t="s">
        <v>447</v>
      </c>
      <c r="B170" s="169"/>
      <c r="C170" s="93" t="s">
        <v>41</v>
      </c>
      <c r="D170" s="93" t="s">
        <v>39</v>
      </c>
      <c r="E170" s="695" t="s">
        <v>434</v>
      </c>
      <c r="F170" s="696" t="s">
        <v>446</v>
      </c>
      <c r="G170" s="93"/>
      <c r="H170" s="95">
        <f>H171</f>
        <v>1</v>
      </c>
      <c r="I170" s="95">
        <f>I171</f>
        <v>1</v>
      </c>
      <c r="J170" s="490"/>
    </row>
    <row r="171" spans="1:10" s="534" customFormat="1" ht="31.5" customHeight="1">
      <c r="A171" s="369" t="s">
        <v>130</v>
      </c>
      <c r="B171" s="169"/>
      <c r="C171" s="94" t="s">
        <v>41</v>
      </c>
      <c r="D171" s="94" t="s">
        <v>39</v>
      </c>
      <c r="E171" s="691" t="s">
        <v>434</v>
      </c>
      <c r="F171" s="692" t="s">
        <v>446</v>
      </c>
      <c r="G171" s="94" t="s">
        <v>131</v>
      </c>
      <c r="H171" s="103">
        <f>'ПРИЛОЖЕНИЕ № 6 (расх)'!I233</f>
        <v>1</v>
      </c>
      <c r="I171" s="103">
        <v>1</v>
      </c>
      <c r="J171" s="490"/>
    </row>
    <row r="172" spans="1:10" s="534" customFormat="1" ht="67.5">
      <c r="A172" s="368" t="s">
        <v>445</v>
      </c>
      <c r="B172" s="169"/>
      <c r="C172" s="93" t="s">
        <v>41</v>
      </c>
      <c r="D172" s="93" t="s">
        <v>39</v>
      </c>
      <c r="E172" s="695" t="s">
        <v>434</v>
      </c>
      <c r="F172" s="696" t="s">
        <v>433</v>
      </c>
      <c r="G172" s="93"/>
      <c r="H172" s="95">
        <f>H173</f>
        <v>6250</v>
      </c>
      <c r="I172" s="95">
        <f>I173</f>
        <v>6250</v>
      </c>
      <c r="J172" s="490"/>
    </row>
    <row r="173" spans="1:10" s="534" customFormat="1" ht="31.5" customHeight="1">
      <c r="A173" s="369" t="s">
        <v>130</v>
      </c>
      <c r="B173" s="169"/>
      <c r="C173" s="94" t="s">
        <v>41</v>
      </c>
      <c r="D173" s="94" t="s">
        <v>39</v>
      </c>
      <c r="E173" s="691" t="s">
        <v>434</v>
      </c>
      <c r="F173" s="692" t="s">
        <v>433</v>
      </c>
      <c r="G173" s="94" t="s">
        <v>131</v>
      </c>
      <c r="H173" s="103">
        <f>'ПРИЛОЖЕНИЕ № 6 (расх)'!I235</f>
        <v>6250</v>
      </c>
      <c r="I173" s="103">
        <v>6250</v>
      </c>
      <c r="J173" s="490"/>
    </row>
    <row r="174" spans="1:10" s="168" customFormat="1" ht="14.25">
      <c r="A174" s="365" t="s">
        <v>88</v>
      </c>
      <c r="B174" s="169"/>
      <c r="C174" s="81" t="s">
        <v>41</v>
      </c>
      <c r="D174" s="81" t="s">
        <v>42</v>
      </c>
      <c r="E174" s="795"/>
      <c r="F174" s="796"/>
      <c r="G174" s="81"/>
      <c r="H174" s="322">
        <f>H175+H178</f>
        <v>5872.200000000001</v>
      </c>
      <c r="I174" s="288" t="e">
        <f>I175+#REF!+#REF!</f>
        <v>#REF!</v>
      </c>
      <c r="J174" s="104"/>
    </row>
    <row r="175" spans="1:10" s="168" customFormat="1" ht="14.25">
      <c r="A175" s="366" t="s">
        <v>91</v>
      </c>
      <c r="B175" s="169"/>
      <c r="C175" s="93" t="s">
        <v>41</v>
      </c>
      <c r="D175" s="93" t="s">
        <v>42</v>
      </c>
      <c r="E175" s="690" t="s">
        <v>138</v>
      </c>
      <c r="F175" s="689" t="s">
        <v>530</v>
      </c>
      <c r="G175" s="93"/>
      <c r="H175" s="320">
        <f>SUM(H176:H177)</f>
        <v>2548.8</v>
      </c>
      <c r="I175" s="233">
        <f>SUM(I176:I177)</f>
        <v>0</v>
      </c>
      <c r="J175" s="104"/>
    </row>
    <row r="176" spans="1:10" s="168" customFormat="1" ht="25.5">
      <c r="A176" s="367" t="s">
        <v>128</v>
      </c>
      <c r="B176" s="169"/>
      <c r="C176" s="94" t="s">
        <v>41</v>
      </c>
      <c r="D176" s="94" t="s">
        <v>42</v>
      </c>
      <c r="E176" s="691" t="s">
        <v>138</v>
      </c>
      <c r="F176" s="692" t="s">
        <v>530</v>
      </c>
      <c r="G176" s="94" t="s">
        <v>129</v>
      </c>
      <c r="H176" s="321">
        <f>'ПРИЛОЖЕНИЕ № 6 (расх)'!I238</f>
        <v>48.8</v>
      </c>
      <c r="I176" s="290"/>
      <c r="J176" s="104"/>
    </row>
    <row r="177" spans="1:10" s="168" customFormat="1" ht="38.25">
      <c r="A177" s="367" t="s">
        <v>327</v>
      </c>
      <c r="B177" s="169"/>
      <c r="C177" s="94" t="s">
        <v>41</v>
      </c>
      <c r="D177" s="94" t="s">
        <v>42</v>
      </c>
      <c r="E177" s="691" t="s">
        <v>138</v>
      </c>
      <c r="F177" s="692" t="s">
        <v>530</v>
      </c>
      <c r="G177" s="94" t="s">
        <v>84</v>
      </c>
      <c r="H177" s="321">
        <f>'ПРИЛОЖЕНИЕ № 6 (расх)'!I239</f>
        <v>2500</v>
      </c>
      <c r="I177" s="290"/>
      <c r="J177" s="104"/>
    </row>
    <row r="178" spans="1:12" s="168" customFormat="1" ht="40.5">
      <c r="A178" s="347" t="s">
        <v>390</v>
      </c>
      <c r="B178" s="169"/>
      <c r="C178" s="48" t="s">
        <v>41</v>
      </c>
      <c r="D178" s="48" t="s">
        <v>42</v>
      </c>
      <c r="E178" s="690" t="s">
        <v>369</v>
      </c>
      <c r="F178" s="689" t="s">
        <v>95</v>
      </c>
      <c r="G178" s="48"/>
      <c r="H178" s="45">
        <f>H179</f>
        <v>3323.4</v>
      </c>
      <c r="I178" s="45">
        <f>SUM(I180)</f>
        <v>279.1</v>
      </c>
      <c r="J178" s="104"/>
      <c r="L178" s="537"/>
    </row>
    <row r="179" spans="1:12" s="629" customFormat="1" ht="40.5">
      <c r="A179" s="347" t="s">
        <v>390</v>
      </c>
      <c r="B179" s="743"/>
      <c r="C179" s="48" t="s">
        <v>41</v>
      </c>
      <c r="D179" s="48" t="s">
        <v>42</v>
      </c>
      <c r="E179" s="461" t="s">
        <v>369</v>
      </c>
      <c r="F179" s="465" t="s">
        <v>489</v>
      </c>
      <c r="G179" s="48"/>
      <c r="H179" s="45">
        <f>SUM(H180:H181)</f>
        <v>3323.4</v>
      </c>
      <c r="I179" s="45">
        <f>I180</f>
        <v>279.1</v>
      </c>
      <c r="J179" s="170"/>
      <c r="L179" s="569"/>
    </row>
    <row r="180" spans="1:10" s="168" customFormat="1" ht="25.5">
      <c r="A180" s="369" t="s">
        <v>128</v>
      </c>
      <c r="B180" s="169"/>
      <c r="C180" s="49" t="s">
        <v>41</v>
      </c>
      <c r="D180" s="49" t="s">
        <v>42</v>
      </c>
      <c r="E180" s="693" t="s">
        <v>369</v>
      </c>
      <c r="F180" s="692" t="s">
        <v>489</v>
      </c>
      <c r="G180" s="49" t="s">
        <v>129</v>
      </c>
      <c r="H180" s="46">
        <f>'ПРИЛОЖЕНИЕ № 6 (расх)'!I140+'ПРИЛОЖЕНИЕ № 6 (расх)'!I241</f>
        <v>1123.4</v>
      </c>
      <c r="I180" s="46">
        <f>'[1]704'!$F$31/1000</f>
        <v>279.1</v>
      </c>
      <c r="J180" s="104"/>
    </row>
    <row r="181" spans="1:10" s="168" customFormat="1" ht="38.25">
      <c r="A181" s="369" t="s">
        <v>327</v>
      </c>
      <c r="B181" s="169"/>
      <c r="C181" s="49" t="s">
        <v>41</v>
      </c>
      <c r="D181" s="49" t="s">
        <v>42</v>
      </c>
      <c r="E181" s="693" t="s">
        <v>369</v>
      </c>
      <c r="F181" s="692" t="s">
        <v>489</v>
      </c>
      <c r="G181" s="49" t="s">
        <v>84</v>
      </c>
      <c r="H181" s="315">
        <f>'ПРИЛОЖЕНИЕ № 6 (расх)'!I242</f>
        <v>2200</v>
      </c>
      <c r="I181" s="290"/>
      <c r="J181" s="104"/>
    </row>
    <row r="182" spans="1:10" s="168" customFormat="1" ht="14.25">
      <c r="A182" s="365" t="s">
        <v>71</v>
      </c>
      <c r="B182" s="169"/>
      <c r="C182" s="81" t="s">
        <v>41</v>
      </c>
      <c r="D182" s="81" t="s">
        <v>40</v>
      </c>
      <c r="E182" s="795"/>
      <c r="F182" s="796"/>
      <c r="G182" s="81"/>
      <c r="H182" s="79">
        <f>H183+H186+H189+H191+H196+H199+H194</f>
        <v>6098.6</v>
      </c>
      <c r="I182" s="288" t="e">
        <f>I183+I186+#REF!</f>
        <v>#REF!</v>
      </c>
      <c r="J182" s="80" t="e">
        <f>I182/H182</f>
        <v>#REF!</v>
      </c>
    </row>
    <row r="183" spans="1:10" s="168" customFormat="1" ht="14.25">
      <c r="A183" s="366" t="s">
        <v>89</v>
      </c>
      <c r="B183" s="169"/>
      <c r="C183" s="61" t="s">
        <v>41</v>
      </c>
      <c r="D183" s="61" t="s">
        <v>40</v>
      </c>
      <c r="E183" s="690" t="s">
        <v>139</v>
      </c>
      <c r="F183" s="462" t="s">
        <v>531</v>
      </c>
      <c r="G183" s="61"/>
      <c r="H183" s="84">
        <f>SUM(H184:H185)</f>
        <v>539</v>
      </c>
      <c r="I183" s="282">
        <f>I184</f>
        <v>0</v>
      </c>
      <c r="J183" s="170">
        <f>I183/H183</f>
        <v>0</v>
      </c>
    </row>
    <row r="184" spans="1:10" s="168" customFormat="1" ht="25.5">
      <c r="A184" s="369" t="s">
        <v>128</v>
      </c>
      <c r="B184" s="169"/>
      <c r="C184" s="94" t="s">
        <v>41</v>
      </c>
      <c r="D184" s="94" t="s">
        <v>40</v>
      </c>
      <c r="E184" s="691" t="s">
        <v>139</v>
      </c>
      <c r="F184" s="692" t="s">
        <v>531</v>
      </c>
      <c r="G184" s="94" t="s">
        <v>129</v>
      </c>
      <c r="H184" s="72">
        <f>'ПРИЛОЖЕНИЕ № 6 (расх)'!I247</f>
        <v>500</v>
      </c>
      <c r="I184" s="284"/>
      <c r="J184" s="170"/>
    </row>
    <row r="185" spans="1:10" s="168" customFormat="1" ht="38.25">
      <c r="A185" s="367" t="s">
        <v>327</v>
      </c>
      <c r="B185" s="169"/>
      <c r="C185" s="94" t="s">
        <v>41</v>
      </c>
      <c r="D185" s="94" t="s">
        <v>40</v>
      </c>
      <c r="E185" s="691" t="s">
        <v>139</v>
      </c>
      <c r="F185" s="692" t="s">
        <v>531</v>
      </c>
      <c r="G185" s="94" t="s">
        <v>84</v>
      </c>
      <c r="H185" s="72">
        <f>'ПРИЛОЖЕНИЕ № 6 (расх)'!I248</f>
        <v>39</v>
      </c>
      <c r="I185" s="284"/>
      <c r="J185" s="170"/>
    </row>
    <row r="186" spans="1:10" s="168" customFormat="1" ht="14.25">
      <c r="A186" s="347" t="s">
        <v>142</v>
      </c>
      <c r="B186" s="169"/>
      <c r="C186" s="93" t="s">
        <v>41</v>
      </c>
      <c r="D186" s="93" t="s">
        <v>40</v>
      </c>
      <c r="E186" s="690" t="s">
        <v>140</v>
      </c>
      <c r="F186" s="689" t="s">
        <v>531</v>
      </c>
      <c r="G186" s="93"/>
      <c r="H186" s="84">
        <f>SUM(H187:H188)</f>
        <v>250</v>
      </c>
      <c r="I186" s="291" t="e">
        <f>SUM(#REF!)</f>
        <v>#REF!</v>
      </c>
      <c r="J186" s="170"/>
    </row>
    <row r="187" spans="1:10" s="168" customFormat="1" ht="25.5">
      <c r="A187" s="369" t="s">
        <v>128</v>
      </c>
      <c r="B187" s="169"/>
      <c r="C187" s="94" t="s">
        <v>41</v>
      </c>
      <c r="D187" s="94" t="s">
        <v>40</v>
      </c>
      <c r="E187" s="691" t="s">
        <v>140</v>
      </c>
      <c r="F187" s="692" t="s">
        <v>531</v>
      </c>
      <c r="G187" s="94" t="s">
        <v>129</v>
      </c>
      <c r="H187" s="72">
        <f>'ПРИЛОЖЕНИЕ № 6 (расх)'!I250</f>
        <v>50</v>
      </c>
      <c r="I187" s="291"/>
      <c r="J187" s="170"/>
    </row>
    <row r="188" spans="1:10" s="168" customFormat="1" ht="38.25">
      <c r="A188" s="369" t="s">
        <v>327</v>
      </c>
      <c r="B188" s="169"/>
      <c r="C188" s="94" t="s">
        <v>41</v>
      </c>
      <c r="D188" s="94" t="s">
        <v>40</v>
      </c>
      <c r="E188" s="691" t="s">
        <v>140</v>
      </c>
      <c r="F188" s="692" t="s">
        <v>531</v>
      </c>
      <c r="G188" s="94" t="s">
        <v>84</v>
      </c>
      <c r="H188" s="72">
        <f>'ПРИЛОЖЕНИЕ № 6 (расх)'!I251</f>
        <v>200</v>
      </c>
      <c r="I188" s="291"/>
      <c r="J188" s="170"/>
    </row>
    <row r="189" spans="1:10" s="168" customFormat="1" ht="14.25">
      <c r="A189" s="368" t="s">
        <v>325</v>
      </c>
      <c r="B189" s="169"/>
      <c r="C189" s="93" t="s">
        <v>41</v>
      </c>
      <c r="D189" s="93" t="s">
        <v>40</v>
      </c>
      <c r="E189" s="690" t="s">
        <v>326</v>
      </c>
      <c r="F189" s="689" t="s">
        <v>531</v>
      </c>
      <c r="G189" s="94"/>
      <c r="H189" s="84">
        <f>H190</f>
        <v>821</v>
      </c>
      <c r="I189" s="291"/>
      <c r="J189" s="170"/>
    </row>
    <row r="190" spans="1:10" s="168" customFormat="1" ht="25.5">
      <c r="A190" s="369" t="s">
        <v>128</v>
      </c>
      <c r="B190" s="169"/>
      <c r="C190" s="94" t="s">
        <v>41</v>
      </c>
      <c r="D190" s="94" t="s">
        <v>40</v>
      </c>
      <c r="E190" s="693" t="s">
        <v>326</v>
      </c>
      <c r="F190" s="703" t="s">
        <v>531</v>
      </c>
      <c r="G190" s="94" t="s">
        <v>129</v>
      </c>
      <c r="H190" s="72">
        <f>'ПРИЛОЖЕНИЕ № 6 (расх)'!I253</f>
        <v>821</v>
      </c>
      <c r="I190" s="291"/>
      <c r="J190" s="170"/>
    </row>
    <row r="191" spans="1:12" s="168" customFormat="1" ht="40.5">
      <c r="A191" s="347" t="s">
        <v>317</v>
      </c>
      <c r="B191" s="169"/>
      <c r="C191" s="48" t="s">
        <v>41</v>
      </c>
      <c r="D191" s="48" t="s">
        <v>40</v>
      </c>
      <c r="E191" s="690" t="s">
        <v>296</v>
      </c>
      <c r="F191" s="689" t="s">
        <v>531</v>
      </c>
      <c r="G191" s="48"/>
      <c r="H191" s="45">
        <f>SUM(H192:H193)</f>
        <v>2388.7</v>
      </c>
      <c r="I191" s="281">
        <f>I193</f>
        <v>0</v>
      </c>
      <c r="J191" s="204"/>
      <c r="L191" s="537"/>
    </row>
    <row r="192" spans="1:10" s="168" customFormat="1" ht="35.25" customHeight="1">
      <c r="A192" s="369" t="s">
        <v>128</v>
      </c>
      <c r="B192" s="169"/>
      <c r="C192" s="49" t="s">
        <v>41</v>
      </c>
      <c r="D192" s="49" t="s">
        <v>40</v>
      </c>
      <c r="E192" s="691" t="s">
        <v>296</v>
      </c>
      <c r="F192" s="692" t="s">
        <v>531</v>
      </c>
      <c r="G192" s="49" t="s">
        <v>129</v>
      </c>
      <c r="H192" s="72">
        <f>'ПРИЛОЖЕНИЕ № 6 (расх)'!I255</f>
        <v>288.7</v>
      </c>
      <c r="I192" s="281"/>
      <c r="J192" s="204"/>
    </row>
    <row r="193" spans="1:10" s="168" customFormat="1" ht="38.25">
      <c r="A193" s="369" t="s">
        <v>327</v>
      </c>
      <c r="B193" s="169"/>
      <c r="C193" s="49" t="s">
        <v>41</v>
      </c>
      <c r="D193" s="49" t="s">
        <v>40</v>
      </c>
      <c r="E193" s="691" t="s">
        <v>296</v>
      </c>
      <c r="F193" s="692" t="s">
        <v>531</v>
      </c>
      <c r="G193" s="49" t="s">
        <v>84</v>
      </c>
      <c r="H193" s="46">
        <f>'ПРИЛОЖЕНИЕ № 6 (расх)'!I256</f>
        <v>2100</v>
      </c>
      <c r="I193" s="278">
        <v>0</v>
      </c>
      <c r="J193" s="204"/>
    </row>
    <row r="194" spans="1:10" s="168" customFormat="1" ht="40.5">
      <c r="A194" s="368" t="s">
        <v>467</v>
      </c>
      <c r="B194" s="169"/>
      <c r="C194" s="48" t="s">
        <v>41</v>
      </c>
      <c r="D194" s="48" t="s">
        <v>40</v>
      </c>
      <c r="E194" s="695" t="s">
        <v>296</v>
      </c>
      <c r="F194" s="696" t="s">
        <v>339</v>
      </c>
      <c r="G194" s="48"/>
      <c r="H194" s="45">
        <f>H195</f>
        <v>1</v>
      </c>
      <c r="I194" s="45">
        <f>SUM(I195)</f>
        <v>1</v>
      </c>
      <c r="J194" s="204"/>
    </row>
    <row r="195" spans="1:10" s="168" customFormat="1" ht="38.25">
      <c r="A195" s="369" t="s">
        <v>327</v>
      </c>
      <c r="B195" s="169"/>
      <c r="C195" s="49" t="s">
        <v>41</v>
      </c>
      <c r="D195" s="49" t="s">
        <v>40</v>
      </c>
      <c r="E195" s="691" t="s">
        <v>296</v>
      </c>
      <c r="F195" s="692" t="s">
        <v>339</v>
      </c>
      <c r="G195" s="49" t="s">
        <v>84</v>
      </c>
      <c r="H195" s="46">
        <f>'ПРИЛОЖЕНИЕ № 6 (расх)'!I258</f>
        <v>1</v>
      </c>
      <c r="I195" s="46">
        <v>1</v>
      </c>
      <c r="J195" s="204"/>
    </row>
    <row r="196" spans="1:10" s="168" customFormat="1" ht="40.5">
      <c r="A196" s="347" t="s">
        <v>316</v>
      </c>
      <c r="B196" s="169"/>
      <c r="C196" s="48" t="s">
        <v>41</v>
      </c>
      <c r="D196" s="48" t="s">
        <v>40</v>
      </c>
      <c r="E196" s="690" t="s">
        <v>295</v>
      </c>
      <c r="F196" s="689" t="s">
        <v>531</v>
      </c>
      <c r="G196" s="48"/>
      <c r="H196" s="45">
        <f>SUM(H197:H198)</f>
        <v>200</v>
      </c>
      <c r="I196" s="278"/>
      <c r="J196" s="204"/>
    </row>
    <row r="197" spans="1:10" s="168" customFormat="1" ht="25.5">
      <c r="A197" s="369" t="s">
        <v>128</v>
      </c>
      <c r="B197" s="169"/>
      <c r="C197" s="49" t="s">
        <v>41</v>
      </c>
      <c r="D197" s="49" t="s">
        <v>40</v>
      </c>
      <c r="E197" s="691" t="s">
        <v>295</v>
      </c>
      <c r="F197" s="692" t="s">
        <v>531</v>
      </c>
      <c r="G197" s="49" t="s">
        <v>129</v>
      </c>
      <c r="H197" s="46">
        <f>'ПРИЛОЖЕНИЕ № 6 (расх)'!I260</f>
        <v>100</v>
      </c>
      <c r="I197" s="278"/>
      <c r="J197" s="204"/>
    </row>
    <row r="198" spans="1:10" s="168" customFormat="1" ht="38.25">
      <c r="A198" s="369" t="s">
        <v>327</v>
      </c>
      <c r="B198" s="169"/>
      <c r="C198" s="49" t="s">
        <v>41</v>
      </c>
      <c r="D198" s="49" t="s">
        <v>40</v>
      </c>
      <c r="E198" s="691" t="s">
        <v>295</v>
      </c>
      <c r="F198" s="692" t="s">
        <v>531</v>
      </c>
      <c r="G198" s="49" t="s">
        <v>84</v>
      </c>
      <c r="H198" s="46">
        <f>'ПРИЛОЖЕНИЕ № 6 (расх)'!I261</f>
        <v>100</v>
      </c>
      <c r="I198" s="278"/>
      <c r="J198" s="204"/>
    </row>
    <row r="199" spans="1:10" s="168" customFormat="1" ht="40.5">
      <c r="A199" s="368" t="s">
        <v>337</v>
      </c>
      <c r="B199" s="169"/>
      <c r="C199" s="48" t="s">
        <v>41</v>
      </c>
      <c r="D199" s="48" t="s">
        <v>40</v>
      </c>
      <c r="E199" s="695" t="s">
        <v>296</v>
      </c>
      <c r="F199" s="696" t="s">
        <v>338</v>
      </c>
      <c r="G199" s="48"/>
      <c r="H199" s="45">
        <f>H200</f>
        <v>1898.9</v>
      </c>
      <c r="I199" s="45">
        <f>SUM(I200)</f>
        <v>1898.9</v>
      </c>
      <c r="J199" s="204"/>
    </row>
    <row r="200" spans="1:10" s="168" customFormat="1" ht="38.25">
      <c r="A200" s="369" t="s">
        <v>327</v>
      </c>
      <c r="B200" s="169"/>
      <c r="C200" s="49" t="s">
        <v>41</v>
      </c>
      <c r="D200" s="49" t="s">
        <v>40</v>
      </c>
      <c r="E200" s="691" t="s">
        <v>296</v>
      </c>
      <c r="F200" s="692" t="s">
        <v>338</v>
      </c>
      <c r="G200" s="49" t="s">
        <v>84</v>
      </c>
      <c r="H200" s="46">
        <f>'ПРИЛОЖЕНИЕ № 6 (расх)'!I263</f>
        <v>1898.9</v>
      </c>
      <c r="I200" s="46">
        <v>1898.9</v>
      </c>
      <c r="J200" s="204"/>
    </row>
    <row r="201" spans="1:10" s="168" customFormat="1" ht="14.25">
      <c r="A201" s="358" t="s">
        <v>93</v>
      </c>
      <c r="B201" s="169"/>
      <c r="C201" s="219" t="s">
        <v>41</v>
      </c>
      <c r="D201" s="219" t="s">
        <v>41</v>
      </c>
      <c r="E201" s="795"/>
      <c r="F201" s="796"/>
      <c r="G201" s="218"/>
      <c r="H201" s="323">
        <f>H202+H208</f>
        <v>10344.119999999999</v>
      </c>
      <c r="I201" s="285">
        <f>I202</f>
        <v>8917.47</v>
      </c>
      <c r="J201" s="204"/>
    </row>
    <row r="202" spans="1:10" s="168" customFormat="1" ht="14.25">
      <c r="A202" s="366" t="s">
        <v>122</v>
      </c>
      <c r="B202" s="169"/>
      <c r="C202" s="171" t="s">
        <v>41</v>
      </c>
      <c r="D202" s="171" t="s">
        <v>41</v>
      </c>
      <c r="E202" s="459" t="s">
        <v>98</v>
      </c>
      <c r="F202" s="460" t="s">
        <v>95</v>
      </c>
      <c r="G202" s="171"/>
      <c r="H202" s="493">
        <f>H203+H205</f>
        <v>8917.47</v>
      </c>
      <c r="I202" s="493">
        <f>I203+I205</f>
        <v>8917.47</v>
      </c>
      <c r="J202" s="204"/>
    </row>
    <row r="203" spans="1:10" s="168" customFormat="1" ht="14.25">
      <c r="A203" s="366" t="s">
        <v>473</v>
      </c>
      <c r="B203" s="169"/>
      <c r="C203" s="48" t="s">
        <v>41</v>
      </c>
      <c r="D203" s="48" t="s">
        <v>41</v>
      </c>
      <c r="E203" s="464" t="s">
        <v>98</v>
      </c>
      <c r="F203" s="465" t="s">
        <v>472</v>
      </c>
      <c r="G203" s="48"/>
      <c r="H203" s="45">
        <f>H204</f>
        <v>7226.19</v>
      </c>
      <c r="I203" s="45">
        <f>SUM(I204)</f>
        <v>7226.19</v>
      </c>
      <c r="J203" s="204"/>
    </row>
    <row r="204" spans="1:10" s="168" customFormat="1" ht="14.25">
      <c r="A204" s="366" t="s">
        <v>126</v>
      </c>
      <c r="B204" s="169"/>
      <c r="C204" s="49" t="s">
        <v>41</v>
      </c>
      <c r="D204" s="49" t="s">
        <v>41</v>
      </c>
      <c r="E204" s="466" t="s">
        <v>98</v>
      </c>
      <c r="F204" s="467" t="s">
        <v>472</v>
      </c>
      <c r="G204" s="49" t="s">
        <v>127</v>
      </c>
      <c r="H204" s="46">
        <f>'ПРИЛОЖЕНИЕ № 6 (расх)'!I267</f>
        <v>7226.19</v>
      </c>
      <c r="I204" s="46">
        <v>7226.19</v>
      </c>
      <c r="J204" s="204"/>
    </row>
    <row r="205" spans="1:10" s="168" customFormat="1" ht="14.25">
      <c r="A205" s="367" t="s">
        <v>475</v>
      </c>
      <c r="B205" s="169"/>
      <c r="C205" s="48" t="s">
        <v>41</v>
      </c>
      <c r="D205" s="48" t="s">
        <v>41</v>
      </c>
      <c r="E205" s="464" t="s">
        <v>98</v>
      </c>
      <c r="F205" s="465" t="s">
        <v>476</v>
      </c>
      <c r="G205" s="49"/>
      <c r="H205" s="45">
        <f>SUM(H206:H207)</f>
        <v>1691.28</v>
      </c>
      <c r="I205" s="45">
        <f>SUM(I206:I207)</f>
        <v>1691.28</v>
      </c>
      <c r="J205" s="204"/>
    </row>
    <row r="206" spans="1:10" s="168" customFormat="1" ht="25.5">
      <c r="A206" s="367" t="s">
        <v>128</v>
      </c>
      <c r="B206" s="169"/>
      <c r="C206" s="49" t="s">
        <v>41</v>
      </c>
      <c r="D206" s="49" t="s">
        <v>41</v>
      </c>
      <c r="E206" s="466" t="s">
        <v>98</v>
      </c>
      <c r="F206" s="467" t="s">
        <v>476</v>
      </c>
      <c r="G206" s="49" t="s">
        <v>129</v>
      </c>
      <c r="H206" s="46">
        <f>'ПРИЛОЖЕНИЕ № 6 (расх)'!I269</f>
        <v>1621.28</v>
      </c>
      <c r="I206" s="46">
        <v>1621.28</v>
      </c>
      <c r="J206" s="204"/>
    </row>
    <row r="207" spans="1:10" s="168" customFormat="1" ht="14.25">
      <c r="A207" s="367" t="s">
        <v>76</v>
      </c>
      <c r="B207" s="169"/>
      <c r="C207" s="36" t="s">
        <v>41</v>
      </c>
      <c r="D207" s="36" t="s">
        <v>41</v>
      </c>
      <c r="E207" s="466" t="s">
        <v>98</v>
      </c>
      <c r="F207" s="467" t="s">
        <v>476</v>
      </c>
      <c r="G207" s="36" t="s">
        <v>77</v>
      </c>
      <c r="H207" s="37">
        <f>'ПРИЛОЖЕНИЕ № 6 (расх)'!I270</f>
        <v>70</v>
      </c>
      <c r="I207" s="46">
        <v>70</v>
      </c>
      <c r="J207" s="204"/>
    </row>
    <row r="208" spans="1:10" s="168" customFormat="1" ht="14.25">
      <c r="A208" s="754" t="s">
        <v>223</v>
      </c>
      <c r="B208" s="169"/>
      <c r="C208" s="171" t="s">
        <v>41</v>
      </c>
      <c r="D208" s="171" t="s">
        <v>41</v>
      </c>
      <c r="E208" s="459" t="s">
        <v>224</v>
      </c>
      <c r="F208" s="460" t="s">
        <v>95</v>
      </c>
      <c r="G208" s="171"/>
      <c r="H208" s="113">
        <f>H209+H211</f>
        <v>1426.65</v>
      </c>
      <c r="I208" s="72"/>
      <c r="J208" s="204"/>
    </row>
    <row r="209" spans="1:10" s="168" customFormat="1" ht="27">
      <c r="A209" s="368" t="s">
        <v>477</v>
      </c>
      <c r="B209" s="169"/>
      <c r="C209" s="48" t="s">
        <v>41</v>
      </c>
      <c r="D209" s="48" t="s">
        <v>41</v>
      </c>
      <c r="E209" s="464" t="s">
        <v>224</v>
      </c>
      <c r="F209" s="465" t="s">
        <v>472</v>
      </c>
      <c r="G209" s="48"/>
      <c r="H209" s="84">
        <f>H210</f>
        <v>1366.65</v>
      </c>
      <c r="I209" s="72"/>
      <c r="J209" s="204"/>
    </row>
    <row r="210" spans="1:10" s="168" customFormat="1" ht="14.25">
      <c r="A210" s="369" t="s">
        <v>126</v>
      </c>
      <c r="B210" s="169"/>
      <c r="C210" s="49" t="s">
        <v>41</v>
      </c>
      <c r="D210" s="49" t="s">
        <v>41</v>
      </c>
      <c r="E210" s="466" t="s">
        <v>224</v>
      </c>
      <c r="F210" s="467" t="s">
        <v>472</v>
      </c>
      <c r="G210" s="49" t="s">
        <v>127</v>
      </c>
      <c r="H210" s="72">
        <f>'ПРИЛОЖЕНИЕ № 6 (расх)'!I273</f>
        <v>1366.65</v>
      </c>
      <c r="I210" s="72"/>
      <c r="J210" s="204"/>
    </row>
    <row r="211" spans="1:10" s="168" customFormat="1" ht="27">
      <c r="A211" s="368" t="s">
        <v>478</v>
      </c>
      <c r="B211" s="169"/>
      <c r="C211" s="48" t="s">
        <v>41</v>
      </c>
      <c r="D211" s="48" t="s">
        <v>41</v>
      </c>
      <c r="E211" s="464" t="s">
        <v>224</v>
      </c>
      <c r="F211" s="465" t="s">
        <v>476</v>
      </c>
      <c r="G211" s="48"/>
      <c r="H211" s="84">
        <f>SUM(H212:H213)</f>
        <v>60</v>
      </c>
      <c r="I211" s="72"/>
      <c r="J211" s="204"/>
    </row>
    <row r="212" spans="1:10" s="168" customFormat="1" ht="12" customHeight="1">
      <c r="A212" s="369" t="s">
        <v>128</v>
      </c>
      <c r="B212" s="169"/>
      <c r="C212" s="49" t="s">
        <v>41</v>
      </c>
      <c r="D212" s="49" t="s">
        <v>41</v>
      </c>
      <c r="E212" s="466" t="s">
        <v>224</v>
      </c>
      <c r="F212" s="467" t="s">
        <v>476</v>
      </c>
      <c r="G212" s="49" t="s">
        <v>129</v>
      </c>
      <c r="H212" s="72">
        <f>'ПРИЛОЖЕНИЕ № 6 (расх)'!I275</f>
        <v>50</v>
      </c>
      <c r="I212" s="72"/>
      <c r="J212" s="204"/>
    </row>
    <row r="213" spans="1:10" s="168" customFormat="1" ht="13.5" customHeight="1">
      <c r="A213" s="367" t="s">
        <v>76</v>
      </c>
      <c r="B213" s="169"/>
      <c r="C213" s="36" t="s">
        <v>41</v>
      </c>
      <c r="D213" s="36" t="s">
        <v>41</v>
      </c>
      <c r="E213" s="466" t="s">
        <v>224</v>
      </c>
      <c r="F213" s="467" t="s">
        <v>476</v>
      </c>
      <c r="G213" s="64" t="s">
        <v>77</v>
      </c>
      <c r="H213" s="37">
        <f>'ПРИЛОЖЕНИЕ № 6 (расх)'!I276</f>
        <v>10</v>
      </c>
      <c r="I213" s="32" t="e">
        <f>SUM(#REF!)</f>
        <v>#REF!</v>
      </c>
      <c r="J213" s="204"/>
    </row>
    <row r="214" spans="1:10" s="168" customFormat="1" ht="13.5" customHeight="1">
      <c r="A214" s="385" t="s">
        <v>67</v>
      </c>
      <c r="B214" s="169"/>
      <c r="C214" s="213" t="s">
        <v>43</v>
      </c>
      <c r="D214" s="214"/>
      <c r="E214" s="809"/>
      <c r="F214" s="810"/>
      <c r="G214" s="214"/>
      <c r="H214" s="349">
        <f>H215</f>
        <v>2410</v>
      </c>
      <c r="I214" s="349">
        <f>I215</f>
        <v>2395</v>
      </c>
      <c r="J214" s="204"/>
    </row>
    <row r="215" spans="1:10" s="168" customFormat="1" ht="13.5" customHeight="1">
      <c r="A215" s="358" t="s">
        <v>68</v>
      </c>
      <c r="B215" s="169"/>
      <c r="C215" s="219" t="s">
        <v>43</v>
      </c>
      <c r="D215" s="219" t="s">
        <v>41</v>
      </c>
      <c r="E215" s="795"/>
      <c r="F215" s="796"/>
      <c r="G215" s="218"/>
      <c r="H215" s="323">
        <f>H216+H221</f>
        <v>2410</v>
      </c>
      <c r="I215" s="323">
        <f>I221</f>
        <v>2395</v>
      </c>
      <c r="J215" s="204"/>
    </row>
    <row r="216" spans="1:10" s="168" customFormat="1" ht="51">
      <c r="A216" s="663" t="s">
        <v>459</v>
      </c>
      <c r="B216" s="169"/>
      <c r="C216" s="665" t="s">
        <v>43</v>
      </c>
      <c r="D216" s="665" t="s">
        <v>41</v>
      </c>
      <c r="E216" s="704" t="s">
        <v>426</v>
      </c>
      <c r="F216" s="705" t="s">
        <v>461</v>
      </c>
      <c r="G216" s="186"/>
      <c r="H216" s="113">
        <f>H217+H219</f>
        <v>15</v>
      </c>
      <c r="I216" s="327">
        <f>I217+I220</f>
        <v>15</v>
      </c>
      <c r="J216" s="204"/>
    </row>
    <row r="217" spans="1:10" s="168" customFormat="1" ht="40.5">
      <c r="A217" s="366" t="s">
        <v>457</v>
      </c>
      <c r="B217" s="169"/>
      <c r="C217" s="31" t="s">
        <v>43</v>
      </c>
      <c r="D217" s="31" t="s">
        <v>41</v>
      </c>
      <c r="E217" s="695" t="s">
        <v>426</v>
      </c>
      <c r="F217" s="696" t="s">
        <v>455</v>
      </c>
      <c r="G217" s="61"/>
      <c r="H217" s="84">
        <f>H218</f>
        <v>10</v>
      </c>
      <c r="I217" s="95">
        <f>I218</f>
        <v>10</v>
      </c>
      <c r="J217" s="204"/>
    </row>
    <row r="218" spans="1:10" s="168" customFormat="1" ht="13.5" customHeight="1">
      <c r="A218" s="369" t="s">
        <v>128</v>
      </c>
      <c r="B218" s="169"/>
      <c r="C218" s="36" t="s">
        <v>43</v>
      </c>
      <c r="D218" s="36" t="s">
        <v>41</v>
      </c>
      <c r="E218" s="691" t="s">
        <v>426</v>
      </c>
      <c r="F218" s="692" t="s">
        <v>455</v>
      </c>
      <c r="G218" s="64" t="s">
        <v>129</v>
      </c>
      <c r="H218" s="72">
        <f>'ПРИЛОЖЕНИЕ № 6 (расх)'!I281</f>
        <v>10</v>
      </c>
      <c r="I218" s="103">
        <v>10</v>
      </c>
      <c r="J218" s="204"/>
    </row>
    <row r="219" spans="1:10" s="168" customFormat="1" ht="40.5">
      <c r="A219" s="366" t="s">
        <v>458</v>
      </c>
      <c r="B219" s="169"/>
      <c r="C219" s="31" t="s">
        <v>43</v>
      </c>
      <c r="D219" s="31" t="s">
        <v>41</v>
      </c>
      <c r="E219" s="695" t="s">
        <v>426</v>
      </c>
      <c r="F219" s="696" t="s">
        <v>456</v>
      </c>
      <c r="G219" s="61"/>
      <c r="H219" s="84">
        <f>H220</f>
        <v>5</v>
      </c>
      <c r="I219" s="95">
        <f>I220</f>
        <v>5</v>
      </c>
      <c r="J219" s="204"/>
    </row>
    <row r="220" spans="1:10" s="168" customFormat="1" ht="13.5" customHeight="1">
      <c r="A220" s="369" t="s">
        <v>128</v>
      </c>
      <c r="B220" s="169"/>
      <c r="C220" s="36" t="s">
        <v>43</v>
      </c>
      <c r="D220" s="36" t="s">
        <v>41</v>
      </c>
      <c r="E220" s="691" t="s">
        <v>426</v>
      </c>
      <c r="F220" s="692" t="s">
        <v>456</v>
      </c>
      <c r="G220" s="64" t="s">
        <v>129</v>
      </c>
      <c r="H220" s="72">
        <f>'ПРИЛОЖЕНИЕ № 6 (расх)'!I283</f>
        <v>5</v>
      </c>
      <c r="I220" s="103">
        <v>5</v>
      </c>
      <c r="J220" s="204"/>
    </row>
    <row r="221" spans="1:10" s="168" customFormat="1" ht="51">
      <c r="A221" s="663" t="s">
        <v>468</v>
      </c>
      <c r="B221" s="169"/>
      <c r="C221" s="665" t="s">
        <v>43</v>
      </c>
      <c r="D221" s="665" t="s">
        <v>41</v>
      </c>
      <c r="E221" s="704" t="s">
        <v>426</v>
      </c>
      <c r="F221" s="705" t="s">
        <v>95</v>
      </c>
      <c r="G221" s="186"/>
      <c r="H221" s="113">
        <f>H222+H225</f>
        <v>2395</v>
      </c>
      <c r="I221" s="327">
        <f>I222+I225</f>
        <v>2395</v>
      </c>
      <c r="J221" s="204"/>
    </row>
    <row r="222" spans="1:10" s="168" customFormat="1" ht="27">
      <c r="A222" s="366" t="s">
        <v>427</v>
      </c>
      <c r="B222" s="169"/>
      <c r="C222" s="31" t="s">
        <v>43</v>
      </c>
      <c r="D222" s="31" t="s">
        <v>41</v>
      </c>
      <c r="E222" s="695" t="s">
        <v>426</v>
      </c>
      <c r="F222" s="696" t="s">
        <v>428</v>
      </c>
      <c r="G222" s="61"/>
      <c r="H222" s="84">
        <f>SUM(H223:H224)</f>
        <v>1900</v>
      </c>
      <c r="I222" s="95">
        <f>SUM(I223:I224)</f>
        <v>1900</v>
      </c>
      <c r="J222" s="204"/>
    </row>
    <row r="223" spans="1:10" s="168" customFormat="1" ht="25.5">
      <c r="A223" s="369" t="s">
        <v>128</v>
      </c>
      <c r="B223" s="169"/>
      <c r="C223" s="36" t="s">
        <v>43</v>
      </c>
      <c r="D223" s="36" t="s">
        <v>41</v>
      </c>
      <c r="E223" s="691" t="s">
        <v>426</v>
      </c>
      <c r="F223" s="692" t="s">
        <v>428</v>
      </c>
      <c r="G223" s="64" t="s">
        <v>129</v>
      </c>
      <c r="H223" s="72">
        <f>'ПРИЛОЖЕНИЕ № 6 (расх)'!I286</f>
        <v>200</v>
      </c>
      <c r="I223" s="103">
        <v>200</v>
      </c>
      <c r="J223" s="204"/>
    </row>
    <row r="224" spans="1:10" s="168" customFormat="1" ht="38.25">
      <c r="A224" s="369" t="s">
        <v>327</v>
      </c>
      <c r="B224" s="169"/>
      <c r="C224" s="36" t="s">
        <v>43</v>
      </c>
      <c r="D224" s="36" t="s">
        <v>41</v>
      </c>
      <c r="E224" s="691" t="s">
        <v>426</v>
      </c>
      <c r="F224" s="692" t="s">
        <v>428</v>
      </c>
      <c r="G224" s="64" t="s">
        <v>84</v>
      </c>
      <c r="H224" s="72">
        <f>'ПРИЛОЖЕНИЕ № 6 (расх)'!I287</f>
        <v>1700</v>
      </c>
      <c r="I224" s="103">
        <v>1700</v>
      </c>
      <c r="J224" s="204"/>
    </row>
    <row r="225" spans="1:10" s="168" customFormat="1" ht="27">
      <c r="A225" s="366" t="s">
        <v>429</v>
      </c>
      <c r="B225" s="169"/>
      <c r="C225" s="31" t="s">
        <v>43</v>
      </c>
      <c r="D225" s="31" t="s">
        <v>41</v>
      </c>
      <c r="E225" s="695" t="s">
        <v>426</v>
      </c>
      <c r="F225" s="696" t="s">
        <v>430</v>
      </c>
      <c r="G225" s="61"/>
      <c r="H225" s="84">
        <f>SUM(H226:H227)</f>
        <v>495</v>
      </c>
      <c r="I225" s="95">
        <f>SUM(I226:I227)</f>
        <v>495</v>
      </c>
      <c r="J225" s="204"/>
    </row>
    <row r="226" spans="1:10" s="168" customFormat="1" ht="25.5">
      <c r="A226" s="369" t="s">
        <v>128</v>
      </c>
      <c r="B226" s="169"/>
      <c r="C226" s="36" t="s">
        <v>43</v>
      </c>
      <c r="D226" s="36" t="s">
        <v>41</v>
      </c>
      <c r="E226" s="691" t="s">
        <v>426</v>
      </c>
      <c r="F226" s="692" t="s">
        <v>430</v>
      </c>
      <c r="G226" s="64" t="s">
        <v>129</v>
      </c>
      <c r="H226" s="72">
        <f>'ПРИЛОЖЕНИЕ № 6 (расх)'!I289</f>
        <v>95</v>
      </c>
      <c r="I226" s="103">
        <v>95</v>
      </c>
      <c r="J226" s="204"/>
    </row>
    <row r="227" spans="1:10" s="168" customFormat="1" ht="39" thickBot="1">
      <c r="A227" s="369" t="s">
        <v>327</v>
      </c>
      <c r="B227" s="169"/>
      <c r="C227" s="36" t="s">
        <v>43</v>
      </c>
      <c r="D227" s="36" t="s">
        <v>41</v>
      </c>
      <c r="E227" s="691" t="s">
        <v>426</v>
      </c>
      <c r="F227" s="692" t="s">
        <v>430</v>
      </c>
      <c r="G227" s="64" t="s">
        <v>84</v>
      </c>
      <c r="H227" s="72">
        <f>'ПРИЛОЖЕНИЕ № 6 (расх)'!I290</f>
        <v>400</v>
      </c>
      <c r="I227" s="103">
        <v>400</v>
      </c>
      <c r="J227" s="204"/>
    </row>
    <row r="228" spans="1:10" s="82" customFormat="1" ht="23.25" customHeight="1" thickBot="1">
      <c r="A228" s="66" t="s">
        <v>20</v>
      </c>
      <c r="B228" s="172"/>
      <c r="C228" s="165" t="s">
        <v>21</v>
      </c>
      <c r="D228" s="165"/>
      <c r="E228" s="793"/>
      <c r="F228" s="794"/>
      <c r="G228" s="165"/>
      <c r="H228" s="444">
        <f>H229+H270+H366+H421+H331</f>
        <v>143877.35</v>
      </c>
      <c r="I228" s="451" t="e">
        <f>I229+#REF!+#REF!+#REF!</f>
        <v>#REF!</v>
      </c>
      <c r="J228" s="173" t="e">
        <f>I228/H228</f>
        <v>#REF!</v>
      </c>
    </row>
    <row r="229" spans="1:14" s="90" customFormat="1" ht="14.25">
      <c r="A229" s="380" t="s">
        <v>22</v>
      </c>
      <c r="B229" s="174"/>
      <c r="C229" s="81" t="s">
        <v>21</v>
      </c>
      <c r="D229" s="81" t="s">
        <v>39</v>
      </c>
      <c r="E229" s="795"/>
      <c r="F229" s="796"/>
      <c r="G229" s="81"/>
      <c r="H229" s="73">
        <f>H231+H233+H234+H247+H260+H250+H255+H265</f>
        <v>46006.170000000006</v>
      </c>
      <c r="I229" s="288" t="e">
        <f>#REF!+#REF!+#REF!+#REF!+I237</f>
        <v>#REF!</v>
      </c>
      <c r="J229" s="74" t="e">
        <f>I229/H229</f>
        <v>#REF!</v>
      </c>
      <c r="K229" s="82"/>
      <c r="L229" s="82"/>
      <c r="M229" s="82"/>
      <c r="N229" s="82"/>
    </row>
    <row r="230" spans="1:14" s="90" customFormat="1" ht="27">
      <c r="A230" s="222" t="s">
        <v>245</v>
      </c>
      <c r="B230" s="91"/>
      <c r="C230" s="61" t="s">
        <v>21</v>
      </c>
      <c r="D230" s="61" t="s">
        <v>39</v>
      </c>
      <c r="E230" s="690" t="s">
        <v>141</v>
      </c>
      <c r="F230" s="689" t="s">
        <v>533</v>
      </c>
      <c r="G230" s="61"/>
      <c r="H230" s="95">
        <f>H231</f>
        <v>7177.15</v>
      </c>
      <c r="I230" s="95">
        <f>I231</f>
        <v>0</v>
      </c>
      <c r="J230" s="74"/>
      <c r="K230" s="82"/>
      <c r="L230" s="432"/>
      <c r="M230" s="82"/>
      <c r="N230" s="82"/>
    </row>
    <row r="231" spans="1:14" s="90" customFormat="1" ht="12.75">
      <c r="A231" s="388" t="s">
        <v>148</v>
      </c>
      <c r="B231" s="91"/>
      <c r="C231" s="64" t="s">
        <v>21</v>
      </c>
      <c r="D231" s="64" t="s">
        <v>39</v>
      </c>
      <c r="E231" s="691" t="s">
        <v>141</v>
      </c>
      <c r="F231" s="692" t="s">
        <v>533</v>
      </c>
      <c r="G231" s="94" t="s">
        <v>149</v>
      </c>
      <c r="H231" s="103">
        <f>'ПРИЛОЖЕНИЕ № 6 (расх)'!I301</f>
        <v>7177.15</v>
      </c>
      <c r="I231" s="103"/>
      <c r="J231" s="74"/>
      <c r="K231" s="82"/>
      <c r="L231" s="82"/>
      <c r="M231" s="82"/>
      <c r="N231" s="82"/>
    </row>
    <row r="232" spans="1:14" s="90" customFormat="1" ht="13.5">
      <c r="A232" s="222" t="s">
        <v>160</v>
      </c>
      <c r="B232" s="91"/>
      <c r="C232" s="61" t="s">
        <v>21</v>
      </c>
      <c r="D232" s="61" t="s">
        <v>39</v>
      </c>
      <c r="E232" s="690" t="s">
        <v>151</v>
      </c>
      <c r="F232" s="689" t="s">
        <v>533</v>
      </c>
      <c r="G232" s="61"/>
      <c r="H232" s="95">
        <f>H233</f>
        <v>6534.52</v>
      </c>
      <c r="I232" s="95">
        <f>I233</f>
        <v>0</v>
      </c>
      <c r="J232" s="74"/>
      <c r="K232" s="82"/>
      <c r="L232" s="82"/>
      <c r="M232" s="82"/>
      <c r="N232" s="82"/>
    </row>
    <row r="233" spans="1:14" s="90" customFormat="1" ht="12.75">
      <c r="A233" s="388" t="s">
        <v>148</v>
      </c>
      <c r="B233" s="106"/>
      <c r="C233" s="64" t="s">
        <v>21</v>
      </c>
      <c r="D233" s="64" t="s">
        <v>39</v>
      </c>
      <c r="E233" s="691" t="s">
        <v>151</v>
      </c>
      <c r="F233" s="692" t="s">
        <v>533</v>
      </c>
      <c r="G233" s="94" t="s">
        <v>149</v>
      </c>
      <c r="H233" s="103">
        <f>'ПРИЛОЖЕНИЕ № 6 (расх)'!I303</f>
        <v>6534.52</v>
      </c>
      <c r="I233" s="103"/>
      <c r="J233" s="74"/>
      <c r="K233" s="82"/>
      <c r="L233" s="82"/>
      <c r="M233" s="82"/>
      <c r="N233" s="82"/>
    </row>
    <row r="234" spans="1:14" s="90" customFormat="1" ht="25.5">
      <c r="A234" s="373" t="s">
        <v>268</v>
      </c>
      <c r="B234" s="106"/>
      <c r="C234" s="225" t="s">
        <v>21</v>
      </c>
      <c r="D234" s="225" t="s">
        <v>39</v>
      </c>
      <c r="E234" s="706" t="s">
        <v>307</v>
      </c>
      <c r="F234" s="707" t="s">
        <v>95</v>
      </c>
      <c r="G234" s="225"/>
      <c r="H234" s="327">
        <f>H235+H242+H240</f>
        <v>1425.3</v>
      </c>
      <c r="I234" s="95">
        <f>I242+I244</f>
        <v>4050</v>
      </c>
      <c r="J234" s="114"/>
      <c r="K234" s="82"/>
      <c r="L234" s="432"/>
      <c r="M234" s="432"/>
      <c r="N234" s="82"/>
    </row>
    <row r="235" spans="1:14" s="88" customFormat="1" ht="40.5">
      <c r="A235" s="394" t="s">
        <v>269</v>
      </c>
      <c r="B235" s="106"/>
      <c r="C235" s="93" t="s">
        <v>21</v>
      </c>
      <c r="D235" s="93" t="s">
        <v>39</v>
      </c>
      <c r="E235" s="690" t="s">
        <v>232</v>
      </c>
      <c r="F235" s="689" t="s">
        <v>95</v>
      </c>
      <c r="G235" s="93"/>
      <c r="H235" s="327">
        <f>H236+H238</f>
        <v>390.6</v>
      </c>
      <c r="I235" s="95"/>
      <c r="J235" s="85"/>
      <c r="K235" s="175"/>
      <c r="L235" s="175"/>
      <c r="M235" s="175"/>
      <c r="N235" s="175"/>
    </row>
    <row r="236" spans="1:14" s="88" customFormat="1" ht="42" customHeight="1">
      <c r="A236" s="522" t="s">
        <v>281</v>
      </c>
      <c r="B236" s="91"/>
      <c r="C236" s="110" t="s">
        <v>21</v>
      </c>
      <c r="D236" s="110" t="s">
        <v>39</v>
      </c>
      <c r="E236" s="708" t="s">
        <v>233</v>
      </c>
      <c r="F236" s="709" t="s">
        <v>533</v>
      </c>
      <c r="G236" s="110"/>
      <c r="H236" s="95">
        <f>H237</f>
        <v>156.2</v>
      </c>
      <c r="I236" s="95">
        <f>I237</f>
        <v>0</v>
      </c>
      <c r="J236" s="85"/>
      <c r="K236" s="175"/>
      <c r="L236" s="175"/>
      <c r="M236" s="175"/>
      <c r="N236" s="175"/>
    </row>
    <row r="237" spans="1:14" s="88" customFormat="1" ht="13.5">
      <c r="A237" s="393" t="s">
        <v>148</v>
      </c>
      <c r="B237" s="91"/>
      <c r="C237" s="94" t="s">
        <v>21</v>
      </c>
      <c r="D237" s="94" t="s">
        <v>39</v>
      </c>
      <c r="E237" s="691" t="s">
        <v>233</v>
      </c>
      <c r="F237" s="692" t="s">
        <v>533</v>
      </c>
      <c r="G237" s="94" t="s">
        <v>149</v>
      </c>
      <c r="H237" s="105">
        <f>'ПРИЛОЖЕНИЕ № 6 (расх)'!I307</f>
        <v>156.2</v>
      </c>
      <c r="I237" s="95"/>
      <c r="J237" s="85"/>
      <c r="K237" s="175"/>
      <c r="L237" s="175"/>
      <c r="M237" s="175"/>
      <c r="N237" s="175"/>
    </row>
    <row r="238" spans="1:14" s="88" customFormat="1" ht="39" customHeight="1">
      <c r="A238" s="394" t="s">
        <v>280</v>
      </c>
      <c r="B238" s="91"/>
      <c r="C238" s="93" t="s">
        <v>21</v>
      </c>
      <c r="D238" s="93" t="s">
        <v>39</v>
      </c>
      <c r="E238" s="690" t="s">
        <v>234</v>
      </c>
      <c r="F238" s="689" t="s">
        <v>533</v>
      </c>
      <c r="G238" s="93"/>
      <c r="H238" s="95">
        <f>H239</f>
        <v>234.4</v>
      </c>
      <c r="I238" s="95" t="e">
        <f>#REF!</f>
        <v>#REF!</v>
      </c>
      <c r="J238" s="85"/>
      <c r="K238" s="175"/>
      <c r="L238" s="175"/>
      <c r="M238" s="175"/>
      <c r="N238" s="175"/>
    </row>
    <row r="239" spans="1:14" s="88" customFormat="1" ht="13.5">
      <c r="A239" s="393" t="s">
        <v>148</v>
      </c>
      <c r="B239" s="91"/>
      <c r="C239" s="94" t="s">
        <v>21</v>
      </c>
      <c r="D239" s="94" t="s">
        <v>39</v>
      </c>
      <c r="E239" s="691" t="s">
        <v>234</v>
      </c>
      <c r="F239" s="692" t="s">
        <v>533</v>
      </c>
      <c r="G239" s="94" t="s">
        <v>149</v>
      </c>
      <c r="H239" s="103">
        <f>'ПРИЛОЖЕНИЕ № 6 (расх)'!I309</f>
        <v>234.4</v>
      </c>
      <c r="I239" s="95"/>
      <c r="J239" s="85"/>
      <c r="K239" s="175"/>
      <c r="L239" s="175"/>
      <c r="M239" s="175"/>
      <c r="N239" s="175"/>
    </row>
    <row r="240" spans="1:14" s="88" customFormat="1" ht="67.5">
      <c r="A240" s="394" t="s">
        <v>319</v>
      </c>
      <c r="B240" s="91"/>
      <c r="C240" s="93" t="s">
        <v>21</v>
      </c>
      <c r="D240" s="93" t="s">
        <v>39</v>
      </c>
      <c r="E240" s="695" t="s">
        <v>381</v>
      </c>
      <c r="F240" s="696" t="s">
        <v>274</v>
      </c>
      <c r="G240" s="93"/>
      <c r="H240" s="95">
        <f>H241</f>
        <v>4.7</v>
      </c>
      <c r="I240" s="95">
        <f>I241</f>
        <v>4.7</v>
      </c>
      <c r="J240" s="85"/>
      <c r="K240" s="175"/>
      <c r="L240" s="175"/>
      <c r="M240" s="175"/>
      <c r="N240" s="175"/>
    </row>
    <row r="241" spans="1:14" s="88" customFormat="1" ht="13.5">
      <c r="A241" s="393" t="s">
        <v>148</v>
      </c>
      <c r="B241" s="91"/>
      <c r="C241" s="94" t="s">
        <v>21</v>
      </c>
      <c r="D241" s="94" t="s">
        <v>39</v>
      </c>
      <c r="E241" s="691" t="s">
        <v>381</v>
      </c>
      <c r="F241" s="692" t="s">
        <v>274</v>
      </c>
      <c r="G241" s="94" t="s">
        <v>149</v>
      </c>
      <c r="H241" s="103">
        <f>'ПРИЛОЖЕНИЕ № 6 (расх)'!I311</f>
        <v>4.7</v>
      </c>
      <c r="I241" s="103">
        <v>4.7</v>
      </c>
      <c r="J241" s="85"/>
      <c r="K241" s="175"/>
      <c r="L241" s="175"/>
      <c r="M241" s="175"/>
      <c r="N241" s="175"/>
    </row>
    <row r="242" spans="1:14" s="90" customFormat="1" ht="25.5">
      <c r="A242" s="524" t="s">
        <v>270</v>
      </c>
      <c r="B242" s="106"/>
      <c r="C242" s="225" t="s">
        <v>21</v>
      </c>
      <c r="D242" s="225" t="s">
        <v>39</v>
      </c>
      <c r="E242" s="706" t="s">
        <v>229</v>
      </c>
      <c r="F242" s="707" t="s">
        <v>95</v>
      </c>
      <c r="G242" s="225"/>
      <c r="H242" s="95">
        <f>H243+H245</f>
        <v>1030</v>
      </c>
      <c r="I242" s="332">
        <f>I243</f>
        <v>1660</v>
      </c>
      <c r="J242" s="114"/>
      <c r="K242" s="82"/>
      <c r="L242" s="432"/>
      <c r="M242" s="82"/>
      <c r="N242" s="82"/>
    </row>
    <row r="243" spans="1:14" s="90" customFormat="1" ht="40.5">
      <c r="A243" s="390" t="s">
        <v>271</v>
      </c>
      <c r="B243" s="106"/>
      <c r="C243" s="61" t="s">
        <v>21</v>
      </c>
      <c r="D243" s="61" t="s">
        <v>39</v>
      </c>
      <c r="E243" s="690" t="s">
        <v>230</v>
      </c>
      <c r="F243" s="689" t="s">
        <v>533</v>
      </c>
      <c r="G243" s="93"/>
      <c r="H243" s="103">
        <f>H244</f>
        <v>430</v>
      </c>
      <c r="I243" s="103">
        <v>1660</v>
      </c>
      <c r="J243" s="100"/>
      <c r="K243" s="82"/>
      <c r="L243" s="82"/>
      <c r="M243" s="82"/>
      <c r="N243" s="82"/>
    </row>
    <row r="244" spans="1:14" s="90" customFormat="1" ht="13.5">
      <c r="A244" s="388" t="s">
        <v>148</v>
      </c>
      <c r="B244" s="106"/>
      <c r="C244" s="64" t="s">
        <v>21</v>
      </c>
      <c r="D244" s="64" t="s">
        <v>39</v>
      </c>
      <c r="E244" s="691" t="s">
        <v>230</v>
      </c>
      <c r="F244" s="692" t="s">
        <v>533</v>
      </c>
      <c r="G244" s="94" t="s">
        <v>149</v>
      </c>
      <c r="H244" s="95">
        <f>'ПРИЛОЖЕНИЕ № 6 (расх)'!I314</f>
        <v>430</v>
      </c>
      <c r="I244" s="103">
        <f>I245</f>
        <v>2390</v>
      </c>
      <c r="J244" s="114"/>
      <c r="K244" s="82"/>
      <c r="L244" s="82"/>
      <c r="M244" s="82"/>
      <c r="N244" s="82"/>
    </row>
    <row r="245" spans="1:14" s="88" customFormat="1" ht="28.5" customHeight="1">
      <c r="A245" s="390" t="s">
        <v>282</v>
      </c>
      <c r="B245" s="91"/>
      <c r="C245" s="61" t="s">
        <v>21</v>
      </c>
      <c r="D245" s="61" t="s">
        <v>39</v>
      </c>
      <c r="E245" s="690" t="s">
        <v>231</v>
      </c>
      <c r="F245" s="689" t="s">
        <v>533</v>
      </c>
      <c r="G245" s="93"/>
      <c r="H245" s="103">
        <f>H246</f>
        <v>600</v>
      </c>
      <c r="I245" s="103">
        <v>2390</v>
      </c>
      <c r="J245" s="85"/>
      <c r="K245" s="175"/>
      <c r="L245" s="175"/>
      <c r="M245" s="175"/>
      <c r="N245" s="175"/>
    </row>
    <row r="246" spans="1:14" s="90" customFormat="1" ht="13.5">
      <c r="A246" s="388" t="s">
        <v>148</v>
      </c>
      <c r="B246" s="106"/>
      <c r="C246" s="64" t="s">
        <v>21</v>
      </c>
      <c r="D246" s="64" t="s">
        <v>39</v>
      </c>
      <c r="E246" s="691" t="s">
        <v>231</v>
      </c>
      <c r="F246" s="692" t="s">
        <v>533</v>
      </c>
      <c r="G246" s="94" t="s">
        <v>149</v>
      </c>
      <c r="H246" s="113">
        <f>'ПРИЛОЖЕНИЕ № 6 (расх)'!I316</f>
        <v>600</v>
      </c>
      <c r="I246" s="84" t="e">
        <f>#REF!+#REF!</f>
        <v>#REF!</v>
      </c>
      <c r="J246" s="114"/>
      <c r="K246" s="82"/>
      <c r="L246" s="82"/>
      <c r="M246" s="82"/>
      <c r="N246" s="82"/>
    </row>
    <row r="247" spans="1:14" s="90" customFormat="1" ht="38.25">
      <c r="A247" s="416" t="s">
        <v>152</v>
      </c>
      <c r="B247" s="106"/>
      <c r="C247" s="186" t="s">
        <v>21</v>
      </c>
      <c r="D247" s="186" t="s">
        <v>39</v>
      </c>
      <c r="E247" s="706" t="s">
        <v>95</v>
      </c>
      <c r="F247" s="707" t="s">
        <v>150</v>
      </c>
      <c r="G247" s="225"/>
      <c r="H247" s="327">
        <f>H248</f>
        <v>49</v>
      </c>
      <c r="I247" s="327">
        <f>I248</f>
        <v>49</v>
      </c>
      <c r="J247" s="114"/>
      <c r="K247" s="82"/>
      <c r="L247" s="432"/>
      <c r="M247" s="82"/>
      <c r="N247" s="82"/>
    </row>
    <row r="248" spans="1:14" s="90" customFormat="1" ht="40.5">
      <c r="A248" s="389" t="s">
        <v>260</v>
      </c>
      <c r="B248" s="106"/>
      <c r="C248" s="61" t="s">
        <v>21</v>
      </c>
      <c r="D248" s="61" t="s">
        <v>39</v>
      </c>
      <c r="E248" s="690" t="s">
        <v>151</v>
      </c>
      <c r="F248" s="689" t="s">
        <v>150</v>
      </c>
      <c r="G248" s="225"/>
      <c r="H248" s="95">
        <f>H249</f>
        <v>49</v>
      </c>
      <c r="I248" s="327">
        <f>I249</f>
        <v>49</v>
      </c>
      <c r="J248" s="114"/>
      <c r="K248" s="82"/>
      <c r="L248" s="82"/>
      <c r="M248" s="82"/>
      <c r="N248" s="82"/>
    </row>
    <row r="249" spans="1:14" s="90" customFormat="1" ht="12.75">
      <c r="A249" s="388" t="s">
        <v>148</v>
      </c>
      <c r="B249" s="106"/>
      <c r="C249" s="64" t="s">
        <v>21</v>
      </c>
      <c r="D249" s="64" t="s">
        <v>39</v>
      </c>
      <c r="E249" s="691" t="s">
        <v>151</v>
      </c>
      <c r="F249" s="692" t="s">
        <v>150</v>
      </c>
      <c r="G249" s="64" t="s">
        <v>149</v>
      </c>
      <c r="H249" s="72">
        <f>'ПРИЛОЖЕНИЕ № 6 (расх)'!I319</f>
        <v>49</v>
      </c>
      <c r="I249" s="103">
        <v>49</v>
      </c>
      <c r="J249" s="114"/>
      <c r="K249" s="82"/>
      <c r="L249" s="82"/>
      <c r="M249" s="82"/>
      <c r="N249" s="82"/>
    </row>
    <row r="250" spans="1:14" s="90" customFormat="1" ht="38.25">
      <c r="A250" s="373" t="s">
        <v>82</v>
      </c>
      <c r="B250" s="106"/>
      <c r="C250" s="225" t="s">
        <v>21</v>
      </c>
      <c r="D250" s="225" t="s">
        <v>39</v>
      </c>
      <c r="E250" s="706" t="s">
        <v>95</v>
      </c>
      <c r="F250" s="707" t="s">
        <v>153</v>
      </c>
      <c r="G250" s="225"/>
      <c r="H250" s="327">
        <f>H251+H253</f>
        <v>360</v>
      </c>
      <c r="I250" s="327">
        <f>I251+I253</f>
        <v>360</v>
      </c>
      <c r="J250" s="114"/>
      <c r="K250" s="82"/>
      <c r="L250" s="82"/>
      <c r="M250" s="82"/>
      <c r="N250" s="82"/>
    </row>
    <row r="251" spans="1:14" s="90" customFormat="1" ht="40.5">
      <c r="A251" s="387" t="s">
        <v>246</v>
      </c>
      <c r="B251" s="106"/>
      <c r="C251" s="93" t="s">
        <v>21</v>
      </c>
      <c r="D251" s="93" t="s">
        <v>39</v>
      </c>
      <c r="E251" s="690" t="s">
        <v>141</v>
      </c>
      <c r="F251" s="689" t="s">
        <v>153</v>
      </c>
      <c r="G251" s="93"/>
      <c r="H251" s="95">
        <f>H252</f>
        <v>161.6</v>
      </c>
      <c r="I251" s="95">
        <f>I252</f>
        <v>161.6</v>
      </c>
      <c r="J251" s="114"/>
      <c r="K251" s="82"/>
      <c r="L251" s="82"/>
      <c r="M251" s="82"/>
      <c r="N251" s="82"/>
    </row>
    <row r="252" spans="1:14" s="90" customFormat="1" ht="12.75">
      <c r="A252" s="388" t="s">
        <v>148</v>
      </c>
      <c r="B252" s="106"/>
      <c r="C252" s="94" t="s">
        <v>21</v>
      </c>
      <c r="D252" s="94" t="s">
        <v>39</v>
      </c>
      <c r="E252" s="691" t="s">
        <v>141</v>
      </c>
      <c r="F252" s="692" t="s">
        <v>153</v>
      </c>
      <c r="G252" s="94" t="s">
        <v>149</v>
      </c>
      <c r="H252" s="103">
        <f>'ПРИЛОЖЕНИЕ № 6 (расх)'!I322</f>
        <v>161.6</v>
      </c>
      <c r="I252" s="103">
        <f>124.1+37.5</f>
        <v>161.6</v>
      </c>
      <c r="J252" s="114"/>
      <c r="K252" s="82"/>
      <c r="L252" s="82"/>
      <c r="M252" s="82"/>
      <c r="N252" s="82"/>
    </row>
    <row r="253" spans="1:14" s="90" customFormat="1" ht="40.5">
      <c r="A253" s="222" t="s">
        <v>154</v>
      </c>
      <c r="B253" s="106"/>
      <c r="C253" s="93" t="s">
        <v>21</v>
      </c>
      <c r="D253" s="93" t="s">
        <v>39</v>
      </c>
      <c r="E253" s="690" t="s">
        <v>151</v>
      </c>
      <c r="F253" s="689" t="s">
        <v>153</v>
      </c>
      <c r="G253" s="93"/>
      <c r="H253" s="95">
        <f>H254</f>
        <v>198.4</v>
      </c>
      <c r="I253" s="95">
        <f>I254</f>
        <v>198.4</v>
      </c>
      <c r="J253" s="114"/>
      <c r="K253" s="82"/>
      <c r="L253" s="82"/>
      <c r="M253" s="82"/>
      <c r="N253" s="82"/>
    </row>
    <row r="254" spans="1:14" s="90" customFormat="1" ht="12.75">
      <c r="A254" s="388" t="s">
        <v>148</v>
      </c>
      <c r="B254" s="106"/>
      <c r="C254" s="94" t="s">
        <v>21</v>
      </c>
      <c r="D254" s="94" t="s">
        <v>39</v>
      </c>
      <c r="E254" s="691" t="s">
        <v>151</v>
      </c>
      <c r="F254" s="692" t="s">
        <v>153</v>
      </c>
      <c r="G254" s="94" t="s">
        <v>149</v>
      </c>
      <c r="H254" s="103">
        <f>'ПРИЛОЖЕНИЕ № 6 (расх)'!I324</f>
        <v>198.4</v>
      </c>
      <c r="I254" s="103">
        <f>152.4+46</f>
        <v>198.4</v>
      </c>
      <c r="J254" s="114"/>
      <c r="K254" s="82"/>
      <c r="L254" s="82"/>
      <c r="M254" s="82"/>
      <c r="N254" s="82"/>
    </row>
    <row r="255" spans="1:14" s="90" customFormat="1" ht="38.25">
      <c r="A255" s="373" t="s">
        <v>83</v>
      </c>
      <c r="B255" s="106"/>
      <c r="C255" s="225" t="s">
        <v>21</v>
      </c>
      <c r="D255" s="225" t="s">
        <v>39</v>
      </c>
      <c r="E255" s="706" t="s">
        <v>95</v>
      </c>
      <c r="F255" s="707" t="s">
        <v>155</v>
      </c>
      <c r="G255" s="225"/>
      <c r="H255" s="327">
        <f>H256+H258</f>
        <v>735.8</v>
      </c>
      <c r="I255" s="327">
        <f>I256+I258</f>
        <v>735.8</v>
      </c>
      <c r="J255" s="114"/>
      <c r="K255" s="82"/>
      <c r="L255" s="82"/>
      <c r="M255" s="82"/>
      <c r="N255" s="82"/>
    </row>
    <row r="256" spans="1:14" s="90" customFormat="1" ht="40.5">
      <c r="A256" s="389" t="s">
        <v>247</v>
      </c>
      <c r="B256" s="106"/>
      <c r="C256" s="93" t="s">
        <v>21</v>
      </c>
      <c r="D256" s="93" t="s">
        <v>39</v>
      </c>
      <c r="E256" s="690" t="s">
        <v>141</v>
      </c>
      <c r="F256" s="689" t="s">
        <v>155</v>
      </c>
      <c r="G256" s="93"/>
      <c r="H256" s="95">
        <f>H257</f>
        <v>245.5</v>
      </c>
      <c r="I256" s="95">
        <f>I257</f>
        <v>245.5</v>
      </c>
      <c r="J256" s="114"/>
      <c r="K256" s="82"/>
      <c r="L256" s="82"/>
      <c r="M256" s="82"/>
      <c r="N256" s="82"/>
    </row>
    <row r="257" spans="1:14" s="90" customFormat="1" ht="12.75">
      <c r="A257" s="388" t="s">
        <v>148</v>
      </c>
      <c r="B257" s="106"/>
      <c r="C257" s="94" t="s">
        <v>21</v>
      </c>
      <c r="D257" s="94" t="s">
        <v>39</v>
      </c>
      <c r="E257" s="691" t="s">
        <v>141</v>
      </c>
      <c r="F257" s="692" t="s">
        <v>155</v>
      </c>
      <c r="G257" s="94" t="s">
        <v>149</v>
      </c>
      <c r="H257" s="103">
        <f>'ПРИЛОЖЕНИЕ № 6 (расх)'!I327</f>
        <v>245.5</v>
      </c>
      <c r="I257" s="103">
        <f>188.5+57</f>
        <v>245.5</v>
      </c>
      <c r="J257" s="114"/>
      <c r="K257" s="82"/>
      <c r="L257" s="82"/>
      <c r="M257" s="82"/>
      <c r="N257" s="82"/>
    </row>
    <row r="258" spans="1:14" s="90" customFormat="1" ht="40.5">
      <c r="A258" s="387" t="s">
        <v>156</v>
      </c>
      <c r="B258" s="106"/>
      <c r="C258" s="93" t="s">
        <v>21</v>
      </c>
      <c r="D258" s="93" t="s">
        <v>39</v>
      </c>
      <c r="E258" s="690" t="s">
        <v>151</v>
      </c>
      <c r="F258" s="689" t="s">
        <v>155</v>
      </c>
      <c r="G258" s="93"/>
      <c r="H258" s="95">
        <f>H259</f>
        <v>490.3</v>
      </c>
      <c r="I258" s="95">
        <f>I259</f>
        <v>490.3</v>
      </c>
      <c r="J258" s="114"/>
      <c r="K258" s="82"/>
      <c r="L258" s="82"/>
      <c r="M258" s="82"/>
      <c r="N258" s="82"/>
    </row>
    <row r="259" spans="1:14" s="90" customFormat="1" ht="12.75">
      <c r="A259" s="388" t="s">
        <v>148</v>
      </c>
      <c r="B259" s="106"/>
      <c r="C259" s="94" t="s">
        <v>21</v>
      </c>
      <c r="D259" s="94" t="s">
        <v>39</v>
      </c>
      <c r="E259" s="691" t="s">
        <v>151</v>
      </c>
      <c r="F259" s="692" t="s">
        <v>155</v>
      </c>
      <c r="G259" s="94" t="s">
        <v>149</v>
      </c>
      <c r="H259" s="103">
        <f>'ПРИЛОЖЕНИЕ № 6 (расх)'!I329</f>
        <v>490.3</v>
      </c>
      <c r="I259" s="103">
        <f>376.5+113.8</f>
        <v>490.3</v>
      </c>
      <c r="J259" s="114"/>
      <c r="K259" s="82"/>
      <c r="L259" s="82"/>
      <c r="M259" s="82"/>
      <c r="N259" s="82"/>
    </row>
    <row r="260" spans="1:14" s="90" customFormat="1" ht="25.5">
      <c r="A260" s="373" t="s">
        <v>211</v>
      </c>
      <c r="B260" s="106"/>
      <c r="C260" s="225" t="s">
        <v>21</v>
      </c>
      <c r="D260" s="225" t="s">
        <v>39</v>
      </c>
      <c r="E260" s="706" t="s">
        <v>95</v>
      </c>
      <c r="F260" s="707" t="s">
        <v>157</v>
      </c>
      <c r="G260" s="225"/>
      <c r="H260" s="327">
        <f>H261+H263</f>
        <v>28436.800000000003</v>
      </c>
      <c r="I260" s="327">
        <f>I261+I263</f>
        <v>28436.800000000003</v>
      </c>
      <c r="J260" s="114"/>
      <c r="K260" s="82"/>
      <c r="L260" s="82"/>
      <c r="M260" s="82"/>
      <c r="N260" s="82"/>
    </row>
    <row r="261" spans="1:14" s="90" customFormat="1" ht="54">
      <c r="A261" s="387" t="s">
        <v>248</v>
      </c>
      <c r="B261" s="106"/>
      <c r="C261" s="93" t="s">
        <v>21</v>
      </c>
      <c r="D261" s="93" t="s">
        <v>39</v>
      </c>
      <c r="E261" s="690" t="s">
        <v>141</v>
      </c>
      <c r="F261" s="689" t="s">
        <v>157</v>
      </c>
      <c r="G261" s="93"/>
      <c r="H261" s="95">
        <f>H262</f>
        <v>11630.6</v>
      </c>
      <c r="I261" s="95">
        <f>I262</f>
        <v>11630.6</v>
      </c>
      <c r="J261" s="114"/>
      <c r="K261" s="82"/>
      <c r="L261" s="82"/>
      <c r="M261" s="82"/>
      <c r="N261" s="82"/>
    </row>
    <row r="262" spans="1:14" s="90" customFormat="1" ht="12.75">
      <c r="A262" s="388" t="s">
        <v>148</v>
      </c>
      <c r="B262" s="106"/>
      <c r="C262" s="94" t="s">
        <v>21</v>
      </c>
      <c r="D262" s="94" t="s">
        <v>39</v>
      </c>
      <c r="E262" s="691" t="s">
        <v>141</v>
      </c>
      <c r="F262" s="692" t="s">
        <v>157</v>
      </c>
      <c r="G262" s="94" t="s">
        <v>149</v>
      </c>
      <c r="H262" s="103">
        <f>'ПРИЛОЖЕНИЕ № 6 (расх)'!I332</f>
        <v>11630.6</v>
      </c>
      <c r="I262" s="103">
        <v>11630.6</v>
      </c>
      <c r="J262" s="114"/>
      <c r="K262" s="82"/>
      <c r="L262" s="82"/>
      <c r="M262" s="82"/>
      <c r="N262" s="82"/>
    </row>
    <row r="263" spans="1:14" s="90" customFormat="1" ht="40.5">
      <c r="A263" s="387" t="s">
        <v>158</v>
      </c>
      <c r="B263" s="106"/>
      <c r="C263" s="93" t="s">
        <v>21</v>
      </c>
      <c r="D263" s="93" t="s">
        <v>39</v>
      </c>
      <c r="E263" s="690" t="s">
        <v>151</v>
      </c>
      <c r="F263" s="689" t="s">
        <v>157</v>
      </c>
      <c r="G263" s="93"/>
      <c r="H263" s="95">
        <f>H264</f>
        <v>16806.2</v>
      </c>
      <c r="I263" s="95">
        <f>I264</f>
        <v>16806.2</v>
      </c>
      <c r="J263" s="114"/>
      <c r="K263" s="82"/>
      <c r="L263" s="82"/>
      <c r="M263" s="82"/>
      <c r="N263" s="82"/>
    </row>
    <row r="264" spans="1:14" s="90" customFormat="1" ht="12.75">
      <c r="A264" s="393" t="s">
        <v>148</v>
      </c>
      <c r="B264" s="106"/>
      <c r="C264" s="94" t="s">
        <v>21</v>
      </c>
      <c r="D264" s="94" t="s">
        <v>39</v>
      </c>
      <c r="E264" s="691" t="s">
        <v>151</v>
      </c>
      <c r="F264" s="692" t="s">
        <v>157</v>
      </c>
      <c r="G264" s="94" t="s">
        <v>149</v>
      </c>
      <c r="H264" s="103">
        <f>'ПРИЛОЖЕНИЕ № 6 (расх)'!I334</f>
        <v>16806.2</v>
      </c>
      <c r="I264" s="103">
        <v>16806.2</v>
      </c>
      <c r="J264" s="114"/>
      <c r="K264" s="82"/>
      <c r="L264" s="82"/>
      <c r="M264" s="82"/>
      <c r="N264" s="82"/>
    </row>
    <row r="265" spans="1:14" s="90" customFormat="1" ht="63.75">
      <c r="A265" s="396" t="s">
        <v>90</v>
      </c>
      <c r="B265" s="106"/>
      <c r="C265" s="225" t="s">
        <v>21</v>
      </c>
      <c r="D265" s="225" t="s">
        <v>39</v>
      </c>
      <c r="E265" s="704" t="s">
        <v>95</v>
      </c>
      <c r="F265" s="705" t="s">
        <v>159</v>
      </c>
      <c r="G265" s="225"/>
      <c r="H265" s="327">
        <f>H266+H268</f>
        <v>1287.6</v>
      </c>
      <c r="I265" s="327">
        <f>I266+I268</f>
        <v>1287.6</v>
      </c>
      <c r="J265" s="114"/>
      <c r="K265" s="82"/>
      <c r="L265" s="82"/>
      <c r="M265" s="82"/>
      <c r="N265" s="82"/>
    </row>
    <row r="266" spans="1:14" s="90" customFormat="1" ht="40.5">
      <c r="A266" s="387" t="s">
        <v>249</v>
      </c>
      <c r="B266" s="106"/>
      <c r="C266" s="93" t="s">
        <v>21</v>
      </c>
      <c r="D266" s="93" t="s">
        <v>39</v>
      </c>
      <c r="E266" s="695" t="s">
        <v>141</v>
      </c>
      <c r="F266" s="696" t="s">
        <v>159</v>
      </c>
      <c r="G266" s="93"/>
      <c r="H266" s="95">
        <f>H267</f>
        <v>481.4</v>
      </c>
      <c r="I266" s="95">
        <f>I267</f>
        <v>481.4</v>
      </c>
      <c r="J266" s="114"/>
      <c r="K266" s="82"/>
      <c r="L266" s="82"/>
      <c r="M266" s="82"/>
      <c r="N266" s="82"/>
    </row>
    <row r="267" spans="1:14" s="90" customFormat="1" ht="12.75">
      <c r="A267" s="388" t="s">
        <v>148</v>
      </c>
      <c r="B267" s="106"/>
      <c r="C267" s="94" t="s">
        <v>21</v>
      </c>
      <c r="D267" s="94" t="s">
        <v>39</v>
      </c>
      <c r="E267" s="691" t="s">
        <v>141</v>
      </c>
      <c r="F267" s="692" t="s">
        <v>159</v>
      </c>
      <c r="G267" s="94" t="s">
        <v>149</v>
      </c>
      <c r="H267" s="103">
        <f>'ПРИЛОЖЕНИЕ № 6 (расх)'!I337</f>
        <v>481.4</v>
      </c>
      <c r="I267" s="103">
        <v>481.4</v>
      </c>
      <c r="J267" s="114"/>
      <c r="K267" s="82"/>
      <c r="L267" s="82"/>
      <c r="M267" s="82"/>
      <c r="N267" s="82"/>
    </row>
    <row r="268" spans="1:14" s="90" customFormat="1" ht="27">
      <c r="A268" s="387" t="s">
        <v>161</v>
      </c>
      <c r="B268" s="106"/>
      <c r="C268" s="93" t="s">
        <v>21</v>
      </c>
      <c r="D268" s="93" t="s">
        <v>39</v>
      </c>
      <c r="E268" s="695" t="s">
        <v>151</v>
      </c>
      <c r="F268" s="696" t="s">
        <v>159</v>
      </c>
      <c r="G268" s="93"/>
      <c r="H268" s="95">
        <f>H269</f>
        <v>806.2</v>
      </c>
      <c r="I268" s="95">
        <f>I269</f>
        <v>806.2</v>
      </c>
      <c r="J268" s="114"/>
      <c r="K268" s="82"/>
      <c r="L268" s="82"/>
      <c r="M268" s="82"/>
      <c r="N268" s="82"/>
    </row>
    <row r="269" spans="1:14" s="90" customFormat="1" ht="12.75">
      <c r="A269" s="388" t="s">
        <v>148</v>
      </c>
      <c r="B269" s="106"/>
      <c r="C269" s="94" t="s">
        <v>21</v>
      </c>
      <c r="D269" s="94" t="s">
        <v>39</v>
      </c>
      <c r="E269" s="691" t="s">
        <v>151</v>
      </c>
      <c r="F269" s="692" t="s">
        <v>159</v>
      </c>
      <c r="G269" s="94" t="s">
        <v>149</v>
      </c>
      <c r="H269" s="103">
        <f>'ПРИЛОЖЕНИЕ № 6 (расх)'!I339</f>
        <v>806.2</v>
      </c>
      <c r="I269" s="103">
        <v>806.2</v>
      </c>
      <c r="J269" s="114"/>
      <c r="K269" s="82"/>
      <c r="L269" s="82"/>
      <c r="M269" s="82"/>
      <c r="N269" s="82"/>
    </row>
    <row r="270" spans="1:11" s="90" customFormat="1" ht="13.5">
      <c r="A270" s="530" t="s">
        <v>23</v>
      </c>
      <c r="B270" s="176"/>
      <c r="C270" s="81" t="s">
        <v>21</v>
      </c>
      <c r="D270" s="81" t="s">
        <v>42</v>
      </c>
      <c r="E270" s="795"/>
      <c r="F270" s="796"/>
      <c r="G270" s="81"/>
      <c r="H270" s="79">
        <f>H271+H277+H279+H305+H297+H302+H321+H311+H316+H326</f>
        <v>73750.69000000002</v>
      </c>
      <c r="I270" s="233"/>
      <c r="J270" s="114">
        <f>I270/H270</f>
        <v>0</v>
      </c>
      <c r="K270" s="432"/>
    </row>
    <row r="271" spans="1:11" s="83" customFormat="1" ht="12.75">
      <c r="A271" s="754" t="s">
        <v>189</v>
      </c>
      <c r="B271" s="176"/>
      <c r="C271" s="225" t="s">
        <v>21</v>
      </c>
      <c r="D271" s="225" t="s">
        <v>42</v>
      </c>
      <c r="E271" s="459" t="s">
        <v>176</v>
      </c>
      <c r="F271" s="460" t="s">
        <v>95</v>
      </c>
      <c r="G271" s="225"/>
      <c r="H271" s="327">
        <f>H272+H274</f>
        <v>8161.200000000001</v>
      </c>
      <c r="I271" s="293"/>
      <c r="J271" s="114">
        <f>I271/H271</f>
        <v>0</v>
      </c>
      <c r="K271" s="179"/>
    </row>
    <row r="272" spans="1:11" s="88" customFormat="1" ht="13.5">
      <c r="A272" s="368" t="s">
        <v>538</v>
      </c>
      <c r="B272" s="91"/>
      <c r="C272" s="93" t="s">
        <v>21</v>
      </c>
      <c r="D272" s="93" t="s">
        <v>42</v>
      </c>
      <c r="E272" s="461" t="s">
        <v>176</v>
      </c>
      <c r="F272" s="462" t="s">
        <v>472</v>
      </c>
      <c r="G272" s="93"/>
      <c r="H272" s="95">
        <f>H273</f>
        <v>948.6</v>
      </c>
      <c r="I272" s="293"/>
      <c r="J272" s="87"/>
      <c r="K272" s="175"/>
    </row>
    <row r="273" spans="1:14" s="90" customFormat="1" ht="13.5">
      <c r="A273" s="379" t="s">
        <v>183</v>
      </c>
      <c r="B273" s="99">
        <v>524</v>
      </c>
      <c r="C273" s="94" t="s">
        <v>21</v>
      </c>
      <c r="D273" s="94" t="s">
        <v>42</v>
      </c>
      <c r="E273" s="466" t="s">
        <v>176</v>
      </c>
      <c r="F273" s="467" t="s">
        <v>472</v>
      </c>
      <c r="G273" s="94" t="s">
        <v>184</v>
      </c>
      <c r="H273" s="103">
        <f>'ПРИЛОЖЕНИЕ № 6 (расх)'!I345</f>
        <v>948.6</v>
      </c>
      <c r="I273" s="293"/>
      <c r="J273" s="85">
        <f>I273/H273</f>
        <v>0</v>
      </c>
      <c r="K273" s="82"/>
      <c r="L273" s="182"/>
      <c r="N273" s="686"/>
    </row>
    <row r="274" spans="1:14" s="90" customFormat="1" ht="13.5">
      <c r="A274" s="368" t="s">
        <v>537</v>
      </c>
      <c r="B274" s="99"/>
      <c r="C274" s="93" t="s">
        <v>21</v>
      </c>
      <c r="D274" s="93" t="s">
        <v>42</v>
      </c>
      <c r="E274" s="464" t="s">
        <v>176</v>
      </c>
      <c r="F274" s="465" t="s">
        <v>476</v>
      </c>
      <c r="G274" s="93"/>
      <c r="H274" s="95">
        <f>SUM(H275:H276)</f>
        <v>7212.6</v>
      </c>
      <c r="I274" s="293"/>
      <c r="J274" s="85"/>
      <c r="K274" s="82"/>
      <c r="L274" s="182"/>
      <c r="N274" s="686"/>
    </row>
    <row r="275" spans="1:11" s="90" customFormat="1" ht="25.5">
      <c r="A275" s="369" t="s">
        <v>128</v>
      </c>
      <c r="B275" s="109">
        <v>524</v>
      </c>
      <c r="C275" s="94" t="s">
        <v>21</v>
      </c>
      <c r="D275" s="94" t="s">
        <v>42</v>
      </c>
      <c r="E275" s="691" t="s">
        <v>176</v>
      </c>
      <c r="F275" s="692" t="s">
        <v>476</v>
      </c>
      <c r="G275" s="94" t="s">
        <v>129</v>
      </c>
      <c r="H275" s="103">
        <f>'ПРИЛОЖЕНИЕ № 6 (расх)'!I347</f>
        <v>7062.6</v>
      </c>
      <c r="I275" s="293"/>
      <c r="J275" s="100">
        <f>I275/H275</f>
        <v>0</v>
      </c>
      <c r="K275" s="82"/>
    </row>
    <row r="276" spans="1:15" s="90" customFormat="1" ht="13.5">
      <c r="A276" s="369" t="s">
        <v>76</v>
      </c>
      <c r="B276" s="109"/>
      <c r="C276" s="94" t="s">
        <v>21</v>
      </c>
      <c r="D276" s="94" t="s">
        <v>42</v>
      </c>
      <c r="E276" s="691" t="s">
        <v>176</v>
      </c>
      <c r="F276" s="692" t="s">
        <v>476</v>
      </c>
      <c r="G276" s="94" t="s">
        <v>77</v>
      </c>
      <c r="H276" s="72">
        <f>'ПРИЛОЖЕНИЕ № 6 (расх)'!I348</f>
        <v>150</v>
      </c>
      <c r="I276" s="84">
        <f>SUM(I332:I336)</f>
        <v>0</v>
      </c>
      <c r="J276" s="100"/>
      <c r="K276" s="82"/>
      <c r="L276" s="182"/>
      <c r="M276" s="182"/>
      <c r="N276" s="182"/>
      <c r="O276" s="182"/>
    </row>
    <row r="277" spans="1:11" s="90" customFormat="1" ht="13.5">
      <c r="A277" s="368" t="s">
        <v>175</v>
      </c>
      <c r="B277" s="177"/>
      <c r="C277" s="93" t="s">
        <v>21</v>
      </c>
      <c r="D277" s="93" t="s">
        <v>42</v>
      </c>
      <c r="E277" s="690" t="s">
        <v>166</v>
      </c>
      <c r="F277" s="462" t="s">
        <v>536</v>
      </c>
      <c r="G277" s="93"/>
      <c r="H277" s="84">
        <f>H278</f>
        <v>10681.06</v>
      </c>
      <c r="I277" s="284"/>
      <c r="J277" s="100"/>
      <c r="K277" s="82"/>
    </row>
    <row r="278" spans="1:11" s="90" customFormat="1" ht="12.75">
      <c r="A278" s="393" t="s">
        <v>148</v>
      </c>
      <c r="B278" s="177"/>
      <c r="C278" s="94" t="s">
        <v>21</v>
      </c>
      <c r="D278" s="94" t="s">
        <v>42</v>
      </c>
      <c r="E278" s="691" t="s">
        <v>166</v>
      </c>
      <c r="F278" s="467" t="s">
        <v>536</v>
      </c>
      <c r="G278" s="94" t="s">
        <v>149</v>
      </c>
      <c r="H278" s="72">
        <f>'ПРИЛОЖЕНИЕ № 6 (расх)'!I349</f>
        <v>10681.06</v>
      </c>
      <c r="I278" s="284"/>
      <c r="J278" s="100"/>
      <c r="K278" s="82"/>
    </row>
    <row r="279" spans="1:12" s="90" customFormat="1" ht="27">
      <c r="A279" s="387" t="s">
        <v>268</v>
      </c>
      <c r="B279" s="177"/>
      <c r="C279" s="93" t="s">
        <v>21</v>
      </c>
      <c r="D279" s="93" t="s">
        <v>42</v>
      </c>
      <c r="E279" s="690" t="s">
        <v>307</v>
      </c>
      <c r="F279" s="462" t="s">
        <v>95</v>
      </c>
      <c r="G279" s="93"/>
      <c r="H279" s="84">
        <f>H283+H289+H280</f>
        <v>2839.93</v>
      </c>
      <c r="I279" s="282"/>
      <c r="J279" s="100"/>
      <c r="K279" s="82"/>
      <c r="L279" s="182"/>
    </row>
    <row r="280" spans="1:12" s="90" customFormat="1" ht="43.5" customHeight="1">
      <c r="A280" s="368" t="s">
        <v>441</v>
      </c>
      <c r="B280" s="177"/>
      <c r="C280" s="93" t="s">
        <v>21</v>
      </c>
      <c r="D280" s="93" t="s">
        <v>42</v>
      </c>
      <c r="E280" s="695" t="s">
        <v>442</v>
      </c>
      <c r="F280" s="465" t="s">
        <v>95</v>
      </c>
      <c r="G280" s="93"/>
      <c r="H280" s="95">
        <f>H281</f>
        <v>75</v>
      </c>
      <c r="I280" s="95">
        <f>I282</f>
        <v>75</v>
      </c>
      <c r="J280" s="100"/>
      <c r="K280" s="82"/>
      <c r="L280" s="182"/>
    </row>
    <row r="281" spans="1:12" s="90" customFormat="1" ht="27">
      <c r="A281" s="368" t="s">
        <v>544</v>
      </c>
      <c r="B281" s="177"/>
      <c r="C281" s="94" t="s">
        <v>21</v>
      </c>
      <c r="D281" s="94" t="s">
        <v>42</v>
      </c>
      <c r="E281" s="691" t="s">
        <v>442</v>
      </c>
      <c r="F281" s="467" t="s">
        <v>472</v>
      </c>
      <c r="G281" s="93"/>
      <c r="H281" s="95">
        <f>H282</f>
        <v>75</v>
      </c>
      <c r="I281" s="95"/>
      <c r="J281" s="100"/>
      <c r="K281" s="82"/>
      <c r="L281" s="182"/>
    </row>
    <row r="282" spans="1:12" s="90" customFormat="1" ht="12.75">
      <c r="A282" s="369" t="s">
        <v>183</v>
      </c>
      <c r="B282" s="177"/>
      <c r="C282" s="94" t="s">
        <v>21</v>
      </c>
      <c r="D282" s="94" t="s">
        <v>42</v>
      </c>
      <c r="E282" s="691" t="s">
        <v>442</v>
      </c>
      <c r="F282" s="467" t="s">
        <v>472</v>
      </c>
      <c r="G282" s="94" t="s">
        <v>184</v>
      </c>
      <c r="H282" s="103">
        <f>'ПРИЛОЖЕНИЕ № 6 (расх)'!I354</f>
        <v>75</v>
      </c>
      <c r="I282" s="103">
        <v>75</v>
      </c>
      <c r="J282" s="100"/>
      <c r="K282" s="82"/>
      <c r="L282" s="182"/>
    </row>
    <row r="283" spans="1:13" s="90" customFormat="1" ht="25.5">
      <c r="A283" s="524" t="s">
        <v>269</v>
      </c>
      <c r="B283" s="338"/>
      <c r="C283" s="225" t="s">
        <v>21</v>
      </c>
      <c r="D283" s="225" t="s">
        <v>42</v>
      </c>
      <c r="E283" s="706" t="s">
        <v>232</v>
      </c>
      <c r="F283" s="460" t="s">
        <v>95</v>
      </c>
      <c r="G283" s="225"/>
      <c r="H283" s="84">
        <f>H284+H287</f>
        <v>835.13</v>
      </c>
      <c r="I283" s="284"/>
      <c r="J283" s="100"/>
      <c r="K283" s="82"/>
      <c r="M283" s="182"/>
    </row>
    <row r="284" spans="1:11" s="90" customFormat="1" ht="40.5">
      <c r="A284" s="390" t="s">
        <v>279</v>
      </c>
      <c r="B284" s="177"/>
      <c r="C284" s="61" t="s">
        <v>21</v>
      </c>
      <c r="D284" s="61" t="s">
        <v>42</v>
      </c>
      <c r="E284" s="690" t="s">
        <v>235</v>
      </c>
      <c r="F284" s="462" t="s">
        <v>95</v>
      </c>
      <c r="G284" s="61"/>
      <c r="H284" s="84">
        <f>H285</f>
        <v>308.6</v>
      </c>
      <c r="I284" s="282"/>
      <c r="J284" s="100"/>
      <c r="K284" s="82"/>
    </row>
    <row r="285" spans="1:11" s="90" customFormat="1" ht="27">
      <c r="A285" s="368" t="s">
        <v>543</v>
      </c>
      <c r="B285" s="177"/>
      <c r="C285" s="61" t="s">
        <v>21</v>
      </c>
      <c r="D285" s="61" t="s">
        <v>42</v>
      </c>
      <c r="E285" s="464" t="s">
        <v>235</v>
      </c>
      <c r="F285" s="465" t="s">
        <v>472</v>
      </c>
      <c r="G285" s="61"/>
      <c r="H285" s="84">
        <f>H286</f>
        <v>308.6</v>
      </c>
      <c r="I285" s="282"/>
      <c r="J285" s="100"/>
      <c r="K285" s="82"/>
    </row>
    <row r="286" spans="1:11" s="90" customFormat="1" ht="12.75">
      <c r="A286" s="379" t="s">
        <v>183</v>
      </c>
      <c r="B286" s="337"/>
      <c r="C286" s="64" t="s">
        <v>21</v>
      </c>
      <c r="D286" s="64" t="s">
        <v>42</v>
      </c>
      <c r="E286" s="691" t="s">
        <v>235</v>
      </c>
      <c r="F286" s="467" t="s">
        <v>472</v>
      </c>
      <c r="G286" s="64" t="s">
        <v>184</v>
      </c>
      <c r="H286" s="72">
        <f>'ПРИЛОЖЕНИЕ № 6 (расх)'!I358</f>
        <v>308.6</v>
      </c>
      <c r="I286" s="292"/>
      <c r="J286" s="100"/>
      <c r="K286" s="82"/>
    </row>
    <row r="287" spans="1:11" s="90" customFormat="1" ht="40.5">
      <c r="A287" s="390" t="s">
        <v>278</v>
      </c>
      <c r="B287" s="177"/>
      <c r="C287" s="61" t="s">
        <v>21</v>
      </c>
      <c r="D287" s="61" t="s">
        <v>42</v>
      </c>
      <c r="E287" s="690" t="s">
        <v>236</v>
      </c>
      <c r="F287" s="462" t="s">
        <v>536</v>
      </c>
      <c r="G287" s="61"/>
      <c r="H287" s="95">
        <f>H288</f>
        <v>526.53</v>
      </c>
      <c r="I287" s="233">
        <f>I289</f>
        <v>0</v>
      </c>
      <c r="J287" s="100"/>
      <c r="K287" s="82"/>
    </row>
    <row r="288" spans="1:11" s="90" customFormat="1" ht="13.5">
      <c r="A288" s="393" t="s">
        <v>148</v>
      </c>
      <c r="B288" s="177"/>
      <c r="C288" s="94" t="s">
        <v>21</v>
      </c>
      <c r="D288" s="94" t="s">
        <v>42</v>
      </c>
      <c r="E288" s="691" t="s">
        <v>236</v>
      </c>
      <c r="F288" s="467" t="s">
        <v>536</v>
      </c>
      <c r="G288" s="94" t="s">
        <v>149</v>
      </c>
      <c r="H288" s="475">
        <f>'ПРИЛОЖЕНИЕ № 6 (расх)'!I360</f>
        <v>526.53</v>
      </c>
      <c r="I288" s="95" t="e">
        <f>#REF!</f>
        <v>#REF!</v>
      </c>
      <c r="J288" s="100"/>
      <c r="K288" s="82"/>
    </row>
    <row r="289" spans="1:11" s="90" customFormat="1" ht="25.5">
      <c r="A289" s="524" t="s">
        <v>277</v>
      </c>
      <c r="B289" s="177"/>
      <c r="C289" s="225" t="s">
        <v>21</v>
      </c>
      <c r="D289" s="225" t="s">
        <v>42</v>
      </c>
      <c r="E289" s="706" t="s">
        <v>229</v>
      </c>
      <c r="F289" s="460" t="s">
        <v>95</v>
      </c>
      <c r="G289" s="225"/>
      <c r="H289" s="95">
        <f>H290+H292+H294</f>
        <v>1929.8</v>
      </c>
      <c r="I289" s="233"/>
      <c r="J289" s="100"/>
      <c r="K289" s="82"/>
    </row>
    <row r="290" spans="1:11" s="90" customFormat="1" ht="40.5">
      <c r="A290" s="394" t="s">
        <v>314</v>
      </c>
      <c r="B290" s="178"/>
      <c r="C290" s="93" t="s">
        <v>21</v>
      </c>
      <c r="D290" s="93" t="s">
        <v>42</v>
      </c>
      <c r="E290" s="690" t="s">
        <v>283</v>
      </c>
      <c r="F290" s="462" t="s">
        <v>313</v>
      </c>
      <c r="G290" s="93"/>
      <c r="H290" s="95">
        <f>H291</f>
        <v>1357</v>
      </c>
      <c r="I290" s="293">
        <f>SUM(I291:I348)</f>
        <v>163932</v>
      </c>
      <c r="J290" s="100"/>
      <c r="K290" s="82"/>
    </row>
    <row r="291" spans="1:11" s="90" customFormat="1" ht="25.5">
      <c r="A291" s="369" t="s">
        <v>128</v>
      </c>
      <c r="B291" s="177"/>
      <c r="C291" s="94" t="s">
        <v>21</v>
      </c>
      <c r="D291" s="94" t="s">
        <v>42</v>
      </c>
      <c r="E291" s="691" t="s">
        <v>283</v>
      </c>
      <c r="F291" s="467" t="s">
        <v>313</v>
      </c>
      <c r="G291" s="94" t="s">
        <v>129</v>
      </c>
      <c r="H291" s="103">
        <f>'ПРИЛОЖЕНИЕ № 6 (расх)'!I365</f>
        <v>1357</v>
      </c>
      <c r="I291" s="293"/>
      <c r="J291" s="100"/>
      <c r="K291" s="82"/>
    </row>
    <row r="292" spans="1:11" s="90" customFormat="1" ht="40.5">
      <c r="A292" s="394" t="s">
        <v>373</v>
      </c>
      <c r="B292" s="177"/>
      <c r="C292" s="93" t="s">
        <v>21</v>
      </c>
      <c r="D292" s="93" t="s">
        <v>42</v>
      </c>
      <c r="E292" s="690" t="s">
        <v>284</v>
      </c>
      <c r="F292" s="689" t="s">
        <v>313</v>
      </c>
      <c r="G292" s="225"/>
      <c r="H292" s="95">
        <f>H293</f>
        <v>566.8</v>
      </c>
      <c r="I292" s="293"/>
      <c r="J292" s="100"/>
      <c r="K292" s="82"/>
    </row>
    <row r="293" spans="1:11" s="90" customFormat="1" ht="12.75">
      <c r="A293" s="393" t="s">
        <v>148</v>
      </c>
      <c r="B293" s="177"/>
      <c r="C293" s="94" t="s">
        <v>21</v>
      </c>
      <c r="D293" s="94" t="s">
        <v>42</v>
      </c>
      <c r="E293" s="691" t="s">
        <v>284</v>
      </c>
      <c r="F293" s="692" t="s">
        <v>313</v>
      </c>
      <c r="G293" s="94" t="s">
        <v>149</v>
      </c>
      <c r="H293" s="103">
        <f>'ПРИЛОЖЕНИЕ № 6 (расх)'!I367</f>
        <v>566.8</v>
      </c>
      <c r="I293" s="293"/>
      <c r="J293" s="100"/>
      <c r="K293" s="82"/>
    </row>
    <row r="294" spans="1:11" s="90" customFormat="1" ht="40.5">
      <c r="A294" s="387" t="s">
        <v>374</v>
      </c>
      <c r="B294" s="177"/>
      <c r="C294" s="93" t="s">
        <v>21</v>
      </c>
      <c r="D294" s="93" t="s">
        <v>42</v>
      </c>
      <c r="E294" s="695" t="s">
        <v>229</v>
      </c>
      <c r="F294" s="696" t="s">
        <v>342</v>
      </c>
      <c r="G294" s="93"/>
      <c r="H294" s="95">
        <f>SUM(H295:H296)</f>
        <v>6</v>
      </c>
      <c r="I294" s="293"/>
      <c r="J294" s="100"/>
      <c r="K294" s="82"/>
    </row>
    <row r="295" spans="1:11" s="90" customFormat="1" ht="25.5">
      <c r="A295" s="369" t="s">
        <v>128</v>
      </c>
      <c r="B295" s="177"/>
      <c r="C295" s="94" t="s">
        <v>21</v>
      </c>
      <c r="D295" s="94" t="s">
        <v>42</v>
      </c>
      <c r="E295" s="691" t="s">
        <v>283</v>
      </c>
      <c r="F295" s="692" t="s">
        <v>342</v>
      </c>
      <c r="G295" s="94" t="s">
        <v>129</v>
      </c>
      <c r="H295" s="103">
        <f>'ПРИЛОЖЕНИЕ № 6 (расх)'!I369</f>
        <v>0.4</v>
      </c>
      <c r="I295" s="293"/>
      <c r="J295" s="100"/>
      <c r="K295" s="82"/>
    </row>
    <row r="296" spans="1:11" s="90" customFormat="1" ht="12.75">
      <c r="A296" s="393" t="s">
        <v>148</v>
      </c>
      <c r="B296" s="177"/>
      <c r="C296" s="94" t="s">
        <v>21</v>
      </c>
      <c r="D296" s="94" t="s">
        <v>42</v>
      </c>
      <c r="E296" s="691" t="s">
        <v>284</v>
      </c>
      <c r="F296" s="692" t="s">
        <v>342</v>
      </c>
      <c r="G296" s="94" t="s">
        <v>149</v>
      </c>
      <c r="H296" s="475">
        <f>'ПРИЛОЖЕНИЕ № 6 (расх)'!I370</f>
        <v>5.6</v>
      </c>
      <c r="I296" s="327">
        <f>I344</f>
        <v>1040</v>
      </c>
      <c r="J296" s="100"/>
      <c r="K296" s="82"/>
    </row>
    <row r="297" spans="1:12" s="90" customFormat="1" ht="63.75">
      <c r="A297" s="395" t="s">
        <v>164</v>
      </c>
      <c r="B297" s="177"/>
      <c r="C297" s="225" t="s">
        <v>21</v>
      </c>
      <c r="D297" s="225" t="s">
        <v>42</v>
      </c>
      <c r="E297" s="706" t="s">
        <v>95</v>
      </c>
      <c r="F297" s="707" t="s">
        <v>162</v>
      </c>
      <c r="G297" s="225"/>
      <c r="H297" s="327">
        <f>H298+H300</f>
        <v>620.5</v>
      </c>
      <c r="I297" s="327">
        <f>I298+I300</f>
        <v>620.5</v>
      </c>
      <c r="J297" s="100"/>
      <c r="K297" s="82"/>
      <c r="L297" s="182"/>
    </row>
    <row r="298" spans="1:11" s="90" customFormat="1" ht="13.5">
      <c r="A298" s="368" t="s">
        <v>185</v>
      </c>
      <c r="B298" s="177"/>
      <c r="C298" s="93" t="s">
        <v>21</v>
      </c>
      <c r="D298" s="93" t="s">
        <v>42</v>
      </c>
      <c r="E298" s="690" t="s">
        <v>176</v>
      </c>
      <c r="F298" s="689" t="s">
        <v>162</v>
      </c>
      <c r="G298" s="93"/>
      <c r="H298" s="95">
        <f>H299</f>
        <v>63</v>
      </c>
      <c r="I298" s="95">
        <f>I299</f>
        <v>63</v>
      </c>
      <c r="J298" s="100"/>
      <c r="K298" s="82"/>
    </row>
    <row r="299" spans="1:16" s="90" customFormat="1" ht="25.5">
      <c r="A299" s="369" t="s">
        <v>128</v>
      </c>
      <c r="B299" s="177"/>
      <c r="C299" s="94" t="s">
        <v>21</v>
      </c>
      <c r="D299" s="94" t="s">
        <v>42</v>
      </c>
      <c r="E299" s="691" t="s">
        <v>176</v>
      </c>
      <c r="F299" s="692" t="s">
        <v>162</v>
      </c>
      <c r="G299" s="94" t="s">
        <v>129</v>
      </c>
      <c r="H299" s="103">
        <f>'ПРИЛОЖЕНИЕ № 6 (расх)'!I373</f>
        <v>63</v>
      </c>
      <c r="I299" s="103">
        <v>63</v>
      </c>
      <c r="J299" s="100"/>
      <c r="K299" s="82"/>
      <c r="L299" s="182"/>
      <c r="M299" s="182"/>
      <c r="N299" s="182"/>
      <c r="O299" s="182"/>
      <c r="P299" s="182"/>
    </row>
    <row r="300" spans="1:11" s="90" customFormat="1" ht="27">
      <c r="A300" s="387" t="s">
        <v>163</v>
      </c>
      <c r="B300" s="177"/>
      <c r="C300" s="93" t="s">
        <v>21</v>
      </c>
      <c r="D300" s="93" t="s">
        <v>42</v>
      </c>
      <c r="E300" s="690" t="s">
        <v>166</v>
      </c>
      <c r="F300" s="689" t="s">
        <v>162</v>
      </c>
      <c r="G300" s="93"/>
      <c r="H300" s="95">
        <f>H301</f>
        <v>557.5</v>
      </c>
      <c r="I300" s="95">
        <f>I301</f>
        <v>557.5</v>
      </c>
      <c r="J300" s="100"/>
      <c r="K300" s="82"/>
    </row>
    <row r="301" spans="1:11" s="90" customFormat="1" ht="12.75">
      <c r="A301" s="393" t="s">
        <v>148</v>
      </c>
      <c r="B301" s="177"/>
      <c r="C301" s="94" t="s">
        <v>21</v>
      </c>
      <c r="D301" s="94" t="s">
        <v>42</v>
      </c>
      <c r="E301" s="691" t="s">
        <v>166</v>
      </c>
      <c r="F301" s="692" t="s">
        <v>162</v>
      </c>
      <c r="G301" s="94" t="s">
        <v>149</v>
      </c>
      <c r="H301" s="103">
        <f>'ПРИЛОЖЕНИЕ № 6 (расх)'!I375</f>
        <v>557.5</v>
      </c>
      <c r="I301" s="103">
        <f>548.5+9</f>
        <v>557.5</v>
      </c>
      <c r="J301" s="100"/>
      <c r="K301" s="82"/>
    </row>
    <row r="302" spans="1:11" s="90" customFormat="1" ht="12.75">
      <c r="A302" s="524" t="s">
        <v>340</v>
      </c>
      <c r="B302" s="177"/>
      <c r="C302" s="225" t="s">
        <v>21</v>
      </c>
      <c r="D302" s="225" t="s">
        <v>42</v>
      </c>
      <c r="E302" s="706" t="s">
        <v>95</v>
      </c>
      <c r="F302" s="707" t="s">
        <v>341</v>
      </c>
      <c r="G302" s="225"/>
      <c r="H302" s="327">
        <f>SUM(H303:H304)</f>
        <v>153.7</v>
      </c>
      <c r="I302" s="327">
        <f>I303+I304</f>
        <v>153.7</v>
      </c>
      <c r="J302" s="100"/>
      <c r="K302" s="82"/>
    </row>
    <row r="303" spans="1:11" s="90" customFormat="1" ht="25.5">
      <c r="A303" s="369" t="s">
        <v>128</v>
      </c>
      <c r="B303" s="177"/>
      <c r="C303" s="94" t="s">
        <v>21</v>
      </c>
      <c r="D303" s="94" t="s">
        <v>42</v>
      </c>
      <c r="E303" s="693" t="s">
        <v>176</v>
      </c>
      <c r="F303" s="703" t="s">
        <v>341</v>
      </c>
      <c r="G303" s="94" t="s">
        <v>129</v>
      </c>
      <c r="H303" s="103">
        <f>'ПРИЛОЖЕНИЕ № 6 (расх)'!I377</f>
        <v>15</v>
      </c>
      <c r="I303" s="103">
        <v>15</v>
      </c>
      <c r="J303" s="100"/>
      <c r="K303" s="82"/>
    </row>
    <row r="304" spans="1:11" s="90" customFormat="1" ht="12.75">
      <c r="A304" s="393" t="s">
        <v>148</v>
      </c>
      <c r="B304" s="177"/>
      <c r="C304" s="94" t="s">
        <v>21</v>
      </c>
      <c r="D304" s="94" t="s">
        <v>42</v>
      </c>
      <c r="E304" s="693" t="s">
        <v>166</v>
      </c>
      <c r="F304" s="703" t="s">
        <v>341</v>
      </c>
      <c r="G304" s="94" t="s">
        <v>149</v>
      </c>
      <c r="H304" s="103">
        <f>'ПРИЛОЖЕНИЕ № 6 (расх)'!I378</f>
        <v>138.7</v>
      </c>
      <c r="I304" s="103">
        <v>138.7</v>
      </c>
      <c r="J304" s="100"/>
      <c r="K304" s="82"/>
    </row>
    <row r="305" spans="1:11" s="90" customFormat="1" ht="76.5">
      <c r="A305" s="396" t="s">
        <v>167</v>
      </c>
      <c r="B305" s="177"/>
      <c r="C305" s="225" t="s">
        <v>21</v>
      </c>
      <c r="D305" s="225" t="s">
        <v>42</v>
      </c>
      <c r="E305" s="706" t="s">
        <v>95</v>
      </c>
      <c r="F305" s="707" t="s">
        <v>165</v>
      </c>
      <c r="G305" s="225"/>
      <c r="H305" s="327">
        <f>H306+H309</f>
        <v>45965.2</v>
      </c>
      <c r="I305" s="327">
        <f>I306+I309</f>
        <v>45965.2</v>
      </c>
      <c r="J305" s="100"/>
      <c r="K305" s="82"/>
    </row>
    <row r="306" spans="1:11" s="90" customFormat="1" ht="27">
      <c r="A306" s="397" t="s">
        <v>186</v>
      </c>
      <c r="B306" s="177"/>
      <c r="C306" s="93" t="s">
        <v>21</v>
      </c>
      <c r="D306" s="93" t="s">
        <v>42</v>
      </c>
      <c r="E306" s="690" t="s">
        <v>176</v>
      </c>
      <c r="F306" s="689" t="s">
        <v>165</v>
      </c>
      <c r="G306" s="93"/>
      <c r="H306" s="95">
        <f>SUM(H307:H308)</f>
        <v>15827.5</v>
      </c>
      <c r="I306" s="95">
        <f>SUM(I307:I308)</f>
        <v>15827.5</v>
      </c>
      <c r="J306" s="100"/>
      <c r="K306" s="82"/>
    </row>
    <row r="307" spans="1:11" s="90" customFormat="1" ht="12.75">
      <c r="A307" s="379" t="s">
        <v>183</v>
      </c>
      <c r="B307" s="177"/>
      <c r="C307" s="94" t="s">
        <v>21</v>
      </c>
      <c r="D307" s="94" t="s">
        <v>42</v>
      </c>
      <c r="E307" s="691" t="s">
        <v>176</v>
      </c>
      <c r="F307" s="692" t="s">
        <v>165</v>
      </c>
      <c r="G307" s="94" t="s">
        <v>184</v>
      </c>
      <c r="H307" s="72">
        <f>'ПРИЛОЖЕНИЕ № 6 (расх)'!I381</f>
        <v>14947.4</v>
      </c>
      <c r="I307" s="72">
        <f>11480.3+3467.1</f>
        <v>14947.4</v>
      </c>
      <c r="J307" s="100"/>
      <c r="K307" s="82"/>
    </row>
    <row r="308" spans="1:11" s="90" customFormat="1" ht="25.5">
      <c r="A308" s="398" t="s">
        <v>128</v>
      </c>
      <c r="B308" s="177"/>
      <c r="C308" s="94" t="s">
        <v>21</v>
      </c>
      <c r="D308" s="94" t="s">
        <v>42</v>
      </c>
      <c r="E308" s="691" t="s">
        <v>176</v>
      </c>
      <c r="F308" s="692" t="s">
        <v>165</v>
      </c>
      <c r="G308" s="94" t="s">
        <v>129</v>
      </c>
      <c r="H308" s="72">
        <f>'ПРИЛОЖЕНИЕ № 6 (расх)'!I382</f>
        <v>880.1</v>
      </c>
      <c r="I308" s="72">
        <v>880.1</v>
      </c>
      <c r="J308" s="100"/>
      <c r="K308" s="82"/>
    </row>
    <row r="309" spans="1:11" s="90" customFormat="1" ht="27">
      <c r="A309" s="389" t="s">
        <v>168</v>
      </c>
      <c r="B309" s="177"/>
      <c r="C309" s="93" t="s">
        <v>21</v>
      </c>
      <c r="D309" s="93" t="s">
        <v>42</v>
      </c>
      <c r="E309" s="690" t="s">
        <v>166</v>
      </c>
      <c r="F309" s="689" t="s">
        <v>165</v>
      </c>
      <c r="G309" s="93"/>
      <c r="H309" s="84">
        <f>H310</f>
        <v>30137.7</v>
      </c>
      <c r="I309" s="84">
        <f>I310</f>
        <v>30137.7</v>
      </c>
      <c r="J309" s="100"/>
      <c r="K309" s="82"/>
    </row>
    <row r="310" spans="1:11" s="90" customFormat="1" ht="12.75">
      <c r="A310" s="388" t="s">
        <v>148</v>
      </c>
      <c r="B310" s="177"/>
      <c r="C310" s="94" t="s">
        <v>21</v>
      </c>
      <c r="D310" s="94" t="s">
        <v>42</v>
      </c>
      <c r="E310" s="691" t="s">
        <v>166</v>
      </c>
      <c r="F310" s="692" t="s">
        <v>165</v>
      </c>
      <c r="G310" s="94" t="s">
        <v>149</v>
      </c>
      <c r="H310" s="72">
        <f>'ПРИЛОЖЕНИЕ № 6 (расх)'!I384</f>
        <v>30137.7</v>
      </c>
      <c r="I310" s="72">
        <v>30137.7</v>
      </c>
      <c r="J310" s="100"/>
      <c r="K310" s="82"/>
    </row>
    <row r="311" spans="1:11" s="90" customFormat="1" ht="38.25">
      <c r="A311" s="373" t="s">
        <v>82</v>
      </c>
      <c r="B311" s="177"/>
      <c r="C311" s="225" t="s">
        <v>21</v>
      </c>
      <c r="D311" s="225" t="s">
        <v>42</v>
      </c>
      <c r="E311" s="706" t="s">
        <v>95</v>
      </c>
      <c r="F311" s="707" t="s">
        <v>153</v>
      </c>
      <c r="G311" s="225"/>
      <c r="H311" s="113">
        <f>H312+H314</f>
        <v>755.1</v>
      </c>
      <c r="I311" s="113">
        <f>I312+I352+I314+I350</f>
        <v>957</v>
      </c>
      <c r="J311" s="100"/>
      <c r="K311" s="82"/>
    </row>
    <row r="312" spans="1:15" s="90" customFormat="1" ht="40.5">
      <c r="A312" s="347" t="s">
        <v>187</v>
      </c>
      <c r="B312" s="177"/>
      <c r="C312" s="93" t="s">
        <v>21</v>
      </c>
      <c r="D312" s="93" t="s">
        <v>42</v>
      </c>
      <c r="E312" s="690" t="s">
        <v>176</v>
      </c>
      <c r="F312" s="689" t="s">
        <v>153</v>
      </c>
      <c r="G312" s="93"/>
      <c r="H312" s="84">
        <f>H313</f>
        <v>181.70000000000002</v>
      </c>
      <c r="I312" s="84">
        <f>I313</f>
        <v>181.70000000000002</v>
      </c>
      <c r="J312" s="100"/>
      <c r="K312" s="82"/>
      <c r="O312" s="687"/>
    </row>
    <row r="313" spans="1:11" s="90" customFormat="1" ht="12.75">
      <c r="A313" s="379" t="s">
        <v>183</v>
      </c>
      <c r="B313" s="177"/>
      <c r="C313" s="94" t="s">
        <v>21</v>
      </c>
      <c r="D313" s="94" t="s">
        <v>42</v>
      </c>
      <c r="E313" s="691" t="s">
        <v>176</v>
      </c>
      <c r="F313" s="692" t="s">
        <v>153</v>
      </c>
      <c r="G313" s="94" t="s">
        <v>184</v>
      </c>
      <c r="H313" s="72">
        <f>'ПРИЛОЖЕНИЕ № 6 (расх)'!I387</f>
        <v>181.70000000000002</v>
      </c>
      <c r="I313" s="72">
        <f>134.3+47.4</f>
        <v>181.70000000000002</v>
      </c>
      <c r="J313" s="100"/>
      <c r="K313" s="82"/>
    </row>
    <row r="314" spans="1:11" s="90" customFormat="1" ht="40.5">
      <c r="A314" s="389" t="s">
        <v>169</v>
      </c>
      <c r="B314" s="177"/>
      <c r="C314" s="93" t="s">
        <v>21</v>
      </c>
      <c r="D314" s="93" t="s">
        <v>42</v>
      </c>
      <c r="E314" s="690" t="s">
        <v>166</v>
      </c>
      <c r="F314" s="689" t="s">
        <v>153</v>
      </c>
      <c r="G314" s="93"/>
      <c r="H314" s="84">
        <f>H315</f>
        <v>573.4</v>
      </c>
      <c r="I314" s="95">
        <f>I315</f>
        <v>573.4</v>
      </c>
      <c r="J314" s="100"/>
      <c r="K314" s="82"/>
    </row>
    <row r="315" spans="1:11" s="90" customFormat="1" ht="12.75">
      <c r="A315" s="388" t="s">
        <v>148</v>
      </c>
      <c r="B315" s="177"/>
      <c r="C315" s="94" t="s">
        <v>21</v>
      </c>
      <c r="D315" s="94" t="s">
        <v>42</v>
      </c>
      <c r="E315" s="691" t="s">
        <v>166</v>
      </c>
      <c r="F315" s="692" t="s">
        <v>153</v>
      </c>
      <c r="G315" s="94" t="s">
        <v>149</v>
      </c>
      <c r="H315" s="72">
        <f>'ПРИЛОЖЕНИЕ № 6 (расх)'!I389</f>
        <v>573.4</v>
      </c>
      <c r="I315" s="103">
        <f>440.4+133</f>
        <v>573.4</v>
      </c>
      <c r="J315" s="100"/>
      <c r="K315" s="82"/>
    </row>
    <row r="316" spans="1:11" s="90" customFormat="1" ht="76.5">
      <c r="A316" s="373" t="s">
        <v>170</v>
      </c>
      <c r="B316" s="177"/>
      <c r="C316" s="225" t="s">
        <v>21</v>
      </c>
      <c r="D316" s="225" t="s">
        <v>42</v>
      </c>
      <c r="E316" s="690" t="s">
        <v>95</v>
      </c>
      <c r="F316" s="689" t="s">
        <v>155</v>
      </c>
      <c r="G316" s="225"/>
      <c r="H316" s="113">
        <f>H317+H319</f>
        <v>1599.2999999999997</v>
      </c>
      <c r="I316" s="327">
        <f>I317+I357+I319+I355</f>
        <v>2294.6</v>
      </c>
      <c r="J316" s="100"/>
      <c r="K316" s="82"/>
    </row>
    <row r="317" spans="1:11" s="90" customFormat="1" ht="40.5">
      <c r="A317" s="389" t="s">
        <v>188</v>
      </c>
      <c r="B317" s="177"/>
      <c r="C317" s="93" t="s">
        <v>21</v>
      </c>
      <c r="D317" s="93" t="s">
        <v>42</v>
      </c>
      <c r="E317" s="690" t="s">
        <v>176</v>
      </c>
      <c r="F317" s="689" t="s">
        <v>155</v>
      </c>
      <c r="G317" s="93"/>
      <c r="H317" s="84">
        <f>H318</f>
        <v>572.9</v>
      </c>
      <c r="I317" s="84">
        <f>I318</f>
        <v>572.9</v>
      </c>
      <c r="J317" s="100"/>
      <c r="K317" s="82"/>
    </row>
    <row r="318" spans="1:11" s="90" customFormat="1" ht="12.75">
      <c r="A318" s="379" t="s">
        <v>183</v>
      </c>
      <c r="B318" s="177"/>
      <c r="C318" s="94" t="s">
        <v>21</v>
      </c>
      <c r="D318" s="94" t="s">
        <v>42</v>
      </c>
      <c r="E318" s="691" t="s">
        <v>176</v>
      </c>
      <c r="F318" s="692" t="s">
        <v>155</v>
      </c>
      <c r="G318" s="94" t="s">
        <v>184</v>
      </c>
      <c r="H318" s="72">
        <f>'ПРИЛОЖЕНИЕ № 6 (расх)'!I392</f>
        <v>572.9</v>
      </c>
      <c r="I318" s="72">
        <f>440+132.9</f>
        <v>572.9</v>
      </c>
      <c r="J318" s="100"/>
      <c r="K318" s="82"/>
    </row>
    <row r="319" spans="1:11" s="90" customFormat="1" ht="40.5">
      <c r="A319" s="389" t="s">
        <v>171</v>
      </c>
      <c r="B319" s="177"/>
      <c r="C319" s="93" t="s">
        <v>21</v>
      </c>
      <c r="D319" s="93" t="s">
        <v>42</v>
      </c>
      <c r="E319" s="690" t="s">
        <v>166</v>
      </c>
      <c r="F319" s="689" t="s">
        <v>155</v>
      </c>
      <c r="G319" s="93"/>
      <c r="H319" s="84">
        <f>H320</f>
        <v>1026.3999999999999</v>
      </c>
      <c r="I319" s="84">
        <f>I320</f>
        <v>1026.3999999999999</v>
      </c>
      <c r="J319" s="100"/>
      <c r="K319" s="82"/>
    </row>
    <row r="320" spans="1:11" s="90" customFormat="1" ht="12.75">
      <c r="A320" s="388" t="s">
        <v>148</v>
      </c>
      <c r="B320" s="177"/>
      <c r="C320" s="94" t="s">
        <v>21</v>
      </c>
      <c r="D320" s="94" t="s">
        <v>42</v>
      </c>
      <c r="E320" s="691" t="s">
        <v>166</v>
      </c>
      <c r="F320" s="692" t="s">
        <v>155</v>
      </c>
      <c r="G320" s="94" t="s">
        <v>149</v>
      </c>
      <c r="H320" s="72">
        <f>'ПРИЛОЖЕНИЕ № 6 (расх)'!I394</f>
        <v>1026.3999999999999</v>
      </c>
      <c r="I320" s="72">
        <f>788.3+238.1</f>
        <v>1026.3999999999999</v>
      </c>
      <c r="J320" s="100"/>
      <c r="K320" s="82"/>
    </row>
    <row r="321" spans="1:11" s="90" customFormat="1" ht="63.75">
      <c r="A321" s="373" t="s">
        <v>173</v>
      </c>
      <c r="B321" s="177"/>
      <c r="C321" s="225" t="s">
        <v>21</v>
      </c>
      <c r="D321" s="225" t="s">
        <v>42</v>
      </c>
      <c r="E321" s="706" t="s">
        <v>95</v>
      </c>
      <c r="F321" s="707" t="s">
        <v>172</v>
      </c>
      <c r="G321" s="225"/>
      <c r="H321" s="113">
        <f>H322+H324</f>
        <v>474.6</v>
      </c>
      <c r="I321" s="113">
        <f>I322+I324</f>
        <v>474.6</v>
      </c>
      <c r="J321" s="100"/>
      <c r="K321" s="82"/>
    </row>
    <row r="322" spans="1:11" s="90" customFormat="1" ht="27">
      <c r="A322" s="389" t="s">
        <v>276</v>
      </c>
      <c r="B322" s="177"/>
      <c r="C322" s="93" t="s">
        <v>21</v>
      </c>
      <c r="D322" s="93" t="s">
        <v>42</v>
      </c>
      <c r="E322" s="690" t="s">
        <v>176</v>
      </c>
      <c r="F322" s="689" t="s">
        <v>172</v>
      </c>
      <c r="G322" s="93"/>
      <c r="H322" s="84">
        <f>H323</f>
        <v>90</v>
      </c>
      <c r="I322" s="84">
        <f>I323</f>
        <v>90</v>
      </c>
      <c r="J322" s="100"/>
      <c r="K322" s="82"/>
    </row>
    <row r="323" spans="1:11" s="90" customFormat="1" ht="12.75">
      <c r="A323" s="379" t="s">
        <v>183</v>
      </c>
      <c r="B323" s="177"/>
      <c r="C323" s="94" t="s">
        <v>21</v>
      </c>
      <c r="D323" s="94" t="s">
        <v>42</v>
      </c>
      <c r="E323" s="691" t="s">
        <v>176</v>
      </c>
      <c r="F323" s="692" t="s">
        <v>172</v>
      </c>
      <c r="G323" s="94" t="s">
        <v>184</v>
      </c>
      <c r="H323" s="71">
        <f>'ПРИЛОЖЕНИЕ № 6 (расх)'!I397</f>
        <v>90</v>
      </c>
      <c r="I323" s="72">
        <v>90</v>
      </c>
      <c r="J323" s="100"/>
      <c r="K323" s="82"/>
    </row>
    <row r="324" spans="1:11" s="90" customFormat="1" ht="27">
      <c r="A324" s="389" t="s">
        <v>275</v>
      </c>
      <c r="B324" s="177"/>
      <c r="C324" s="93" t="s">
        <v>21</v>
      </c>
      <c r="D324" s="93" t="s">
        <v>42</v>
      </c>
      <c r="E324" s="690" t="s">
        <v>166</v>
      </c>
      <c r="F324" s="689" t="s">
        <v>172</v>
      </c>
      <c r="G324" s="93"/>
      <c r="H324" s="84">
        <f>H325</f>
        <v>384.6</v>
      </c>
      <c r="I324" s="84">
        <f>I325</f>
        <v>384.6</v>
      </c>
      <c r="J324" s="100"/>
      <c r="K324" s="82"/>
    </row>
    <row r="325" spans="1:11" s="90" customFormat="1" ht="12.75">
      <c r="A325" s="388" t="s">
        <v>148</v>
      </c>
      <c r="B325" s="177"/>
      <c r="C325" s="94" t="s">
        <v>21</v>
      </c>
      <c r="D325" s="94" t="s">
        <v>42</v>
      </c>
      <c r="E325" s="691" t="s">
        <v>166</v>
      </c>
      <c r="F325" s="692" t="s">
        <v>172</v>
      </c>
      <c r="G325" s="94" t="s">
        <v>149</v>
      </c>
      <c r="H325" s="72">
        <f>'ПРИЛОЖЕНИЕ № 6 (расх)'!I399</f>
        <v>384.6</v>
      </c>
      <c r="I325" s="72">
        <v>384.6</v>
      </c>
      <c r="J325" s="100"/>
      <c r="K325" s="82"/>
    </row>
    <row r="326" spans="1:11" s="90" customFormat="1" ht="63.75">
      <c r="A326" s="396" t="s">
        <v>90</v>
      </c>
      <c r="B326" s="177"/>
      <c r="C326" s="225" t="s">
        <v>21</v>
      </c>
      <c r="D326" s="225" t="s">
        <v>42</v>
      </c>
      <c r="E326" s="704" t="s">
        <v>95</v>
      </c>
      <c r="F326" s="705" t="s">
        <v>159</v>
      </c>
      <c r="G326" s="225"/>
      <c r="H326" s="327">
        <f>H327+H329</f>
        <v>2500.1</v>
      </c>
      <c r="I326" s="327">
        <f>I327+I364+I329+I360</f>
        <v>2915.1</v>
      </c>
      <c r="J326" s="100"/>
      <c r="K326" s="82"/>
    </row>
    <row r="327" spans="1:11" s="90" customFormat="1" ht="27">
      <c r="A327" s="391" t="s">
        <v>238</v>
      </c>
      <c r="B327" s="177"/>
      <c r="C327" s="93" t="s">
        <v>21</v>
      </c>
      <c r="D327" s="93" t="s">
        <v>42</v>
      </c>
      <c r="E327" s="695" t="s">
        <v>176</v>
      </c>
      <c r="F327" s="696" t="s">
        <v>159</v>
      </c>
      <c r="G327" s="93"/>
      <c r="H327" s="95">
        <f>H328</f>
        <v>800</v>
      </c>
      <c r="I327" s="95">
        <f>I328</f>
        <v>800</v>
      </c>
      <c r="J327" s="100"/>
      <c r="K327" s="82"/>
    </row>
    <row r="328" spans="1:11" s="90" customFormat="1" ht="12.75">
      <c r="A328" s="379" t="s">
        <v>183</v>
      </c>
      <c r="B328" s="177"/>
      <c r="C328" s="94" t="s">
        <v>21</v>
      </c>
      <c r="D328" s="94" t="s">
        <v>42</v>
      </c>
      <c r="E328" s="691" t="s">
        <v>176</v>
      </c>
      <c r="F328" s="692" t="s">
        <v>159</v>
      </c>
      <c r="G328" s="94" t="s">
        <v>184</v>
      </c>
      <c r="H328" s="103">
        <f>'ПРИЛОЖЕНИЕ № 6 (расх)'!I402</f>
        <v>800</v>
      </c>
      <c r="I328" s="103">
        <v>800</v>
      </c>
      <c r="J328" s="100"/>
      <c r="K328" s="82"/>
    </row>
    <row r="329" spans="1:11" s="90" customFormat="1" ht="25.5">
      <c r="A329" s="379" t="s">
        <v>174</v>
      </c>
      <c r="B329" s="177"/>
      <c r="C329" s="93" t="s">
        <v>21</v>
      </c>
      <c r="D329" s="93" t="s">
        <v>42</v>
      </c>
      <c r="E329" s="695" t="s">
        <v>166</v>
      </c>
      <c r="F329" s="696" t="s">
        <v>159</v>
      </c>
      <c r="G329" s="93"/>
      <c r="H329" s="95">
        <f>H330</f>
        <v>1700.1</v>
      </c>
      <c r="I329" s="95">
        <f>I330</f>
        <v>1700.1</v>
      </c>
      <c r="J329" s="100"/>
      <c r="K329" s="82"/>
    </row>
    <row r="330" spans="1:11" s="90" customFormat="1" ht="12.75">
      <c r="A330" s="393" t="s">
        <v>148</v>
      </c>
      <c r="B330" s="177"/>
      <c r="C330" s="110" t="s">
        <v>21</v>
      </c>
      <c r="D330" s="110" t="s">
        <v>42</v>
      </c>
      <c r="E330" s="691" t="s">
        <v>166</v>
      </c>
      <c r="F330" s="715" t="s">
        <v>159</v>
      </c>
      <c r="G330" s="94" t="s">
        <v>149</v>
      </c>
      <c r="H330" s="103">
        <f>'ПРИЛОЖЕНИЕ № 6 (расх)'!I404</f>
        <v>1700.1</v>
      </c>
      <c r="I330" s="103">
        <v>1700.1</v>
      </c>
      <c r="J330" s="100"/>
      <c r="K330" s="82"/>
    </row>
    <row r="331" spans="1:11" s="90" customFormat="1" ht="16.5" customHeight="1">
      <c r="A331" s="772" t="s">
        <v>564</v>
      </c>
      <c r="B331" s="177"/>
      <c r="C331" s="81" t="s">
        <v>21</v>
      </c>
      <c r="D331" s="81" t="s">
        <v>40</v>
      </c>
      <c r="E331" s="802"/>
      <c r="F331" s="803"/>
      <c r="G331" s="81"/>
      <c r="H331" s="79">
        <f>H332+H338+H344+H349+H354+H359</f>
        <v>18682.49</v>
      </c>
      <c r="I331" s="323">
        <f>I366+I372+I378+I383+I388+I393</f>
        <v>88.6</v>
      </c>
      <c r="J331" s="100"/>
      <c r="K331" s="82"/>
    </row>
    <row r="332" spans="1:11" s="90" customFormat="1" ht="12.75">
      <c r="A332" s="744" t="s">
        <v>215</v>
      </c>
      <c r="B332" s="111"/>
      <c r="C332" s="186" t="s">
        <v>21</v>
      </c>
      <c r="D332" s="186" t="s">
        <v>40</v>
      </c>
      <c r="E332" s="706" t="s">
        <v>216</v>
      </c>
      <c r="F332" s="707" t="s">
        <v>95</v>
      </c>
      <c r="G332" s="186"/>
      <c r="H332" s="113">
        <f>H333+H335</f>
        <v>6392.540000000001</v>
      </c>
      <c r="I332" s="72"/>
      <c r="J332" s="100"/>
      <c r="K332" s="82"/>
    </row>
    <row r="333" spans="1:11" s="90" customFormat="1" ht="13.5">
      <c r="A333" s="368" t="s">
        <v>539</v>
      </c>
      <c r="B333" s="109"/>
      <c r="C333" s="61" t="s">
        <v>21</v>
      </c>
      <c r="D333" s="61" t="s">
        <v>40</v>
      </c>
      <c r="E333" s="461" t="s">
        <v>216</v>
      </c>
      <c r="F333" s="462" t="s">
        <v>472</v>
      </c>
      <c r="G333" s="61"/>
      <c r="H333" s="84">
        <f>H334</f>
        <v>4919.1</v>
      </c>
      <c r="I333" s="72"/>
      <c r="J333" s="100"/>
      <c r="K333" s="82"/>
    </row>
    <row r="334" spans="1:11" s="90" customFormat="1" ht="12.75">
      <c r="A334" s="379" t="s">
        <v>183</v>
      </c>
      <c r="B334" s="109"/>
      <c r="C334" s="64" t="s">
        <v>21</v>
      </c>
      <c r="D334" s="64" t="s">
        <v>40</v>
      </c>
      <c r="E334" s="466" t="s">
        <v>216</v>
      </c>
      <c r="F334" s="467" t="s">
        <v>472</v>
      </c>
      <c r="G334" s="94" t="s">
        <v>184</v>
      </c>
      <c r="H334" s="72">
        <f>'ПРИЛОЖЕНИЕ № 6 (расх)'!I408</f>
        <v>4919.1</v>
      </c>
      <c r="I334" s="72"/>
      <c r="J334" s="100"/>
      <c r="K334" s="82"/>
    </row>
    <row r="335" spans="1:11" s="90" customFormat="1" ht="13.5">
      <c r="A335" s="368" t="s">
        <v>540</v>
      </c>
      <c r="B335" s="109"/>
      <c r="C335" s="61" t="s">
        <v>21</v>
      </c>
      <c r="D335" s="61" t="s">
        <v>40</v>
      </c>
      <c r="E335" s="461" t="s">
        <v>216</v>
      </c>
      <c r="F335" s="462" t="s">
        <v>476</v>
      </c>
      <c r="G335" s="94"/>
      <c r="H335" s="84">
        <f>SUM(H336:H337)</f>
        <v>1473.44</v>
      </c>
      <c r="I335" s="72"/>
      <c r="J335" s="100"/>
      <c r="K335" s="82"/>
    </row>
    <row r="336" spans="1:11" s="90" customFormat="1" ht="25.5">
      <c r="A336" s="367" t="s">
        <v>128</v>
      </c>
      <c r="B336" s="109"/>
      <c r="C336" s="64" t="s">
        <v>21</v>
      </c>
      <c r="D336" s="64" t="s">
        <v>40</v>
      </c>
      <c r="E336" s="691" t="s">
        <v>216</v>
      </c>
      <c r="F336" s="692" t="s">
        <v>476</v>
      </c>
      <c r="G336" s="94" t="s">
        <v>129</v>
      </c>
      <c r="H336" s="72">
        <f>'ПРИЛОЖЕНИЕ № 6 (расх)'!I410</f>
        <v>1423.44</v>
      </c>
      <c r="I336" s="72"/>
      <c r="J336" s="100"/>
      <c r="K336" s="82"/>
    </row>
    <row r="337" spans="1:11" s="90" customFormat="1" ht="13.5">
      <c r="A337" s="367" t="s">
        <v>76</v>
      </c>
      <c r="B337" s="111">
        <v>524</v>
      </c>
      <c r="C337" s="64" t="s">
        <v>21</v>
      </c>
      <c r="D337" s="64" t="s">
        <v>40</v>
      </c>
      <c r="E337" s="691" t="s">
        <v>216</v>
      </c>
      <c r="F337" s="692" t="s">
        <v>476</v>
      </c>
      <c r="G337" s="94" t="s">
        <v>77</v>
      </c>
      <c r="H337" s="103">
        <f>'ПРИЛОЖЕНИЕ № 6 (расх)'!I411</f>
        <v>50</v>
      </c>
      <c r="I337" s="233">
        <f>I338</f>
        <v>0</v>
      </c>
      <c r="J337" s="100">
        <f>I337/H337</f>
        <v>0</v>
      </c>
      <c r="K337" s="82"/>
    </row>
    <row r="338" spans="1:11" s="90" customFormat="1" ht="12.75">
      <c r="A338" s="399" t="s">
        <v>194</v>
      </c>
      <c r="B338" s="177"/>
      <c r="C338" s="225" t="s">
        <v>21</v>
      </c>
      <c r="D338" s="225" t="s">
        <v>40</v>
      </c>
      <c r="E338" s="706" t="s">
        <v>193</v>
      </c>
      <c r="F338" s="707" t="s">
        <v>95</v>
      </c>
      <c r="G338" s="225"/>
      <c r="H338" s="327">
        <f>H339+H341</f>
        <v>10713.55</v>
      </c>
      <c r="I338" s="293"/>
      <c r="J338" s="100"/>
      <c r="K338" s="82"/>
    </row>
    <row r="339" spans="1:11" s="90" customFormat="1" ht="27">
      <c r="A339" s="368" t="s">
        <v>541</v>
      </c>
      <c r="B339" s="177"/>
      <c r="C339" s="93" t="s">
        <v>21</v>
      </c>
      <c r="D339" s="93" t="s">
        <v>40</v>
      </c>
      <c r="E339" s="461" t="s">
        <v>193</v>
      </c>
      <c r="F339" s="462" t="s">
        <v>472</v>
      </c>
      <c r="G339" s="93"/>
      <c r="H339" s="95">
        <f>H340</f>
        <v>6966.05</v>
      </c>
      <c r="I339" s="233"/>
      <c r="J339" s="100"/>
      <c r="K339" s="82"/>
    </row>
    <row r="340" spans="1:11" s="90" customFormat="1" ht="13.5">
      <c r="A340" s="379" t="s">
        <v>183</v>
      </c>
      <c r="B340" s="177"/>
      <c r="C340" s="94" t="s">
        <v>21</v>
      </c>
      <c r="D340" s="94" t="s">
        <v>40</v>
      </c>
      <c r="E340" s="466" t="s">
        <v>193</v>
      </c>
      <c r="F340" s="467" t="s">
        <v>472</v>
      </c>
      <c r="G340" s="94" t="s">
        <v>184</v>
      </c>
      <c r="H340" s="72">
        <f>'ПРИЛОЖЕНИЕ № 6 (расх)'!I414</f>
        <v>6966.05</v>
      </c>
      <c r="I340" s="282">
        <f>SUM(I277:I277)</f>
        <v>0</v>
      </c>
      <c r="J340" s="100"/>
      <c r="K340" s="82"/>
    </row>
    <row r="341" spans="1:11" s="90" customFormat="1" ht="27">
      <c r="A341" s="368" t="s">
        <v>542</v>
      </c>
      <c r="B341" s="177"/>
      <c r="C341" s="93" t="s">
        <v>21</v>
      </c>
      <c r="D341" s="93" t="s">
        <v>40</v>
      </c>
      <c r="E341" s="464" t="s">
        <v>193</v>
      </c>
      <c r="F341" s="465" t="s">
        <v>476</v>
      </c>
      <c r="G341" s="93"/>
      <c r="H341" s="84">
        <f>SUM(H342:H343)</f>
        <v>3747.5</v>
      </c>
      <c r="I341" s="282"/>
      <c r="J341" s="100"/>
      <c r="K341" s="82"/>
    </row>
    <row r="342" spans="1:11" s="90" customFormat="1" ht="25.5">
      <c r="A342" s="369" t="s">
        <v>128</v>
      </c>
      <c r="B342" s="177"/>
      <c r="C342" s="94" t="s">
        <v>21</v>
      </c>
      <c r="D342" s="94" t="s">
        <v>40</v>
      </c>
      <c r="E342" s="691" t="s">
        <v>193</v>
      </c>
      <c r="F342" s="692" t="s">
        <v>476</v>
      </c>
      <c r="G342" s="94" t="s">
        <v>129</v>
      </c>
      <c r="H342" s="72">
        <f>'ПРИЛОЖЕНИЕ № 6 (расх)'!I416</f>
        <v>3597.5</v>
      </c>
      <c r="I342" s="282"/>
      <c r="J342" s="100"/>
      <c r="K342" s="82"/>
    </row>
    <row r="343" spans="1:11" s="90" customFormat="1" ht="12.75">
      <c r="A343" s="369" t="s">
        <v>76</v>
      </c>
      <c r="B343" s="177"/>
      <c r="C343" s="94" t="s">
        <v>21</v>
      </c>
      <c r="D343" s="94" t="s">
        <v>40</v>
      </c>
      <c r="E343" s="691" t="s">
        <v>193</v>
      </c>
      <c r="F343" s="692" t="s">
        <v>476</v>
      </c>
      <c r="G343" s="94" t="s">
        <v>77</v>
      </c>
      <c r="H343" s="72">
        <f>'ПРИЛОЖЕНИЕ № 6 (расх)'!I417</f>
        <v>150</v>
      </c>
      <c r="I343" s="284"/>
      <c r="J343" s="100"/>
      <c r="K343" s="82"/>
    </row>
    <row r="344" spans="1:12" s="90" customFormat="1" ht="25.5">
      <c r="A344" s="399" t="s">
        <v>352</v>
      </c>
      <c r="B344" s="338"/>
      <c r="C344" s="225" t="s">
        <v>21</v>
      </c>
      <c r="D344" s="225" t="s">
        <v>40</v>
      </c>
      <c r="E344" s="704" t="s">
        <v>361</v>
      </c>
      <c r="F344" s="705" t="s">
        <v>95</v>
      </c>
      <c r="G344" s="225"/>
      <c r="H344" s="476">
        <f>H345+H347</f>
        <v>15</v>
      </c>
      <c r="I344" s="105">
        <f>I345</f>
        <v>1040</v>
      </c>
      <c r="J344" s="100"/>
      <c r="K344" s="82"/>
      <c r="L344" s="680"/>
    </row>
    <row r="345" spans="1:11" s="90" customFormat="1" ht="40.5">
      <c r="A345" s="347" t="s">
        <v>353</v>
      </c>
      <c r="B345" s="177"/>
      <c r="C345" s="93" t="s">
        <v>21</v>
      </c>
      <c r="D345" s="93" t="s">
        <v>40</v>
      </c>
      <c r="E345" s="695" t="s">
        <v>362</v>
      </c>
      <c r="F345" s="465" t="s">
        <v>489</v>
      </c>
      <c r="G345" s="93"/>
      <c r="H345" s="476">
        <f>H346</f>
        <v>5</v>
      </c>
      <c r="I345" s="103">
        <v>1040</v>
      </c>
      <c r="J345" s="100"/>
      <c r="K345" s="82"/>
    </row>
    <row r="346" spans="1:11" s="90" customFormat="1" ht="25.5">
      <c r="A346" s="369" t="s">
        <v>128</v>
      </c>
      <c r="B346" s="177"/>
      <c r="C346" s="94" t="s">
        <v>21</v>
      </c>
      <c r="D346" s="94" t="s">
        <v>40</v>
      </c>
      <c r="E346" s="691" t="s">
        <v>362</v>
      </c>
      <c r="F346" s="499" t="s">
        <v>489</v>
      </c>
      <c r="G346" s="94" t="s">
        <v>129</v>
      </c>
      <c r="H346" s="103">
        <f>'ПРИЛОЖЕНИЕ № 6 (расх)'!I420</f>
        <v>5</v>
      </c>
      <c r="I346" s="113">
        <f>I347</f>
        <v>1119.8</v>
      </c>
      <c r="J346" s="100"/>
      <c r="K346" s="82"/>
    </row>
    <row r="347" spans="1:11" s="90" customFormat="1" ht="24.75" customHeight="1">
      <c r="A347" s="347" t="s">
        <v>363</v>
      </c>
      <c r="B347" s="337"/>
      <c r="C347" s="93" t="s">
        <v>21</v>
      </c>
      <c r="D347" s="93" t="s">
        <v>40</v>
      </c>
      <c r="E347" s="695" t="s">
        <v>364</v>
      </c>
      <c r="F347" s="696" t="s">
        <v>489</v>
      </c>
      <c r="G347" s="93"/>
      <c r="H347" s="95">
        <f>H348</f>
        <v>10</v>
      </c>
      <c r="I347" s="71">
        <f>I348</f>
        <v>1119.8</v>
      </c>
      <c r="J347" s="100"/>
      <c r="K347" s="82"/>
    </row>
    <row r="348" spans="1:11" s="90" customFormat="1" ht="25.5">
      <c r="A348" s="369" t="s">
        <v>128</v>
      </c>
      <c r="B348" s="177"/>
      <c r="C348" s="94" t="s">
        <v>21</v>
      </c>
      <c r="D348" s="94" t="s">
        <v>40</v>
      </c>
      <c r="E348" s="691" t="s">
        <v>364</v>
      </c>
      <c r="F348" s="710" t="s">
        <v>489</v>
      </c>
      <c r="G348" s="94" t="s">
        <v>129</v>
      </c>
      <c r="H348" s="103">
        <f>'ПРИЛОЖЕНИЕ № 6 (расх)'!I422</f>
        <v>10</v>
      </c>
      <c r="I348" s="72">
        <v>1119.8</v>
      </c>
      <c r="J348" s="100"/>
      <c r="K348" s="82"/>
    </row>
    <row r="349" spans="1:11" s="90" customFormat="1" ht="38.25">
      <c r="A349" s="373" t="s">
        <v>82</v>
      </c>
      <c r="B349" s="177"/>
      <c r="C349" s="225" t="s">
        <v>21</v>
      </c>
      <c r="D349" s="225" t="s">
        <v>40</v>
      </c>
      <c r="E349" s="706" t="s">
        <v>95</v>
      </c>
      <c r="F349" s="707" t="s">
        <v>153</v>
      </c>
      <c r="G349" s="225"/>
      <c r="H349" s="113">
        <f>H350+H352</f>
        <v>201.9</v>
      </c>
      <c r="I349" s="113">
        <f>I350+I390+I352+I388</f>
        <v>201.9</v>
      </c>
      <c r="J349" s="100"/>
      <c r="K349" s="82"/>
    </row>
    <row r="350" spans="1:11" s="90" customFormat="1" ht="40.5">
      <c r="A350" s="347" t="s">
        <v>217</v>
      </c>
      <c r="B350" s="177"/>
      <c r="C350" s="61" t="s">
        <v>21</v>
      </c>
      <c r="D350" s="61" t="s">
        <v>40</v>
      </c>
      <c r="E350" s="690" t="s">
        <v>216</v>
      </c>
      <c r="F350" s="689" t="s">
        <v>153</v>
      </c>
      <c r="G350" s="93"/>
      <c r="H350" s="95">
        <f>H351</f>
        <v>90</v>
      </c>
      <c r="I350" s="95">
        <f>I351</f>
        <v>90</v>
      </c>
      <c r="J350" s="100"/>
      <c r="K350" s="82"/>
    </row>
    <row r="351" spans="1:11" s="90" customFormat="1" ht="12.75">
      <c r="A351" s="379" t="s">
        <v>183</v>
      </c>
      <c r="B351" s="177"/>
      <c r="C351" s="64" t="s">
        <v>21</v>
      </c>
      <c r="D351" s="64" t="s">
        <v>40</v>
      </c>
      <c r="E351" s="691" t="s">
        <v>216</v>
      </c>
      <c r="F351" s="692" t="s">
        <v>153</v>
      </c>
      <c r="G351" s="94" t="s">
        <v>184</v>
      </c>
      <c r="H351" s="72">
        <f>'ПРИЛОЖЕНИЕ № 6 (расх)'!I425</f>
        <v>90</v>
      </c>
      <c r="I351" s="72">
        <f>69.1+20.9</f>
        <v>90</v>
      </c>
      <c r="J351" s="100"/>
      <c r="K351" s="82"/>
    </row>
    <row r="352" spans="1:11" s="90" customFormat="1" ht="40.5">
      <c r="A352" s="347" t="s">
        <v>195</v>
      </c>
      <c r="B352" s="177"/>
      <c r="C352" s="93" t="s">
        <v>21</v>
      </c>
      <c r="D352" s="93" t="s">
        <v>40</v>
      </c>
      <c r="E352" s="690" t="s">
        <v>193</v>
      </c>
      <c r="F352" s="689" t="s">
        <v>153</v>
      </c>
      <c r="G352" s="94"/>
      <c r="H352" s="84">
        <f>H353</f>
        <v>111.9</v>
      </c>
      <c r="I352" s="84">
        <f>I353</f>
        <v>111.9</v>
      </c>
      <c r="J352" s="100"/>
      <c r="K352" s="82"/>
    </row>
    <row r="353" spans="1:11" s="90" customFormat="1" ht="12.75">
      <c r="A353" s="379" t="s">
        <v>183</v>
      </c>
      <c r="B353" s="177"/>
      <c r="C353" s="94" t="s">
        <v>21</v>
      </c>
      <c r="D353" s="94" t="s">
        <v>40</v>
      </c>
      <c r="E353" s="691" t="s">
        <v>193</v>
      </c>
      <c r="F353" s="692" t="s">
        <v>153</v>
      </c>
      <c r="G353" s="94" t="s">
        <v>184</v>
      </c>
      <c r="H353" s="72">
        <f>'ПРИЛОЖЕНИЕ № 6 (расх)'!I427</f>
        <v>111.9</v>
      </c>
      <c r="I353" s="72">
        <f>85.9+26</f>
        <v>111.9</v>
      </c>
      <c r="J353" s="100"/>
      <c r="K353" s="82"/>
    </row>
    <row r="354" spans="1:11" s="90" customFormat="1" ht="76.5">
      <c r="A354" s="373" t="s">
        <v>170</v>
      </c>
      <c r="B354" s="177"/>
      <c r="C354" s="225" t="s">
        <v>21</v>
      </c>
      <c r="D354" s="225" t="s">
        <v>40</v>
      </c>
      <c r="E354" s="690" t="s">
        <v>95</v>
      </c>
      <c r="F354" s="689" t="s">
        <v>155</v>
      </c>
      <c r="G354" s="225"/>
      <c r="H354" s="113">
        <f>H355+H357</f>
        <v>695.3</v>
      </c>
      <c r="I354" s="72"/>
      <c r="J354" s="100"/>
      <c r="K354" s="82"/>
    </row>
    <row r="355" spans="1:11" s="90" customFormat="1" ht="40.5">
      <c r="A355" s="387" t="s">
        <v>218</v>
      </c>
      <c r="B355" s="177"/>
      <c r="C355" s="61" t="s">
        <v>21</v>
      </c>
      <c r="D355" s="61" t="s">
        <v>40</v>
      </c>
      <c r="E355" s="690" t="s">
        <v>216</v>
      </c>
      <c r="F355" s="689" t="s">
        <v>155</v>
      </c>
      <c r="G355" s="61"/>
      <c r="H355" s="84">
        <f>H356</f>
        <v>204.6</v>
      </c>
      <c r="I355" s="84">
        <f>I356</f>
        <v>204.6</v>
      </c>
      <c r="J355" s="100"/>
      <c r="K355" s="82"/>
    </row>
    <row r="356" spans="1:11" s="90" customFormat="1" ht="12.75">
      <c r="A356" s="379" t="s">
        <v>183</v>
      </c>
      <c r="B356" s="177"/>
      <c r="C356" s="64" t="s">
        <v>21</v>
      </c>
      <c r="D356" s="64" t="s">
        <v>40</v>
      </c>
      <c r="E356" s="691" t="s">
        <v>216</v>
      </c>
      <c r="F356" s="692" t="s">
        <v>155</v>
      </c>
      <c r="G356" s="94" t="s">
        <v>184</v>
      </c>
      <c r="H356" s="72">
        <f>'ПРИЛОЖЕНИЕ № 6 (расх)'!I430</f>
        <v>204.6</v>
      </c>
      <c r="I356" s="72">
        <f>157.1+47.5</f>
        <v>204.6</v>
      </c>
      <c r="J356" s="100"/>
      <c r="K356" s="82"/>
    </row>
    <row r="357" spans="1:11" s="90" customFormat="1" ht="40.5">
      <c r="A357" s="347" t="s">
        <v>196</v>
      </c>
      <c r="B357" s="177"/>
      <c r="C357" s="93" t="s">
        <v>21</v>
      </c>
      <c r="D357" s="93" t="s">
        <v>40</v>
      </c>
      <c r="E357" s="690" t="s">
        <v>193</v>
      </c>
      <c r="F357" s="689" t="s">
        <v>155</v>
      </c>
      <c r="G357" s="94"/>
      <c r="H357" s="84">
        <f>H358</f>
        <v>490.7</v>
      </c>
      <c r="I357" s="84">
        <f>I358</f>
        <v>490.7</v>
      </c>
      <c r="J357" s="100"/>
      <c r="K357" s="82"/>
    </row>
    <row r="358" spans="1:11" s="90" customFormat="1" ht="12.75">
      <c r="A358" s="379" t="s">
        <v>183</v>
      </c>
      <c r="B358" s="177"/>
      <c r="C358" s="94" t="s">
        <v>21</v>
      </c>
      <c r="D358" s="94" t="s">
        <v>40</v>
      </c>
      <c r="E358" s="691" t="s">
        <v>193</v>
      </c>
      <c r="F358" s="692" t="s">
        <v>155</v>
      </c>
      <c r="G358" s="94" t="s">
        <v>184</v>
      </c>
      <c r="H358" s="72">
        <f>'ПРИЛОЖЕНИЕ № 6 (расх)'!I432</f>
        <v>490.7</v>
      </c>
      <c r="I358" s="72">
        <f>376.9+113.8</f>
        <v>490.7</v>
      </c>
      <c r="J358" s="100"/>
      <c r="K358" s="82"/>
    </row>
    <row r="359" spans="1:11" s="90" customFormat="1" ht="63.75">
      <c r="A359" s="396" t="s">
        <v>90</v>
      </c>
      <c r="B359" s="177"/>
      <c r="C359" s="225" t="s">
        <v>21</v>
      </c>
      <c r="D359" s="225" t="s">
        <v>40</v>
      </c>
      <c r="E359" s="704" t="s">
        <v>95</v>
      </c>
      <c r="F359" s="705" t="s">
        <v>159</v>
      </c>
      <c r="G359" s="225"/>
      <c r="H359" s="327">
        <f>H360+H362+H364</f>
        <v>664.2</v>
      </c>
      <c r="I359" s="72"/>
      <c r="J359" s="100"/>
      <c r="K359" s="82"/>
    </row>
    <row r="360" spans="1:11" s="90" customFormat="1" ht="27">
      <c r="A360" s="391" t="s">
        <v>219</v>
      </c>
      <c r="B360" s="177"/>
      <c r="C360" s="93" t="s">
        <v>21</v>
      </c>
      <c r="D360" s="93" t="s">
        <v>40</v>
      </c>
      <c r="E360" s="711" t="s">
        <v>216</v>
      </c>
      <c r="F360" s="712" t="s">
        <v>159</v>
      </c>
      <c r="G360" s="110"/>
      <c r="H360" s="95">
        <f>H361</f>
        <v>180</v>
      </c>
      <c r="I360" s="95">
        <f>I361</f>
        <v>180</v>
      </c>
      <c r="J360" s="100"/>
      <c r="K360" s="82"/>
    </row>
    <row r="361" spans="1:11" s="90" customFormat="1" ht="12.75">
      <c r="A361" s="379" t="s">
        <v>183</v>
      </c>
      <c r="B361" s="177"/>
      <c r="C361" s="94" t="s">
        <v>21</v>
      </c>
      <c r="D361" s="94" t="s">
        <v>40</v>
      </c>
      <c r="E361" s="713" t="s">
        <v>216</v>
      </c>
      <c r="F361" s="714" t="s">
        <v>159</v>
      </c>
      <c r="G361" s="94" t="s">
        <v>184</v>
      </c>
      <c r="H361" s="105">
        <f>'ПРИЛОЖЕНИЕ № 6 (расх)'!I435</f>
        <v>180</v>
      </c>
      <c r="I361" s="103">
        <v>180</v>
      </c>
      <c r="J361" s="100"/>
      <c r="K361" s="82"/>
    </row>
    <row r="362" spans="1:11" s="90" customFormat="1" ht="27">
      <c r="A362" s="391" t="s">
        <v>201</v>
      </c>
      <c r="B362" s="177"/>
      <c r="C362" s="93" t="s">
        <v>21</v>
      </c>
      <c r="D362" s="93" t="s">
        <v>40</v>
      </c>
      <c r="E362" s="711" t="s">
        <v>199</v>
      </c>
      <c r="F362" s="712" t="s">
        <v>159</v>
      </c>
      <c r="G362" s="110"/>
      <c r="H362" s="95">
        <f>H363</f>
        <v>249.2</v>
      </c>
      <c r="I362" s="95">
        <f>I363</f>
        <v>249.2</v>
      </c>
      <c r="J362" s="100"/>
      <c r="K362" s="82"/>
    </row>
    <row r="363" spans="1:11" s="90" customFormat="1" ht="12.75">
      <c r="A363" s="379" t="s">
        <v>183</v>
      </c>
      <c r="B363" s="177"/>
      <c r="C363" s="94" t="s">
        <v>21</v>
      </c>
      <c r="D363" s="94" t="s">
        <v>40</v>
      </c>
      <c r="E363" s="713" t="s">
        <v>199</v>
      </c>
      <c r="F363" s="714" t="s">
        <v>159</v>
      </c>
      <c r="G363" s="94" t="s">
        <v>184</v>
      </c>
      <c r="H363" s="103">
        <f>'ПРИЛОЖЕНИЕ № 6 (расх)'!I568</f>
        <v>249.2</v>
      </c>
      <c r="I363" s="103">
        <v>249.2</v>
      </c>
      <c r="J363" s="100"/>
      <c r="K363" s="82"/>
    </row>
    <row r="364" spans="1:11" s="90" customFormat="1" ht="27">
      <c r="A364" s="391" t="s">
        <v>239</v>
      </c>
      <c r="B364" s="177"/>
      <c r="C364" s="93" t="s">
        <v>21</v>
      </c>
      <c r="D364" s="93" t="s">
        <v>40</v>
      </c>
      <c r="E364" s="695" t="s">
        <v>193</v>
      </c>
      <c r="F364" s="696" t="s">
        <v>159</v>
      </c>
      <c r="G364" s="93"/>
      <c r="H364" s="95">
        <f>H365</f>
        <v>235</v>
      </c>
      <c r="I364" s="95">
        <f>I365</f>
        <v>235</v>
      </c>
      <c r="J364" s="100"/>
      <c r="K364" s="82"/>
    </row>
    <row r="365" spans="1:11" s="90" customFormat="1" ht="12.75">
      <c r="A365" s="379" t="s">
        <v>183</v>
      </c>
      <c r="B365" s="177"/>
      <c r="C365" s="94" t="s">
        <v>21</v>
      </c>
      <c r="D365" s="94" t="s">
        <v>40</v>
      </c>
      <c r="E365" s="691" t="s">
        <v>193</v>
      </c>
      <c r="F365" s="692" t="s">
        <v>159</v>
      </c>
      <c r="G365" s="94" t="s">
        <v>184</v>
      </c>
      <c r="H365" s="103">
        <f>'ПРИЛОЖЕНИЕ № 6 (расх)'!I437</f>
        <v>235</v>
      </c>
      <c r="I365" s="103">
        <v>235</v>
      </c>
      <c r="J365" s="100"/>
      <c r="K365" s="82"/>
    </row>
    <row r="366" spans="1:11" s="90" customFormat="1" ht="12.75">
      <c r="A366" s="392" t="s">
        <v>24</v>
      </c>
      <c r="B366" s="468"/>
      <c r="C366" s="81" t="s">
        <v>21</v>
      </c>
      <c r="D366" s="81" t="s">
        <v>21</v>
      </c>
      <c r="E366" s="795"/>
      <c r="F366" s="796"/>
      <c r="G366" s="81"/>
      <c r="H366" s="79">
        <f>H367+H388+H390+H393+H395+H408</f>
        <v>4164.9</v>
      </c>
      <c r="I366" s="308"/>
      <c r="J366" s="100"/>
      <c r="K366" s="82"/>
    </row>
    <row r="367" spans="1:12" s="90" customFormat="1" ht="40.5">
      <c r="A367" s="387" t="s">
        <v>400</v>
      </c>
      <c r="B367" s="468"/>
      <c r="C367" s="93" t="s">
        <v>21</v>
      </c>
      <c r="D367" s="93" t="s">
        <v>21</v>
      </c>
      <c r="E367" s="690" t="s">
        <v>106</v>
      </c>
      <c r="F367" s="689" t="s">
        <v>299</v>
      </c>
      <c r="G367" s="93"/>
      <c r="H367" s="95">
        <f>H368+H370+H374+H376+H378+H380+H372+H383+H385+H387</f>
        <v>2480.4999999999995</v>
      </c>
      <c r="I367" s="308"/>
      <c r="J367" s="100"/>
      <c r="K367" s="82"/>
      <c r="L367" s="182"/>
    </row>
    <row r="368" spans="1:11" s="83" customFormat="1" ht="40.5">
      <c r="A368" s="394" t="s">
        <v>399</v>
      </c>
      <c r="B368" s="69"/>
      <c r="C368" s="93" t="s">
        <v>21</v>
      </c>
      <c r="D368" s="93" t="s">
        <v>21</v>
      </c>
      <c r="E368" s="690" t="s">
        <v>244</v>
      </c>
      <c r="F368" s="689" t="s">
        <v>299</v>
      </c>
      <c r="G368" s="93"/>
      <c r="H368" s="95">
        <f>H369</f>
        <v>461.8</v>
      </c>
      <c r="I368" s="79" t="e">
        <f>I369+#REF!+#REF!</f>
        <v>#REF!</v>
      </c>
      <c r="J368" s="80" t="e">
        <f>I368/H368</f>
        <v>#REF!</v>
      </c>
      <c r="K368" s="179"/>
    </row>
    <row r="369" spans="1:13" s="86" customFormat="1" ht="25.5">
      <c r="A369" s="379" t="s">
        <v>128</v>
      </c>
      <c r="B369" s="339"/>
      <c r="C369" s="94" t="s">
        <v>21</v>
      </c>
      <c r="D369" s="94" t="s">
        <v>21</v>
      </c>
      <c r="E369" s="691" t="s">
        <v>244</v>
      </c>
      <c r="F369" s="692" t="s">
        <v>299</v>
      </c>
      <c r="G369" s="94" t="s">
        <v>129</v>
      </c>
      <c r="H369" s="103">
        <f>'ПРИЛОЖЕНИЕ № 6 (расх)'!I441</f>
        <v>461.8</v>
      </c>
      <c r="I369" s="95" t="e">
        <f>I376+I378+I393+#REF!</f>
        <v>#REF!</v>
      </c>
      <c r="J369" s="85" t="e">
        <f>I369/H369</f>
        <v>#REF!</v>
      </c>
      <c r="K369" s="180"/>
      <c r="L369" s="656"/>
      <c r="M369" s="656"/>
    </row>
    <row r="370" spans="1:11" s="86" customFormat="1" ht="40.5">
      <c r="A370" s="394" t="s">
        <v>398</v>
      </c>
      <c r="B370" s="552"/>
      <c r="C370" s="93" t="s">
        <v>21</v>
      </c>
      <c r="D370" s="93" t="s">
        <v>21</v>
      </c>
      <c r="E370" s="690" t="s">
        <v>344</v>
      </c>
      <c r="F370" s="689" t="s">
        <v>299</v>
      </c>
      <c r="G370" s="93"/>
      <c r="H370" s="95">
        <f>H371</f>
        <v>160</v>
      </c>
      <c r="I370" s="95">
        <f>I371</f>
        <v>333.6</v>
      </c>
      <c r="J370" s="85"/>
      <c r="K370" s="180"/>
    </row>
    <row r="371" spans="1:11" s="86" customFormat="1" ht="25.5">
      <c r="A371" s="393" t="s">
        <v>128</v>
      </c>
      <c r="B371" s="552"/>
      <c r="C371" s="94" t="s">
        <v>21</v>
      </c>
      <c r="D371" s="94" t="s">
        <v>21</v>
      </c>
      <c r="E371" s="691" t="s">
        <v>344</v>
      </c>
      <c r="F371" s="692" t="s">
        <v>299</v>
      </c>
      <c r="G371" s="94" t="s">
        <v>129</v>
      </c>
      <c r="H371" s="103">
        <f>'ПРИЛОЖЕНИЕ № 6 (расх)'!I443</f>
        <v>160</v>
      </c>
      <c r="I371" s="103">
        <v>333.6</v>
      </c>
      <c r="J371" s="85"/>
      <c r="K371" s="180"/>
    </row>
    <row r="372" spans="1:11" s="86" customFormat="1" ht="40.5">
      <c r="A372" s="347" t="s">
        <v>391</v>
      </c>
      <c r="B372" s="552"/>
      <c r="C372" s="93" t="s">
        <v>21</v>
      </c>
      <c r="D372" s="93" t="s">
        <v>21</v>
      </c>
      <c r="E372" s="690" t="s">
        <v>240</v>
      </c>
      <c r="F372" s="696" t="s">
        <v>299</v>
      </c>
      <c r="G372" s="526"/>
      <c r="H372" s="95">
        <f>H373</f>
        <v>111.1</v>
      </c>
      <c r="I372" s="103"/>
      <c r="J372" s="85"/>
      <c r="K372" s="180"/>
    </row>
    <row r="373" spans="1:11" s="86" customFormat="1" ht="25.5">
      <c r="A373" s="369" t="s">
        <v>128</v>
      </c>
      <c r="B373" s="552"/>
      <c r="C373" s="94" t="s">
        <v>21</v>
      </c>
      <c r="D373" s="94" t="s">
        <v>21</v>
      </c>
      <c r="E373" s="691" t="s">
        <v>240</v>
      </c>
      <c r="F373" s="692" t="s">
        <v>299</v>
      </c>
      <c r="G373" s="527" t="s">
        <v>129</v>
      </c>
      <c r="H373" s="103">
        <f>'ПРИЛОЖЕНИЕ № 6 (расх)'!I572</f>
        <v>111.1</v>
      </c>
      <c r="I373" s="103"/>
      <c r="J373" s="85"/>
      <c r="K373" s="180"/>
    </row>
    <row r="374" spans="1:11" s="86" customFormat="1" ht="40.5">
      <c r="A374" s="387" t="s">
        <v>396</v>
      </c>
      <c r="B374" s="552"/>
      <c r="C374" s="94" t="s">
        <v>21</v>
      </c>
      <c r="D374" s="94" t="s">
        <v>21</v>
      </c>
      <c r="E374" s="690" t="s">
        <v>226</v>
      </c>
      <c r="F374" s="689" t="s">
        <v>299</v>
      </c>
      <c r="G374" s="93"/>
      <c r="H374" s="95">
        <f>H375</f>
        <v>317.3</v>
      </c>
      <c r="I374" s="103"/>
      <c r="J374" s="85"/>
      <c r="K374" s="180"/>
    </row>
    <row r="375" spans="1:11" s="86" customFormat="1" ht="25.5">
      <c r="A375" s="379" t="s">
        <v>128</v>
      </c>
      <c r="B375" s="552"/>
      <c r="C375" s="94" t="s">
        <v>21</v>
      </c>
      <c r="D375" s="94" t="s">
        <v>21</v>
      </c>
      <c r="E375" s="691" t="s">
        <v>226</v>
      </c>
      <c r="F375" s="692" t="s">
        <v>299</v>
      </c>
      <c r="G375" s="94" t="s">
        <v>129</v>
      </c>
      <c r="H375" s="103">
        <f>'ПРИЛОЖЕНИЕ № 6 (расх)'!I447</f>
        <v>317.3</v>
      </c>
      <c r="I375" s="103"/>
      <c r="J375" s="85"/>
      <c r="K375" s="180"/>
    </row>
    <row r="376" spans="1:11" s="88" customFormat="1" ht="40.5">
      <c r="A376" s="394" t="s">
        <v>395</v>
      </c>
      <c r="B376" s="553"/>
      <c r="C376" s="93" t="s">
        <v>21</v>
      </c>
      <c r="D376" s="93" t="s">
        <v>21</v>
      </c>
      <c r="E376" s="690" t="s">
        <v>227</v>
      </c>
      <c r="F376" s="689" t="s">
        <v>299</v>
      </c>
      <c r="G376" s="93"/>
      <c r="H376" s="95">
        <f>H377</f>
        <v>977.6</v>
      </c>
      <c r="I376" s="95">
        <f>I377</f>
        <v>0</v>
      </c>
      <c r="J376" s="87">
        <f>I376/H376</f>
        <v>0</v>
      </c>
      <c r="K376" s="175"/>
    </row>
    <row r="377" spans="1:11" s="90" customFormat="1" ht="13.5">
      <c r="A377" s="393" t="s">
        <v>148</v>
      </c>
      <c r="B377" s="505"/>
      <c r="C377" s="94" t="s">
        <v>21</v>
      </c>
      <c r="D377" s="94" t="s">
        <v>21</v>
      </c>
      <c r="E377" s="691" t="s">
        <v>227</v>
      </c>
      <c r="F377" s="692" t="s">
        <v>299</v>
      </c>
      <c r="G377" s="94" t="s">
        <v>149</v>
      </c>
      <c r="H377" s="103">
        <f>'ПРИЛОЖЕНИЕ № 6 (расх)'!I451</f>
        <v>977.6</v>
      </c>
      <c r="I377" s="95"/>
      <c r="J377" s="100">
        <f>I377/H377</f>
        <v>0</v>
      </c>
      <c r="K377" s="82"/>
    </row>
    <row r="378" spans="1:11" s="90" customFormat="1" ht="40.5">
      <c r="A378" s="394" t="s">
        <v>393</v>
      </c>
      <c r="B378" s="505"/>
      <c r="C378" s="93" t="s">
        <v>21</v>
      </c>
      <c r="D378" s="93" t="s">
        <v>21</v>
      </c>
      <c r="E378" s="690" t="s">
        <v>228</v>
      </c>
      <c r="F378" s="689" t="s">
        <v>299</v>
      </c>
      <c r="G378" s="93"/>
      <c r="H378" s="95">
        <f>H379</f>
        <v>412.1</v>
      </c>
      <c r="I378" s="95">
        <f>I379</f>
        <v>0</v>
      </c>
      <c r="J378" s="100"/>
      <c r="K378" s="82"/>
    </row>
    <row r="379" spans="1:11" s="90" customFormat="1" ht="12.75">
      <c r="A379" s="393" t="s">
        <v>148</v>
      </c>
      <c r="B379" s="181"/>
      <c r="C379" s="94" t="s">
        <v>21</v>
      </c>
      <c r="D379" s="94" t="s">
        <v>21</v>
      </c>
      <c r="E379" s="691" t="s">
        <v>228</v>
      </c>
      <c r="F379" s="692" t="s">
        <v>299</v>
      </c>
      <c r="G379" s="94" t="s">
        <v>149</v>
      </c>
      <c r="H379" s="103">
        <f>'ПРИЛОЖЕНИЕ № 6 (расх)'!I453</f>
        <v>412.1</v>
      </c>
      <c r="I379" s="103"/>
      <c r="J379" s="100"/>
      <c r="K379" s="82"/>
    </row>
    <row r="380" spans="1:11" s="90" customFormat="1" ht="46.5" customHeight="1">
      <c r="A380" s="394" t="s">
        <v>392</v>
      </c>
      <c r="B380" s="181"/>
      <c r="C380" s="93" t="s">
        <v>21</v>
      </c>
      <c r="D380" s="93" t="s">
        <v>21</v>
      </c>
      <c r="E380" s="690" t="s">
        <v>343</v>
      </c>
      <c r="F380" s="689" t="s">
        <v>299</v>
      </c>
      <c r="G380" s="93"/>
      <c r="H380" s="95">
        <f>H381</f>
        <v>40.6</v>
      </c>
      <c r="I380" s="233"/>
      <c r="J380" s="100"/>
      <c r="K380" s="82"/>
    </row>
    <row r="381" spans="1:11" s="90" customFormat="1" ht="12.75">
      <c r="A381" s="393" t="s">
        <v>148</v>
      </c>
      <c r="B381" s="505"/>
      <c r="C381" s="94" t="s">
        <v>21</v>
      </c>
      <c r="D381" s="94" t="s">
        <v>21</v>
      </c>
      <c r="E381" s="691" t="s">
        <v>343</v>
      </c>
      <c r="F381" s="692" t="s">
        <v>299</v>
      </c>
      <c r="G381" s="94" t="s">
        <v>149</v>
      </c>
      <c r="H381" s="103">
        <f>'ПРИЛОЖЕНИЕ № 6 (расх)'!I455</f>
        <v>40.6</v>
      </c>
      <c r="I381" s="289"/>
      <c r="J381" s="100"/>
      <c r="K381" s="82"/>
    </row>
    <row r="382" spans="1:11" s="90" customFormat="1" ht="40.5" hidden="1">
      <c r="A382" s="394" t="s">
        <v>397</v>
      </c>
      <c r="B382" s="505"/>
      <c r="C382" s="93" t="s">
        <v>21</v>
      </c>
      <c r="D382" s="93" t="s">
        <v>21</v>
      </c>
      <c r="E382" s="690" t="s">
        <v>371</v>
      </c>
      <c r="F382" s="689" t="s">
        <v>299</v>
      </c>
      <c r="G382" s="93"/>
      <c r="H382" s="95">
        <f>H383</f>
        <v>0</v>
      </c>
      <c r="I382" s="95">
        <f>I383</f>
        <v>88.6</v>
      </c>
      <c r="J382" s="100"/>
      <c r="K382" s="82"/>
    </row>
    <row r="383" spans="1:11" s="90" customFormat="1" ht="25.5" hidden="1">
      <c r="A383" s="379" t="s">
        <v>128</v>
      </c>
      <c r="B383" s="505"/>
      <c r="C383" s="94" t="s">
        <v>21</v>
      </c>
      <c r="D383" s="94" t="s">
        <v>21</v>
      </c>
      <c r="E383" s="691" t="s">
        <v>371</v>
      </c>
      <c r="F383" s="692" t="s">
        <v>299</v>
      </c>
      <c r="G383" s="94" t="s">
        <v>129</v>
      </c>
      <c r="H383" s="103">
        <f>'ПРИЛОЖЕНИЕ № 6 (расх)'!I445</f>
        <v>0</v>
      </c>
      <c r="I383" s="103">
        <v>88.6</v>
      </c>
      <c r="J383" s="100"/>
      <c r="K383" s="82"/>
    </row>
    <row r="384" spans="1:11" s="90" customFormat="1" ht="40.5" hidden="1">
      <c r="A384" s="347" t="s">
        <v>401</v>
      </c>
      <c r="B384" s="505"/>
      <c r="C384" s="93" t="s">
        <v>21</v>
      </c>
      <c r="D384" s="93" t="s">
        <v>21</v>
      </c>
      <c r="E384" s="690" t="s">
        <v>372</v>
      </c>
      <c r="F384" s="696" t="s">
        <v>299</v>
      </c>
      <c r="G384" s="526"/>
      <c r="H384" s="95">
        <f>H385</f>
        <v>0</v>
      </c>
      <c r="I384" s="320">
        <f>I385</f>
        <v>47.3</v>
      </c>
      <c r="J384" s="100"/>
      <c r="K384" s="82"/>
    </row>
    <row r="385" spans="1:11" s="90" customFormat="1" ht="25.5" hidden="1">
      <c r="A385" s="369" t="s">
        <v>128</v>
      </c>
      <c r="B385" s="505"/>
      <c r="C385" s="94" t="s">
        <v>21</v>
      </c>
      <c r="D385" s="94" t="s">
        <v>21</v>
      </c>
      <c r="E385" s="691" t="s">
        <v>372</v>
      </c>
      <c r="F385" s="692" t="s">
        <v>299</v>
      </c>
      <c r="G385" s="527" t="s">
        <v>129</v>
      </c>
      <c r="H385" s="103">
        <f>'ПРИЛОЖЕНИЕ № 6 (расх)'!I574</f>
        <v>0</v>
      </c>
      <c r="I385" s="321">
        <v>47.3</v>
      </c>
      <c r="J385" s="100"/>
      <c r="K385" s="82"/>
    </row>
    <row r="386" spans="1:11" s="90" customFormat="1" ht="40.5" hidden="1">
      <c r="A386" s="387" t="s">
        <v>422</v>
      </c>
      <c r="B386" s="505"/>
      <c r="C386" s="94" t="s">
        <v>21</v>
      </c>
      <c r="D386" s="94" t="s">
        <v>21</v>
      </c>
      <c r="E386" s="690" t="s">
        <v>370</v>
      </c>
      <c r="F386" s="689" t="s">
        <v>299</v>
      </c>
      <c r="G386" s="93"/>
      <c r="H386" s="95">
        <f>H387</f>
        <v>0</v>
      </c>
      <c r="I386" s="95">
        <f>I387</f>
        <v>135.8</v>
      </c>
      <c r="J386" s="100"/>
      <c r="K386" s="82"/>
    </row>
    <row r="387" spans="1:11" s="90" customFormat="1" ht="25.5" hidden="1">
      <c r="A387" s="379" t="s">
        <v>128</v>
      </c>
      <c r="B387" s="505"/>
      <c r="C387" s="94" t="s">
        <v>21</v>
      </c>
      <c r="D387" s="94" t="s">
        <v>21</v>
      </c>
      <c r="E387" s="691" t="s">
        <v>370</v>
      </c>
      <c r="F387" s="692" t="s">
        <v>299</v>
      </c>
      <c r="G387" s="94" t="s">
        <v>129</v>
      </c>
      <c r="H387" s="103">
        <f>'ПРИЛОЖЕНИЕ № 6 (расх)'!I449</f>
        <v>0</v>
      </c>
      <c r="I387" s="103">
        <v>135.8</v>
      </c>
      <c r="J387" s="100"/>
      <c r="K387" s="82"/>
    </row>
    <row r="388" spans="1:11" s="90" customFormat="1" ht="40.5">
      <c r="A388" s="394" t="s">
        <v>394</v>
      </c>
      <c r="B388" s="551"/>
      <c r="C388" s="93" t="s">
        <v>21</v>
      </c>
      <c r="D388" s="93" t="s">
        <v>21</v>
      </c>
      <c r="E388" s="690" t="s">
        <v>224</v>
      </c>
      <c r="F388" s="689" t="s">
        <v>299</v>
      </c>
      <c r="G388" s="93"/>
      <c r="H388" s="95">
        <f>H389</f>
        <v>115.8</v>
      </c>
      <c r="I388" s="289"/>
      <c r="J388" s="100"/>
      <c r="K388" s="82"/>
    </row>
    <row r="389" spans="1:11" s="90" customFormat="1" ht="25.5">
      <c r="A389" s="379" t="s">
        <v>128</v>
      </c>
      <c r="B389" s="505"/>
      <c r="C389" s="94" t="s">
        <v>21</v>
      </c>
      <c r="D389" s="94" t="s">
        <v>21</v>
      </c>
      <c r="E389" s="691" t="s">
        <v>224</v>
      </c>
      <c r="F389" s="692" t="s">
        <v>299</v>
      </c>
      <c r="G389" s="94" t="s">
        <v>129</v>
      </c>
      <c r="H389" s="103">
        <f>'ПРИЛОЖЕНИЕ № 6 (расх)'!I457</f>
        <v>115.8</v>
      </c>
      <c r="I389" s="289"/>
      <c r="J389" s="100"/>
      <c r="K389" s="82"/>
    </row>
    <row r="390" spans="1:12" s="90" customFormat="1" ht="27">
      <c r="A390" s="387" t="s">
        <v>402</v>
      </c>
      <c r="B390" s="505"/>
      <c r="C390" s="94" t="s">
        <v>21</v>
      </c>
      <c r="D390" s="94" t="s">
        <v>21</v>
      </c>
      <c r="E390" s="690" t="s">
        <v>403</v>
      </c>
      <c r="F390" s="689" t="s">
        <v>95</v>
      </c>
      <c r="G390" s="93"/>
      <c r="H390" s="95">
        <f>H391</f>
        <v>27</v>
      </c>
      <c r="I390" s="289"/>
      <c r="J390" s="100"/>
      <c r="K390" s="82"/>
      <c r="L390" s="182"/>
    </row>
    <row r="391" spans="1:12" s="90" customFormat="1" ht="40.5">
      <c r="A391" s="387" t="s">
        <v>517</v>
      </c>
      <c r="B391" s="505"/>
      <c r="C391" s="225" t="s">
        <v>21</v>
      </c>
      <c r="D391" s="225" t="s">
        <v>21</v>
      </c>
      <c r="E391" s="461" t="s">
        <v>403</v>
      </c>
      <c r="F391" s="462" t="s">
        <v>516</v>
      </c>
      <c r="G391" s="93"/>
      <c r="H391" s="95">
        <f>H392</f>
        <v>27</v>
      </c>
      <c r="I391" s="289"/>
      <c r="J391" s="100"/>
      <c r="K391" s="82"/>
      <c r="L391" s="182"/>
    </row>
    <row r="392" spans="1:11" s="90" customFormat="1" ht="21" customHeight="1">
      <c r="A392" s="379" t="s">
        <v>294</v>
      </c>
      <c r="B392" s="505"/>
      <c r="C392" s="94" t="s">
        <v>21</v>
      </c>
      <c r="D392" s="94" t="s">
        <v>21</v>
      </c>
      <c r="E392" s="691" t="s">
        <v>403</v>
      </c>
      <c r="F392" s="692" t="s">
        <v>516</v>
      </c>
      <c r="G392" s="94" t="s">
        <v>131</v>
      </c>
      <c r="H392" s="103">
        <f>'ПРИЛОЖЕНИЕ № 6 (расх)'!I145</f>
        <v>27</v>
      </c>
      <c r="I392" s="289"/>
      <c r="J392" s="100"/>
      <c r="K392" s="82"/>
    </row>
    <row r="393" spans="1:12" s="90" customFormat="1" ht="40.5">
      <c r="A393" s="387" t="s">
        <v>462</v>
      </c>
      <c r="B393" s="505"/>
      <c r="C393" s="93" t="s">
        <v>21</v>
      </c>
      <c r="D393" s="93" t="s">
        <v>21</v>
      </c>
      <c r="E393" s="695" t="s">
        <v>297</v>
      </c>
      <c r="F393" s="465" t="s">
        <v>533</v>
      </c>
      <c r="G393" s="93"/>
      <c r="H393" s="95">
        <f>H394</f>
        <v>3</v>
      </c>
      <c r="I393" s="95">
        <f>I394</f>
        <v>0</v>
      </c>
      <c r="J393" s="100"/>
      <c r="K393" s="82"/>
      <c r="L393" s="182"/>
    </row>
    <row r="394" spans="1:11" s="90" customFormat="1" ht="12.75">
      <c r="A394" s="393" t="s">
        <v>148</v>
      </c>
      <c r="B394" s="505"/>
      <c r="C394" s="94" t="s">
        <v>21</v>
      </c>
      <c r="D394" s="94" t="s">
        <v>21</v>
      </c>
      <c r="E394" s="691" t="s">
        <v>297</v>
      </c>
      <c r="F394" s="467" t="s">
        <v>533</v>
      </c>
      <c r="G394" s="94" t="s">
        <v>149</v>
      </c>
      <c r="H394" s="103">
        <f>'ПРИЛОЖЕНИЕ № 6 (расх)'!I459</f>
        <v>3</v>
      </c>
      <c r="I394" s="103"/>
      <c r="J394" s="100"/>
      <c r="K394" s="82"/>
    </row>
    <row r="395" spans="1:14" s="90" customFormat="1" ht="25.5">
      <c r="A395" s="399" t="s">
        <v>303</v>
      </c>
      <c r="B395" s="181"/>
      <c r="C395" s="225" t="s">
        <v>21</v>
      </c>
      <c r="D395" s="225" t="s">
        <v>21</v>
      </c>
      <c r="E395" s="704" t="s">
        <v>308</v>
      </c>
      <c r="F395" s="705" t="s">
        <v>95</v>
      </c>
      <c r="G395" s="225"/>
      <c r="H395" s="327">
        <f>H396+H401+H404+H406</f>
        <v>428.6</v>
      </c>
      <c r="I395" s="103"/>
      <c r="J395" s="100"/>
      <c r="K395" s="432"/>
      <c r="L395" s="537"/>
      <c r="M395" s="82"/>
      <c r="N395" s="82"/>
    </row>
    <row r="396" spans="1:14" s="90" customFormat="1" ht="40.5">
      <c r="A396" s="347" t="str">
        <f>'ПРИЛОЖЕНИЕ № 6 (расх)'!A461</f>
        <v>Реализация муниципальной программы "Развитие молодежной политики в Среднеканском городском округе на 2016 – 2018 годы", муниципальные мероприятия</v>
      </c>
      <c r="B396" s="181"/>
      <c r="C396" s="93" t="s">
        <v>21</v>
      </c>
      <c r="D396" s="93" t="s">
        <v>21</v>
      </c>
      <c r="E396" s="695" t="str">
        <f>'ПРИЛОЖЕНИЕ № 6 (расх)'!E461</f>
        <v>21015</v>
      </c>
      <c r="F396" s="696" t="s">
        <v>95</v>
      </c>
      <c r="G396" s="94"/>
      <c r="H396" s="95">
        <f>H397+H399</f>
        <v>381.6</v>
      </c>
      <c r="I396" s="103"/>
      <c r="J396" s="100"/>
      <c r="K396" s="82"/>
      <c r="L396" s="168"/>
      <c r="M396" s="82"/>
      <c r="N396" s="82"/>
    </row>
    <row r="397" spans="1:14" s="90" customFormat="1" ht="27">
      <c r="A397" s="368" t="s">
        <v>545</v>
      </c>
      <c r="B397" s="181"/>
      <c r="C397" s="93" t="s">
        <v>21</v>
      </c>
      <c r="D397" s="93" t="s">
        <v>21</v>
      </c>
      <c r="E397" s="464" t="s">
        <v>414</v>
      </c>
      <c r="F397" s="465" t="s">
        <v>472</v>
      </c>
      <c r="G397" s="94"/>
      <c r="H397" s="95">
        <f>H398</f>
        <v>221.4</v>
      </c>
      <c r="I397" s="103"/>
      <c r="J397" s="100"/>
      <c r="K397" s="82"/>
      <c r="L397" s="168"/>
      <c r="M397" s="82"/>
      <c r="N397" s="82"/>
    </row>
    <row r="398" spans="1:14" s="90" customFormat="1" ht="12.75">
      <c r="A398" s="379" t="s">
        <v>183</v>
      </c>
      <c r="B398" s="181"/>
      <c r="C398" s="94" t="s">
        <v>21</v>
      </c>
      <c r="D398" s="94" t="s">
        <v>21</v>
      </c>
      <c r="E398" s="466" t="s">
        <v>414</v>
      </c>
      <c r="F398" s="467" t="s">
        <v>472</v>
      </c>
      <c r="G398" s="94" t="s">
        <v>184</v>
      </c>
      <c r="H398" s="103">
        <f>'ПРИЛОЖЕНИЕ № 6 (расх)'!I463</f>
        <v>221.4</v>
      </c>
      <c r="I398" s="103"/>
      <c r="J398" s="100"/>
      <c r="K398" s="82"/>
      <c r="L398" s="168"/>
      <c r="M398" s="82"/>
      <c r="N398" s="82"/>
    </row>
    <row r="399" spans="1:14" s="90" customFormat="1" ht="27">
      <c r="A399" s="368" t="s">
        <v>546</v>
      </c>
      <c r="B399" s="181"/>
      <c r="C399" s="93" t="s">
        <v>21</v>
      </c>
      <c r="D399" s="93" t="s">
        <v>21</v>
      </c>
      <c r="E399" s="464" t="s">
        <v>414</v>
      </c>
      <c r="F399" s="465" t="s">
        <v>476</v>
      </c>
      <c r="G399" s="93"/>
      <c r="H399" s="95">
        <f>H400</f>
        <v>160.2</v>
      </c>
      <c r="I399" s="103"/>
      <c r="J399" s="100"/>
      <c r="K399" s="82"/>
      <c r="L399" s="168"/>
      <c r="M399" s="82"/>
      <c r="N399" s="82"/>
    </row>
    <row r="400" spans="1:14" s="90" customFormat="1" ht="31.5" customHeight="1">
      <c r="A400" s="379" t="s">
        <v>128</v>
      </c>
      <c r="B400" s="181"/>
      <c r="C400" s="94" t="s">
        <v>21</v>
      </c>
      <c r="D400" s="94" t="s">
        <v>21</v>
      </c>
      <c r="E400" s="466" t="s">
        <v>414</v>
      </c>
      <c r="F400" s="467" t="s">
        <v>476</v>
      </c>
      <c r="G400" s="94" t="s">
        <v>129</v>
      </c>
      <c r="H400" s="103">
        <f>'ПРИЛОЖЕНИЕ № 6 (расх)'!I465</f>
        <v>160.2</v>
      </c>
      <c r="I400" s="103"/>
      <c r="J400" s="100"/>
      <c r="K400" s="82"/>
      <c r="L400" s="168"/>
      <c r="M400" s="82"/>
      <c r="N400" s="82"/>
    </row>
    <row r="401" spans="1:14" s="90" customFormat="1" ht="31.5" customHeight="1">
      <c r="A401" s="347" t="str">
        <f>'ПРИЛОЖЕНИЕ № 6 (расх)'!A466</f>
        <v>Реализация муниципальной программы "Развитие молодежной политики в Среднеканском городском округе на 2016 – 2018 годы"  в школах искусств</v>
      </c>
      <c r="B401" s="181"/>
      <c r="C401" s="93" t="s">
        <v>21</v>
      </c>
      <c r="D401" s="93" t="s">
        <v>21</v>
      </c>
      <c r="E401" s="695" t="str">
        <f>'ПРИЛОЖЕНИЕ № 6 (расх)'!E466</f>
        <v>21И00</v>
      </c>
      <c r="F401" s="696" t="s">
        <v>95</v>
      </c>
      <c r="G401" s="94"/>
      <c r="H401" s="95">
        <f>H402</f>
        <v>5</v>
      </c>
      <c r="I401" s="103"/>
      <c r="J401" s="100"/>
      <c r="K401" s="82"/>
      <c r="L401" s="168"/>
      <c r="M401" s="82"/>
      <c r="N401" s="82"/>
    </row>
    <row r="402" spans="1:14" s="90" customFormat="1" ht="31.5" customHeight="1">
      <c r="A402" s="368" t="s">
        <v>547</v>
      </c>
      <c r="B402" s="181"/>
      <c r="C402" s="93" t="s">
        <v>21</v>
      </c>
      <c r="D402" s="93" t="s">
        <v>21</v>
      </c>
      <c r="E402" s="464" t="s">
        <v>387</v>
      </c>
      <c r="F402" s="465" t="s">
        <v>476</v>
      </c>
      <c r="G402" s="94"/>
      <c r="H402" s="95">
        <f>H403</f>
        <v>5</v>
      </c>
      <c r="I402" s="103"/>
      <c r="J402" s="100"/>
      <c r="K402" s="82"/>
      <c r="L402" s="168"/>
      <c r="M402" s="82"/>
      <c r="N402" s="82"/>
    </row>
    <row r="403" spans="1:14" s="90" customFormat="1" ht="31.5" customHeight="1">
      <c r="A403" s="379" t="str">
        <f>'ПРИЛОЖЕНИЕ № 6 (расх)'!A468</f>
        <v>Иные закупки товаров, работ и услуг для обеспечения государственных (муниципальных) нужд</v>
      </c>
      <c r="B403" s="181"/>
      <c r="C403" s="94" t="s">
        <v>21</v>
      </c>
      <c r="D403" s="94" t="s">
        <v>21</v>
      </c>
      <c r="E403" s="691" t="str">
        <f>'ПРИЛОЖЕНИЕ № 6 (расх)'!E468</f>
        <v>21И00</v>
      </c>
      <c r="F403" s="692" t="s">
        <v>95</v>
      </c>
      <c r="G403" s="94" t="s">
        <v>129</v>
      </c>
      <c r="H403" s="103">
        <f>'ПРИЛОЖЕНИЕ № 6 (расх)'!I468</f>
        <v>5</v>
      </c>
      <c r="I403" s="103"/>
      <c r="J403" s="100"/>
      <c r="K403" s="82"/>
      <c r="L403" s="168"/>
      <c r="M403" s="82"/>
      <c r="N403" s="82"/>
    </row>
    <row r="404" spans="1:14" s="90" customFormat="1" ht="39" customHeight="1">
      <c r="A404" s="347" t="str">
        <f>'ПРИЛОЖЕНИЕ № 6 (расх)'!A576</f>
        <v>Реализация муниципальной программы "Развитие молодежной политики в Среднеканском городском округе на 2016 – 2018 годы" в учреждениях спорта</v>
      </c>
      <c r="B404" s="505"/>
      <c r="C404" s="93" t="s">
        <v>21</v>
      </c>
      <c r="D404" s="93" t="s">
        <v>21</v>
      </c>
      <c r="E404" s="695" t="s">
        <v>300</v>
      </c>
      <c r="F404" s="465" t="s">
        <v>476</v>
      </c>
      <c r="G404" s="94"/>
      <c r="H404" s="95">
        <f>H405</f>
        <v>22</v>
      </c>
      <c r="I404" s="103"/>
      <c r="J404" s="100"/>
      <c r="K404" s="82"/>
      <c r="L404" s="168"/>
      <c r="M404" s="82"/>
      <c r="N404" s="82"/>
    </row>
    <row r="405" spans="1:14" s="90" customFormat="1" ht="31.5" customHeight="1">
      <c r="A405" s="379" t="str">
        <f>'ПРИЛОЖЕНИЕ № 6 (расх)'!A577</f>
        <v>Иные закупки товаров, работ и услуг для обеспечения государственных (муниципальных) нужд</v>
      </c>
      <c r="B405" s="505"/>
      <c r="C405" s="94" t="s">
        <v>21</v>
      </c>
      <c r="D405" s="94" t="s">
        <v>21</v>
      </c>
      <c r="E405" s="691" t="s">
        <v>300</v>
      </c>
      <c r="F405" s="467" t="s">
        <v>476</v>
      </c>
      <c r="G405" s="94" t="s">
        <v>129</v>
      </c>
      <c r="H405" s="103">
        <f>'ПРИЛОЖЕНИЕ № 6 (расх)'!I577</f>
        <v>22</v>
      </c>
      <c r="I405" s="103"/>
      <c r="J405" s="100"/>
      <c r="K405" s="82"/>
      <c r="L405" s="168"/>
      <c r="M405" s="82"/>
      <c r="N405" s="82"/>
    </row>
    <row r="406" spans="1:14" s="90" customFormat="1" ht="40.5">
      <c r="A406" s="347" t="str">
        <f>'ПРИЛОЖЕНИЕ № 6 (расх)'!A469</f>
        <v>Реализация муниципальной программы "Развитие молодежной политики в Среднеканском городском округе на 2016 – 2018 годы",  в общеобразовательных школах</v>
      </c>
      <c r="B406" s="181"/>
      <c r="C406" s="93" t="s">
        <v>21</v>
      </c>
      <c r="D406" s="93" t="s">
        <v>21</v>
      </c>
      <c r="E406" s="695" t="s">
        <v>302</v>
      </c>
      <c r="F406" s="696" t="s">
        <v>95</v>
      </c>
      <c r="G406" s="94"/>
      <c r="H406" s="95">
        <f>H407</f>
        <v>20</v>
      </c>
      <c r="I406" s="103"/>
      <c r="J406" s="100"/>
      <c r="K406" s="82"/>
      <c r="L406" s="168"/>
      <c r="M406" s="82"/>
      <c r="N406" s="82"/>
    </row>
    <row r="407" spans="1:14" s="90" customFormat="1" ht="12.75">
      <c r="A407" s="379" t="str">
        <f>'ПРИЛОЖЕНИЕ № 6 (расх)'!A470</f>
        <v>Субсидии бюджетным учреждениям</v>
      </c>
      <c r="B407" s="181"/>
      <c r="C407" s="94" t="s">
        <v>21</v>
      </c>
      <c r="D407" s="94" t="s">
        <v>21</v>
      </c>
      <c r="E407" s="691" t="s">
        <v>302</v>
      </c>
      <c r="F407" s="692" t="s">
        <v>95</v>
      </c>
      <c r="G407" s="94" t="s">
        <v>149</v>
      </c>
      <c r="H407" s="103">
        <f>'ПРИЛОЖЕНИЕ № 6 (расх)'!I470</f>
        <v>20</v>
      </c>
      <c r="I407" s="103"/>
      <c r="J407" s="100"/>
      <c r="K407" s="82"/>
      <c r="L407" s="168"/>
      <c r="M407" s="82"/>
      <c r="N407" s="82"/>
    </row>
    <row r="408" spans="1:14" s="90" customFormat="1" ht="25.5">
      <c r="A408" s="399" t="s">
        <v>179</v>
      </c>
      <c r="B408" s="181"/>
      <c r="C408" s="225" t="s">
        <v>21</v>
      </c>
      <c r="D408" s="225" t="s">
        <v>21</v>
      </c>
      <c r="E408" s="706" t="s">
        <v>95</v>
      </c>
      <c r="F408" s="707" t="s">
        <v>178</v>
      </c>
      <c r="G408" s="225"/>
      <c r="H408" s="327">
        <f>H409+H411+H415+H417+H419+H413</f>
        <v>1110</v>
      </c>
      <c r="I408" s="327">
        <f>I409+I415+I417+I419+I411</f>
        <v>1003.3</v>
      </c>
      <c r="J408" s="92"/>
      <c r="K408" s="82"/>
      <c r="L408" s="168"/>
      <c r="M408" s="82"/>
      <c r="N408" s="82"/>
    </row>
    <row r="409" spans="1:14" s="90" customFormat="1" ht="27">
      <c r="A409" s="400" t="s">
        <v>190</v>
      </c>
      <c r="B409" s="181"/>
      <c r="C409" s="93" t="s">
        <v>21</v>
      </c>
      <c r="D409" s="93" t="s">
        <v>21</v>
      </c>
      <c r="E409" s="690" t="s">
        <v>176</v>
      </c>
      <c r="F409" s="689" t="s">
        <v>178</v>
      </c>
      <c r="G409" s="280"/>
      <c r="H409" s="45">
        <f>H410</f>
        <v>140</v>
      </c>
      <c r="I409" s="45">
        <f>I410</f>
        <v>140</v>
      </c>
      <c r="J409" s="92"/>
      <c r="K409" s="82"/>
      <c r="L409" s="168"/>
      <c r="M409" s="82"/>
      <c r="N409" s="82"/>
    </row>
    <row r="410" spans="1:14" s="90" customFormat="1" ht="25.5">
      <c r="A410" s="379" t="s">
        <v>128</v>
      </c>
      <c r="B410" s="181"/>
      <c r="C410" s="94" t="s">
        <v>21</v>
      </c>
      <c r="D410" s="94" t="s">
        <v>21</v>
      </c>
      <c r="E410" s="691" t="s">
        <v>176</v>
      </c>
      <c r="F410" s="692" t="s">
        <v>178</v>
      </c>
      <c r="G410" s="115">
        <v>240</v>
      </c>
      <c r="H410" s="46">
        <f>'ПРИЛОЖЕНИЕ № 6 (расх)'!I473</f>
        <v>140</v>
      </c>
      <c r="I410" s="46">
        <v>140</v>
      </c>
      <c r="J410" s="92"/>
      <c r="K410" s="82"/>
      <c r="L410" s="168"/>
      <c r="M410" s="82"/>
      <c r="N410" s="82"/>
    </row>
    <row r="411" spans="1:14" s="90" customFormat="1" ht="27">
      <c r="A411" s="347" t="s">
        <v>365</v>
      </c>
      <c r="B411" s="181"/>
      <c r="C411" s="93" t="s">
        <v>21</v>
      </c>
      <c r="D411" s="93" t="s">
        <v>21</v>
      </c>
      <c r="E411" s="690" t="s">
        <v>216</v>
      </c>
      <c r="F411" s="689" t="s">
        <v>178</v>
      </c>
      <c r="G411" s="93"/>
      <c r="H411" s="95">
        <f>H412</f>
        <v>70</v>
      </c>
      <c r="I411" s="95">
        <f>I412</f>
        <v>70</v>
      </c>
      <c r="J411" s="92"/>
      <c r="K411" s="82"/>
      <c r="L411" s="168"/>
      <c r="M411" s="82"/>
      <c r="N411" s="82"/>
    </row>
    <row r="412" spans="1:14" s="90" customFormat="1" ht="25.5">
      <c r="A412" s="369" t="s">
        <v>128</v>
      </c>
      <c r="B412" s="181"/>
      <c r="C412" s="94" t="s">
        <v>21</v>
      </c>
      <c r="D412" s="94" t="s">
        <v>21</v>
      </c>
      <c r="E412" s="691" t="s">
        <v>216</v>
      </c>
      <c r="F412" s="692" t="s">
        <v>178</v>
      </c>
      <c r="G412" s="94" t="s">
        <v>129</v>
      </c>
      <c r="H412" s="103">
        <f>'ПРИЛОЖЕНИЕ № 6 (расх)'!I475</f>
        <v>70</v>
      </c>
      <c r="I412" s="103">
        <v>70</v>
      </c>
      <c r="J412" s="92"/>
      <c r="K412" s="82"/>
      <c r="L412" s="168"/>
      <c r="M412" s="82"/>
      <c r="N412" s="82"/>
    </row>
    <row r="413" spans="1:14" s="90" customFormat="1" ht="27">
      <c r="A413" s="347" t="s">
        <v>202</v>
      </c>
      <c r="B413" s="181"/>
      <c r="C413" s="93" t="s">
        <v>21</v>
      </c>
      <c r="D413" s="93" t="s">
        <v>21</v>
      </c>
      <c r="E413" s="690" t="s">
        <v>199</v>
      </c>
      <c r="F413" s="689" t="s">
        <v>178</v>
      </c>
      <c r="G413" s="526"/>
      <c r="H413" s="95">
        <f>H414</f>
        <v>106.7</v>
      </c>
      <c r="I413" s="103"/>
      <c r="J413" s="92"/>
      <c r="K413" s="82"/>
      <c r="L413" s="168"/>
      <c r="M413" s="82"/>
      <c r="N413" s="82"/>
    </row>
    <row r="414" spans="1:14" s="90" customFormat="1" ht="25.5">
      <c r="A414" s="369" t="s">
        <v>128</v>
      </c>
      <c r="B414" s="181"/>
      <c r="C414" s="94" t="s">
        <v>21</v>
      </c>
      <c r="D414" s="94" t="s">
        <v>21</v>
      </c>
      <c r="E414" s="691" t="s">
        <v>199</v>
      </c>
      <c r="F414" s="692" t="s">
        <v>178</v>
      </c>
      <c r="G414" s="94" t="s">
        <v>129</v>
      </c>
      <c r="H414" s="103">
        <f>'ПРИЛОЖЕНИЕ № 6 (расх)'!I579</f>
        <v>106.7</v>
      </c>
      <c r="I414" s="103"/>
      <c r="J414" s="92"/>
      <c r="K414" s="82"/>
      <c r="L414" s="168"/>
      <c r="M414" s="82"/>
      <c r="N414" s="82"/>
    </row>
    <row r="415" spans="1:14" s="90" customFormat="1" ht="27">
      <c r="A415" s="347" t="s">
        <v>197</v>
      </c>
      <c r="B415" s="181"/>
      <c r="C415" s="93" t="s">
        <v>21</v>
      </c>
      <c r="D415" s="93" t="s">
        <v>21</v>
      </c>
      <c r="E415" s="690" t="s">
        <v>193</v>
      </c>
      <c r="F415" s="689" t="s">
        <v>178</v>
      </c>
      <c r="G415" s="93"/>
      <c r="H415" s="95">
        <f>H416</f>
        <v>220</v>
      </c>
      <c r="I415" s="95">
        <f>I416</f>
        <v>220</v>
      </c>
      <c r="J415" s="92"/>
      <c r="K415" s="82"/>
      <c r="L415" s="168"/>
      <c r="M415" s="82"/>
      <c r="N415" s="82"/>
    </row>
    <row r="416" spans="1:14" s="90" customFormat="1" ht="25.5">
      <c r="A416" s="379" t="s">
        <v>128</v>
      </c>
      <c r="B416" s="181"/>
      <c r="C416" s="94" t="s">
        <v>21</v>
      </c>
      <c r="D416" s="94" t="s">
        <v>21</v>
      </c>
      <c r="E416" s="691" t="s">
        <v>193</v>
      </c>
      <c r="F416" s="692" t="s">
        <v>178</v>
      </c>
      <c r="G416" s="94" t="s">
        <v>129</v>
      </c>
      <c r="H416" s="103">
        <f>'ПРИЛОЖЕНИЕ № 6 (расх)'!I477</f>
        <v>220</v>
      </c>
      <c r="I416" s="103">
        <v>220</v>
      </c>
      <c r="J416" s="92"/>
      <c r="K416" s="82"/>
      <c r="L416" s="168"/>
      <c r="M416" s="82"/>
      <c r="N416" s="82"/>
    </row>
    <row r="417" spans="1:14" s="90" customFormat="1" ht="27">
      <c r="A417" s="347" t="s">
        <v>180</v>
      </c>
      <c r="B417" s="181"/>
      <c r="C417" s="93" t="s">
        <v>21</v>
      </c>
      <c r="D417" s="93" t="s">
        <v>21</v>
      </c>
      <c r="E417" s="690" t="s">
        <v>166</v>
      </c>
      <c r="F417" s="689" t="s">
        <v>178</v>
      </c>
      <c r="G417" s="93"/>
      <c r="H417" s="95">
        <f>H418</f>
        <v>333.3</v>
      </c>
      <c r="I417" s="95">
        <f>I418</f>
        <v>333.3</v>
      </c>
      <c r="J417" s="92"/>
      <c r="K417" s="82"/>
      <c r="L417" s="168"/>
      <c r="M417" s="82"/>
      <c r="N417" s="82"/>
    </row>
    <row r="418" spans="1:14" s="90" customFormat="1" ht="12.75">
      <c r="A418" s="393" t="s">
        <v>148</v>
      </c>
      <c r="B418" s="181"/>
      <c r="C418" s="94" t="s">
        <v>21</v>
      </c>
      <c r="D418" s="94" t="s">
        <v>21</v>
      </c>
      <c r="E418" s="691" t="s">
        <v>166</v>
      </c>
      <c r="F418" s="692" t="s">
        <v>178</v>
      </c>
      <c r="G418" s="94" t="s">
        <v>149</v>
      </c>
      <c r="H418" s="103">
        <f>'ПРИЛОЖЕНИЕ № 6 (расх)'!I479</f>
        <v>333.3</v>
      </c>
      <c r="I418" s="103">
        <v>333.3</v>
      </c>
      <c r="J418" s="92"/>
      <c r="K418" s="82"/>
      <c r="L418" s="168"/>
      <c r="M418" s="82"/>
      <c r="N418" s="82"/>
    </row>
    <row r="419" spans="1:14" s="90" customFormat="1" ht="40.5">
      <c r="A419" s="347" t="s">
        <v>250</v>
      </c>
      <c r="B419" s="181"/>
      <c r="C419" s="93" t="s">
        <v>21</v>
      </c>
      <c r="D419" s="93" t="s">
        <v>21</v>
      </c>
      <c r="E419" s="690" t="s">
        <v>141</v>
      </c>
      <c r="F419" s="689" t="s">
        <v>178</v>
      </c>
      <c r="G419" s="93"/>
      <c r="H419" s="95">
        <f>H420</f>
        <v>240</v>
      </c>
      <c r="I419" s="95">
        <f>I420</f>
        <v>240</v>
      </c>
      <c r="J419" s="92"/>
      <c r="K419" s="82"/>
      <c r="L419" s="168"/>
      <c r="M419" s="82"/>
      <c r="N419" s="82"/>
    </row>
    <row r="420" spans="1:14" s="90" customFormat="1" ht="12.75">
      <c r="A420" s="393" t="s">
        <v>148</v>
      </c>
      <c r="B420" s="181"/>
      <c r="C420" s="94" t="s">
        <v>21</v>
      </c>
      <c r="D420" s="94" t="s">
        <v>21</v>
      </c>
      <c r="E420" s="691" t="s">
        <v>141</v>
      </c>
      <c r="F420" s="692" t="s">
        <v>178</v>
      </c>
      <c r="G420" s="94" t="s">
        <v>149</v>
      </c>
      <c r="H420" s="103">
        <f>'ПРИЛОЖЕНИЕ № 6 (расх)'!I481</f>
        <v>240</v>
      </c>
      <c r="I420" s="103">
        <v>240</v>
      </c>
      <c r="J420" s="92"/>
      <c r="K420" s="82"/>
      <c r="L420" s="168"/>
      <c r="M420" s="82"/>
      <c r="N420" s="82"/>
    </row>
    <row r="421" spans="1:10" s="179" customFormat="1" ht="15" thickBot="1">
      <c r="A421" s="392" t="s">
        <v>25</v>
      </c>
      <c r="B421" s="69"/>
      <c r="C421" s="70" t="s">
        <v>21</v>
      </c>
      <c r="D421" s="70" t="s">
        <v>45</v>
      </c>
      <c r="E421" s="795"/>
      <c r="F421" s="796"/>
      <c r="G421" s="70"/>
      <c r="H421" s="73">
        <f>H422+H426+H428+H424</f>
        <v>1273.1000000000001</v>
      </c>
      <c r="I421" s="450" t="e">
        <f>I422+#REF!+#REF!</f>
        <v>#REF!</v>
      </c>
      <c r="J421" s="173" t="e">
        <f>I421/H431</f>
        <v>#REF!</v>
      </c>
    </row>
    <row r="422" spans="1:13" s="83" customFormat="1" ht="27">
      <c r="A422" s="347" t="s">
        <v>198</v>
      </c>
      <c r="B422" s="658"/>
      <c r="C422" s="93" t="s">
        <v>21</v>
      </c>
      <c r="D422" s="93" t="s">
        <v>45</v>
      </c>
      <c r="E422" s="690" t="s">
        <v>182</v>
      </c>
      <c r="F422" s="462" t="s">
        <v>548</v>
      </c>
      <c r="G422" s="93"/>
      <c r="H422" s="95">
        <f>H423</f>
        <v>100</v>
      </c>
      <c r="I422" s="300" t="e">
        <f>I423+I445+#REF!+#REF!+#REF!+#REF!+#REF!+#REF!+#REF!+#REF!+#REF!</f>
        <v>#REF!</v>
      </c>
      <c r="J422" s="74" t="e">
        <f>I422/H432</f>
        <v>#REF!</v>
      </c>
      <c r="K422" s="179"/>
      <c r="M422" s="655"/>
    </row>
    <row r="423" spans="1:12" s="86" customFormat="1" ht="24" customHeight="1">
      <c r="A423" s="379" t="str">
        <f>'ПРИЛОЖЕНИЕ № 6 (расх)'!A484</f>
        <v>Пособия, компенсации и иные социальные выплаты гражданам, кроме публичных нормативных обязательств</v>
      </c>
      <c r="B423" s="658"/>
      <c r="C423" s="94" t="s">
        <v>21</v>
      </c>
      <c r="D423" s="94" t="s">
        <v>45</v>
      </c>
      <c r="E423" s="693" t="s">
        <v>182</v>
      </c>
      <c r="F423" s="15" t="s">
        <v>548</v>
      </c>
      <c r="G423" s="94" t="str">
        <f>'ПРИЛОЖЕНИЕ № 6 (расх)'!G484</f>
        <v>320</v>
      </c>
      <c r="H423" s="103">
        <f>'ПРИЛОЖЕНИЕ № 6 (расх)'!I484</f>
        <v>100</v>
      </c>
      <c r="I423" s="95">
        <f>SUM(I431:I435)</f>
        <v>0</v>
      </c>
      <c r="J423" s="85">
        <f>I423/H433</f>
        <v>0</v>
      </c>
      <c r="K423" s="180"/>
      <c r="L423" s="656"/>
    </row>
    <row r="424" spans="1:12" s="86" customFormat="1" ht="67.5">
      <c r="A424" s="366" t="s">
        <v>453</v>
      </c>
      <c r="B424" s="658"/>
      <c r="C424" s="48" t="s">
        <v>21</v>
      </c>
      <c r="D424" s="48" t="s">
        <v>45</v>
      </c>
      <c r="E424" s="695" t="s">
        <v>98</v>
      </c>
      <c r="F424" s="465" t="s">
        <v>321</v>
      </c>
      <c r="G424" s="48"/>
      <c r="H424" s="45">
        <f>H425</f>
        <v>1</v>
      </c>
      <c r="I424" s="45">
        <f>I425</f>
        <v>1</v>
      </c>
      <c r="J424" s="668"/>
      <c r="K424" s="180"/>
      <c r="L424" s="656"/>
    </row>
    <row r="425" spans="1:12" s="86" customFormat="1" ht="24" customHeight="1">
      <c r="A425" s="367" t="s">
        <v>128</v>
      </c>
      <c r="B425" s="658"/>
      <c r="C425" s="49" t="s">
        <v>21</v>
      </c>
      <c r="D425" s="49" t="s">
        <v>45</v>
      </c>
      <c r="E425" s="691" t="s">
        <v>98</v>
      </c>
      <c r="F425" s="467" t="s">
        <v>321</v>
      </c>
      <c r="G425" s="49" t="s">
        <v>129</v>
      </c>
      <c r="H425" s="46">
        <f>'ПРИЛОЖЕНИЕ № 6 (расх)'!I148</f>
        <v>1</v>
      </c>
      <c r="I425" s="46">
        <v>1</v>
      </c>
      <c r="J425" s="668"/>
      <c r="K425" s="180"/>
      <c r="L425" s="656"/>
    </row>
    <row r="426" spans="1:12" s="86" customFormat="1" ht="67.5">
      <c r="A426" s="366" t="s">
        <v>432</v>
      </c>
      <c r="B426" s="658"/>
      <c r="C426" s="48" t="s">
        <v>21</v>
      </c>
      <c r="D426" s="48" t="s">
        <v>45</v>
      </c>
      <c r="E426" s="695" t="s">
        <v>98</v>
      </c>
      <c r="F426" s="465" t="s">
        <v>265</v>
      </c>
      <c r="G426" s="48"/>
      <c r="H426" s="45">
        <f>H427</f>
        <v>144.9</v>
      </c>
      <c r="I426" s="45">
        <f>I427</f>
        <v>144.9</v>
      </c>
      <c r="J426" s="668"/>
      <c r="K426" s="180"/>
      <c r="L426" s="656"/>
    </row>
    <row r="427" spans="1:12" s="86" customFormat="1" ht="25.5">
      <c r="A427" s="367" t="s">
        <v>128</v>
      </c>
      <c r="B427" s="658"/>
      <c r="C427" s="49" t="s">
        <v>21</v>
      </c>
      <c r="D427" s="49" t="s">
        <v>45</v>
      </c>
      <c r="E427" s="691" t="s">
        <v>98</v>
      </c>
      <c r="F427" s="467" t="s">
        <v>265</v>
      </c>
      <c r="G427" s="49" t="s">
        <v>129</v>
      </c>
      <c r="H427" s="46">
        <f>'ПРИЛОЖЕНИЕ № 6 (расх)'!I150</f>
        <v>144.9</v>
      </c>
      <c r="I427" s="46">
        <v>144.9</v>
      </c>
      <c r="J427" s="668"/>
      <c r="K427" s="180"/>
      <c r="L427" s="656"/>
    </row>
    <row r="428" spans="1:12" s="86" customFormat="1" ht="40.5">
      <c r="A428" s="500" t="s">
        <v>60</v>
      </c>
      <c r="B428" s="658"/>
      <c r="C428" s="48" t="s">
        <v>21</v>
      </c>
      <c r="D428" s="48" t="s">
        <v>45</v>
      </c>
      <c r="E428" s="690" t="s">
        <v>102</v>
      </c>
      <c r="F428" s="462" t="s">
        <v>103</v>
      </c>
      <c r="G428" s="48"/>
      <c r="H428" s="45">
        <f>SUM(H429:H430)</f>
        <v>1027.2</v>
      </c>
      <c r="I428" s="45">
        <f>SUM(I429:I430)</f>
        <v>1027.2</v>
      </c>
      <c r="J428" s="668"/>
      <c r="K428" s="180"/>
      <c r="L428" s="656"/>
    </row>
    <row r="429" spans="1:12" s="86" customFormat="1" ht="13.5">
      <c r="A429" s="369" t="s">
        <v>126</v>
      </c>
      <c r="B429" s="658"/>
      <c r="C429" s="49" t="s">
        <v>21</v>
      </c>
      <c r="D429" s="49" t="s">
        <v>45</v>
      </c>
      <c r="E429" s="716" t="s">
        <v>102</v>
      </c>
      <c r="F429" s="499" t="s">
        <v>103</v>
      </c>
      <c r="G429" s="49" t="s">
        <v>127</v>
      </c>
      <c r="H429" s="46">
        <f>'ПРИЛОЖЕНИЕ № 6 (расх)'!I152</f>
        <v>1000</v>
      </c>
      <c r="I429" s="46">
        <v>1000</v>
      </c>
      <c r="J429" s="668"/>
      <c r="K429" s="180"/>
      <c r="L429" s="656"/>
    </row>
    <row r="430" spans="1:12" s="86" customFormat="1" ht="26.25" thickBot="1">
      <c r="A430" s="367" t="s">
        <v>128</v>
      </c>
      <c r="B430" s="658"/>
      <c r="C430" s="36" t="s">
        <v>21</v>
      </c>
      <c r="D430" s="469" t="s">
        <v>45</v>
      </c>
      <c r="E430" s="717" t="s">
        <v>102</v>
      </c>
      <c r="F430" s="15" t="s">
        <v>103</v>
      </c>
      <c r="G430" s="15" t="s">
        <v>129</v>
      </c>
      <c r="H430" s="37">
        <f>'ПРИЛОЖЕНИЕ № 6 (расх)'!I153</f>
        <v>27.2</v>
      </c>
      <c r="I430" s="46">
        <v>27.2</v>
      </c>
      <c r="J430" s="668"/>
      <c r="K430" s="180"/>
      <c r="L430" s="656"/>
    </row>
    <row r="431" spans="1:10" s="90" customFormat="1" ht="15" thickBot="1">
      <c r="A431" s="66" t="s">
        <v>59</v>
      </c>
      <c r="B431" s="172"/>
      <c r="C431" s="165" t="s">
        <v>44</v>
      </c>
      <c r="D431" s="165"/>
      <c r="E431" s="793"/>
      <c r="F431" s="794"/>
      <c r="G431" s="165"/>
      <c r="H431" s="444">
        <f>H432+H474</f>
        <v>24250.86</v>
      </c>
      <c r="I431" s="72"/>
      <c r="J431" s="183"/>
    </row>
    <row r="432" spans="1:13" s="90" customFormat="1" ht="14.25">
      <c r="A432" s="401" t="s">
        <v>26</v>
      </c>
      <c r="B432" s="69"/>
      <c r="C432" s="299" t="s">
        <v>44</v>
      </c>
      <c r="D432" s="343" t="s">
        <v>39</v>
      </c>
      <c r="E432" s="795"/>
      <c r="F432" s="796"/>
      <c r="G432" s="299"/>
      <c r="H432" s="346">
        <f>H433+H440+H446+H453+H455+H465+H467</f>
        <v>24150.86</v>
      </c>
      <c r="I432" s="72"/>
      <c r="J432" s="183"/>
      <c r="M432" s="182"/>
    </row>
    <row r="433" spans="1:10" s="90" customFormat="1" ht="12.75">
      <c r="A433" s="399" t="s">
        <v>221</v>
      </c>
      <c r="B433" s="763"/>
      <c r="C433" s="225" t="s">
        <v>44</v>
      </c>
      <c r="D433" s="225" t="s">
        <v>39</v>
      </c>
      <c r="E433" s="706" t="s">
        <v>220</v>
      </c>
      <c r="F433" s="707" t="s">
        <v>95</v>
      </c>
      <c r="G433" s="225"/>
      <c r="H433" s="327">
        <f>H434+H436</f>
        <v>9410.02</v>
      </c>
      <c r="I433" s="72"/>
      <c r="J433" s="762"/>
    </row>
    <row r="434" spans="1:10" s="90" customFormat="1" ht="13.5">
      <c r="A434" s="368" t="s">
        <v>549</v>
      </c>
      <c r="B434" s="117"/>
      <c r="C434" s="93" t="s">
        <v>44</v>
      </c>
      <c r="D434" s="93" t="s">
        <v>39</v>
      </c>
      <c r="E434" s="461" t="s">
        <v>220</v>
      </c>
      <c r="F434" s="462" t="s">
        <v>472</v>
      </c>
      <c r="G434" s="93"/>
      <c r="H434" s="95">
        <f>H435</f>
        <v>5920</v>
      </c>
      <c r="I434" s="72"/>
      <c r="J434" s="183"/>
    </row>
    <row r="435" spans="1:11" s="90" customFormat="1" ht="13.5">
      <c r="A435" s="379" t="s">
        <v>183</v>
      </c>
      <c r="B435" s="96"/>
      <c r="C435" s="94" t="s">
        <v>44</v>
      </c>
      <c r="D435" s="94" t="s">
        <v>39</v>
      </c>
      <c r="E435" s="466" t="s">
        <v>220</v>
      </c>
      <c r="F435" s="467" t="s">
        <v>472</v>
      </c>
      <c r="G435" s="94" t="s">
        <v>184</v>
      </c>
      <c r="H435" s="103">
        <f>'ПРИЛОЖЕНИЕ № 6 (расх)'!I489</f>
        <v>5920</v>
      </c>
      <c r="I435" s="72"/>
      <c r="J435" s="183"/>
      <c r="K435" s="182"/>
    </row>
    <row r="436" spans="1:11" s="90" customFormat="1" ht="13.5">
      <c r="A436" s="368" t="s">
        <v>550</v>
      </c>
      <c r="B436" s="96"/>
      <c r="C436" s="93" t="s">
        <v>44</v>
      </c>
      <c r="D436" s="93" t="s">
        <v>39</v>
      </c>
      <c r="E436" s="464" t="s">
        <v>220</v>
      </c>
      <c r="F436" s="465" t="s">
        <v>476</v>
      </c>
      <c r="G436" s="93"/>
      <c r="H436" s="95">
        <f>SUM(H437:H439)</f>
        <v>3490.02</v>
      </c>
      <c r="I436" s="72"/>
      <c r="J436" s="183"/>
      <c r="K436" s="182"/>
    </row>
    <row r="437" spans="1:10" s="90" customFormat="1" ht="25.5">
      <c r="A437" s="369" t="s">
        <v>128</v>
      </c>
      <c r="B437" s="96"/>
      <c r="C437" s="94" t="s">
        <v>44</v>
      </c>
      <c r="D437" s="94" t="s">
        <v>39</v>
      </c>
      <c r="E437" s="691" t="s">
        <v>220</v>
      </c>
      <c r="F437" s="692" t="s">
        <v>476</v>
      </c>
      <c r="G437" s="94" t="s">
        <v>129</v>
      </c>
      <c r="H437" s="103">
        <f>'ПРИЛОЖЕНИЕ № 6 (расх)'!I491</f>
        <v>3365.02</v>
      </c>
      <c r="I437" s="95">
        <f>SUM(I439:I444)</f>
        <v>60</v>
      </c>
      <c r="J437" s="183"/>
    </row>
    <row r="438" spans="1:10" s="90" customFormat="1" ht="25.5">
      <c r="A438" s="369" t="s">
        <v>130</v>
      </c>
      <c r="B438" s="96"/>
      <c r="C438" s="94" t="s">
        <v>44</v>
      </c>
      <c r="D438" s="94" t="s">
        <v>39</v>
      </c>
      <c r="E438" s="691" t="s">
        <v>220</v>
      </c>
      <c r="F438" s="692" t="s">
        <v>476</v>
      </c>
      <c r="G438" s="94" t="s">
        <v>131</v>
      </c>
      <c r="H438" s="103">
        <f>'ПРИЛОЖЕНИЕ № 6 (расх)'!I492</f>
        <v>50</v>
      </c>
      <c r="I438" s="95"/>
      <c r="J438" s="183"/>
    </row>
    <row r="439" spans="1:10" s="90" customFormat="1" ht="13.5">
      <c r="A439" s="369" t="s">
        <v>76</v>
      </c>
      <c r="B439" s="96"/>
      <c r="C439" s="94" t="s">
        <v>44</v>
      </c>
      <c r="D439" s="94" t="s">
        <v>39</v>
      </c>
      <c r="E439" s="691" t="s">
        <v>220</v>
      </c>
      <c r="F439" s="692" t="s">
        <v>476</v>
      </c>
      <c r="G439" s="94" t="s">
        <v>77</v>
      </c>
      <c r="H439" s="103">
        <f>'ПРИЛОЖЕНИЕ № 6 (расх)'!I493</f>
        <v>75</v>
      </c>
      <c r="I439" s="71"/>
      <c r="J439" s="183"/>
    </row>
    <row r="440" spans="1:10" s="90" customFormat="1" ht="12.75">
      <c r="A440" s="754" t="s">
        <v>212</v>
      </c>
      <c r="B440" s="96"/>
      <c r="C440" s="225" t="s">
        <v>44</v>
      </c>
      <c r="D440" s="225" t="s">
        <v>39</v>
      </c>
      <c r="E440" s="706" t="s">
        <v>213</v>
      </c>
      <c r="F440" s="707" t="s">
        <v>95</v>
      </c>
      <c r="G440" s="225"/>
      <c r="H440" s="327">
        <f>H441+H443</f>
        <v>5141.53</v>
      </c>
      <c r="I440" s="72"/>
      <c r="J440" s="762"/>
    </row>
    <row r="441" spans="1:10" s="90" customFormat="1" ht="13.5">
      <c r="A441" s="368" t="s">
        <v>551</v>
      </c>
      <c r="B441" s="96"/>
      <c r="C441" s="93" t="s">
        <v>44</v>
      </c>
      <c r="D441" s="93" t="s">
        <v>39</v>
      </c>
      <c r="E441" s="461" t="s">
        <v>213</v>
      </c>
      <c r="F441" s="462" t="s">
        <v>472</v>
      </c>
      <c r="G441" s="93"/>
      <c r="H441" s="95">
        <f>H442</f>
        <v>2974</v>
      </c>
      <c r="I441" s="72"/>
      <c r="J441" s="183"/>
    </row>
    <row r="442" spans="1:11" s="90" customFormat="1" ht="13.5">
      <c r="A442" s="379" t="s">
        <v>183</v>
      </c>
      <c r="B442" s="96"/>
      <c r="C442" s="94" t="s">
        <v>44</v>
      </c>
      <c r="D442" s="94" t="s">
        <v>39</v>
      </c>
      <c r="E442" s="466" t="s">
        <v>213</v>
      </c>
      <c r="F442" s="467" t="s">
        <v>472</v>
      </c>
      <c r="G442" s="94" t="s">
        <v>184</v>
      </c>
      <c r="H442" s="103">
        <f>'ПРИЛОЖЕНИЕ № 6 (расх)'!I496</f>
        <v>2974</v>
      </c>
      <c r="I442" s="103">
        <f>'[1]706_К'!$F$19/1000</f>
        <v>60</v>
      </c>
      <c r="J442" s="183"/>
      <c r="K442" s="182"/>
    </row>
    <row r="443" spans="1:11" s="90" customFormat="1" ht="13.5">
      <c r="A443" s="368" t="s">
        <v>552</v>
      </c>
      <c r="B443" s="96"/>
      <c r="C443" s="93" t="s">
        <v>44</v>
      </c>
      <c r="D443" s="93" t="s">
        <v>39</v>
      </c>
      <c r="E443" s="461" t="s">
        <v>213</v>
      </c>
      <c r="F443" s="462" t="s">
        <v>476</v>
      </c>
      <c r="G443" s="94"/>
      <c r="H443" s="95">
        <f>SUM(H444:H445)</f>
        <v>2167.5299999999997</v>
      </c>
      <c r="I443" s="103"/>
      <c r="J443" s="183"/>
      <c r="K443" s="182"/>
    </row>
    <row r="444" spans="1:10" s="90" customFormat="1" ht="25.5">
      <c r="A444" s="369" t="s">
        <v>128</v>
      </c>
      <c r="B444" s="96"/>
      <c r="C444" s="94" t="s">
        <v>44</v>
      </c>
      <c r="D444" s="94" t="s">
        <v>39</v>
      </c>
      <c r="E444" s="691" t="s">
        <v>213</v>
      </c>
      <c r="F444" s="692" t="s">
        <v>476</v>
      </c>
      <c r="G444" s="94" t="s">
        <v>129</v>
      </c>
      <c r="H444" s="103">
        <f>'ПРИЛОЖЕНИЕ № 6 (расх)'!I498</f>
        <v>2117.5299999999997</v>
      </c>
      <c r="I444" s="72"/>
      <c r="J444" s="183"/>
    </row>
    <row r="445" spans="1:10" s="90" customFormat="1" ht="13.5">
      <c r="A445" s="369" t="s">
        <v>76</v>
      </c>
      <c r="B445" s="96"/>
      <c r="C445" s="94" t="s">
        <v>44</v>
      </c>
      <c r="D445" s="94" t="s">
        <v>39</v>
      </c>
      <c r="E445" s="691" t="s">
        <v>213</v>
      </c>
      <c r="F445" s="692" t="s">
        <v>476</v>
      </c>
      <c r="G445" s="94" t="s">
        <v>77</v>
      </c>
      <c r="H445" s="103">
        <f>'ПРИЛОЖЕНИЕ № 6 (расх)'!I499</f>
        <v>50</v>
      </c>
      <c r="I445" s="84">
        <f>SUM(I446:I452)</f>
        <v>0</v>
      </c>
      <c r="J445" s="183"/>
    </row>
    <row r="446" spans="1:10" s="90" customFormat="1" ht="13.5">
      <c r="A446" s="378" t="s">
        <v>206</v>
      </c>
      <c r="B446" s="96"/>
      <c r="C446" s="61" t="s">
        <v>44</v>
      </c>
      <c r="D446" s="61" t="s">
        <v>39</v>
      </c>
      <c r="E446" s="690" t="s">
        <v>205</v>
      </c>
      <c r="F446" s="689" t="s">
        <v>95</v>
      </c>
      <c r="G446" s="61"/>
      <c r="H446" s="95">
        <f>H447+H449</f>
        <v>8605.210000000001</v>
      </c>
      <c r="I446" s="72"/>
      <c r="J446" s="183"/>
    </row>
    <row r="447" spans="1:10" s="90" customFormat="1" ht="13.5">
      <c r="A447" s="368" t="s">
        <v>553</v>
      </c>
      <c r="B447" s="96"/>
      <c r="C447" s="61" t="s">
        <v>44</v>
      </c>
      <c r="D447" s="61" t="s">
        <v>39</v>
      </c>
      <c r="E447" s="461" t="s">
        <v>205</v>
      </c>
      <c r="F447" s="462" t="s">
        <v>472</v>
      </c>
      <c r="G447" s="61"/>
      <c r="H447" s="95">
        <f>H448</f>
        <v>6695.13</v>
      </c>
      <c r="I447" s="72"/>
      <c r="J447" s="183"/>
    </row>
    <row r="448" spans="1:10" s="90" customFormat="1" ht="13.5">
      <c r="A448" s="379" t="s">
        <v>183</v>
      </c>
      <c r="B448" s="96"/>
      <c r="C448" s="94" t="s">
        <v>44</v>
      </c>
      <c r="D448" s="94" t="s">
        <v>39</v>
      </c>
      <c r="E448" s="466" t="s">
        <v>205</v>
      </c>
      <c r="F448" s="467" t="s">
        <v>472</v>
      </c>
      <c r="G448" s="94" t="s">
        <v>184</v>
      </c>
      <c r="H448" s="103">
        <f>'ПРИЛОЖЕНИЕ № 6 (расх)'!I502</f>
        <v>6695.13</v>
      </c>
      <c r="I448" s="72"/>
      <c r="J448" s="183"/>
    </row>
    <row r="449" spans="1:10" s="90" customFormat="1" ht="13.5">
      <c r="A449" s="368" t="s">
        <v>554</v>
      </c>
      <c r="B449" s="96"/>
      <c r="C449" s="61" t="s">
        <v>44</v>
      </c>
      <c r="D449" s="61" t="s">
        <v>39</v>
      </c>
      <c r="E449" s="461" t="s">
        <v>205</v>
      </c>
      <c r="F449" s="462" t="s">
        <v>476</v>
      </c>
      <c r="G449" s="93"/>
      <c r="H449" s="95">
        <f>SUM(H450:H452)</f>
        <v>1910.0800000000002</v>
      </c>
      <c r="I449" s="72"/>
      <c r="J449" s="183"/>
    </row>
    <row r="450" spans="1:10" s="90" customFormat="1" ht="25.5">
      <c r="A450" s="369" t="s">
        <v>128</v>
      </c>
      <c r="B450" s="96"/>
      <c r="C450" s="94" t="s">
        <v>44</v>
      </c>
      <c r="D450" s="94" t="s">
        <v>39</v>
      </c>
      <c r="E450" s="691" t="s">
        <v>205</v>
      </c>
      <c r="F450" s="467" t="s">
        <v>476</v>
      </c>
      <c r="G450" s="94" t="s">
        <v>129</v>
      </c>
      <c r="H450" s="103">
        <f>'ПРИЛОЖЕНИЕ № 6 (расх)'!I504</f>
        <v>1774.18</v>
      </c>
      <c r="I450" s="72"/>
      <c r="J450" s="183"/>
    </row>
    <row r="451" spans="1:10" s="90" customFormat="1" ht="20.25" customHeight="1">
      <c r="A451" s="369" t="s">
        <v>130</v>
      </c>
      <c r="B451" s="96"/>
      <c r="C451" s="94" t="s">
        <v>44</v>
      </c>
      <c r="D451" s="94" t="s">
        <v>39</v>
      </c>
      <c r="E451" s="466" t="s">
        <v>205</v>
      </c>
      <c r="F451" s="467" t="s">
        <v>476</v>
      </c>
      <c r="G451" s="94" t="s">
        <v>131</v>
      </c>
      <c r="H451" s="103">
        <f>'ПРИЛОЖЕНИЕ № 6 (расх)'!I505</f>
        <v>35.9</v>
      </c>
      <c r="I451" s="72"/>
      <c r="J451" s="183"/>
    </row>
    <row r="452" spans="1:10" s="90" customFormat="1" ht="13.5">
      <c r="A452" s="369" t="s">
        <v>76</v>
      </c>
      <c r="B452" s="96"/>
      <c r="C452" s="94" t="s">
        <v>44</v>
      </c>
      <c r="D452" s="94" t="s">
        <v>39</v>
      </c>
      <c r="E452" s="691" t="s">
        <v>205</v>
      </c>
      <c r="F452" s="467" t="s">
        <v>476</v>
      </c>
      <c r="G452" s="94" t="s">
        <v>77</v>
      </c>
      <c r="H452" s="103">
        <f>'ПРИЛОЖЕНИЕ № 6 (расх)'!I506</f>
        <v>100</v>
      </c>
      <c r="I452" s="72"/>
      <c r="J452" s="183"/>
    </row>
    <row r="453" spans="1:12" s="90" customFormat="1" ht="25.5" customHeight="1">
      <c r="A453" s="347" t="s">
        <v>305</v>
      </c>
      <c r="B453" s="96"/>
      <c r="C453" s="93" t="s">
        <v>44</v>
      </c>
      <c r="D453" s="93" t="s">
        <v>39</v>
      </c>
      <c r="E453" s="690" t="s">
        <v>225</v>
      </c>
      <c r="F453" s="462" t="s">
        <v>304</v>
      </c>
      <c r="G453" s="93"/>
      <c r="H453" s="95">
        <f>H454</f>
        <v>34</v>
      </c>
      <c r="I453" s="84">
        <f>I454</f>
        <v>79</v>
      </c>
      <c r="J453" s="183"/>
      <c r="L453" s="182"/>
    </row>
    <row r="454" spans="1:10" s="90" customFormat="1" ht="25.5" customHeight="1">
      <c r="A454" s="369" t="s">
        <v>128</v>
      </c>
      <c r="B454" s="96"/>
      <c r="C454" s="94" t="s">
        <v>44</v>
      </c>
      <c r="D454" s="94" t="s">
        <v>39</v>
      </c>
      <c r="E454" s="691" t="s">
        <v>225</v>
      </c>
      <c r="F454" s="467" t="s">
        <v>304</v>
      </c>
      <c r="G454" s="94" t="s">
        <v>129</v>
      </c>
      <c r="H454" s="103">
        <f>'ПРИЛОЖЕНИЕ № 6 (расх)'!I508</f>
        <v>34</v>
      </c>
      <c r="I454" s="241">
        <v>79</v>
      </c>
      <c r="J454" s="183"/>
    </row>
    <row r="455" spans="1:12" s="90" customFormat="1" ht="25.5">
      <c r="A455" s="399" t="s">
        <v>345</v>
      </c>
      <c r="B455" s="96"/>
      <c r="C455" s="225" t="s">
        <v>44</v>
      </c>
      <c r="D455" s="225" t="s">
        <v>39</v>
      </c>
      <c r="E455" s="704" t="s">
        <v>354</v>
      </c>
      <c r="F455" s="203" t="s">
        <v>95</v>
      </c>
      <c r="G455" s="203"/>
      <c r="H455" s="327">
        <f>H456+H459+H462</f>
        <v>300</v>
      </c>
      <c r="I455" s="241"/>
      <c r="J455" s="183"/>
      <c r="L455" s="182"/>
    </row>
    <row r="456" spans="1:10" s="90" customFormat="1" ht="24.75" customHeight="1">
      <c r="A456" s="399" t="s">
        <v>346</v>
      </c>
      <c r="B456" s="96"/>
      <c r="C456" s="225" t="s">
        <v>44</v>
      </c>
      <c r="D456" s="225" t="s">
        <v>39</v>
      </c>
      <c r="E456" s="704" t="s">
        <v>355</v>
      </c>
      <c r="F456" s="203" t="s">
        <v>95</v>
      </c>
      <c r="G456" s="225"/>
      <c r="H456" s="327">
        <f>H457</f>
        <v>270</v>
      </c>
      <c r="I456" s="241"/>
      <c r="J456" s="183"/>
    </row>
    <row r="457" spans="1:10" s="90" customFormat="1" ht="40.5">
      <c r="A457" s="347" t="s">
        <v>347</v>
      </c>
      <c r="B457" s="96"/>
      <c r="C457" s="93" t="s">
        <v>44</v>
      </c>
      <c r="D457" s="93" t="s">
        <v>39</v>
      </c>
      <c r="E457" s="695" t="s">
        <v>356</v>
      </c>
      <c r="F457" s="465" t="s">
        <v>555</v>
      </c>
      <c r="G457" s="93"/>
      <c r="H457" s="95">
        <v>270</v>
      </c>
      <c r="I457" s="241"/>
      <c r="J457" s="183"/>
    </row>
    <row r="458" spans="1:10" s="90" customFormat="1" ht="25.5">
      <c r="A458" s="369" t="s">
        <v>128</v>
      </c>
      <c r="B458" s="468"/>
      <c r="C458" s="94" t="s">
        <v>44</v>
      </c>
      <c r="D458" s="94" t="s">
        <v>39</v>
      </c>
      <c r="E458" s="691" t="s">
        <v>356</v>
      </c>
      <c r="F458" s="499" t="s">
        <v>555</v>
      </c>
      <c r="G458" s="94" t="s">
        <v>129</v>
      </c>
      <c r="H458" s="103">
        <f>'ПРИЛОЖЕНИЕ № 6 (расх)'!I512</f>
        <v>270</v>
      </c>
      <c r="I458" s="241"/>
      <c r="J458" s="183"/>
    </row>
    <row r="459" spans="1:10" s="90" customFormat="1" ht="25.5">
      <c r="A459" s="399" t="s">
        <v>348</v>
      </c>
      <c r="B459" s="468"/>
      <c r="C459" s="225" t="s">
        <v>44</v>
      </c>
      <c r="D459" s="225" t="s">
        <v>39</v>
      </c>
      <c r="E459" s="704" t="s">
        <v>357</v>
      </c>
      <c r="F459" s="203" t="s">
        <v>95</v>
      </c>
      <c r="G459" s="225"/>
      <c r="H459" s="327">
        <v>5</v>
      </c>
      <c r="I459" s="241"/>
      <c r="J459" s="183"/>
    </row>
    <row r="460" spans="1:10" s="90" customFormat="1" ht="40.5">
      <c r="A460" s="347" t="s">
        <v>349</v>
      </c>
      <c r="B460" s="468"/>
      <c r="C460" s="93" t="s">
        <v>44</v>
      </c>
      <c r="D460" s="93" t="s">
        <v>39</v>
      </c>
      <c r="E460" s="695" t="s">
        <v>358</v>
      </c>
      <c r="F460" s="465" t="s">
        <v>489</v>
      </c>
      <c r="G460" s="93"/>
      <c r="H460" s="95">
        <v>5</v>
      </c>
      <c r="I460" s="241"/>
      <c r="J460" s="183"/>
    </row>
    <row r="461" spans="1:10" s="90" customFormat="1" ht="25.5">
      <c r="A461" s="369" t="s">
        <v>128</v>
      </c>
      <c r="B461" s="468"/>
      <c r="C461" s="94" t="s">
        <v>44</v>
      </c>
      <c r="D461" s="94" t="s">
        <v>39</v>
      </c>
      <c r="E461" s="691" t="s">
        <v>358</v>
      </c>
      <c r="F461" s="499" t="s">
        <v>489</v>
      </c>
      <c r="G461" s="94" t="s">
        <v>129</v>
      </c>
      <c r="H461" s="103">
        <f>'ПРИЛОЖЕНИЕ № 6 (расх)'!I515</f>
        <v>5</v>
      </c>
      <c r="I461" s="241"/>
      <c r="J461" s="183"/>
    </row>
    <row r="462" spans="1:13" s="90" customFormat="1" ht="26.25" thickBot="1">
      <c r="A462" s="399" t="s">
        <v>350</v>
      </c>
      <c r="B462" s="468"/>
      <c r="C462" s="225" t="s">
        <v>44</v>
      </c>
      <c r="D462" s="225" t="s">
        <v>39</v>
      </c>
      <c r="E462" s="704" t="s">
        <v>359</v>
      </c>
      <c r="F462" s="203" t="s">
        <v>95</v>
      </c>
      <c r="G462" s="225"/>
      <c r="H462" s="327">
        <v>25</v>
      </c>
      <c r="I462" s="346" t="e">
        <f>I463+I476</f>
        <v>#REF!</v>
      </c>
      <c r="J462" s="183"/>
      <c r="K462" s="432"/>
      <c r="L462" s="168"/>
      <c r="M462" s="82"/>
    </row>
    <row r="463" spans="1:10" s="82" customFormat="1" ht="27.75" thickBot="1">
      <c r="A463" s="347" t="s">
        <v>351</v>
      </c>
      <c r="B463" s="468"/>
      <c r="C463" s="93" t="s">
        <v>44</v>
      </c>
      <c r="D463" s="93" t="s">
        <v>39</v>
      </c>
      <c r="E463" s="695" t="s">
        <v>360</v>
      </c>
      <c r="F463" s="465" t="s">
        <v>520</v>
      </c>
      <c r="G463" s="93"/>
      <c r="H463" s="95">
        <v>25</v>
      </c>
      <c r="I463" s="438" t="e">
        <f>I464+I476+#REF!</f>
        <v>#REF!</v>
      </c>
      <c r="J463" s="184" t="e">
        <f>I463/H477</f>
        <v>#REF!</v>
      </c>
    </row>
    <row r="464" spans="1:11" s="83" customFormat="1" ht="25.5">
      <c r="A464" s="369" t="s">
        <v>128</v>
      </c>
      <c r="B464" s="468"/>
      <c r="C464" s="94" t="s">
        <v>44</v>
      </c>
      <c r="D464" s="94" t="s">
        <v>39</v>
      </c>
      <c r="E464" s="691" t="s">
        <v>360</v>
      </c>
      <c r="F464" s="499" t="s">
        <v>520</v>
      </c>
      <c r="G464" s="94" t="s">
        <v>129</v>
      </c>
      <c r="H464" s="103">
        <f>'ПРИЛОЖЕНИЕ № 6 (расх)'!I518</f>
        <v>25</v>
      </c>
      <c r="I464" s="286" t="e">
        <f>I474</f>
        <v>#REF!</v>
      </c>
      <c r="J464" s="74" t="e">
        <f>I464/H478</f>
        <v>#REF!</v>
      </c>
      <c r="K464" s="179"/>
    </row>
    <row r="465" spans="1:11" s="83" customFormat="1" ht="13.5">
      <c r="A465" s="387" t="s">
        <v>209</v>
      </c>
      <c r="B465" s="468"/>
      <c r="C465" s="93" t="s">
        <v>44</v>
      </c>
      <c r="D465" s="93" t="s">
        <v>39</v>
      </c>
      <c r="E465" s="690" t="s">
        <v>205</v>
      </c>
      <c r="F465" s="462" t="s">
        <v>208</v>
      </c>
      <c r="G465" s="93"/>
      <c r="H465" s="95">
        <f>H466</f>
        <v>76</v>
      </c>
      <c r="I465" s="95">
        <f>I466</f>
        <v>76</v>
      </c>
      <c r="J465" s="74"/>
      <c r="K465" s="179"/>
    </row>
    <row r="466" spans="1:11" s="83" customFormat="1" ht="25.5">
      <c r="A466" s="369" t="s">
        <v>128</v>
      </c>
      <c r="B466" s="468"/>
      <c r="C466" s="94" t="s">
        <v>44</v>
      </c>
      <c r="D466" s="94" t="s">
        <v>39</v>
      </c>
      <c r="E466" s="691" t="s">
        <v>205</v>
      </c>
      <c r="F466" s="467" t="s">
        <v>208</v>
      </c>
      <c r="G466" s="94" t="s">
        <v>129</v>
      </c>
      <c r="H466" s="103">
        <f>'ПРИЛОЖЕНИЕ № 6 (расх)'!I520</f>
        <v>76</v>
      </c>
      <c r="I466" s="103">
        <v>76</v>
      </c>
      <c r="J466" s="74"/>
      <c r="K466" s="179"/>
    </row>
    <row r="467" spans="1:11" s="83" customFormat="1" ht="63.75">
      <c r="A467" s="396" t="s">
        <v>90</v>
      </c>
      <c r="B467" s="468"/>
      <c r="C467" s="225" t="s">
        <v>44</v>
      </c>
      <c r="D467" s="225" t="s">
        <v>39</v>
      </c>
      <c r="E467" s="704" t="s">
        <v>95</v>
      </c>
      <c r="F467" s="203" t="s">
        <v>159</v>
      </c>
      <c r="G467" s="225"/>
      <c r="H467" s="327">
        <f>H468+H470+H472</f>
        <v>584.1</v>
      </c>
      <c r="I467" s="327">
        <f>I468+I470+I472</f>
        <v>584.1</v>
      </c>
      <c r="J467" s="74"/>
      <c r="K467" s="179"/>
    </row>
    <row r="468" spans="1:11" s="83" customFormat="1" ht="27">
      <c r="A468" s="391" t="s">
        <v>207</v>
      </c>
      <c r="B468" s="468"/>
      <c r="C468" s="93" t="s">
        <v>44</v>
      </c>
      <c r="D468" s="93" t="s">
        <v>39</v>
      </c>
      <c r="E468" s="695" t="s">
        <v>205</v>
      </c>
      <c r="F468" s="465" t="s">
        <v>159</v>
      </c>
      <c r="G468" s="93"/>
      <c r="H468" s="95">
        <f>H469</f>
        <v>212.1</v>
      </c>
      <c r="I468" s="95">
        <f>I469</f>
        <v>212.1</v>
      </c>
      <c r="J468" s="74"/>
      <c r="K468" s="179"/>
    </row>
    <row r="469" spans="1:11" s="83" customFormat="1" ht="12.75">
      <c r="A469" s="379" t="s">
        <v>183</v>
      </c>
      <c r="B469" s="468"/>
      <c r="C469" s="94" t="s">
        <v>44</v>
      </c>
      <c r="D469" s="94" t="s">
        <v>39</v>
      </c>
      <c r="E469" s="691" t="s">
        <v>205</v>
      </c>
      <c r="F469" s="467" t="s">
        <v>159</v>
      </c>
      <c r="G469" s="94" t="s">
        <v>184</v>
      </c>
      <c r="H469" s="103">
        <f>'ПРИЛОЖЕНИЕ № 6 (расх)'!I523</f>
        <v>212.1</v>
      </c>
      <c r="I469" s="103">
        <v>212.1</v>
      </c>
      <c r="J469" s="74"/>
      <c r="K469" s="179"/>
    </row>
    <row r="470" spans="1:11" s="83" customFormat="1" ht="27">
      <c r="A470" s="391" t="s">
        <v>222</v>
      </c>
      <c r="B470" s="468"/>
      <c r="C470" s="93" t="s">
        <v>44</v>
      </c>
      <c r="D470" s="93" t="s">
        <v>39</v>
      </c>
      <c r="E470" s="711" t="s">
        <v>220</v>
      </c>
      <c r="F470" s="465" t="s">
        <v>159</v>
      </c>
      <c r="G470" s="93"/>
      <c r="H470" s="95">
        <f>H471</f>
        <v>160</v>
      </c>
      <c r="I470" s="95">
        <f>SUM(I471:I471)</f>
        <v>160</v>
      </c>
      <c r="J470" s="74"/>
      <c r="K470" s="179"/>
    </row>
    <row r="471" spans="1:11" s="83" customFormat="1" ht="12.75">
      <c r="A471" s="379" t="s">
        <v>183</v>
      </c>
      <c r="B471" s="468"/>
      <c r="C471" s="94" t="s">
        <v>44</v>
      </c>
      <c r="D471" s="94" t="s">
        <v>39</v>
      </c>
      <c r="E471" s="713" t="s">
        <v>220</v>
      </c>
      <c r="F471" s="467" t="s">
        <v>159</v>
      </c>
      <c r="G471" s="94" t="s">
        <v>184</v>
      </c>
      <c r="H471" s="103">
        <f>'ПРИЛОЖЕНИЕ № 6 (расх)'!I525</f>
        <v>160</v>
      </c>
      <c r="I471" s="103">
        <v>160</v>
      </c>
      <c r="J471" s="74"/>
      <c r="K471" s="179"/>
    </row>
    <row r="472" spans="1:11" s="83" customFormat="1" ht="27">
      <c r="A472" s="391" t="s">
        <v>214</v>
      </c>
      <c r="B472" s="468"/>
      <c r="C472" s="93" t="s">
        <v>44</v>
      </c>
      <c r="D472" s="93" t="s">
        <v>39</v>
      </c>
      <c r="E472" s="711" t="s">
        <v>213</v>
      </c>
      <c r="F472" s="465" t="s">
        <v>159</v>
      </c>
      <c r="G472" s="93"/>
      <c r="H472" s="95">
        <f>H473</f>
        <v>212</v>
      </c>
      <c r="I472" s="95">
        <f>I473</f>
        <v>212</v>
      </c>
      <c r="J472" s="74"/>
      <c r="K472" s="179"/>
    </row>
    <row r="473" spans="1:11" s="83" customFormat="1" ht="12.75">
      <c r="A473" s="379" t="s">
        <v>183</v>
      </c>
      <c r="B473" s="468"/>
      <c r="C473" s="94" t="s">
        <v>44</v>
      </c>
      <c r="D473" s="94" t="s">
        <v>39</v>
      </c>
      <c r="E473" s="713" t="s">
        <v>213</v>
      </c>
      <c r="F473" s="467" t="s">
        <v>159</v>
      </c>
      <c r="G473" s="94" t="s">
        <v>184</v>
      </c>
      <c r="H473" s="103">
        <f>'ПРИЛОЖЕНИЕ № 6 (расх)'!I527</f>
        <v>212</v>
      </c>
      <c r="I473" s="103">
        <v>212</v>
      </c>
      <c r="J473" s="74"/>
      <c r="K473" s="179"/>
    </row>
    <row r="474" spans="1:11" s="86" customFormat="1" ht="28.5">
      <c r="A474" s="401" t="s">
        <v>251</v>
      </c>
      <c r="B474" s="96"/>
      <c r="C474" s="299" t="s">
        <v>44</v>
      </c>
      <c r="D474" s="343" t="s">
        <v>12</v>
      </c>
      <c r="E474" s="795"/>
      <c r="F474" s="796"/>
      <c r="G474" s="299"/>
      <c r="H474" s="346">
        <f>H475</f>
        <v>100</v>
      </c>
      <c r="I474" s="282" t="e">
        <f>SUM(#REF!)</f>
        <v>#REF!</v>
      </c>
      <c r="J474" s="85" t="e">
        <f>I474/H479</f>
        <v>#REF!</v>
      </c>
      <c r="K474" s="180"/>
    </row>
    <row r="475" spans="1:11" s="90" customFormat="1" ht="13.5">
      <c r="A475" s="347" t="s">
        <v>181</v>
      </c>
      <c r="B475" s="96"/>
      <c r="C475" s="93" t="s">
        <v>44</v>
      </c>
      <c r="D475" s="93" t="s">
        <v>12</v>
      </c>
      <c r="E475" s="690" t="s">
        <v>182</v>
      </c>
      <c r="F475" s="462" t="s">
        <v>556</v>
      </c>
      <c r="G475" s="61"/>
      <c r="H475" s="84">
        <f>H476</f>
        <v>100</v>
      </c>
      <c r="I475" s="284"/>
      <c r="J475" s="100"/>
      <c r="K475" s="82"/>
    </row>
    <row r="476" spans="1:11" s="83" customFormat="1" ht="26.25" thickBot="1">
      <c r="A476" s="379" t="str">
        <f>'ПРИЛОЖЕНИЕ № 6 (расх)'!A530</f>
        <v>Пособия, компенсации и иные социальные выплаты гражданам, кроме публичных нормативных обязательств</v>
      </c>
      <c r="B476" s="96"/>
      <c r="C476" s="110" t="s">
        <v>44</v>
      </c>
      <c r="D476" s="110" t="s">
        <v>12</v>
      </c>
      <c r="E476" s="693" t="s">
        <v>182</v>
      </c>
      <c r="F476" s="15" t="s">
        <v>556</v>
      </c>
      <c r="G476" s="63" t="str">
        <f>'ПРИЛОЖЕНИЕ № 6 (расх)'!G530</f>
        <v>320</v>
      </c>
      <c r="H476" s="71">
        <f>'ПРИЛОЖЕНИЕ № 6 (расх)'!I530</f>
        <v>100</v>
      </c>
      <c r="I476" s="79" t="e">
        <f>#REF!</f>
        <v>#REF!</v>
      </c>
      <c r="J476" s="80" t="e">
        <f>I476/H482</f>
        <v>#REF!</v>
      </c>
      <c r="K476" s="179"/>
    </row>
    <row r="477" spans="1:13" s="86" customFormat="1" ht="15" thickBot="1">
      <c r="A477" s="66" t="s">
        <v>28</v>
      </c>
      <c r="B477" s="172"/>
      <c r="C477" s="165" t="s">
        <v>47</v>
      </c>
      <c r="D477" s="165"/>
      <c r="E477" s="793"/>
      <c r="F477" s="794"/>
      <c r="G477" s="165"/>
      <c r="H477" s="444">
        <f>H478+H482+H495</f>
        <v>16944.89</v>
      </c>
      <c r="I477" s="332">
        <f>I479+I481</f>
        <v>500</v>
      </c>
      <c r="J477" s="183">
        <f>I477/H483</f>
        <v>1.4285714285714286</v>
      </c>
      <c r="M477" s="656"/>
    </row>
    <row r="478" spans="1:10" s="86" customFormat="1" ht="14.25">
      <c r="A478" s="377" t="s">
        <v>29</v>
      </c>
      <c r="B478" s="69"/>
      <c r="C478" s="448" t="s">
        <v>47</v>
      </c>
      <c r="D478" s="448" t="s">
        <v>39</v>
      </c>
      <c r="E478" s="791"/>
      <c r="F478" s="792"/>
      <c r="G478" s="448"/>
      <c r="H478" s="449">
        <f>H479</f>
        <v>1728</v>
      </c>
      <c r="I478" s="332"/>
      <c r="J478" s="183"/>
    </row>
    <row r="479" spans="1:10" s="90" customFormat="1" ht="12.75">
      <c r="A479" s="744" t="s">
        <v>518</v>
      </c>
      <c r="B479" s="176"/>
      <c r="C479" s="186" t="s">
        <v>47</v>
      </c>
      <c r="D479" s="186" t="s">
        <v>39</v>
      </c>
      <c r="E479" s="706" t="s">
        <v>132</v>
      </c>
      <c r="F479" s="707" t="s">
        <v>95</v>
      </c>
      <c r="G479" s="186"/>
      <c r="H479" s="113">
        <f>H480</f>
        <v>1728</v>
      </c>
      <c r="I479" s="103">
        <v>100</v>
      </c>
      <c r="J479" s="749">
        <f>I479/H487</f>
        <v>3.3333333333333335</v>
      </c>
    </row>
    <row r="480" spans="1:10" s="86" customFormat="1" ht="13.5">
      <c r="A480" s="378" t="s">
        <v>144</v>
      </c>
      <c r="B480" s="76"/>
      <c r="C480" s="61" t="s">
        <v>47</v>
      </c>
      <c r="D480" s="61" t="s">
        <v>39</v>
      </c>
      <c r="E480" s="690" t="s">
        <v>132</v>
      </c>
      <c r="F480" s="462" t="s">
        <v>289</v>
      </c>
      <c r="G480" s="61"/>
      <c r="H480" s="84">
        <f>H481</f>
        <v>1728</v>
      </c>
      <c r="I480" s="95"/>
      <c r="J480" s="183"/>
    </row>
    <row r="481" spans="1:10" s="88" customFormat="1" ht="12.75">
      <c r="A481" s="381" t="s">
        <v>376</v>
      </c>
      <c r="B481" s="106"/>
      <c r="C481" s="64" t="s">
        <v>47</v>
      </c>
      <c r="D481" s="64" t="s">
        <v>39</v>
      </c>
      <c r="E481" s="693" t="s">
        <v>132</v>
      </c>
      <c r="F481" s="694" t="s">
        <v>95</v>
      </c>
      <c r="G481" s="64" t="s">
        <v>375</v>
      </c>
      <c r="H481" s="72">
        <f>'ПРИЛОЖЕНИЕ № 6 (расх)'!I158</f>
        <v>1728</v>
      </c>
      <c r="I481" s="103">
        <v>400</v>
      </c>
      <c r="J481" s="185" t="e">
        <f>I481/#REF!</f>
        <v>#REF!</v>
      </c>
    </row>
    <row r="482" spans="1:10" s="566" customFormat="1" ht="13.5">
      <c r="A482" s="530" t="s">
        <v>30</v>
      </c>
      <c r="B482" s="75"/>
      <c r="C482" s="81" t="s">
        <v>47</v>
      </c>
      <c r="D482" s="81" t="s">
        <v>40</v>
      </c>
      <c r="E482" s="795"/>
      <c r="F482" s="796"/>
      <c r="G482" s="81"/>
      <c r="H482" s="79">
        <f>H483+H490</f>
        <v>450</v>
      </c>
      <c r="I482" s="563">
        <f>I483</f>
        <v>310</v>
      </c>
      <c r="J482" s="565"/>
    </row>
    <row r="483" spans="1:12" s="566" customFormat="1" ht="38.25">
      <c r="A483" s="750" t="s">
        <v>410</v>
      </c>
      <c r="B483" s="99">
        <v>503</v>
      </c>
      <c r="C483" s="225" t="s">
        <v>47</v>
      </c>
      <c r="D483" s="225" t="s">
        <v>40</v>
      </c>
      <c r="E483" s="459" t="s">
        <v>177</v>
      </c>
      <c r="F483" s="460" t="s">
        <v>95</v>
      </c>
      <c r="G483" s="225"/>
      <c r="H483" s="327">
        <f>H484+H486+H488</f>
        <v>350</v>
      </c>
      <c r="I483" s="327">
        <f>I484+I486</f>
        <v>310</v>
      </c>
      <c r="J483" s="565"/>
      <c r="L483" s="681"/>
    </row>
    <row r="484" spans="1:12" s="566" customFormat="1" ht="54">
      <c r="A484" s="521" t="s">
        <v>409</v>
      </c>
      <c r="B484" s="99">
        <v>503</v>
      </c>
      <c r="C484" s="93" t="s">
        <v>47</v>
      </c>
      <c r="D484" s="93" t="s">
        <v>40</v>
      </c>
      <c r="E484" s="461" t="s">
        <v>291</v>
      </c>
      <c r="F484" s="462" t="s">
        <v>489</v>
      </c>
      <c r="G484" s="93"/>
      <c r="H484" s="95">
        <f>H485</f>
        <v>280</v>
      </c>
      <c r="I484" s="95">
        <f>I485</f>
        <v>280</v>
      </c>
      <c r="J484" s="565"/>
      <c r="L484" s="681"/>
    </row>
    <row r="485" spans="1:12" s="566" customFormat="1" ht="25.5">
      <c r="A485" s="369" t="s">
        <v>128</v>
      </c>
      <c r="B485" s="99"/>
      <c r="C485" s="94" t="s">
        <v>47</v>
      </c>
      <c r="D485" s="94" t="s">
        <v>40</v>
      </c>
      <c r="E485" s="466" t="s">
        <v>291</v>
      </c>
      <c r="F485" s="467" t="s">
        <v>489</v>
      </c>
      <c r="G485" s="49" t="s">
        <v>129</v>
      </c>
      <c r="H485" s="103">
        <f>'ПРИЛОЖЕНИЕ № 6 (расх)'!I162</f>
        <v>280</v>
      </c>
      <c r="I485" s="103">
        <v>280</v>
      </c>
      <c r="J485" s="565"/>
      <c r="L485" s="681"/>
    </row>
    <row r="486" spans="1:10" s="566" customFormat="1" ht="54">
      <c r="A486" s="521" t="s">
        <v>519</v>
      </c>
      <c r="B486" s="550"/>
      <c r="C486" s="93" t="s">
        <v>47</v>
      </c>
      <c r="D486" s="93" t="s">
        <v>40</v>
      </c>
      <c r="E486" s="461" t="s">
        <v>291</v>
      </c>
      <c r="F486" s="462" t="s">
        <v>520</v>
      </c>
      <c r="G486" s="93"/>
      <c r="H486" s="95">
        <f>H487</f>
        <v>30</v>
      </c>
      <c r="I486" s="95">
        <f>I487</f>
        <v>30</v>
      </c>
      <c r="J486" s="565"/>
    </row>
    <row r="487" spans="1:10" s="566" customFormat="1" ht="25.5">
      <c r="A487" s="379" t="s">
        <v>130</v>
      </c>
      <c r="B487" s="109">
        <v>503</v>
      </c>
      <c r="C487" s="94" t="s">
        <v>47</v>
      </c>
      <c r="D487" s="94" t="s">
        <v>40</v>
      </c>
      <c r="E487" s="466" t="s">
        <v>291</v>
      </c>
      <c r="F487" s="467" t="s">
        <v>520</v>
      </c>
      <c r="G487" s="94" t="s">
        <v>131</v>
      </c>
      <c r="H487" s="103">
        <f>'ПРИЛОЖЕНИЕ № 6 (расх)'!I164</f>
        <v>30</v>
      </c>
      <c r="I487" s="103">
        <v>30</v>
      </c>
      <c r="J487" s="565"/>
    </row>
    <row r="488" spans="1:13" s="102" customFormat="1" ht="54">
      <c r="A488" s="368" t="s">
        <v>521</v>
      </c>
      <c r="B488" s="564"/>
      <c r="C488" s="93" t="s">
        <v>47</v>
      </c>
      <c r="D488" s="93" t="s">
        <v>40</v>
      </c>
      <c r="E488" s="461" t="s">
        <v>291</v>
      </c>
      <c r="F488" s="462" t="s">
        <v>501</v>
      </c>
      <c r="G488" s="93"/>
      <c r="H488" s="95">
        <f>H489</f>
        <v>40</v>
      </c>
      <c r="I488" s="205"/>
      <c r="J488" s="206"/>
      <c r="K488" s="447"/>
      <c r="L488" s="477"/>
      <c r="M488" s="477"/>
    </row>
    <row r="489" spans="1:11" s="102" customFormat="1" ht="25.5">
      <c r="A489" s="369" t="s">
        <v>128</v>
      </c>
      <c r="B489" s="564"/>
      <c r="C489" s="94" t="s">
        <v>47</v>
      </c>
      <c r="D489" s="94" t="s">
        <v>40</v>
      </c>
      <c r="E489" s="466" t="s">
        <v>291</v>
      </c>
      <c r="F489" s="467" t="s">
        <v>501</v>
      </c>
      <c r="G489" s="94" t="s">
        <v>129</v>
      </c>
      <c r="H489" s="103">
        <f>'ПРИЛОЖЕНИЕ № 6 (расх)'!I166</f>
        <v>40</v>
      </c>
      <c r="I489" s="205"/>
      <c r="J489" s="206"/>
      <c r="K489" s="447"/>
    </row>
    <row r="490" spans="1:12" s="102" customFormat="1" ht="25.5">
      <c r="A490" s="399" t="str">
        <f>'ПРИЛОЖЕНИЕ № 6 (расх)'!A167</f>
        <v>Реализация муниципальной программы "Социальная поддержка отдельных категорий граждан Среднеканского городского округа на 2016-2020 годы"</v>
      </c>
      <c r="B490" s="753"/>
      <c r="C490" s="225" t="s">
        <v>47</v>
      </c>
      <c r="D490" s="225" t="s">
        <v>40</v>
      </c>
      <c r="E490" s="706" t="s">
        <v>293</v>
      </c>
      <c r="F490" s="707" t="s">
        <v>95</v>
      </c>
      <c r="G490" s="225"/>
      <c r="H490" s="327">
        <f>H491+H493</f>
        <v>100</v>
      </c>
      <c r="I490" s="205"/>
      <c r="J490" s="206"/>
      <c r="K490" s="447"/>
      <c r="L490" s="477"/>
    </row>
    <row r="491" spans="1:12" s="102" customFormat="1" ht="40.5">
      <c r="A491" s="347" t="s">
        <v>522</v>
      </c>
      <c r="B491" s="564"/>
      <c r="C491" s="93" t="s">
        <v>47</v>
      </c>
      <c r="D491" s="93" t="s">
        <v>40</v>
      </c>
      <c r="E491" s="461" t="s">
        <v>293</v>
      </c>
      <c r="F491" s="462" t="s">
        <v>489</v>
      </c>
      <c r="G491" s="93"/>
      <c r="H491" s="95">
        <f>H492</f>
        <v>50</v>
      </c>
      <c r="I491" s="95">
        <f>I492</f>
        <v>0</v>
      </c>
      <c r="J491" s="206"/>
      <c r="K491" s="447"/>
      <c r="L491" s="477"/>
    </row>
    <row r="492" spans="1:11" s="102" customFormat="1" ht="25.5">
      <c r="A492" s="379" t="s">
        <v>130</v>
      </c>
      <c r="B492" s="564"/>
      <c r="C492" s="94" t="s">
        <v>47</v>
      </c>
      <c r="D492" s="94" t="s">
        <v>40</v>
      </c>
      <c r="E492" s="691" t="s">
        <v>293</v>
      </c>
      <c r="F492" s="478" t="s">
        <v>489</v>
      </c>
      <c r="G492" s="94" t="s">
        <v>131</v>
      </c>
      <c r="H492" s="103">
        <f>'ПРИЛОЖЕНИЕ № 6 (расх)'!I169</f>
        <v>50</v>
      </c>
      <c r="I492" s="205"/>
      <c r="J492" s="206"/>
      <c r="K492" s="447"/>
    </row>
    <row r="493" spans="1:11" s="101" customFormat="1" ht="40.5">
      <c r="A493" s="347" t="s">
        <v>523</v>
      </c>
      <c r="B493" s="752"/>
      <c r="C493" s="93" t="s">
        <v>47</v>
      </c>
      <c r="D493" s="93" t="s">
        <v>40</v>
      </c>
      <c r="E493" s="461" t="s">
        <v>293</v>
      </c>
      <c r="F493" s="462" t="s">
        <v>520</v>
      </c>
      <c r="G493" s="93"/>
      <c r="H493" s="95">
        <f>H494</f>
        <v>50</v>
      </c>
      <c r="I493" s="569"/>
      <c r="J493" s="751"/>
      <c r="K493" s="629"/>
    </row>
    <row r="494" spans="1:11" s="102" customFormat="1" ht="38.25">
      <c r="A494" s="369" t="s">
        <v>327</v>
      </c>
      <c r="B494" s="564"/>
      <c r="C494" s="94" t="s">
        <v>47</v>
      </c>
      <c r="D494" s="94" t="s">
        <v>40</v>
      </c>
      <c r="E494" s="691" t="s">
        <v>293</v>
      </c>
      <c r="F494" s="478" t="s">
        <v>520</v>
      </c>
      <c r="G494" s="94" t="s">
        <v>84</v>
      </c>
      <c r="H494" s="103">
        <f>'ПРИЛОЖЕНИЕ № 6 (расх)'!I171</f>
        <v>50</v>
      </c>
      <c r="I494" s="205"/>
      <c r="J494" s="206"/>
      <c r="K494" s="447"/>
    </row>
    <row r="495" spans="1:11" s="102" customFormat="1" ht="14.25">
      <c r="A495" s="380" t="s">
        <v>31</v>
      </c>
      <c r="B495" s="479"/>
      <c r="C495" s="81" t="s">
        <v>47</v>
      </c>
      <c r="D495" s="81" t="s">
        <v>43</v>
      </c>
      <c r="E495" s="795"/>
      <c r="F495" s="796"/>
      <c r="G495" s="81"/>
      <c r="H495" s="79">
        <f>H496+H502+H509+H518+H521+H524+H516</f>
        <v>14766.89</v>
      </c>
      <c r="I495" s="205"/>
      <c r="J495" s="206"/>
      <c r="K495" s="447"/>
    </row>
    <row r="496" spans="1:15" s="102" customFormat="1" ht="12.75">
      <c r="A496" s="754" t="s">
        <v>122</v>
      </c>
      <c r="B496" s="479"/>
      <c r="C496" s="186" t="s">
        <v>47</v>
      </c>
      <c r="D496" s="186" t="s">
        <v>43</v>
      </c>
      <c r="E496" s="459" t="s">
        <v>98</v>
      </c>
      <c r="F496" s="460" t="s">
        <v>95</v>
      </c>
      <c r="G496" s="186"/>
      <c r="H496" s="113">
        <f>H497+H499</f>
        <v>8115.59</v>
      </c>
      <c r="I496" s="205"/>
      <c r="J496" s="206"/>
      <c r="K496" s="447"/>
      <c r="M496" s="477"/>
      <c r="O496" s="477"/>
    </row>
    <row r="497" spans="1:15" s="102" customFormat="1" ht="13.5">
      <c r="A497" s="368" t="s">
        <v>473</v>
      </c>
      <c r="B497" s="479"/>
      <c r="C497" s="61" t="s">
        <v>47</v>
      </c>
      <c r="D497" s="61" t="s">
        <v>43</v>
      </c>
      <c r="E497" s="461" t="s">
        <v>98</v>
      </c>
      <c r="F497" s="462" t="s">
        <v>472</v>
      </c>
      <c r="G497" s="61"/>
      <c r="H497" s="84">
        <f>H498</f>
        <v>7685.59</v>
      </c>
      <c r="I497" s="205"/>
      <c r="J497" s="206"/>
      <c r="K497" s="447"/>
      <c r="M497" s="477"/>
      <c r="O497" s="477"/>
    </row>
    <row r="498" spans="1:11" s="102" customFormat="1" ht="12.75">
      <c r="A498" s="369" t="s">
        <v>126</v>
      </c>
      <c r="B498" s="479"/>
      <c r="C498" s="64" t="s">
        <v>47</v>
      </c>
      <c r="D498" s="64" t="s">
        <v>43</v>
      </c>
      <c r="E498" s="466" t="s">
        <v>98</v>
      </c>
      <c r="F498" s="467" t="s">
        <v>472</v>
      </c>
      <c r="G498" s="36" t="s">
        <v>127</v>
      </c>
      <c r="H498" s="103">
        <f>'ПРИЛОЖЕНИЕ № 6 (расх)'!I535</f>
        <v>7685.59</v>
      </c>
      <c r="I498" s="205"/>
      <c r="J498" s="206"/>
      <c r="K498" s="447"/>
    </row>
    <row r="499" spans="1:11" s="102" customFormat="1" ht="13.5">
      <c r="A499" s="368" t="s">
        <v>475</v>
      </c>
      <c r="B499" s="479"/>
      <c r="C499" s="61" t="s">
        <v>47</v>
      </c>
      <c r="D499" s="61" t="s">
        <v>43</v>
      </c>
      <c r="E499" s="461" t="s">
        <v>98</v>
      </c>
      <c r="F499" s="462" t="s">
        <v>476</v>
      </c>
      <c r="G499" s="36"/>
      <c r="H499" s="95">
        <f>SUM(H500:H501)</f>
        <v>430</v>
      </c>
      <c r="I499" s="205"/>
      <c r="J499" s="206"/>
      <c r="K499" s="447"/>
    </row>
    <row r="500" spans="1:11" s="102" customFormat="1" ht="25.5">
      <c r="A500" s="367" t="s">
        <v>128</v>
      </c>
      <c r="B500" s="479"/>
      <c r="C500" s="64" t="s">
        <v>47</v>
      </c>
      <c r="D500" s="64" t="s">
        <v>43</v>
      </c>
      <c r="E500" s="691" t="s">
        <v>98</v>
      </c>
      <c r="F500" s="692" t="s">
        <v>476</v>
      </c>
      <c r="G500" s="36" t="s">
        <v>129</v>
      </c>
      <c r="H500" s="103">
        <f>'ПРИЛОЖЕНИЕ № 6 (расх)'!I537</f>
        <v>300</v>
      </c>
      <c r="I500" s="205"/>
      <c r="J500" s="206"/>
      <c r="K500" s="447"/>
    </row>
    <row r="501" spans="1:11" s="102" customFormat="1" ht="12.75">
      <c r="A501" s="369" t="s">
        <v>76</v>
      </c>
      <c r="B501" s="479"/>
      <c r="C501" s="64" t="s">
        <v>47</v>
      </c>
      <c r="D501" s="64" t="s">
        <v>43</v>
      </c>
      <c r="E501" s="691" t="s">
        <v>98</v>
      </c>
      <c r="F501" s="692" t="s">
        <v>476</v>
      </c>
      <c r="G501" s="36" t="s">
        <v>77</v>
      </c>
      <c r="H501" s="103">
        <f>'ПРИЛОЖЕНИЕ № 6 (расх)'!I538</f>
        <v>130</v>
      </c>
      <c r="I501" s="205"/>
      <c r="J501" s="206"/>
      <c r="K501" s="447"/>
    </row>
    <row r="502" spans="1:14" s="90" customFormat="1" ht="12.75">
      <c r="A502" s="754" t="s">
        <v>223</v>
      </c>
      <c r="B502" s="479"/>
      <c r="C502" s="171" t="s">
        <v>47</v>
      </c>
      <c r="D502" s="171" t="s">
        <v>43</v>
      </c>
      <c r="E502" s="459" t="s">
        <v>224</v>
      </c>
      <c r="F502" s="460" t="s">
        <v>95</v>
      </c>
      <c r="G502" s="171"/>
      <c r="H502" s="493">
        <f>H503+H505</f>
        <v>3323.6499999999996</v>
      </c>
      <c r="I502" s="103"/>
      <c r="J502" s="92"/>
      <c r="K502" s="432"/>
      <c r="L502" s="168"/>
      <c r="M502" s="82"/>
      <c r="N502" s="82"/>
    </row>
    <row r="503" spans="1:14" s="90" customFormat="1" ht="31.5" customHeight="1">
      <c r="A503" s="368" t="s">
        <v>477</v>
      </c>
      <c r="B503" s="479"/>
      <c r="C503" s="48" t="s">
        <v>47</v>
      </c>
      <c r="D503" s="48" t="s">
        <v>43</v>
      </c>
      <c r="E503" s="461" t="s">
        <v>224</v>
      </c>
      <c r="F503" s="462" t="s">
        <v>472</v>
      </c>
      <c r="G503" s="48"/>
      <c r="H503" s="45">
        <f>H504</f>
        <v>1884.05</v>
      </c>
      <c r="I503" s="103"/>
      <c r="J503" s="92"/>
      <c r="K503" s="432"/>
      <c r="L503" s="168"/>
      <c r="M503" s="82"/>
      <c r="N503" s="82"/>
    </row>
    <row r="504" spans="1:14" s="90" customFormat="1" ht="13.5">
      <c r="A504" s="369" t="s">
        <v>126</v>
      </c>
      <c r="B504" s="479"/>
      <c r="C504" s="49" t="s">
        <v>47</v>
      </c>
      <c r="D504" s="49" t="s">
        <v>43</v>
      </c>
      <c r="E504" s="466" t="s">
        <v>224</v>
      </c>
      <c r="F504" s="467" t="s">
        <v>472</v>
      </c>
      <c r="G504" s="49" t="s">
        <v>127</v>
      </c>
      <c r="H504" s="46">
        <f>'ПРИЛОЖЕНИЕ № 6 (расх)'!I541</f>
        <v>1884.05</v>
      </c>
      <c r="I504" s="95">
        <v>50.4</v>
      </c>
      <c r="J504" s="92"/>
      <c r="K504" s="82"/>
      <c r="L504" s="168"/>
      <c r="M504" s="82"/>
      <c r="N504" s="82"/>
    </row>
    <row r="505" spans="1:14" s="90" customFormat="1" ht="27">
      <c r="A505" s="368" t="s">
        <v>478</v>
      </c>
      <c r="B505" s="479"/>
      <c r="C505" s="48" t="s">
        <v>47</v>
      </c>
      <c r="D505" s="48" t="s">
        <v>43</v>
      </c>
      <c r="E505" s="461" t="s">
        <v>224</v>
      </c>
      <c r="F505" s="462" t="s">
        <v>476</v>
      </c>
      <c r="G505" s="49"/>
      <c r="H505" s="45">
        <f>SUM(H506:H508)</f>
        <v>1439.6</v>
      </c>
      <c r="I505" s="95"/>
      <c r="J505" s="92"/>
      <c r="K505" s="82"/>
      <c r="L505" s="168"/>
      <c r="M505" s="82"/>
      <c r="N505" s="82"/>
    </row>
    <row r="506" spans="1:14" s="90" customFormat="1" ht="25.5">
      <c r="A506" s="369" t="s">
        <v>128</v>
      </c>
      <c r="B506" s="479"/>
      <c r="C506" s="49" t="s">
        <v>47</v>
      </c>
      <c r="D506" s="49" t="s">
        <v>43</v>
      </c>
      <c r="E506" s="466" t="s">
        <v>224</v>
      </c>
      <c r="F506" s="467" t="s">
        <v>476</v>
      </c>
      <c r="G506" s="49" t="s">
        <v>129</v>
      </c>
      <c r="H506" s="46">
        <f>'ПРИЛОЖЕНИЕ № 6 (расх)'!I543</f>
        <v>959.6</v>
      </c>
      <c r="I506" s="95"/>
      <c r="J506" s="92"/>
      <c r="K506" s="432"/>
      <c r="L506" s="168"/>
      <c r="M506" s="82"/>
      <c r="N506" s="82"/>
    </row>
    <row r="507" spans="1:14" s="90" customFormat="1" ht="25.5">
      <c r="A507" s="369" t="s">
        <v>324</v>
      </c>
      <c r="B507" s="479"/>
      <c r="C507" s="49" t="s">
        <v>47</v>
      </c>
      <c r="D507" s="49" t="s">
        <v>43</v>
      </c>
      <c r="E507" s="466" t="s">
        <v>224</v>
      </c>
      <c r="F507" s="467" t="s">
        <v>476</v>
      </c>
      <c r="G507" s="49" t="s">
        <v>131</v>
      </c>
      <c r="H507" s="46">
        <f>'ПРИЛОЖЕНИЕ № 6 (расх)'!I544</f>
        <v>430</v>
      </c>
      <c r="I507" s="95"/>
      <c r="J507" s="92"/>
      <c r="K507" s="82"/>
      <c r="L507" s="168"/>
      <c r="M507" s="82"/>
      <c r="N507" s="82"/>
    </row>
    <row r="508" spans="1:14" s="90" customFormat="1" ht="13.5">
      <c r="A508" s="369" t="s">
        <v>76</v>
      </c>
      <c r="B508" s="479"/>
      <c r="C508" s="64" t="s">
        <v>47</v>
      </c>
      <c r="D508" s="64" t="s">
        <v>43</v>
      </c>
      <c r="E508" s="466" t="s">
        <v>224</v>
      </c>
      <c r="F508" s="467" t="s">
        <v>476</v>
      </c>
      <c r="G508" s="36" t="s">
        <v>77</v>
      </c>
      <c r="H508" s="72">
        <f>'ПРИЛОЖЕНИЕ № 6 (расх)'!I545</f>
        <v>50</v>
      </c>
      <c r="I508" s="32">
        <f>I514</f>
        <v>144.9</v>
      </c>
      <c r="J508" s="92"/>
      <c r="K508" s="432"/>
      <c r="L508" s="168"/>
      <c r="M508" s="82"/>
      <c r="N508" s="82"/>
    </row>
    <row r="509" spans="1:14" s="90" customFormat="1" ht="27">
      <c r="A509" s="387" t="s">
        <v>268</v>
      </c>
      <c r="B509" s="673"/>
      <c r="C509" s="225" t="s">
        <v>47</v>
      </c>
      <c r="D509" s="225" t="s">
        <v>43</v>
      </c>
      <c r="E509" s="706" t="s">
        <v>307</v>
      </c>
      <c r="F509" s="707" t="s">
        <v>95</v>
      </c>
      <c r="G509" s="225"/>
      <c r="H509" s="327">
        <f>H510+H512+H514</f>
        <v>108.75</v>
      </c>
      <c r="I509" s="95" t="e">
        <f>I514+#REF!</f>
        <v>#REF!</v>
      </c>
      <c r="J509" s="92">
        <v>63</v>
      </c>
      <c r="K509" s="432"/>
      <c r="L509" s="537"/>
      <c r="M509" s="82"/>
      <c r="N509" s="82"/>
    </row>
    <row r="510" spans="1:14" s="90" customFormat="1" ht="40.5">
      <c r="A510" s="394" t="s">
        <v>439</v>
      </c>
      <c r="B510" s="673"/>
      <c r="C510" s="93" t="s">
        <v>47</v>
      </c>
      <c r="D510" s="93" t="s">
        <v>43</v>
      </c>
      <c r="E510" s="690" t="s">
        <v>440</v>
      </c>
      <c r="F510" s="462" t="s">
        <v>489</v>
      </c>
      <c r="G510" s="93"/>
      <c r="H510" s="95">
        <f>H511</f>
        <v>25.75</v>
      </c>
      <c r="I510" s="95">
        <f>I511</f>
        <v>25.75</v>
      </c>
      <c r="J510" s="92">
        <v>25.75</v>
      </c>
      <c r="K510" s="432"/>
      <c r="L510" s="168"/>
      <c r="M510" s="82"/>
      <c r="N510" s="82"/>
    </row>
    <row r="511" spans="1:14" s="90" customFormat="1" ht="25.5">
      <c r="A511" s="369" t="s">
        <v>128</v>
      </c>
      <c r="B511" s="673"/>
      <c r="C511" s="94" t="s">
        <v>47</v>
      </c>
      <c r="D511" s="94" t="s">
        <v>43</v>
      </c>
      <c r="E511" s="691" t="s">
        <v>440</v>
      </c>
      <c r="F511" s="467" t="s">
        <v>489</v>
      </c>
      <c r="G511" s="94" t="s">
        <v>129</v>
      </c>
      <c r="H511" s="103">
        <f>'ПРИЛОЖЕНИЕ № 6 (расх)'!I548</f>
        <v>25.75</v>
      </c>
      <c r="I511" s="103">
        <f>51.5/2</f>
        <v>25.75</v>
      </c>
      <c r="J511" s="92">
        <v>25.75</v>
      </c>
      <c r="K511" s="432"/>
      <c r="L511" s="168"/>
      <c r="M511" s="82"/>
      <c r="N511" s="82"/>
    </row>
    <row r="512" spans="1:14" s="90" customFormat="1" ht="27">
      <c r="A512" s="394" t="s">
        <v>438</v>
      </c>
      <c r="B512" s="673"/>
      <c r="C512" s="93" t="s">
        <v>47</v>
      </c>
      <c r="D512" s="93" t="s">
        <v>43</v>
      </c>
      <c r="E512" s="690" t="s">
        <v>437</v>
      </c>
      <c r="F512" s="462" t="s">
        <v>489</v>
      </c>
      <c r="G512" s="94"/>
      <c r="H512" s="95">
        <f>H513</f>
        <v>20</v>
      </c>
      <c r="I512" s="103">
        <f>I513</f>
        <v>20</v>
      </c>
      <c r="J512" s="92"/>
      <c r="K512" s="432"/>
      <c r="L512" s="168"/>
      <c r="M512" s="82"/>
      <c r="N512" s="82"/>
    </row>
    <row r="513" spans="1:14" s="90" customFormat="1" ht="25.5">
      <c r="A513" s="369" t="s">
        <v>128</v>
      </c>
      <c r="B513" s="673"/>
      <c r="C513" s="94" t="s">
        <v>47</v>
      </c>
      <c r="D513" s="94" t="s">
        <v>43</v>
      </c>
      <c r="E513" s="691" t="s">
        <v>437</v>
      </c>
      <c r="F513" s="467" t="s">
        <v>489</v>
      </c>
      <c r="G513" s="94" t="s">
        <v>129</v>
      </c>
      <c r="H513" s="103">
        <f>'ПРИЛОЖЕНИЕ № 6 (расх)'!I550</f>
        <v>20</v>
      </c>
      <c r="I513" s="103">
        <v>20</v>
      </c>
      <c r="J513" s="92"/>
      <c r="K513" s="432"/>
      <c r="L513" s="168"/>
      <c r="M513" s="82"/>
      <c r="N513" s="82"/>
    </row>
    <row r="514" spans="1:14" s="90" customFormat="1" ht="25.5">
      <c r="A514" s="524" t="s">
        <v>272</v>
      </c>
      <c r="B514" s="658"/>
      <c r="C514" s="225" t="s">
        <v>47</v>
      </c>
      <c r="D514" s="225" t="s">
        <v>43</v>
      </c>
      <c r="E514" s="706" t="s">
        <v>237</v>
      </c>
      <c r="F514" s="462" t="s">
        <v>489</v>
      </c>
      <c r="G514" s="225"/>
      <c r="H514" s="327">
        <f>H515</f>
        <v>63</v>
      </c>
      <c r="I514" s="37">
        <v>144.9</v>
      </c>
      <c r="J514" s="92"/>
      <c r="K514" s="82"/>
      <c r="L514" s="168"/>
      <c r="M514" s="82"/>
      <c r="N514" s="82"/>
    </row>
    <row r="515" spans="1:14" s="90" customFormat="1" ht="13.5">
      <c r="A515" s="369" t="str">
        <f>'ПРИЛОЖЕНИЕ № 6 (расх)'!A552</f>
        <v>Стипендии</v>
      </c>
      <c r="B515" s="658"/>
      <c r="C515" s="94" t="s">
        <v>47</v>
      </c>
      <c r="D515" s="94" t="s">
        <v>43</v>
      </c>
      <c r="E515" s="693" t="s">
        <v>237</v>
      </c>
      <c r="F515" s="467" t="s">
        <v>489</v>
      </c>
      <c r="G515" s="94" t="s">
        <v>411</v>
      </c>
      <c r="H515" s="103">
        <f>'ПРИЛОЖЕНИЕ № 6 (расх)'!I552</f>
        <v>63</v>
      </c>
      <c r="I515" s="84" t="e">
        <f>#REF!</f>
        <v>#REF!</v>
      </c>
      <c r="J515" s="92"/>
      <c r="K515" s="432"/>
      <c r="L515" s="168"/>
      <c r="M515" s="82"/>
      <c r="N515" s="82"/>
    </row>
    <row r="516" spans="1:14" s="90" customFormat="1" ht="54">
      <c r="A516" s="372" t="s">
        <v>315</v>
      </c>
      <c r="B516" s="658"/>
      <c r="C516" s="93" t="s">
        <v>47</v>
      </c>
      <c r="D516" s="93" t="s">
        <v>43</v>
      </c>
      <c r="E516" s="690" t="s">
        <v>298</v>
      </c>
      <c r="F516" s="462" t="s">
        <v>489</v>
      </c>
      <c r="G516" s="93"/>
      <c r="H516" s="95">
        <f>H517</f>
        <v>5</v>
      </c>
      <c r="I516" s="95">
        <f>I517</f>
        <v>0</v>
      </c>
      <c r="J516" s="92"/>
      <c r="K516" s="82"/>
      <c r="L516" s="537"/>
      <c r="M516" s="82"/>
      <c r="N516" s="82"/>
    </row>
    <row r="517" spans="1:14" s="90" customFormat="1" ht="25.5">
      <c r="A517" s="369" t="s">
        <v>128</v>
      </c>
      <c r="B517" s="658"/>
      <c r="C517" s="94" t="s">
        <v>47</v>
      </c>
      <c r="D517" s="94" t="s">
        <v>43</v>
      </c>
      <c r="E517" s="691" t="s">
        <v>298</v>
      </c>
      <c r="F517" s="467" t="s">
        <v>489</v>
      </c>
      <c r="G517" s="94" t="s">
        <v>129</v>
      </c>
      <c r="H517" s="103">
        <f>'ПРИЛОЖЕНИЕ № 6 (расх)'!I554</f>
        <v>5</v>
      </c>
      <c r="I517" s="72"/>
      <c r="J517" s="92"/>
      <c r="K517" s="82"/>
      <c r="L517" s="168"/>
      <c r="M517" s="82"/>
      <c r="N517" s="82"/>
    </row>
    <row r="518" spans="1:14" s="102" customFormat="1" ht="76.5">
      <c r="A518" s="373" t="s">
        <v>170</v>
      </c>
      <c r="B518" s="659"/>
      <c r="C518" s="225" t="s">
        <v>47</v>
      </c>
      <c r="D518" s="225" t="s">
        <v>43</v>
      </c>
      <c r="E518" s="719" t="s">
        <v>95</v>
      </c>
      <c r="F518" s="718" t="s">
        <v>155</v>
      </c>
      <c r="G518" s="186"/>
      <c r="H518" s="113">
        <f>H519</f>
        <v>40.9</v>
      </c>
      <c r="I518" s="103"/>
      <c r="J518" s="206"/>
      <c r="K518" s="447"/>
      <c r="L518" s="447"/>
      <c r="M518" s="447"/>
      <c r="N518" s="447"/>
    </row>
    <row r="519" spans="1:14" s="90" customFormat="1" ht="40.5">
      <c r="A519" s="387" t="s">
        <v>83</v>
      </c>
      <c r="B519" s="658"/>
      <c r="C519" s="93" t="s">
        <v>47</v>
      </c>
      <c r="D519" s="93" t="s">
        <v>43</v>
      </c>
      <c r="E519" s="690" t="str">
        <f>'ПРИЛОЖЕНИЕ № 6 (расх)'!E556</f>
        <v>002У4</v>
      </c>
      <c r="F519" s="689" t="s">
        <v>155</v>
      </c>
      <c r="G519" s="93"/>
      <c r="H519" s="95">
        <f>H520</f>
        <v>40.9</v>
      </c>
      <c r="I519" s="72"/>
      <c r="J519" s="92"/>
      <c r="K519" s="432"/>
      <c r="L519" s="168"/>
      <c r="M519" s="82"/>
      <c r="N519" s="82"/>
    </row>
    <row r="520" spans="1:14" s="90" customFormat="1" ht="13.5">
      <c r="A520" s="381" t="s">
        <v>126</v>
      </c>
      <c r="B520" s="658"/>
      <c r="C520" s="94" t="s">
        <v>47</v>
      </c>
      <c r="D520" s="94" t="s">
        <v>43</v>
      </c>
      <c r="E520" s="693" t="str">
        <f>'ПРИЛОЖЕНИЕ № 6 (расх)'!E557</f>
        <v>002У4</v>
      </c>
      <c r="F520" s="694" t="s">
        <v>155</v>
      </c>
      <c r="G520" s="64" t="s">
        <v>127</v>
      </c>
      <c r="H520" s="72">
        <f>'ПРИЛОЖЕНИЕ № 6 (расх)'!I557</f>
        <v>40.9</v>
      </c>
      <c r="I520" s="95">
        <f>I521</f>
        <v>0</v>
      </c>
      <c r="J520" s="92"/>
      <c r="K520" s="82"/>
      <c r="L520" s="168"/>
      <c r="M520" s="82"/>
      <c r="N520" s="82"/>
    </row>
    <row r="521" spans="1:14" s="90" customFormat="1" ht="27">
      <c r="A521" s="657" t="s">
        <v>145</v>
      </c>
      <c r="B521" s="48" t="s">
        <v>116</v>
      </c>
      <c r="C521" s="93" t="s">
        <v>47</v>
      </c>
      <c r="D521" s="93" t="s">
        <v>43</v>
      </c>
      <c r="E521" s="690" t="s">
        <v>146</v>
      </c>
      <c r="F521" s="689" t="s">
        <v>147</v>
      </c>
      <c r="G521" s="93"/>
      <c r="H521" s="95">
        <f>SUM(H522:H523)</f>
        <v>3023</v>
      </c>
      <c r="I521" s="103"/>
      <c r="J521" s="92"/>
      <c r="K521" s="82"/>
      <c r="L521" s="168"/>
      <c r="M521" s="82"/>
      <c r="N521" s="82"/>
    </row>
    <row r="522" spans="1:11" s="29" customFormat="1" ht="14.25">
      <c r="A522" s="247" t="s">
        <v>126</v>
      </c>
      <c r="B522" s="49" t="s">
        <v>116</v>
      </c>
      <c r="C522" s="94" t="s">
        <v>47</v>
      </c>
      <c r="D522" s="94" t="s">
        <v>43</v>
      </c>
      <c r="E522" s="693" t="s">
        <v>146</v>
      </c>
      <c r="F522" s="694" t="s">
        <v>147</v>
      </c>
      <c r="G522" s="49" t="s">
        <v>127</v>
      </c>
      <c r="H522" s="103">
        <f>'ПРИЛОЖЕНИЕ № 6 (расх)'!I174+'ПРИЛОЖЕНИЕ № 6 (расх)'!I559</f>
        <v>2380</v>
      </c>
      <c r="I522" s="68" t="e">
        <f>I523</f>
        <v>#REF!</v>
      </c>
      <c r="J522" s="77" t="e">
        <f>I522/H527</f>
        <v>#REF!</v>
      </c>
      <c r="K522" s="24"/>
    </row>
    <row r="523" spans="1:11" s="83" customFormat="1" ht="25.5">
      <c r="A523" s="247" t="s">
        <v>128</v>
      </c>
      <c r="B523" s="49" t="s">
        <v>116</v>
      </c>
      <c r="C523" s="94" t="s">
        <v>47</v>
      </c>
      <c r="D523" s="94" t="s">
        <v>43</v>
      </c>
      <c r="E523" s="693" t="s">
        <v>146</v>
      </c>
      <c r="F523" s="694" t="s">
        <v>147</v>
      </c>
      <c r="G523" s="49" t="s">
        <v>129</v>
      </c>
      <c r="H523" s="103">
        <f>'ПРИЛОЖЕНИЕ № 6 (расх)'!I175+'ПРИЛОЖЕНИЕ № 6 (расх)'!I560</f>
        <v>643</v>
      </c>
      <c r="I523" s="73" t="e">
        <f>#REF!+#REF!+#REF!</f>
        <v>#REF!</v>
      </c>
      <c r="J523" s="74" t="e">
        <f>I523/H528</f>
        <v>#REF!</v>
      </c>
      <c r="K523" s="179"/>
    </row>
    <row r="524" spans="1:11" s="29" customFormat="1" ht="63.75">
      <c r="A524" s="396" t="s">
        <v>90</v>
      </c>
      <c r="B524" s="659"/>
      <c r="C524" s="225" t="s">
        <v>47</v>
      </c>
      <c r="D524" s="225" t="s">
        <v>43</v>
      </c>
      <c r="E524" s="704" t="s">
        <v>95</v>
      </c>
      <c r="F524" s="705" t="s">
        <v>159</v>
      </c>
      <c r="G524" s="186"/>
      <c r="H524" s="113">
        <f>H525</f>
        <v>150</v>
      </c>
      <c r="I524" s="84">
        <f>SUM(I525:I527)</f>
        <v>0</v>
      </c>
      <c r="J524" s="85"/>
      <c r="K524" s="24"/>
    </row>
    <row r="525" spans="1:11" s="29" customFormat="1" ht="40.5">
      <c r="A525" s="391" t="s">
        <v>243</v>
      </c>
      <c r="B525" s="658"/>
      <c r="C525" s="93" t="s">
        <v>47</v>
      </c>
      <c r="D525" s="93" t="s">
        <v>43</v>
      </c>
      <c r="E525" s="695" t="str">
        <f>'ПРИЛОЖЕНИЕ № 6 (расх)'!E562</f>
        <v>002У4</v>
      </c>
      <c r="F525" s="696" t="s">
        <v>159</v>
      </c>
      <c r="G525" s="93"/>
      <c r="H525" s="95">
        <f>H526</f>
        <v>150</v>
      </c>
      <c r="I525" s="71"/>
      <c r="J525" s="85"/>
      <c r="K525" s="24"/>
    </row>
    <row r="526" spans="1:11" s="29" customFormat="1" ht="14.25" thickBot="1">
      <c r="A526" s="381" t="s">
        <v>126</v>
      </c>
      <c r="B526" s="658"/>
      <c r="C526" s="440" t="s">
        <v>47</v>
      </c>
      <c r="D526" s="440" t="s">
        <v>43</v>
      </c>
      <c r="E526" s="720" t="str">
        <f>'ПРИЛОЖЕНИЕ № 6 (расх)'!E563</f>
        <v>002У4</v>
      </c>
      <c r="F526" s="721" t="s">
        <v>159</v>
      </c>
      <c r="G526" s="440" t="s">
        <v>127</v>
      </c>
      <c r="H526" s="660">
        <f>'ПРИЛОЖЕНИЕ № 6 (расх)'!I563</f>
        <v>150</v>
      </c>
      <c r="I526" s="71"/>
      <c r="J526" s="85"/>
      <c r="K526" s="24"/>
    </row>
    <row r="527" spans="1:11" s="29" customFormat="1" ht="14.25">
      <c r="A527" s="376" t="s">
        <v>57</v>
      </c>
      <c r="B527" s="446" t="s">
        <v>0</v>
      </c>
      <c r="C527" s="210" t="s">
        <v>46</v>
      </c>
      <c r="D527" s="210"/>
      <c r="E527" s="800"/>
      <c r="F527" s="801"/>
      <c r="G527" s="210"/>
      <c r="H527" s="325">
        <f>H528</f>
        <v>16725.379999999997</v>
      </c>
      <c r="I527" s="71"/>
      <c r="J527" s="85"/>
      <c r="K527" s="24"/>
    </row>
    <row r="528" spans="1:13" s="29" customFormat="1" ht="13.5">
      <c r="A528" s="89" t="s">
        <v>58</v>
      </c>
      <c r="B528" s="69" t="s">
        <v>0</v>
      </c>
      <c r="C528" s="70" t="s">
        <v>46</v>
      </c>
      <c r="D528" s="70" t="s">
        <v>39</v>
      </c>
      <c r="E528" s="795"/>
      <c r="F528" s="796"/>
      <c r="G528" s="70"/>
      <c r="H528" s="73">
        <f>H529+H535+H539+H541</f>
        <v>16725.379999999997</v>
      </c>
      <c r="I528" s="327">
        <f>I531</f>
        <v>59.7</v>
      </c>
      <c r="J528" s="207"/>
      <c r="K528" s="24"/>
      <c r="L528" s="430"/>
      <c r="M528" s="430"/>
    </row>
    <row r="529" spans="1:11" s="29" customFormat="1" ht="13.5">
      <c r="A529" s="239" t="s">
        <v>200</v>
      </c>
      <c r="B529" s="76"/>
      <c r="C529" s="61" t="s">
        <v>46</v>
      </c>
      <c r="D529" s="61" t="s">
        <v>39</v>
      </c>
      <c r="E529" s="690" t="s">
        <v>199</v>
      </c>
      <c r="F529" s="689" t="s">
        <v>95</v>
      </c>
      <c r="G529" s="61"/>
      <c r="H529" s="84">
        <f>H530+H532</f>
        <v>15914.38</v>
      </c>
      <c r="I529" s="327"/>
      <c r="J529" s="207"/>
      <c r="K529" s="24"/>
    </row>
    <row r="530" spans="1:11" s="29" customFormat="1" ht="13.5">
      <c r="A530" s="368" t="s">
        <v>558</v>
      </c>
      <c r="B530" s="76"/>
      <c r="C530" s="61" t="s">
        <v>46</v>
      </c>
      <c r="D530" s="61" t="s">
        <v>39</v>
      </c>
      <c r="E530" s="461" t="s">
        <v>199</v>
      </c>
      <c r="F530" s="462" t="s">
        <v>472</v>
      </c>
      <c r="G530" s="61"/>
      <c r="H530" s="84">
        <f>H531</f>
        <v>8477.859999999999</v>
      </c>
      <c r="I530" s="327"/>
      <c r="J530" s="207"/>
      <c r="K530" s="24"/>
    </row>
    <row r="531" spans="1:11" s="29" customFormat="1" ht="13.5">
      <c r="A531" s="379" t="s">
        <v>183</v>
      </c>
      <c r="B531" s="76"/>
      <c r="C531" s="110" t="s">
        <v>46</v>
      </c>
      <c r="D531" s="110" t="s">
        <v>39</v>
      </c>
      <c r="E531" s="466" t="s">
        <v>199</v>
      </c>
      <c r="F531" s="467" t="s">
        <v>472</v>
      </c>
      <c r="G531" s="94" t="s">
        <v>184</v>
      </c>
      <c r="H531" s="72">
        <f>'ПРИЛОЖЕНИЕ № 6 (расх)'!I584</f>
        <v>8477.859999999999</v>
      </c>
      <c r="I531" s="103">
        <f>'[1]707'!$F$56/1000</f>
        <v>59.7</v>
      </c>
      <c r="J531" s="207"/>
      <c r="K531" s="24"/>
    </row>
    <row r="532" spans="1:11" s="29" customFormat="1" ht="14.25" thickBot="1">
      <c r="A532" s="368" t="s">
        <v>559</v>
      </c>
      <c r="B532" s="76"/>
      <c r="C532" s="61" t="s">
        <v>46</v>
      </c>
      <c r="D532" s="61" t="s">
        <v>39</v>
      </c>
      <c r="E532" s="461" t="s">
        <v>199</v>
      </c>
      <c r="F532" s="462" t="s">
        <v>476</v>
      </c>
      <c r="G532" s="94"/>
      <c r="H532" s="84">
        <f>SUM(H533:H534)</f>
        <v>7436.52</v>
      </c>
      <c r="I532" s="238"/>
      <c r="J532" s="207"/>
      <c r="K532" s="24"/>
    </row>
    <row r="533" spans="1:10" s="90" customFormat="1" ht="26.25" thickBot="1">
      <c r="A533" s="243" t="s">
        <v>128</v>
      </c>
      <c r="B533" s="76"/>
      <c r="C533" s="110" t="s">
        <v>46</v>
      </c>
      <c r="D533" s="110" t="s">
        <v>39</v>
      </c>
      <c r="E533" s="466" t="s">
        <v>199</v>
      </c>
      <c r="F533" s="467" t="s">
        <v>476</v>
      </c>
      <c r="G533" s="94" t="s">
        <v>129</v>
      </c>
      <c r="H533" s="72">
        <f>'ПРИЛОЖЕНИЕ № 6 (расх)'!I586</f>
        <v>7248.02</v>
      </c>
      <c r="I533" s="438" t="e">
        <f>#REF!</f>
        <v>#REF!</v>
      </c>
      <c r="J533" s="184" t="e">
        <f>I533/H543</f>
        <v>#REF!</v>
      </c>
    </row>
    <row r="534" spans="1:10" s="90" customFormat="1" ht="14.25">
      <c r="A534" s="243" t="s">
        <v>76</v>
      </c>
      <c r="B534" s="76"/>
      <c r="C534" s="110" t="s">
        <v>46</v>
      </c>
      <c r="D534" s="110" t="s">
        <v>39</v>
      </c>
      <c r="E534" s="466" t="s">
        <v>199</v>
      </c>
      <c r="F534" s="467" t="s">
        <v>476</v>
      </c>
      <c r="G534" s="94" t="s">
        <v>77</v>
      </c>
      <c r="H534" s="72">
        <f>'ПРИЛОЖЕНИЕ № 6 (расх)'!I587</f>
        <v>188.5</v>
      </c>
      <c r="I534" s="188"/>
      <c r="J534" s="189"/>
    </row>
    <row r="535" spans="1:10" s="90" customFormat="1" ht="25.5">
      <c r="A535" s="399" t="s">
        <v>335</v>
      </c>
      <c r="B535" s="545"/>
      <c r="C535" s="225" t="s">
        <v>46</v>
      </c>
      <c r="D535" s="225" t="s">
        <v>39</v>
      </c>
      <c r="E535" s="463" t="s">
        <v>336</v>
      </c>
      <c r="F535" s="203" t="s">
        <v>95</v>
      </c>
      <c r="G535" s="225"/>
      <c r="H535" s="327">
        <f>H536</f>
        <v>450</v>
      </c>
      <c r="I535" s="188"/>
      <c r="J535" s="189"/>
    </row>
    <row r="536" spans="1:10" s="88" customFormat="1" ht="40.5">
      <c r="A536" s="347" t="s">
        <v>561</v>
      </c>
      <c r="B536" s="545"/>
      <c r="C536" s="93" t="s">
        <v>46</v>
      </c>
      <c r="D536" s="93" t="s">
        <v>39</v>
      </c>
      <c r="E536" s="464" t="s">
        <v>336</v>
      </c>
      <c r="F536" s="465" t="s">
        <v>560</v>
      </c>
      <c r="G536" s="93"/>
      <c r="H536" s="95">
        <f>SUM(H537:H538)</f>
        <v>450</v>
      </c>
      <c r="I536" s="767"/>
      <c r="J536" s="768"/>
    </row>
    <row r="537" spans="1:10" s="90" customFormat="1" ht="25.5">
      <c r="A537" s="379" t="s">
        <v>406</v>
      </c>
      <c r="B537" s="545"/>
      <c r="C537" s="94" t="s">
        <v>46</v>
      </c>
      <c r="D537" s="94" t="s">
        <v>39</v>
      </c>
      <c r="E537" s="466" t="s">
        <v>336</v>
      </c>
      <c r="F537" s="467" t="s">
        <v>560</v>
      </c>
      <c r="G537" s="94" t="s">
        <v>184</v>
      </c>
      <c r="H537" s="103">
        <f>'ПРИЛОЖЕНИЕ № 6 (расх)'!I594</f>
        <v>350</v>
      </c>
      <c r="I537" s="72"/>
      <c r="J537" s="189"/>
    </row>
    <row r="538" spans="1:10" s="90" customFormat="1" ht="25.5">
      <c r="A538" s="369" t="s">
        <v>128</v>
      </c>
      <c r="B538" s="545"/>
      <c r="C538" s="94" t="s">
        <v>46</v>
      </c>
      <c r="D538" s="94" t="s">
        <v>39</v>
      </c>
      <c r="E538" s="466" t="s">
        <v>336</v>
      </c>
      <c r="F538" s="467" t="s">
        <v>560</v>
      </c>
      <c r="G538" s="94" t="s">
        <v>129</v>
      </c>
      <c r="H538" s="103">
        <f>'ПРИЛОЖЕНИЕ № 6 (расх)'!I595</f>
        <v>100</v>
      </c>
      <c r="I538" s="72"/>
      <c r="J538" s="189"/>
    </row>
    <row r="539" spans="1:10" s="90" customFormat="1" ht="40.5">
      <c r="A539" s="347" t="s">
        <v>204</v>
      </c>
      <c r="B539" s="545"/>
      <c r="C539" s="93" t="s">
        <v>46</v>
      </c>
      <c r="D539" s="93" t="s">
        <v>39</v>
      </c>
      <c r="E539" s="690" t="s">
        <v>199</v>
      </c>
      <c r="F539" s="689" t="s">
        <v>153</v>
      </c>
      <c r="G539" s="93"/>
      <c r="H539" s="95">
        <f>H540</f>
        <v>95</v>
      </c>
      <c r="I539" s="95">
        <f>I540</f>
        <v>95</v>
      </c>
      <c r="J539" s="189"/>
    </row>
    <row r="540" spans="1:10" s="90" customFormat="1" ht="14.25">
      <c r="A540" s="379" t="s">
        <v>183</v>
      </c>
      <c r="B540" s="545"/>
      <c r="C540" s="110" t="s">
        <v>46</v>
      </c>
      <c r="D540" s="110" t="s">
        <v>39</v>
      </c>
      <c r="E540" s="691" t="s">
        <v>199</v>
      </c>
      <c r="F540" s="692" t="s">
        <v>153</v>
      </c>
      <c r="G540" s="94" t="s">
        <v>184</v>
      </c>
      <c r="H540" s="105">
        <f>'ПРИЛОЖЕНИЕ № 6 (расх)'!I589</f>
        <v>95</v>
      </c>
      <c r="I540" s="103">
        <f>73+22</f>
        <v>95</v>
      </c>
      <c r="J540" s="189"/>
    </row>
    <row r="541" spans="1:10" s="90" customFormat="1" ht="40.5">
      <c r="A541" s="387" t="s">
        <v>203</v>
      </c>
      <c r="B541" s="545"/>
      <c r="C541" s="93" t="s">
        <v>46</v>
      </c>
      <c r="D541" s="93" t="s">
        <v>39</v>
      </c>
      <c r="E541" s="690" t="s">
        <v>199</v>
      </c>
      <c r="F541" s="689" t="s">
        <v>155</v>
      </c>
      <c r="G541" s="93"/>
      <c r="H541" s="95">
        <f>H542</f>
        <v>266</v>
      </c>
      <c r="I541" s="95">
        <f>I542</f>
        <v>266</v>
      </c>
      <c r="J541" s="189"/>
    </row>
    <row r="542" spans="1:10" s="90" customFormat="1" ht="15" thickBot="1">
      <c r="A542" s="379" t="s">
        <v>183</v>
      </c>
      <c r="B542" s="545"/>
      <c r="C542" s="94" t="s">
        <v>46</v>
      </c>
      <c r="D542" s="94" t="s">
        <v>39</v>
      </c>
      <c r="E542" s="691" t="s">
        <v>199</v>
      </c>
      <c r="F542" s="692" t="s">
        <v>155</v>
      </c>
      <c r="G542" s="94" t="s">
        <v>184</v>
      </c>
      <c r="H542" s="103">
        <f>'ПРИЛОЖЕНИЕ № 6 (расх)'!I591</f>
        <v>266</v>
      </c>
      <c r="I542" s="103">
        <f>204.3+61.7</f>
        <v>266</v>
      </c>
      <c r="J542" s="189"/>
    </row>
    <row r="543" spans="1:10" s="90" customFormat="1" ht="15" thickBot="1">
      <c r="A543" s="445" t="s">
        <v>56</v>
      </c>
      <c r="B543" s="172" t="s">
        <v>1</v>
      </c>
      <c r="C543" s="165" t="s">
        <v>48</v>
      </c>
      <c r="D543" s="165"/>
      <c r="E543" s="793"/>
      <c r="F543" s="794"/>
      <c r="G543" s="165"/>
      <c r="H543" s="535">
        <f>H544</f>
        <v>5831.08</v>
      </c>
      <c r="I543" s="72"/>
      <c r="J543" s="189"/>
    </row>
    <row r="544" spans="1:11" s="126" customFormat="1" ht="15.75" thickBot="1">
      <c r="A544" s="89" t="s">
        <v>27</v>
      </c>
      <c r="B544" s="187"/>
      <c r="C544" s="70" t="s">
        <v>48</v>
      </c>
      <c r="D544" s="70" t="s">
        <v>42</v>
      </c>
      <c r="E544" s="791"/>
      <c r="F544" s="792"/>
      <c r="G544" s="70"/>
      <c r="H544" s="73">
        <f>H545</f>
        <v>5831.08</v>
      </c>
      <c r="I544" s="438">
        <f>I545</f>
        <v>0</v>
      </c>
      <c r="J544" s="184">
        <f>I544/H551</f>
        <v>0</v>
      </c>
      <c r="K544" s="192"/>
    </row>
    <row r="545" spans="1:10" ht="14.25">
      <c r="A545" s="764" t="s">
        <v>241</v>
      </c>
      <c r="B545" s="187"/>
      <c r="C545" s="225" t="s">
        <v>48</v>
      </c>
      <c r="D545" s="463" t="s">
        <v>42</v>
      </c>
      <c r="E545" s="463" t="s">
        <v>242</v>
      </c>
      <c r="F545" s="203" t="s">
        <v>95</v>
      </c>
      <c r="G545" s="203"/>
      <c r="H545" s="113">
        <f>H546+H548</f>
        <v>5831.08</v>
      </c>
      <c r="I545" s="41">
        <f>I547</f>
        <v>0</v>
      </c>
      <c r="J545" s="42">
        <f>I545/H552</f>
        <v>0</v>
      </c>
    </row>
    <row r="546" spans="1:10" ht="27">
      <c r="A546" s="368" t="s">
        <v>562</v>
      </c>
      <c r="B546" s="187"/>
      <c r="C546" s="225" t="s">
        <v>48</v>
      </c>
      <c r="D546" s="463" t="s">
        <v>42</v>
      </c>
      <c r="E546" s="464" t="s">
        <v>242</v>
      </c>
      <c r="F546" s="465" t="s">
        <v>472</v>
      </c>
      <c r="G546" s="203"/>
      <c r="H546" s="84">
        <f>H547</f>
        <v>4351.81</v>
      </c>
      <c r="I546" s="41"/>
      <c r="J546" s="42"/>
    </row>
    <row r="547" spans="1:10" ht="14.25">
      <c r="A547" s="379" t="s">
        <v>183</v>
      </c>
      <c r="B547" s="187"/>
      <c r="C547" s="94" t="s">
        <v>48</v>
      </c>
      <c r="D547" s="94" t="s">
        <v>42</v>
      </c>
      <c r="E547" s="466" t="s">
        <v>242</v>
      </c>
      <c r="F547" s="467" t="s">
        <v>472</v>
      </c>
      <c r="G547" s="94" t="s">
        <v>184</v>
      </c>
      <c r="H547" s="72">
        <f>'ПРИЛОЖЕНИЕ № 6 (расх)'!I601</f>
        <v>4351.81</v>
      </c>
      <c r="I547" s="32">
        <f>I549</f>
        <v>0</v>
      </c>
      <c r="J547" s="33">
        <f>I547/H553</f>
        <v>0</v>
      </c>
    </row>
    <row r="548" spans="1:10" ht="27">
      <c r="A548" s="368" t="s">
        <v>563</v>
      </c>
      <c r="B548" s="187"/>
      <c r="C548" s="225" t="s">
        <v>48</v>
      </c>
      <c r="D548" s="463" t="s">
        <v>42</v>
      </c>
      <c r="E548" s="464" t="s">
        <v>242</v>
      </c>
      <c r="F548" s="465" t="s">
        <v>476</v>
      </c>
      <c r="G548" s="94"/>
      <c r="H548" s="84">
        <f>SUM(H549:H550)</f>
        <v>1479.27</v>
      </c>
      <c r="I548" s="32"/>
      <c r="J548" s="33"/>
    </row>
    <row r="549" spans="1:10" ht="26.25" thickBot="1">
      <c r="A549" s="247" t="s">
        <v>128</v>
      </c>
      <c r="B549" s="187"/>
      <c r="C549" s="94" t="s">
        <v>48</v>
      </c>
      <c r="D549" s="94" t="s">
        <v>42</v>
      </c>
      <c r="E549" s="466" t="s">
        <v>242</v>
      </c>
      <c r="F549" s="467" t="s">
        <v>476</v>
      </c>
      <c r="G549" s="94" t="s">
        <v>129</v>
      </c>
      <c r="H549" s="72">
        <f>'ПРИЛОЖЕНИЕ № 6 (расх)'!I603</f>
        <v>1429.27</v>
      </c>
      <c r="I549" s="37">
        <v>0</v>
      </c>
      <c r="J549" s="35">
        <f>I549/H555</f>
        <v>0</v>
      </c>
    </row>
    <row r="550" spans="1:11" ht="15" thickBot="1">
      <c r="A550" s="439" t="s">
        <v>76</v>
      </c>
      <c r="B550" s="187"/>
      <c r="C550" s="94" t="s">
        <v>48</v>
      </c>
      <c r="D550" s="466" t="s">
        <v>42</v>
      </c>
      <c r="E550" s="466" t="s">
        <v>242</v>
      </c>
      <c r="F550" s="467" t="s">
        <v>476</v>
      </c>
      <c r="G550" s="467" t="s">
        <v>77</v>
      </c>
      <c r="H550" s="441">
        <f>'ПРИЛОЖЕНИЕ № 6 (расх)'!I604</f>
        <v>50</v>
      </c>
      <c r="I550" s="197" t="e">
        <f>#REF!+I544+I533+I522+I463+#REF!+I421+#REF!+I228+I164+#REF!+I112+#REF!</f>
        <v>#REF!</v>
      </c>
      <c r="J550" s="121" t="e">
        <f>I550/H556</f>
        <v>#REF!</v>
      </c>
      <c r="K550" s="652"/>
    </row>
    <row r="551" spans="1:10" ht="29.25" thickBot="1">
      <c r="A551" s="443" t="s">
        <v>54</v>
      </c>
      <c r="B551" s="191"/>
      <c r="C551" s="165" t="s">
        <v>53</v>
      </c>
      <c r="D551" s="165"/>
      <c r="E551" s="793"/>
      <c r="F551" s="794"/>
      <c r="G551" s="165"/>
      <c r="H551" s="444">
        <f>H552</f>
        <v>3848.8</v>
      </c>
      <c r="J551" s="200"/>
    </row>
    <row r="552" spans="1:9" ht="18.75">
      <c r="A552" s="442" t="s">
        <v>64</v>
      </c>
      <c r="B552" s="25"/>
      <c r="C552" s="26" t="s">
        <v>53</v>
      </c>
      <c r="D552" s="26" t="s">
        <v>39</v>
      </c>
      <c r="E552" s="791"/>
      <c r="F552" s="792"/>
      <c r="G552" s="26"/>
      <c r="H552" s="27">
        <f>H553</f>
        <v>3848.8</v>
      </c>
      <c r="I552" s="125" t="e">
        <f>I550-#REF!</f>
        <v>#REF!</v>
      </c>
    </row>
    <row r="553" spans="1:8" ht="12.75">
      <c r="A553" s="663" t="s">
        <v>525</v>
      </c>
      <c r="B553" s="758"/>
      <c r="C553" s="665" t="s">
        <v>53</v>
      </c>
      <c r="D553" s="665" t="s">
        <v>39</v>
      </c>
      <c r="E553" s="459" t="s">
        <v>192</v>
      </c>
      <c r="F553" s="460" t="s">
        <v>95</v>
      </c>
      <c r="G553" s="665"/>
      <c r="H553" s="757">
        <f>H555</f>
        <v>3848.8</v>
      </c>
    </row>
    <row r="554" spans="1:8" ht="13.5">
      <c r="A554" s="366" t="s">
        <v>81</v>
      </c>
      <c r="B554" s="30"/>
      <c r="C554" s="31" t="s">
        <v>53</v>
      </c>
      <c r="D554" s="31" t="s">
        <v>39</v>
      </c>
      <c r="E554" s="461" t="s">
        <v>192</v>
      </c>
      <c r="F554" s="462" t="s">
        <v>526</v>
      </c>
      <c r="G554" s="31"/>
      <c r="H554" s="32">
        <f>H555</f>
        <v>3848.8</v>
      </c>
    </row>
    <row r="555" spans="1:8" ht="13.5" thickBot="1">
      <c r="A555" s="367" t="s">
        <v>81</v>
      </c>
      <c r="B555" s="43"/>
      <c r="C555" s="36" t="s">
        <v>53</v>
      </c>
      <c r="D555" s="36" t="s">
        <v>39</v>
      </c>
      <c r="E555" s="466" t="s">
        <v>192</v>
      </c>
      <c r="F555" s="467" t="s">
        <v>526</v>
      </c>
      <c r="G555" s="36" t="s">
        <v>2</v>
      </c>
      <c r="H555" s="46">
        <f>'ПРИЛОЖЕНИЕ № 6 (расх)'!I203</f>
        <v>3848.8</v>
      </c>
    </row>
    <row r="556" spans="1:8" ht="15" thickBot="1">
      <c r="A556" s="194" t="s">
        <v>32</v>
      </c>
      <c r="B556" s="195"/>
      <c r="C556" s="196"/>
      <c r="D556" s="196"/>
      <c r="E556" s="470"/>
      <c r="F556" s="470"/>
      <c r="G556" s="196"/>
      <c r="H556" s="120">
        <f>H551+H543+H527+H477+H431+H228+H214+H164+H128+H112+H107+H18</f>
        <v>365220.27</v>
      </c>
    </row>
    <row r="557" spans="1:8" ht="12.75">
      <c r="A557" s="190"/>
      <c r="B557" s="190"/>
      <c r="C557" s="198"/>
      <c r="D557" s="198"/>
      <c r="E557" s="190"/>
      <c r="F557" s="190"/>
      <c r="G557" s="198"/>
      <c r="H557" s="199"/>
    </row>
    <row r="558" spans="1:8" ht="18.75">
      <c r="A558" s="122"/>
      <c r="B558" s="122"/>
      <c r="C558" s="132"/>
      <c r="D558" s="132"/>
      <c r="E558" s="122"/>
      <c r="F558" s="122"/>
      <c r="G558" s="132"/>
      <c r="H558" s="125"/>
    </row>
    <row r="559" spans="1:8" ht="18.75">
      <c r="A559" s="124"/>
      <c r="B559" s="124"/>
      <c r="C559" s="124"/>
      <c r="D559" s="135"/>
      <c r="E559" s="789"/>
      <c r="F559" s="790"/>
      <c r="G559" s="790"/>
      <c r="H559" s="790"/>
    </row>
    <row r="560" spans="1:8" ht="15">
      <c r="A560" s="126"/>
      <c r="B560" s="201" t="s">
        <v>5</v>
      </c>
      <c r="C560" s="126"/>
      <c r="D560" s="137"/>
      <c r="E560" s="126"/>
      <c r="F560" s="126"/>
      <c r="G560" s="126"/>
      <c r="H560" s="351"/>
    </row>
  </sheetData>
  <sheetProtection/>
  <mergeCells count="64">
    <mergeCell ref="C5:H5"/>
    <mergeCell ref="C6:H6"/>
    <mergeCell ref="E215:F215"/>
    <mergeCell ref="E151:F151"/>
    <mergeCell ref="E201:F201"/>
    <mergeCell ref="E146:F146"/>
    <mergeCell ref="E135:F135"/>
    <mergeCell ref="E174:F174"/>
    <mergeCell ref="E112:F112"/>
    <mergeCell ref="E128:F128"/>
    <mergeCell ref="I1:J1"/>
    <mergeCell ref="A1:H1"/>
    <mergeCell ref="E43:F43"/>
    <mergeCell ref="J14:J15"/>
    <mergeCell ref="A11:H11"/>
    <mergeCell ref="A2:H2"/>
    <mergeCell ref="H14:H15"/>
    <mergeCell ref="E23:F23"/>
    <mergeCell ref="I2:J2"/>
    <mergeCell ref="E19:F19"/>
    <mergeCell ref="I14:I15"/>
    <mergeCell ref="E270:F270"/>
    <mergeCell ref="E123:F123"/>
    <mergeCell ref="E214:F214"/>
    <mergeCell ref="E30:F30"/>
    <mergeCell ref="E229:F229"/>
    <mergeCell ref="E142:F142"/>
    <mergeCell ref="E129:F129"/>
    <mergeCell ref="E60:F60"/>
    <mergeCell ref="E165:F165"/>
    <mergeCell ref="D7:H7"/>
    <mergeCell ref="A12:H12"/>
    <mergeCell ref="A9:H9"/>
    <mergeCell ref="A10:H10"/>
    <mergeCell ref="E15:F15"/>
    <mergeCell ref="E108:F108"/>
    <mergeCell ref="E107:F107"/>
    <mergeCell ref="E17:F17"/>
    <mergeCell ref="E56:F56"/>
    <mergeCell ref="A14:A15"/>
    <mergeCell ref="B14:G14"/>
    <mergeCell ref="E16:F16"/>
    <mergeCell ref="E182:F182"/>
    <mergeCell ref="E543:F543"/>
    <mergeCell ref="E527:F527"/>
    <mergeCell ref="E331:F331"/>
    <mergeCell ref="E113:F113"/>
    <mergeCell ref="E495:F495"/>
    <mergeCell ref="E18:F18"/>
    <mergeCell ref="E164:F164"/>
    <mergeCell ref="E228:F228"/>
    <mergeCell ref="E431:F431"/>
    <mergeCell ref="E478:F478"/>
    <mergeCell ref="E477:F477"/>
    <mergeCell ref="E474:F474"/>
    <mergeCell ref="E421:F421"/>
    <mergeCell ref="E432:F432"/>
    <mergeCell ref="E559:H559"/>
    <mergeCell ref="E552:F552"/>
    <mergeCell ref="E551:F551"/>
    <mergeCell ref="E482:F482"/>
    <mergeCell ref="E528:F528"/>
    <mergeCell ref="E366:F366"/>
    <mergeCell ref="E544:F544"/>
  </mergeCells>
  <printOptions horizontalCentered="1"/>
  <pageMargins left="0.1968503937007874" right="0.11811023622047245" top="0.4330708661417323" bottom="0.4330708661417323" header="0" footer="0.15748031496062992"/>
  <pageSetup firstPageNumber="10" useFirstPageNumber="1" horizontalDpi="600" verticalDpi="600" orientation="portrait" paperSize="9" scale="7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609"/>
  <sheetViews>
    <sheetView showGridLines="0" tabSelected="1" view="pageBreakPreview" zoomScale="115" zoomScaleSheetLayoutView="115" zoomScalePageLayoutView="0" workbookViewId="0" topLeftCell="A7">
      <selection activeCell="B3" sqref="B3:I3"/>
    </sheetView>
  </sheetViews>
  <sheetFormatPr defaultColWidth="9.140625" defaultRowHeight="12.75"/>
  <cols>
    <col min="1" max="1" width="74.8515625" style="9" customWidth="1"/>
    <col min="2" max="2" width="5.28125" style="138" customWidth="1"/>
    <col min="3" max="3" width="4.57421875" style="139" customWidth="1"/>
    <col min="4" max="4" width="4.8515625" style="139" customWidth="1"/>
    <col min="5" max="6" width="8.8515625" style="140" customWidth="1"/>
    <col min="7" max="7" width="3.7109375" style="9" customWidth="1"/>
    <col min="8" max="8" width="6.421875" style="139" hidden="1" customWidth="1"/>
    <col min="9" max="9" width="14.8515625" style="328" customWidth="1"/>
    <col min="10" max="11" width="14.140625" style="133" hidden="1" customWidth="1"/>
    <col min="12" max="12" width="12.8515625" style="548" bestFit="1" customWidth="1"/>
    <col min="13" max="13" width="12.7109375" style="9" bestFit="1" customWidth="1"/>
    <col min="14" max="14" width="9.140625" style="9" customWidth="1"/>
    <col min="15" max="15" width="10.28125" style="9" bestFit="1" customWidth="1"/>
    <col min="16" max="16" width="11.7109375" style="9" bestFit="1" customWidth="1"/>
    <col min="17" max="17" width="9.421875" style="9" bestFit="1" customWidth="1"/>
    <col min="18" max="16384" width="9.140625" style="9" customWidth="1"/>
  </cols>
  <sheetData>
    <row r="1" spans="1:12" s="509" customFormat="1" ht="97.5" customHeight="1">
      <c r="A1" s="779" t="s">
        <v>568</v>
      </c>
      <c r="B1" s="779"/>
      <c r="C1" s="779"/>
      <c r="D1" s="779"/>
      <c r="E1" s="779"/>
      <c r="F1" s="779"/>
      <c r="G1" s="779"/>
      <c r="H1" s="779"/>
      <c r="I1" s="779"/>
      <c r="J1" s="508"/>
      <c r="L1" s="546"/>
    </row>
    <row r="2" spans="1:15" s="3" customFormat="1" ht="14.25" customHeight="1">
      <c r="A2" s="1"/>
      <c r="B2" s="847" t="s">
        <v>258</v>
      </c>
      <c r="C2" s="847"/>
      <c r="D2" s="847"/>
      <c r="E2" s="847"/>
      <c r="F2" s="847"/>
      <c r="G2" s="847"/>
      <c r="H2" s="847"/>
      <c r="I2" s="847"/>
      <c r="J2" s="815"/>
      <c r="K2" s="815"/>
      <c r="L2" s="547"/>
      <c r="M2" s="2"/>
      <c r="N2" s="2"/>
      <c r="O2" s="2"/>
    </row>
    <row r="3" spans="1:12" s="3" customFormat="1" ht="15" customHeight="1">
      <c r="A3" s="1"/>
      <c r="B3" s="816" t="s">
        <v>73</v>
      </c>
      <c r="C3" s="816"/>
      <c r="D3" s="816"/>
      <c r="E3" s="816"/>
      <c r="F3" s="816"/>
      <c r="G3" s="816"/>
      <c r="H3" s="816"/>
      <c r="I3" s="816"/>
      <c r="L3" s="235"/>
    </row>
    <row r="4" spans="1:12" s="3" customFormat="1" ht="15" customHeight="1">
      <c r="A4" s="1"/>
      <c r="B4" s="816" t="s">
        <v>263</v>
      </c>
      <c r="C4" s="816"/>
      <c r="D4" s="816"/>
      <c r="E4" s="816"/>
      <c r="F4" s="816"/>
      <c r="G4" s="816"/>
      <c r="H4" s="816"/>
      <c r="I4" s="816"/>
      <c r="L4" s="235"/>
    </row>
    <row r="5" spans="1:12" s="3" customFormat="1" ht="14.25" customHeight="1">
      <c r="A5" s="1"/>
      <c r="B5" s="788" t="s">
        <v>471</v>
      </c>
      <c r="C5" s="788"/>
      <c r="D5" s="788"/>
      <c r="E5" s="788"/>
      <c r="F5" s="788"/>
      <c r="G5" s="788"/>
      <c r="H5" s="788"/>
      <c r="I5" s="788"/>
      <c r="L5" s="235"/>
    </row>
    <row r="6" spans="1:12" s="3" customFormat="1" ht="16.5" customHeight="1">
      <c r="A6" s="511"/>
      <c r="B6" s="512"/>
      <c r="C6" s="511"/>
      <c r="D6" s="511"/>
      <c r="E6" s="512"/>
      <c r="F6" s="512"/>
      <c r="G6" s="511"/>
      <c r="H6" s="511"/>
      <c r="I6" s="510"/>
      <c r="J6" s="4"/>
      <c r="K6" s="4"/>
      <c r="L6" s="235"/>
    </row>
    <row r="7" spans="1:12" s="3" customFormat="1" ht="16.5" customHeight="1">
      <c r="A7" s="844" t="s">
        <v>259</v>
      </c>
      <c r="B7" s="844"/>
      <c r="C7" s="844"/>
      <c r="D7" s="844"/>
      <c r="E7" s="844"/>
      <c r="F7" s="844"/>
      <c r="G7" s="844"/>
      <c r="H7" s="844"/>
      <c r="I7" s="844"/>
      <c r="J7" s="4"/>
      <c r="K7" s="4"/>
      <c r="L7" s="235"/>
    </row>
    <row r="8" spans="1:12" s="3" customFormat="1" ht="25.5" customHeight="1">
      <c r="A8" s="844" t="s">
        <v>417</v>
      </c>
      <c r="B8" s="844"/>
      <c r="C8" s="844"/>
      <c r="D8" s="844"/>
      <c r="E8" s="844"/>
      <c r="F8" s="844"/>
      <c r="G8" s="844"/>
      <c r="H8" s="844"/>
      <c r="I8" s="844"/>
      <c r="J8" s="6"/>
      <c r="K8" s="6"/>
      <c r="L8" s="235"/>
    </row>
    <row r="9" spans="1:12" s="3" customFormat="1" ht="13.5">
      <c r="A9" s="1"/>
      <c r="B9" s="7"/>
      <c r="C9" s="8"/>
      <c r="D9" s="8"/>
      <c r="E9" s="8"/>
      <c r="F9" s="8"/>
      <c r="G9" s="8"/>
      <c r="H9" s="8"/>
      <c r="I9" s="143" t="s">
        <v>264</v>
      </c>
      <c r="J9" s="5"/>
      <c r="K9" s="5" t="s">
        <v>37</v>
      </c>
      <c r="L9" s="235"/>
    </row>
    <row r="10" spans="1:14" ht="12.75" customHeight="1">
      <c r="A10" s="781" t="s">
        <v>6</v>
      </c>
      <c r="B10" s="845" t="s">
        <v>36</v>
      </c>
      <c r="C10" s="845"/>
      <c r="D10" s="845"/>
      <c r="E10" s="845"/>
      <c r="F10" s="845"/>
      <c r="G10" s="845"/>
      <c r="H10" s="846"/>
      <c r="I10" s="783" t="s">
        <v>70</v>
      </c>
      <c r="J10" s="783" t="s">
        <v>72</v>
      </c>
      <c r="K10" s="836" t="s">
        <v>69</v>
      </c>
      <c r="L10" s="549"/>
      <c r="M10" s="127"/>
      <c r="N10" s="127"/>
    </row>
    <row r="11" spans="1:14" ht="116.25" customHeight="1">
      <c r="A11" s="782"/>
      <c r="B11" s="10" t="s">
        <v>3</v>
      </c>
      <c r="C11" s="11" t="s">
        <v>33</v>
      </c>
      <c r="D11" s="12" t="s">
        <v>34</v>
      </c>
      <c r="E11" s="838" t="s">
        <v>8</v>
      </c>
      <c r="F11" s="839"/>
      <c r="G11" s="12" t="s">
        <v>35</v>
      </c>
      <c r="H11" s="13" t="s">
        <v>9</v>
      </c>
      <c r="I11" s="784"/>
      <c r="J11" s="784"/>
      <c r="K11" s="837"/>
      <c r="L11" s="549"/>
      <c r="M11" s="123"/>
      <c r="N11" s="127"/>
    </row>
    <row r="12" spans="1:14" s="18" customFormat="1" ht="13.5">
      <c r="A12" s="14">
        <v>1</v>
      </c>
      <c r="B12" s="15">
        <v>2</v>
      </c>
      <c r="C12" s="16">
        <v>3</v>
      </c>
      <c r="D12" s="16">
        <v>4</v>
      </c>
      <c r="E12" s="798">
        <v>5</v>
      </c>
      <c r="F12" s="799"/>
      <c r="G12" s="16">
        <v>6</v>
      </c>
      <c r="H12" s="14">
        <v>7</v>
      </c>
      <c r="I12" s="17">
        <v>7</v>
      </c>
      <c r="J12" s="17">
        <v>7</v>
      </c>
      <c r="K12" s="571">
        <v>7</v>
      </c>
      <c r="L12" s="621"/>
      <c r="M12" s="622"/>
      <c r="N12" s="622"/>
    </row>
    <row r="13" spans="1:16" s="18" customFormat="1" ht="15.75">
      <c r="A13" s="311" t="s">
        <v>32</v>
      </c>
      <c r="B13" s="361"/>
      <c r="C13" s="302"/>
      <c r="D13" s="302"/>
      <c r="E13" s="840"/>
      <c r="F13" s="841"/>
      <c r="G13" s="302"/>
      <c r="H13" s="302"/>
      <c r="I13" s="362">
        <f>I14+I176+I185+I204+I291+I564+I596</f>
        <v>365220.2700000001</v>
      </c>
      <c r="J13" s="21" t="e">
        <f>#REF!+#REF!+#REF!+#REF!+#REF!+#REF!</f>
        <v>#REF!</v>
      </c>
      <c r="K13" s="572" t="e">
        <f>J13/I13</f>
        <v>#REF!</v>
      </c>
      <c r="L13" s="621"/>
      <c r="M13" s="623"/>
      <c r="N13" s="623"/>
      <c r="O13" s="653"/>
      <c r="P13" s="641"/>
    </row>
    <row r="14" spans="1:17" s="29" customFormat="1" ht="21" customHeight="1">
      <c r="A14" s="363" t="s">
        <v>115</v>
      </c>
      <c r="B14" s="424" t="s">
        <v>116</v>
      </c>
      <c r="C14" s="426"/>
      <c r="D14" s="426"/>
      <c r="E14" s="842"/>
      <c r="F14" s="843"/>
      <c r="G14" s="426"/>
      <c r="H14" s="426"/>
      <c r="I14" s="326">
        <f>I15+I84+I89+I105+I136+I141+I154</f>
        <v>78004.25000000001</v>
      </c>
      <c r="J14" s="37"/>
      <c r="K14" s="573"/>
      <c r="L14" s="624"/>
      <c r="M14" s="431"/>
      <c r="N14" s="431"/>
      <c r="O14" s="430"/>
      <c r="Q14" s="430"/>
    </row>
    <row r="15" spans="1:19" s="29" customFormat="1" ht="14.25">
      <c r="A15" s="353" t="s">
        <v>10</v>
      </c>
      <c r="B15" s="364">
        <v>701</v>
      </c>
      <c r="C15" s="52" t="s">
        <v>39</v>
      </c>
      <c r="D15" s="52"/>
      <c r="E15" s="804"/>
      <c r="F15" s="805"/>
      <c r="G15" s="213"/>
      <c r="H15" s="208"/>
      <c r="I15" s="360">
        <f>I16+I20++I33+I40+I44</f>
        <v>65005.850000000006</v>
      </c>
      <c r="J15" s="37"/>
      <c r="K15" s="573"/>
      <c r="L15" s="624"/>
      <c r="M15" s="431"/>
      <c r="N15" s="562"/>
      <c r="O15" s="430"/>
      <c r="Q15" s="430"/>
      <c r="R15" s="433"/>
      <c r="S15" s="430"/>
    </row>
    <row r="16" spans="1:14" s="29" customFormat="1" ht="33.75" customHeight="1">
      <c r="A16" s="383" t="s">
        <v>96</v>
      </c>
      <c r="B16" s="98">
        <v>701</v>
      </c>
      <c r="C16" s="40" t="s">
        <v>39</v>
      </c>
      <c r="D16" s="40" t="s">
        <v>42</v>
      </c>
      <c r="E16" s="817"/>
      <c r="F16" s="818"/>
      <c r="G16" s="40"/>
      <c r="H16" s="40" t="s">
        <v>38</v>
      </c>
      <c r="I16" s="41">
        <f>I17</f>
        <v>4005.1699999999996</v>
      </c>
      <c r="J16" s="255"/>
      <c r="K16" s="574"/>
      <c r="L16" s="624"/>
      <c r="M16" s="156"/>
      <c r="N16" s="156"/>
    </row>
    <row r="17" spans="1:14" s="29" customFormat="1" ht="21" customHeight="1">
      <c r="A17" s="368" t="s">
        <v>123</v>
      </c>
      <c r="B17" s="48" t="s">
        <v>116</v>
      </c>
      <c r="C17" s="48" t="s">
        <v>39</v>
      </c>
      <c r="D17" s="461" t="s">
        <v>42</v>
      </c>
      <c r="E17" s="461" t="s">
        <v>97</v>
      </c>
      <c r="F17" s="462" t="s">
        <v>95</v>
      </c>
      <c r="G17" s="462"/>
      <c r="H17" s="48" t="s">
        <v>38</v>
      </c>
      <c r="I17" s="45">
        <f>I18</f>
        <v>4005.1699999999996</v>
      </c>
      <c r="J17" s="255"/>
      <c r="K17" s="574"/>
      <c r="L17" s="624"/>
      <c r="M17" s="156"/>
      <c r="N17" s="156"/>
    </row>
    <row r="18" spans="1:14" s="55" customFormat="1" ht="13.5">
      <c r="A18" s="368" t="s">
        <v>474</v>
      </c>
      <c r="B18" s="48" t="s">
        <v>116</v>
      </c>
      <c r="C18" s="48" t="s">
        <v>39</v>
      </c>
      <c r="D18" s="48" t="s">
        <v>42</v>
      </c>
      <c r="E18" s="464" t="s">
        <v>97</v>
      </c>
      <c r="F18" s="465" t="s">
        <v>472</v>
      </c>
      <c r="G18" s="48"/>
      <c r="H18" s="48"/>
      <c r="I18" s="45">
        <f>SUM(I19)</f>
        <v>4005.1699999999996</v>
      </c>
      <c r="J18" s="264"/>
      <c r="K18" s="600"/>
      <c r="L18" s="624"/>
      <c r="M18" s="567"/>
      <c r="N18" s="567"/>
    </row>
    <row r="19" spans="1:18" s="29" customFormat="1" ht="21" customHeight="1">
      <c r="A19" s="367" t="s">
        <v>126</v>
      </c>
      <c r="B19" s="49" t="s">
        <v>116</v>
      </c>
      <c r="C19" s="49" t="s">
        <v>39</v>
      </c>
      <c r="D19" s="49" t="s">
        <v>42</v>
      </c>
      <c r="E19" s="466" t="s">
        <v>97</v>
      </c>
      <c r="F19" s="467" t="s">
        <v>472</v>
      </c>
      <c r="G19" s="49" t="s">
        <v>127</v>
      </c>
      <c r="H19" s="48"/>
      <c r="I19" s="46">
        <f>(3486.99+976.36/2+30)</f>
        <v>4005.1699999999996</v>
      </c>
      <c r="J19" s="255"/>
      <c r="K19" s="574"/>
      <c r="L19" s="624"/>
      <c r="M19" s="156"/>
      <c r="N19" s="156"/>
      <c r="P19" s="430"/>
      <c r="Q19" s="437"/>
      <c r="R19" s="556"/>
    </row>
    <row r="20" spans="1:18" s="29" customFormat="1" ht="55.5" customHeight="1">
      <c r="A20" s="365" t="s">
        <v>99</v>
      </c>
      <c r="B20" s="98">
        <v>701</v>
      </c>
      <c r="C20" s="40" t="s">
        <v>39</v>
      </c>
      <c r="D20" s="40" t="s">
        <v>12</v>
      </c>
      <c r="E20" s="802"/>
      <c r="F20" s="803"/>
      <c r="G20" s="40"/>
      <c r="H20" s="40" t="s">
        <v>38</v>
      </c>
      <c r="I20" s="41">
        <f>I21+I27</f>
        <v>53903.16</v>
      </c>
      <c r="J20" s="41" t="e">
        <f>#REF!</f>
        <v>#REF!</v>
      </c>
      <c r="K20" s="576" t="e">
        <f>J20/I20</f>
        <v>#REF!</v>
      </c>
      <c r="L20" s="624"/>
      <c r="M20" s="431"/>
      <c r="N20" s="156"/>
      <c r="O20" s="24"/>
      <c r="P20" s="24"/>
      <c r="Q20" s="152"/>
      <c r="R20" s="152"/>
    </row>
    <row r="21" spans="1:18" s="78" customFormat="1" ht="12.75">
      <c r="A21" s="754" t="s">
        <v>122</v>
      </c>
      <c r="B21" s="688">
        <v>701</v>
      </c>
      <c r="C21" s="171" t="s">
        <v>39</v>
      </c>
      <c r="D21" s="171" t="s">
        <v>12</v>
      </c>
      <c r="E21" s="459" t="s">
        <v>98</v>
      </c>
      <c r="F21" s="460" t="s">
        <v>95</v>
      </c>
      <c r="G21" s="171"/>
      <c r="H21" s="171" t="s">
        <v>38</v>
      </c>
      <c r="I21" s="493">
        <f>I22+I24</f>
        <v>43011.16</v>
      </c>
      <c r="J21" s="755" t="e">
        <f>#REF!</f>
        <v>#REF!</v>
      </c>
      <c r="K21" s="756" t="e">
        <f>J21/I21</f>
        <v>#REF!</v>
      </c>
      <c r="L21" s="561"/>
      <c r="M21" s="561"/>
      <c r="N21" s="437"/>
      <c r="O21" s="555"/>
      <c r="P21" s="555"/>
      <c r="Q21" s="555"/>
      <c r="R21" s="555"/>
    </row>
    <row r="22" spans="1:18" s="78" customFormat="1" ht="27">
      <c r="A22" s="368" t="s">
        <v>473</v>
      </c>
      <c r="B22" s="280">
        <v>701</v>
      </c>
      <c r="C22" s="48" t="s">
        <v>39</v>
      </c>
      <c r="D22" s="48" t="s">
        <v>12</v>
      </c>
      <c r="E22" s="464" t="s">
        <v>98</v>
      </c>
      <c r="F22" s="465" t="s">
        <v>472</v>
      </c>
      <c r="G22" s="49"/>
      <c r="H22" s="48"/>
      <c r="I22" s="45">
        <f>I23</f>
        <v>30108.73</v>
      </c>
      <c r="J22" s="248"/>
      <c r="K22" s="577"/>
      <c r="L22" s="624"/>
      <c r="M22" s="561"/>
      <c r="N22" s="437"/>
      <c r="O22" s="555"/>
      <c r="P22" s="555"/>
      <c r="Q22" s="555"/>
      <c r="R22" s="555"/>
    </row>
    <row r="23" spans="1:18" s="78" customFormat="1" ht="25.5">
      <c r="A23" s="369" t="s">
        <v>126</v>
      </c>
      <c r="B23" s="115">
        <v>701</v>
      </c>
      <c r="C23" s="49" t="s">
        <v>39</v>
      </c>
      <c r="D23" s="49" t="s">
        <v>12</v>
      </c>
      <c r="E23" s="466" t="s">
        <v>98</v>
      </c>
      <c r="F23" s="467" t="s">
        <v>472</v>
      </c>
      <c r="G23" s="49" t="s">
        <v>127</v>
      </c>
      <c r="H23" s="48"/>
      <c r="I23" s="46">
        <f>(27163.36-3000+6765.74/2+665)-822.1+2719.6</f>
        <v>30108.73</v>
      </c>
      <c r="J23" s="248"/>
      <c r="K23" s="577"/>
      <c r="L23" s="624"/>
      <c r="M23" s="561"/>
      <c r="N23" s="437"/>
      <c r="O23" s="556"/>
      <c r="P23" s="557"/>
      <c r="Q23" s="556"/>
      <c r="R23" s="555"/>
    </row>
    <row r="24" spans="1:18" s="78" customFormat="1" ht="27">
      <c r="A24" s="368" t="s">
        <v>475</v>
      </c>
      <c r="B24" s="280">
        <v>701</v>
      </c>
      <c r="C24" s="48" t="s">
        <v>39</v>
      </c>
      <c r="D24" s="48" t="s">
        <v>12</v>
      </c>
      <c r="E24" s="464" t="s">
        <v>98</v>
      </c>
      <c r="F24" s="465" t="s">
        <v>476</v>
      </c>
      <c r="G24" s="49"/>
      <c r="H24" s="48"/>
      <c r="I24" s="45">
        <f>SUM(I25:I26)</f>
        <v>12902.43</v>
      </c>
      <c r="J24" s="248"/>
      <c r="K24" s="577"/>
      <c r="L24" s="624"/>
      <c r="M24" s="561"/>
      <c r="N24" s="437"/>
      <c r="O24" s="556"/>
      <c r="P24" s="557"/>
      <c r="Q24" s="556"/>
      <c r="R24" s="555"/>
    </row>
    <row r="25" spans="1:18" s="29" customFormat="1" ht="30" customHeight="1">
      <c r="A25" s="369" t="s">
        <v>128</v>
      </c>
      <c r="B25" s="115">
        <v>701</v>
      </c>
      <c r="C25" s="49" t="s">
        <v>39</v>
      </c>
      <c r="D25" s="49" t="s">
        <v>12</v>
      </c>
      <c r="E25" s="466" t="s">
        <v>98</v>
      </c>
      <c r="F25" s="467" t="s">
        <v>476</v>
      </c>
      <c r="G25" s="49" t="s">
        <v>129</v>
      </c>
      <c r="H25" s="49"/>
      <c r="I25" s="46">
        <f>8159.74+((1512.9+123.2+162.6+600.5+6.4+12.2+1+78.5)+3222.29)-1170</f>
        <v>12709.33</v>
      </c>
      <c r="J25" s="249"/>
      <c r="K25" s="573"/>
      <c r="L25" s="624"/>
      <c r="M25" s="431"/>
      <c r="N25" s="431"/>
      <c r="O25" s="152"/>
      <c r="P25" s="557"/>
      <c r="Q25" s="152"/>
      <c r="R25" s="24"/>
    </row>
    <row r="26" spans="1:18" s="29" customFormat="1" ht="26.25" customHeight="1">
      <c r="A26" s="369" t="s">
        <v>76</v>
      </c>
      <c r="B26" s="115">
        <v>701</v>
      </c>
      <c r="C26" s="49" t="s">
        <v>39</v>
      </c>
      <c r="D26" s="49" t="s">
        <v>12</v>
      </c>
      <c r="E26" s="466" t="s">
        <v>98</v>
      </c>
      <c r="F26" s="467" t="s">
        <v>476</v>
      </c>
      <c r="G26" s="49" t="s">
        <v>77</v>
      </c>
      <c r="H26" s="49"/>
      <c r="I26" s="46">
        <v>193.1</v>
      </c>
      <c r="J26" s="249"/>
      <c r="K26" s="573"/>
      <c r="L26" s="624"/>
      <c r="M26" s="156"/>
      <c r="N26" s="156"/>
      <c r="O26" s="152"/>
      <c r="P26" s="557"/>
      <c r="Q26" s="152"/>
      <c r="R26" s="24"/>
    </row>
    <row r="27" spans="1:14" s="408" customFormat="1" ht="23.25" customHeight="1">
      <c r="A27" s="368" t="s">
        <v>223</v>
      </c>
      <c r="B27" s="280">
        <v>701</v>
      </c>
      <c r="C27" s="48" t="s">
        <v>39</v>
      </c>
      <c r="D27" s="48" t="s">
        <v>12</v>
      </c>
      <c r="E27" s="461" t="s">
        <v>224</v>
      </c>
      <c r="F27" s="462" t="s">
        <v>95</v>
      </c>
      <c r="G27" s="48"/>
      <c r="H27" s="48"/>
      <c r="I27" s="45">
        <f>I28+I30</f>
        <v>10892</v>
      </c>
      <c r="J27" s="515"/>
      <c r="K27" s="578"/>
      <c r="L27" s="624"/>
      <c r="M27" s="567"/>
      <c r="N27" s="567"/>
    </row>
    <row r="28" spans="1:14" s="408" customFormat="1" ht="23.25" customHeight="1">
      <c r="A28" s="368" t="s">
        <v>477</v>
      </c>
      <c r="B28" s="280">
        <v>701</v>
      </c>
      <c r="C28" s="48" t="s">
        <v>39</v>
      </c>
      <c r="D28" s="48" t="s">
        <v>12</v>
      </c>
      <c r="E28" s="464" t="s">
        <v>224</v>
      </c>
      <c r="F28" s="465" t="s">
        <v>472</v>
      </c>
      <c r="G28" s="48"/>
      <c r="H28" s="48"/>
      <c r="I28" s="45">
        <f>SUM(I29)</f>
        <v>8242</v>
      </c>
      <c r="J28" s="515"/>
      <c r="K28" s="578"/>
      <c r="L28" s="624"/>
      <c r="M28" s="567"/>
      <c r="N28" s="567"/>
    </row>
    <row r="29" spans="1:16" s="29" customFormat="1" ht="23.25" customHeight="1">
      <c r="A29" s="369" t="s">
        <v>126</v>
      </c>
      <c r="B29" s="115">
        <v>701</v>
      </c>
      <c r="C29" s="49" t="s">
        <v>39</v>
      </c>
      <c r="D29" s="49" t="s">
        <v>12</v>
      </c>
      <c r="E29" s="466" t="s">
        <v>224</v>
      </c>
      <c r="F29" s="467" t="s">
        <v>472</v>
      </c>
      <c r="G29" s="49" t="s">
        <v>127</v>
      </c>
      <c r="H29" s="49"/>
      <c r="I29" s="46">
        <f>(7000+2114/2+185)</f>
        <v>8242</v>
      </c>
      <c r="J29" s="249"/>
      <c r="K29" s="573"/>
      <c r="L29" s="624"/>
      <c r="M29" s="431"/>
      <c r="N29" s="156"/>
      <c r="O29" s="430"/>
      <c r="P29" s="430"/>
    </row>
    <row r="30" spans="1:16" s="55" customFormat="1" ht="27">
      <c r="A30" s="368" t="s">
        <v>478</v>
      </c>
      <c r="B30" s="280">
        <v>701</v>
      </c>
      <c r="C30" s="48" t="s">
        <v>39</v>
      </c>
      <c r="D30" s="48" t="s">
        <v>12</v>
      </c>
      <c r="E30" s="464" t="s">
        <v>224</v>
      </c>
      <c r="F30" s="465" t="s">
        <v>476</v>
      </c>
      <c r="G30" s="48"/>
      <c r="H30" s="48"/>
      <c r="I30" s="45">
        <f>SUM(I31:I32)</f>
        <v>2650</v>
      </c>
      <c r="J30" s="248"/>
      <c r="K30" s="577"/>
      <c r="L30" s="624"/>
      <c r="M30" s="624"/>
      <c r="N30" s="567"/>
      <c r="O30" s="723"/>
      <c r="P30" s="723"/>
    </row>
    <row r="31" spans="1:16" s="29" customFormat="1" ht="25.5">
      <c r="A31" s="369" t="s">
        <v>128</v>
      </c>
      <c r="B31" s="115">
        <v>701</v>
      </c>
      <c r="C31" s="49" t="s">
        <v>39</v>
      </c>
      <c r="D31" s="49" t="s">
        <v>12</v>
      </c>
      <c r="E31" s="466" t="s">
        <v>224</v>
      </c>
      <c r="F31" s="467" t="s">
        <v>476</v>
      </c>
      <c r="G31" s="49" t="s">
        <v>129</v>
      </c>
      <c r="H31" s="49"/>
      <c r="I31" s="46">
        <f>3200-700</f>
        <v>2500</v>
      </c>
      <c r="J31" s="249"/>
      <c r="K31" s="573"/>
      <c r="L31" s="624"/>
      <c r="M31" s="156"/>
      <c r="N31" s="431"/>
      <c r="O31" s="430"/>
      <c r="P31" s="430"/>
    </row>
    <row r="32" spans="1:16" s="29" customFormat="1" ht="19.5" customHeight="1">
      <c r="A32" s="369" t="s">
        <v>76</v>
      </c>
      <c r="B32" s="115">
        <v>701</v>
      </c>
      <c r="C32" s="49" t="s">
        <v>39</v>
      </c>
      <c r="D32" s="49" t="s">
        <v>12</v>
      </c>
      <c r="E32" s="466" t="s">
        <v>224</v>
      </c>
      <c r="F32" s="467" t="s">
        <v>476</v>
      </c>
      <c r="G32" s="49" t="s">
        <v>77</v>
      </c>
      <c r="H32" s="49"/>
      <c r="I32" s="46">
        <v>150</v>
      </c>
      <c r="J32" s="255"/>
      <c r="K32" s="574"/>
      <c r="L32" s="624"/>
      <c r="M32" s="156"/>
      <c r="N32" s="431"/>
      <c r="O32" s="430"/>
      <c r="P32" s="430"/>
    </row>
    <row r="33" spans="1:14" s="78" customFormat="1" ht="33" customHeight="1">
      <c r="A33" s="384" t="s">
        <v>75</v>
      </c>
      <c r="B33" s="98">
        <v>701</v>
      </c>
      <c r="C33" s="40" t="s">
        <v>39</v>
      </c>
      <c r="D33" s="40" t="s">
        <v>43</v>
      </c>
      <c r="E33" s="802"/>
      <c r="F33" s="803"/>
      <c r="G33" s="40"/>
      <c r="H33" s="40"/>
      <c r="I33" s="41">
        <f>I34</f>
        <v>640.97</v>
      </c>
      <c r="J33" s="262"/>
      <c r="K33" s="575"/>
      <c r="L33" s="624"/>
      <c r="M33" s="437"/>
      <c r="N33" s="437"/>
    </row>
    <row r="34" spans="1:14" s="29" customFormat="1" ht="22.5" customHeight="1">
      <c r="A34" s="368" t="s">
        <v>119</v>
      </c>
      <c r="B34" s="31" t="s">
        <v>116</v>
      </c>
      <c r="C34" s="48" t="s">
        <v>39</v>
      </c>
      <c r="D34" s="48" t="s">
        <v>43</v>
      </c>
      <c r="E34" s="461" t="s">
        <v>118</v>
      </c>
      <c r="F34" s="462" t="s">
        <v>95</v>
      </c>
      <c r="G34" s="48"/>
      <c r="H34" s="48"/>
      <c r="I34" s="45">
        <f>I35+I37</f>
        <v>640.97</v>
      </c>
      <c r="J34" s="255"/>
      <c r="K34" s="574"/>
      <c r="L34" s="624"/>
      <c r="M34" s="156"/>
      <c r="N34" s="156"/>
    </row>
    <row r="35" spans="1:14" s="29" customFormat="1" ht="22.5" customHeight="1">
      <c r="A35" s="368" t="s">
        <v>479</v>
      </c>
      <c r="B35" s="31" t="s">
        <v>116</v>
      </c>
      <c r="C35" s="48" t="s">
        <v>39</v>
      </c>
      <c r="D35" s="48" t="s">
        <v>43</v>
      </c>
      <c r="E35" s="464" t="s">
        <v>118</v>
      </c>
      <c r="F35" s="465" t="s">
        <v>472</v>
      </c>
      <c r="G35" s="36"/>
      <c r="H35" s="48"/>
      <c r="I35" s="45">
        <f>I36</f>
        <v>540.97</v>
      </c>
      <c r="J35" s="255"/>
      <c r="K35" s="574"/>
      <c r="L35" s="624"/>
      <c r="M35" s="156"/>
      <c r="N35" s="156"/>
    </row>
    <row r="36" spans="1:14" s="29" customFormat="1" ht="21" customHeight="1">
      <c r="A36" s="367" t="s">
        <v>126</v>
      </c>
      <c r="B36" s="36" t="s">
        <v>116</v>
      </c>
      <c r="C36" s="49" t="s">
        <v>39</v>
      </c>
      <c r="D36" s="49" t="s">
        <v>43</v>
      </c>
      <c r="E36" s="466" t="s">
        <v>118</v>
      </c>
      <c r="F36" s="467" t="s">
        <v>472</v>
      </c>
      <c r="G36" s="36" t="s">
        <v>127</v>
      </c>
      <c r="H36" s="49"/>
      <c r="I36" s="46">
        <f>470+141.94/2</f>
        <v>540.97</v>
      </c>
      <c r="J36" s="255"/>
      <c r="K36" s="574"/>
      <c r="L36" s="624"/>
      <c r="M36" s="156"/>
      <c r="N36" s="156"/>
    </row>
    <row r="37" spans="1:14" s="29" customFormat="1" ht="21" customHeight="1">
      <c r="A37" s="368" t="s">
        <v>480</v>
      </c>
      <c r="B37" s="31" t="s">
        <v>116</v>
      </c>
      <c r="C37" s="48" t="s">
        <v>39</v>
      </c>
      <c r="D37" s="48" t="s">
        <v>43</v>
      </c>
      <c r="E37" s="464" t="s">
        <v>118</v>
      </c>
      <c r="F37" s="465" t="s">
        <v>476</v>
      </c>
      <c r="G37" s="36"/>
      <c r="H37" s="49"/>
      <c r="I37" s="45">
        <f>SUM(I38:I39)</f>
        <v>100</v>
      </c>
      <c r="J37" s="255"/>
      <c r="K37" s="574"/>
      <c r="L37" s="624"/>
      <c r="M37" s="156"/>
      <c r="N37" s="156"/>
    </row>
    <row r="38" spans="1:14" s="29" customFormat="1" ht="27" customHeight="1">
      <c r="A38" s="367" t="s">
        <v>128</v>
      </c>
      <c r="B38" s="36" t="s">
        <v>116</v>
      </c>
      <c r="C38" s="49" t="s">
        <v>39</v>
      </c>
      <c r="D38" s="49" t="s">
        <v>43</v>
      </c>
      <c r="E38" s="466" t="s">
        <v>118</v>
      </c>
      <c r="F38" s="467" t="s">
        <v>476</v>
      </c>
      <c r="G38" s="36" t="s">
        <v>129</v>
      </c>
      <c r="H38" s="49"/>
      <c r="I38" s="46">
        <v>90</v>
      </c>
      <c r="J38" s="255"/>
      <c r="K38" s="574"/>
      <c r="L38" s="624"/>
      <c r="M38" s="156"/>
      <c r="N38" s="156"/>
    </row>
    <row r="39" spans="1:14" s="29" customFormat="1" ht="18" customHeight="1">
      <c r="A39" s="367" t="s">
        <v>76</v>
      </c>
      <c r="B39" s="36" t="s">
        <v>116</v>
      </c>
      <c r="C39" s="49" t="s">
        <v>39</v>
      </c>
      <c r="D39" s="49" t="s">
        <v>43</v>
      </c>
      <c r="E39" s="466" t="s">
        <v>118</v>
      </c>
      <c r="F39" s="467" t="s">
        <v>476</v>
      </c>
      <c r="G39" s="36" t="s">
        <v>77</v>
      </c>
      <c r="H39" s="49"/>
      <c r="I39" s="46">
        <v>10</v>
      </c>
      <c r="J39" s="255"/>
      <c r="K39" s="574"/>
      <c r="L39" s="624"/>
      <c r="M39" s="156"/>
      <c r="N39" s="156"/>
    </row>
    <row r="40" spans="1:14" s="29" customFormat="1" ht="14.25">
      <c r="A40" s="365" t="s">
        <v>13</v>
      </c>
      <c r="B40" s="98">
        <v>701</v>
      </c>
      <c r="C40" s="40" t="s">
        <v>39</v>
      </c>
      <c r="D40" s="40" t="s">
        <v>46</v>
      </c>
      <c r="E40" s="802"/>
      <c r="F40" s="803"/>
      <c r="G40" s="40"/>
      <c r="H40" s="40" t="s">
        <v>38</v>
      </c>
      <c r="I40" s="41">
        <f>I41</f>
        <v>87.8</v>
      </c>
      <c r="J40" s="250" t="e">
        <f>#REF!</f>
        <v>#REF!</v>
      </c>
      <c r="K40" s="576" t="e">
        <f>J40/I40</f>
        <v>#REF!</v>
      </c>
      <c r="L40" s="624"/>
      <c r="M40" s="156"/>
      <c r="N40" s="156"/>
    </row>
    <row r="41" spans="1:14" s="50" customFormat="1" ht="13.5">
      <c r="A41" s="368" t="s">
        <v>13</v>
      </c>
      <c r="B41" s="280">
        <v>701</v>
      </c>
      <c r="C41" s="48" t="s">
        <v>39</v>
      </c>
      <c r="D41" s="48" t="s">
        <v>46</v>
      </c>
      <c r="E41" s="461" t="s">
        <v>101</v>
      </c>
      <c r="F41" s="462" t="s">
        <v>95</v>
      </c>
      <c r="G41" s="171"/>
      <c r="H41" s="171"/>
      <c r="I41" s="493">
        <f>I42</f>
        <v>87.8</v>
      </c>
      <c r="J41" s="251"/>
      <c r="K41" s="579"/>
      <c r="L41" s="624"/>
      <c r="M41" s="156"/>
      <c r="N41" s="156"/>
    </row>
    <row r="42" spans="1:14" s="50" customFormat="1" ht="16.5" customHeight="1">
      <c r="A42" s="368" t="s">
        <v>14</v>
      </c>
      <c r="B42" s="280">
        <v>701</v>
      </c>
      <c r="C42" s="48" t="s">
        <v>39</v>
      </c>
      <c r="D42" s="48" t="s">
        <v>46</v>
      </c>
      <c r="E42" s="461" t="s">
        <v>101</v>
      </c>
      <c r="F42" s="462" t="s">
        <v>481</v>
      </c>
      <c r="G42" s="171"/>
      <c r="H42" s="171"/>
      <c r="I42" s="45">
        <f>I43</f>
        <v>87.8</v>
      </c>
      <c r="J42" s="251"/>
      <c r="K42" s="579"/>
      <c r="L42" s="624"/>
      <c r="M42" s="156"/>
      <c r="N42" s="156"/>
    </row>
    <row r="43" spans="1:14" s="29" customFormat="1" ht="13.5">
      <c r="A43" s="367" t="s">
        <v>78</v>
      </c>
      <c r="B43" s="14">
        <v>701</v>
      </c>
      <c r="C43" s="36" t="s">
        <v>39</v>
      </c>
      <c r="D43" s="36" t="s">
        <v>46</v>
      </c>
      <c r="E43" s="466" t="s">
        <v>101</v>
      </c>
      <c r="F43" s="467" t="s">
        <v>481</v>
      </c>
      <c r="G43" s="36" t="s">
        <v>79</v>
      </c>
      <c r="H43" s="36" t="s">
        <v>38</v>
      </c>
      <c r="I43" s="46">
        <v>87.8</v>
      </c>
      <c r="J43" s="249" t="e">
        <v>#REF!</v>
      </c>
      <c r="K43" s="573" t="e">
        <f>J43/I43</f>
        <v>#REF!</v>
      </c>
      <c r="L43" s="624"/>
      <c r="M43" s="156"/>
      <c r="N43" s="156"/>
    </row>
    <row r="44" spans="1:14" s="47" customFormat="1" ht="18.75" customHeight="1">
      <c r="A44" s="365" t="s">
        <v>15</v>
      </c>
      <c r="B44" s="98">
        <v>701</v>
      </c>
      <c r="C44" s="40" t="s">
        <v>39</v>
      </c>
      <c r="D44" s="40" t="s">
        <v>53</v>
      </c>
      <c r="E44" s="802"/>
      <c r="F44" s="803"/>
      <c r="G44" s="40"/>
      <c r="H44" s="40" t="s">
        <v>38</v>
      </c>
      <c r="I44" s="41">
        <f>I45+I48+I51+I56+I59+I70+I73+I75+I78+I81</f>
        <v>6368.75</v>
      </c>
      <c r="J44" s="250" t="e">
        <f>#REF!+#REF!+#REF!+#REF!+#REF!</f>
        <v>#REF!</v>
      </c>
      <c r="K44" s="576" t="e">
        <f>J44/I44</f>
        <v>#REF!</v>
      </c>
      <c r="L44" s="624"/>
      <c r="M44" s="437"/>
      <c r="N44" s="437"/>
    </row>
    <row r="45" spans="1:14" s="47" customFormat="1" ht="18.75" customHeight="1">
      <c r="A45" s="368" t="s">
        <v>482</v>
      </c>
      <c r="B45" s="280">
        <v>701</v>
      </c>
      <c r="C45" s="48" t="s">
        <v>39</v>
      </c>
      <c r="D45" s="48" t="s">
        <v>53</v>
      </c>
      <c r="E45" s="461" t="s">
        <v>405</v>
      </c>
      <c r="F45" s="462" t="s">
        <v>95</v>
      </c>
      <c r="G45" s="171"/>
      <c r="H45" s="171"/>
      <c r="I45" s="493">
        <f>I46</f>
        <v>50</v>
      </c>
      <c r="J45" s="259"/>
      <c r="K45" s="601"/>
      <c r="L45" s="624"/>
      <c r="M45" s="437"/>
      <c r="N45" s="437"/>
    </row>
    <row r="46" spans="1:16" s="29" customFormat="1" ht="19.5" customHeight="1">
      <c r="A46" s="368" t="s">
        <v>386</v>
      </c>
      <c r="B46" s="280">
        <v>701</v>
      </c>
      <c r="C46" s="48" t="s">
        <v>39</v>
      </c>
      <c r="D46" s="48" t="s">
        <v>53</v>
      </c>
      <c r="E46" s="461" t="s">
        <v>405</v>
      </c>
      <c r="F46" s="462" t="s">
        <v>476</v>
      </c>
      <c r="G46" s="48"/>
      <c r="H46" s="48"/>
      <c r="I46" s="45">
        <f>SUM(I47:I47)</f>
        <v>50</v>
      </c>
      <c r="J46" s="255"/>
      <c r="K46" s="574"/>
      <c r="L46" s="624"/>
      <c r="M46" s="156"/>
      <c r="N46" s="431"/>
      <c r="O46" s="430"/>
      <c r="P46" s="430"/>
    </row>
    <row r="47" spans="1:16" s="29" customFormat="1" ht="25.5">
      <c r="A47" s="369" t="s">
        <v>128</v>
      </c>
      <c r="B47" s="115">
        <v>701</v>
      </c>
      <c r="C47" s="49" t="s">
        <v>39</v>
      </c>
      <c r="D47" s="49" t="s">
        <v>53</v>
      </c>
      <c r="E47" s="466" t="s">
        <v>405</v>
      </c>
      <c r="F47" s="467" t="s">
        <v>476</v>
      </c>
      <c r="G47" s="49" t="s">
        <v>129</v>
      </c>
      <c r="H47" s="49"/>
      <c r="I47" s="46">
        <v>50</v>
      </c>
      <c r="J47" s="255"/>
      <c r="K47" s="574"/>
      <c r="L47" s="624"/>
      <c r="M47" s="156"/>
      <c r="N47" s="431"/>
      <c r="O47" s="430"/>
      <c r="P47" s="430"/>
    </row>
    <row r="48" spans="1:16" s="29" customFormat="1" ht="13.5">
      <c r="A48" s="554" t="s">
        <v>483</v>
      </c>
      <c r="B48" s="228">
        <v>701</v>
      </c>
      <c r="C48" s="48" t="s">
        <v>39</v>
      </c>
      <c r="D48" s="48" t="s">
        <v>53</v>
      </c>
      <c r="E48" s="461" t="s">
        <v>100</v>
      </c>
      <c r="F48" s="462" t="s">
        <v>95</v>
      </c>
      <c r="G48" s="49"/>
      <c r="H48" s="49"/>
      <c r="I48" s="45">
        <f>I49</f>
        <v>136</v>
      </c>
      <c r="J48" s="255"/>
      <c r="K48" s="574"/>
      <c r="L48" s="624"/>
      <c r="M48" s="156"/>
      <c r="N48" s="431"/>
      <c r="O48" s="430"/>
      <c r="P48" s="430"/>
    </row>
    <row r="49" spans="1:18" s="29" customFormat="1" ht="13.5">
      <c r="A49" s="554" t="s">
        <v>385</v>
      </c>
      <c r="B49" s="228">
        <v>701</v>
      </c>
      <c r="C49" s="48" t="s">
        <v>39</v>
      </c>
      <c r="D49" s="48" t="s">
        <v>53</v>
      </c>
      <c r="E49" s="461" t="s">
        <v>100</v>
      </c>
      <c r="F49" s="462" t="s">
        <v>476</v>
      </c>
      <c r="G49" s="49"/>
      <c r="H49" s="49"/>
      <c r="I49" s="45">
        <f>SUM(I50:I50)</f>
        <v>136</v>
      </c>
      <c r="J49" s="249"/>
      <c r="K49" s="573"/>
      <c r="L49" s="624"/>
      <c r="M49" s="156"/>
      <c r="N49" s="156"/>
      <c r="O49" s="24"/>
      <c r="P49" s="24"/>
      <c r="Q49" s="24"/>
      <c r="R49" s="24"/>
    </row>
    <row r="50" spans="1:18" s="29" customFormat="1" ht="26.25" customHeight="1">
      <c r="A50" s="369" t="s">
        <v>128</v>
      </c>
      <c r="B50" s="115">
        <v>701</v>
      </c>
      <c r="C50" s="49" t="s">
        <v>39</v>
      </c>
      <c r="D50" s="49" t="s">
        <v>53</v>
      </c>
      <c r="E50" s="466" t="s">
        <v>100</v>
      </c>
      <c r="F50" s="467" t="s">
        <v>476</v>
      </c>
      <c r="G50" s="49" t="s">
        <v>129</v>
      </c>
      <c r="H50" s="49"/>
      <c r="I50" s="46">
        <v>136</v>
      </c>
      <c r="J50" s="249"/>
      <c r="K50" s="573"/>
      <c r="L50" s="624"/>
      <c r="M50" s="156"/>
      <c r="N50" s="156"/>
      <c r="O50" s="558"/>
      <c r="P50" s="24"/>
      <c r="Q50" s="24"/>
      <c r="R50" s="24"/>
    </row>
    <row r="51" spans="1:18" s="50" customFormat="1" ht="29.25" customHeight="1">
      <c r="A51" s="368" t="s">
        <v>322</v>
      </c>
      <c r="B51" s="280">
        <v>701</v>
      </c>
      <c r="C51" s="48" t="s">
        <v>39</v>
      </c>
      <c r="D51" s="48" t="s">
        <v>53</v>
      </c>
      <c r="E51" s="464" t="s">
        <v>323</v>
      </c>
      <c r="F51" s="465" t="s">
        <v>95</v>
      </c>
      <c r="G51" s="49"/>
      <c r="H51" s="49"/>
      <c r="I51" s="45">
        <f>I52</f>
        <v>3500</v>
      </c>
      <c r="J51" s="513"/>
      <c r="K51" s="580"/>
      <c r="L51" s="624"/>
      <c r="M51" s="156"/>
      <c r="N51" s="156"/>
      <c r="O51" s="156"/>
      <c r="P51" s="559"/>
      <c r="Q51" s="156"/>
      <c r="R51" s="156"/>
    </row>
    <row r="52" spans="1:18" s="50" customFormat="1" ht="40.5">
      <c r="A52" s="368" t="s">
        <v>486</v>
      </c>
      <c r="B52" s="280">
        <v>701</v>
      </c>
      <c r="C52" s="48" t="s">
        <v>39</v>
      </c>
      <c r="D52" s="48" t="s">
        <v>53</v>
      </c>
      <c r="E52" s="464" t="s">
        <v>323</v>
      </c>
      <c r="F52" s="465" t="s">
        <v>485</v>
      </c>
      <c r="G52" s="49"/>
      <c r="H52" s="49"/>
      <c r="I52" s="45">
        <f>SUM(I53:I55)</f>
        <v>3500</v>
      </c>
      <c r="J52" s="513"/>
      <c r="K52" s="580"/>
      <c r="L52" s="624"/>
      <c r="M52" s="156"/>
      <c r="N52" s="156"/>
      <c r="O52" s="156"/>
      <c r="P52" s="559"/>
      <c r="Q52" s="156"/>
      <c r="R52" s="156"/>
    </row>
    <row r="53" spans="1:18" s="50" customFormat="1" ht="29.25" customHeight="1">
      <c r="A53" s="369" t="s">
        <v>126</v>
      </c>
      <c r="B53" s="115">
        <v>701</v>
      </c>
      <c r="C53" s="49" t="s">
        <v>39</v>
      </c>
      <c r="D53" s="49" t="s">
        <v>53</v>
      </c>
      <c r="E53" s="466" t="s">
        <v>323</v>
      </c>
      <c r="F53" s="467" t="s">
        <v>485</v>
      </c>
      <c r="G53" s="49" t="s">
        <v>127</v>
      </c>
      <c r="H53" s="49"/>
      <c r="I53" s="46">
        <v>2700</v>
      </c>
      <c r="J53" s="513"/>
      <c r="K53" s="580"/>
      <c r="L53" s="624"/>
      <c r="M53" s="156"/>
      <c r="N53" s="156"/>
      <c r="O53" s="156"/>
      <c r="P53" s="559"/>
      <c r="Q53" s="156"/>
      <c r="R53" s="156"/>
    </row>
    <row r="54" spans="1:16" s="50" customFormat="1" ht="29.25" customHeight="1">
      <c r="A54" s="369" t="s">
        <v>128</v>
      </c>
      <c r="B54" s="115">
        <v>701</v>
      </c>
      <c r="C54" s="49" t="s">
        <v>39</v>
      </c>
      <c r="D54" s="49" t="s">
        <v>53</v>
      </c>
      <c r="E54" s="466" t="s">
        <v>323</v>
      </c>
      <c r="F54" s="467" t="s">
        <v>485</v>
      </c>
      <c r="G54" s="49" t="s">
        <v>129</v>
      </c>
      <c r="H54" s="49"/>
      <c r="I54" s="46">
        <v>100</v>
      </c>
      <c r="J54" s="513"/>
      <c r="K54" s="580"/>
      <c r="L54" s="624"/>
      <c r="M54" s="156"/>
      <c r="N54" s="156"/>
      <c r="P54" s="514"/>
    </row>
    <row r="55" spans="1:16" s="50" customFormat="1" ht="28.5" customHeight="1">
      <c r="A55" s="369" t="s">
        <v>76</v>
      </c>
      <c r="B55" s="115">
        <v>701</v>
      </c>
      <c r="C55" s="49" t="s">
        <v>39</v>
      </c>
      <c r="D55" s="49" t="s">
        <v>53</v>
      </c>
      <c r="E55" s="466" t="s">
        <v>323</v>
      </c>
      <c r="F55" s="467" t="s">
        <v>485</v>
      </c>
      <c r="G55" s="49" t="s">
        <v>77</v>
      </c>
      <c r="H55" s="543"/>
      <c r="I55" s="315">
        <v>700</v>
      </c>
      <c r="J55" s="513"/>
      <c r="K55" s="580"/>
      <c r="L55" s="624"/>
      <c r="M55" s="156"/>
      <c r="N55" s="156"/>
      <c r="P55" s="514"/>
    </row>
    <row r="56" spans="1:16" s="50" customFormat="1" ht="28.5" customHeight="1">
      <c r="A56" s="368" t="s">
        <v>484</v>
      </c>
      <c r="B56" s="280">
        <v>701</v>
      </c>
      <c r="C56" s="48" t="s">
        <v>39</v>
      </c>
      <c r="D56" s="48" t="s">
        <v>53</v>
      </c>
      <c r="E56" s="464" t="s">
        <v>420</v>
      </c>
      <c r="F56" s="465" t="s">
        <v>95</v>
      </c>
      <c r="G56" s="49"/>
      <c r="H56" s="49"/>
      <c r="I56" s="45">
        <f>I57</f>
        <v>100</v>
      </c>
      <c r="J56" s="513"/>
      <c r="K56" s="580"/>
      <c r="L56" s="624"/>
      <c r="M56" s="156"/>
      <c r="N56" s="156"/>
      <c r="P56" s="514"/>
    </row>
    <row r="57" spans="1:16" s="50" customFormat="1" ht="28.5" customHeight="1">
      <c r="A57" s="368" t="s">
        <v>487</v>
      </c>
      <c r="B57" s="280">
        <v>701</v>
      </c>
      <c r="C57" s="48" t="s">
        <v>39</v>
      </c>
      <c r="D57" s="48" t="s">
        <v>53</v>
      </c>
      <c r="E57" s="464" t="s">
        <v>420</v>
      </c>
      <c r="F57" s="465" t="s">
        <v>485</v>
      </c>
      <c r="G57" s="49"/>
      <c r="H57" s="49"/>
      <c r="I57" s="45">
        <f>SUM(I58)</f>
        <v>100</v>
      </c>
      <c r="J57" s="513"/>
      <c r="K57" s="580"/>
      <c r="L57" s="624"/>
      <c r="M57" s="156"/>
      <c r="N57" s="156"/>
      <c r="P57" s="514"/>
    </row>
    <row r="58" spans="1:16" s="50" customFormat="1" ht="28.5" customHeight="1">
      <c r="A58" s="369" t="s">
        <v>128</v>
      </c>
      <c r="B58" s="115">
        <v>701</v>
      </c>
      <c r="C58" s="49" t="s">
        <v>39</v>
      </c>
      <c r="D58" s="49" t="s">
        <v>53</v>
      </c>
      <c r="E58" s="466" t="s">
        <v>420</v>
      </c>
      <c r="F58" s="467" t="s">
        <v>485</v>
      </c>
      <c r="G58" s="49" t="s">
        <v>129</v>
      </c>
      <c r="H58" s="49"/>
      <c r="I58" s="46">
        <v>100</v>
      </c>
      <c r="J58" s="513"/>
      <c r="K58" s="580"/>
      <c r="L58" s="624"/>
      <c r="M58" s="156"/>
      <c r="N58" s="156"/>
      <c r="P58" s="514"/>
    </row>
    <row r="59" spans="1:14" s="50" customFormat="1" ht="41.25" customHeight="1">
      <c r="A59" s="500" t="s">
        <v>404</v>
      </c>
      <c r="B59" s="516">
        <v>701</v>
      </c>
      <c r="C59" s="48" t="s">
        <v>39</v>
      </c>
      <c r="D59" s="48" t="s">
        <v>53</v>
      </c>
      <c r="E59" s="472" t="s">
        <v>493</v>
      </c>
      <c r="F59" s="333" t="s">
        <v>95</v>
      </c>
      <c r="G59" s="48"/>
      <c r="H59" s="48"/>
      <c r="I59" s="45">
        <f>I60+I67</f>
        <v>170</v>
      </c>
      <c r="J59" s="513"/>
      <c r="K59" s="580"/>
      <c r="L59" s="624"/>
      <c r="M59" s="156"/>
      <c r="N59" s="156"/>
    </row>
    <row r="60" spans="1:14" s="50" customFormat="1" ht="41.25" customHeight="1">
      <c r="A60" s="500" t="s">
        <v>494</v>
      </c>
      <c r="B60" s="516">
        <v>701</v>
      </c>
      <c r="C60" s="48" t="s">
        <v>39</v>
      </c>
      <c r="D60" s="48" t="s">
        <v>53</v>
      </c>
      <c r="E60" s="464" t="s">
        <v>288</v>
      </c>
      <c r="F60" s="465" t="s">
        <v>95</v>
      </c>
      <c r="G60" s="48"/>
      <c r="H60" s="48"/>
      <c r="I60" s="45">
        <f>I61+I63+I65</f>
        <v>70</v>
      </c>
      <c r="J60" s="513"/>
      <c r="K60" s="580"/>
      <c r="L60" s="624"/>
      <c r="M60" s="156"/>
      <c r="N60" s="156"/>
    </row>
    <row r="61" spans="1:14" s="50" customFormat="1" ht="41.25" customHeight="1">
      <c r="A61" s="500" t="s">
        <v>492</v>
      </c>
      <c r="B61" s="516">
        <v>701</v>
      </c>
      <c r="C61" s="48" t="s">
        <v>39</v>
      </c>
      <c r="D61" s="48" t="s">
        <v>53</v>
      </c>
      <c r="E61" s="464" t="s">
        <v>288</v>
      </c>
      <c r="F61" s="465" t="s">
        <v>489</v>
      </c>
      <c r="G61" s="48"/>
      <c r="H61" s="48"/>
      <c r="I61" s="45">
        <f>I62</f>
        <v>60</v>
      </c>
      <c r="J61" s="513"/>
      <c r="K61" s="580"/>
      <c r="L61" s="624"/>
      <c r="M61" s="156"/>
      <c r="N61" s="156"/>
    </row>
    <row r="62" spans="1:14" s="50" customFormat="1" ht="25.5">
      <c r="A62" s="369" t="s">
        <v>126</v>
      </c>
      <c r="B62" s="517">
        <v>701</v>
      </c>
      <c r="C62" s="49" t="s">
        <v>39</v>
      </c>
      <c r="D62" s="49" t="s">
        <v>53</v>
      </c>
      <c r="E62" s="466" t="s">
        <v>288</v>
      </c>
      <c r="F62" s="467" t="s">
        <v>489</v>
      </c>
      <c r="G62" s="49" t="s">
        <v>127</v>
      </c>
      <c r="H62" s="518"/>
      <c r="I62" s="46">
        <f>65-5</f>
        <v>60</v>
      </c>
      <c r="J62" s="513"/>
      <c r="K62" s="580"/>
      <c r="L62" s="624"/>
      <c r="M62" s="156"/>
      <c r="N62" s="156"/>
    </row>
    <row r="63" spans="1:14" s="408" customFormat="1" ht="67.5">
      <c r="A63" s="368" t="s">
        <v>449</v>
      </c>
      <c r="B63" s="93" t="s">
        <v>116</v>
      </c>
      <c r="C63" s="93" t="s">
        <v>39</v>
      </c>
      <c r="D63" s="93" t="s">
        <v>53</v>
      </c>
      <c r="E63" s="464" t="s">
        <v>288</v>
      </c>
      <c r="F63" s="465" t="s">
        <v>320</v>
      </c>
      <c r="G63" s="94"/>
      <c r="H63" s="94"/>
      <c r="I63" s="95">
        <f>I64</f>
        <v>5</v>
      </c>
      <c r="J63" s="519"/>
      <c r="K63" s="581"/>
      <c r="L63" s="624"/>
      <c r="M63" s="567"/>
      <c r="N63" s="567"/>
    </row>
    <row r="64" spans="1:14" s="408" customFormat="1" ht="25.5">
      <c r="A64" s="369" t="s">
        <v>126</v>
      </c>
      <c r="B64" s="94" t="s">
        <v>116</v>
      </c>
      <c r="C64" s="94" t="s">
        <v>39</v>
      </c>
      <c r="D64" s="94" t="s">
        <v>53</v>
      </c>
      <c r="E64" s="466" t="s">
        <v>288</v>
      </c>
      <c r="F64" s="467" t="s">
        <v>320</v>
      </c>
      <c r="G64" s="94" t="s">
        <v>127</v>
      </c>
      <c r="H64" s="94"/>
      <c r="I64" s="103">
        <v>5</v>
      </c>
      <c r="J64" s="519"/>
      <c r="K64" s="581"/>
      <c r="L64" s="624"/>
      <c r="M64" s="567"/>
      <c r="N64" s="567"/>
    </row>
    <row r="65" spans="1:14" s="408" customFormat="1" ht="121.5">
      <c r="A65" s="368" t="s">
        <v>466</v>
      </c>
      <c r="B65" s="516">
        <v>701</v>
      </c>
      <c r="C65" s="48" t="s">
        <v>39</v>
      </c>
      <c r="D65" s="48" t="s">
        <v>53</v>
      </c>
      <c r="E65" s="464" t="s">
        <v>288</v>
      </c>
      <c r="F65" s="465" t="s">
        <v>448</v>
      </c>
      <c r="G65" s="48"/>
      <c r="H65" s="48"/>
      <c r="I65" s="45">
        <f>I66</f>
        <v>5</v>
      </c>
      <c r="J65" s="519"/>
      <c r="K65" s="581"/>
      <c r="L65" s="624"/>
      <c r="M65" s="567"/>
      <c r="N65" s="567"/>
    </row>
    <row r="66" spans="1:14" s="408" customFormat="1" ht="25.5">
      <c r="A66" s="369" t="s">
        <v>126</v>
      </c>
      <c r="B66" s="517">
        <v>701</v>
      </c>
      <c r="C66" s="49" t="s">
        <v>39</v>
      </c>
      <c r="D66" s="49" t="s">
        <v>53</v>
      </c>
      <c r="E66" s="466" t="s">
        <v>288</v>
      </c>
      <c r="F66" s="467" t="s">
        <v>448</v>
      </c>
      <c r="G66" s="49" t="s">
        <v>127</v>
      </c>
      <c r="H66" s="48" t="s">
        <v>39</v>
      </c>
      <c r="I66" s="773">
        <v>5</v>
      </c>
      <c r="J66" s="519"/>
      <c r="K66" s="581"/>
      <c r="L66" s="624"/>
      <c r="M66" s="567"/>
      <c r="N66" s="567"/>
    </row>
    <row r="67" spans="1:14" s="50" customFormat="1" ht="54">
      <c r="A67" s="500" t="s">
        <v>491</v>
      </c>
      <c r="B67" s="516">
        <v>701</v>
      </c>
      <c r="C67" s="48" t="s">
        <v>39</v>
      </c>
      <c r="D67" s="48" t="s">
        <v>53</v>
      </c>
      <c r="E67" s="464" t="s">
        <v>488</v>
      </c>
      <c r="F67" s="465" t="s">
        <v>95</v>
      </c>
      <c r="G67" s="49"/>
      <c r="H67" s="518"/>
      <c r="I67" s="45">
        <f>I68</f>
        <v>100</v>
      </c>
      <c r="J67" s="513"/>
      <c r="K67" s="580"/>
      <c r="L67" s="624"/>
      <c r="M67" s="156"/>
      <c r="N67" s="156"/>
    </row>
    <row r="68" spans="1:14" s="50" customFormat="1" ht="54">
      <c r="A68" s="500" t="s">
        <v>490</v>
      </c>
      <c r="B68" s="516">
        <v>701</v>
      </c>
      <c r="C68" s="48" t="s">
        <v>39</v>
      </c>
      <c r="D68" s="48" t="s">
        <v>53</v>
      </c>
      <c r="E68" s="464" t="s">
        <v>488</v>
      </c>
      <c r="F68" s="465" t="s">
        <v>489</v>
      </c>
      <c r="G68" s="49"/>
      <c r="H68" s="518"/>
      <c r="I68" s="45">
        <f>I69</f>
        <v>100</v>
      </c>
      <c r="J68" s="513"/>
      <c r="K68" s="580"/>
      <c r="L68" s="624"/>
      <c r="M68" s="156"/>
      <c r="N68" s="156"/>
    </row>
    <row r="69" spans="1:14" s="50" customFormat="1" ht="25.5">
      <c r="A69" s="369" t="s">
        <v>128</v>
      </c>
      <c r="B69" s="517">
        <v>701</v>
      </c>
      <c r="C69" s="49" t="s">
        <v>39</v>
      </c>
      <c r="D69" s="49" t="s">
        <v>53</v>
      </c>
      <c r="E69" s="466" t="s">
        <v>488</v>
      </c>
      <c r="F69" s="467" t="s">
        <v>489</v>
      </c>
      <c r="G69" s="49" t="s">
        <v>129</v>
      </c>
      <c r="H69" s="49"/>
      <c r="I69" s="46">
        <v>100</v>
      </c>
      <c r="J69" s="513"/>
      <c r="K69" s="580"/>
      <c r="L69" s="624"/>
      <c r="M69" s="156"/>
      <c r="N69" s="156"/>
    </row>
    <row r="70" spans="1:14" s="50" customFormat="1" ht="38.25" customHeight="1">
      <c r="A70" s="500" t="s">
        <v>310</v>
      </c>
      <c r="B70" s="516">
        <v>701</v>
      </c>
      <c r="C70" s="48" t="s">
        <v>39</v>
      </c>
      <c r="D70" s="48" t="s">
        <v>53</v>
      </c>
      <c r="E70" s="461" t="s">
        <v>329</v>
      </c>
      <c r="F70" s="462" t="s">
        <v>287</v>
      </c>
      <c r="G70" s="48"/>
      <c r="H70" s="48"/>
      <c r="I70" s="45">
        <f>SUBTOTAL(9,I71:I72)</f>
        <v>758.15</v>
      </c>
      <c r="J70" s="513"/>
      <c r="K70" s="580"/>
      <c r="L70" s="624"/>
      <c r="M70" s="156"/>
      <c r="N70" s="156"/>
    </row>
    <row r="71" spans="1:14" s="50" customFormat="1" ht="26.25" customHeight="1">
      <c r="A71" s="369" t="s">
        <v>126</v>
      </c>
      <c r="B71" s="517">
        <v>701</v>
      </c>
      <c r="C71" s="49" t="s">
        <v>39</v>
      </c>
      <c r="D71" s="49" t="s">
        <v>53</v>
      </c>
      <c r="E71" s="466" t="s">
        <v>329</v>
      </c>
      <c r="F71" s="467" t="s">
        <v>287</v>
      </c>
      <c r="G71" s="49" t="s">
        <v>127</v>
      </c>
      <c r="H71" s="48"/>
      <c r="I71" s="46">
        <f>650+196.3/2</f>
        <v>748.15</v>
      </c>
      <c r="J71" s="513"/>
      <c r="K71" s="580"/>
      <c r="L71" s="624"/>
      <c r="M71" s="156"/>
      <c r="N71" s="156"/>
    </row>
    <row r="72" spans="1:14" s="50" customFormat="1" ht="26.25" customHeight="1">
      <c r="A72" s="369" t="s">
        <v>128</v>
      </c>
      <c r="B72" s="517">
        <v>701</v>
      </c>
      <c r="C72" s="49" t="s">
        <v>39</v>
      </c>
      <c r="D72" s="49" t="s">
        <v>53</v>
      </c>
      <c r="E72" s="466" t="s">
        <v>329</v>
      </c>
      <c r="F72" s="467" t="s">
        <v>287</v>
      </c>
      <c r="G72" s="49" t="s">
        <v>129</v>
      </c>
      <c r="H72" s="48"/>
      <c r="I72" s="46">
        <v>10</v>
      </c>
      <c r="J72" s="513"/>
      <c r="K72" s="580"/>
      <c r="L72" s="624"/>
      <c r="M72" s="156"/>
      <c r="N72" s="156"/>
    </row>
    <row r="73" spans="1:14" s="50" customFormat="1" ht="81">
      <c r="A73" s="500" t="s">
        <v>463</v>
      </c>
      <c r="B73" s="516">
        <v>701</v>
      </c>
      <c r="C73" s="48" t="s">
        <v>39</v>
      </c>
      <c r="D73" s="48" t="s">
        <v>53</v>
      </c>
      <c r="E73" s="461" t="s">
        <v>329</v>
      </c>
      <c r="F73" s="462" t="s">
        <v>286</v>
      </c>
      <c r="G73" s="48"/>
      <c r="H73" s="48" t="s">
        <v>38</v>
      </c>
      <c r="I73" s="45">
        <f>SUM(I74:I74)</f>
        <v>482</v>
      </c>
      <c r="J73" s="513"/>
      <c r="K73" s="580"/>
      <c r="L73" s="624"/>
      <c r="M73" s="156"/>
      <c r="N73" s="156"/>
    </row>
    <row r="74" spans="1:14" s="50" customFormat="1" ht="26.25" customHeight="1">
      <c r="A74" s="369" t="s">
        <v>126</v>
      </c>
      <c r="B74" s="517">
        <v>701</v>
      </c>
      <c r="C74" s="49" t="s">
        <v>39</v>
      </c>
      <c r="D74" s="49" t="s">
        <v>53</v>
      </c>
      <c r="E74" s="466" t="s">
        <v>329</v>
      </c>
      <c r="F74" s="467" t="s">
        <v>286</v>
      </c>
      <c r="G74" s="49" t="s">
        <v>127</v>
      </c>
      <c r="H74" s="48"/>
      <c r="I74" s="46">
        <v>482</v>
      </c>
      <c r="J74" s="513"/>
      <c r="K74" s="580"/>
      <c r="L74" s="624"/>
      <c r="M74" s="156"/>
      <c r="N74" s="156"/>
    </row>
    <row r="75" spans="1:14" s="47" customFormat="1" ht="54">
      <c r="A75" s="368" t="s">
        <v>464</v>
      </c>
      <c r="B75" s="516">
        <v>701</v>
      </c>
      <c r="C75" s="48" t="s">
        <v>39</v>
      </c>
      <c r="D75" s="461" t="s">
        <v>53</v>
      </c>
      <c r="E75" s="461" t="s">
        <v>98</v>
      </c>
      <c r="F75" s="462" t="s">
        <v>210</v>
      </c>
      <c r="G75" s="462"/>
      <c r="H75" s="48"/>
      <c r="I75" s="317">
        <f>SUM(I76:I77)</f>
        <v>35.5</v>
      </c>
      <c r="J75" s="251"/>
      <c r="K75" s="579"/>
      <c r="L75" s="624"/>
      <c r="M75" s="437"/>
      <c r="N75" s="437"/>
    </row>
    <row r="76" spans="1:14" s="47" customFormat="1" ht="25.5">
      <c r="A76" s="369" t="s">
        <v>126</v>
      </c>
      <c r="B76" s="517">
        <v>701</v>
      </c>
      <c r="C76" s="49" t="s">
        <v>39</v>
      </c>
      <c r="D76" s="471" t="s">
        <v>53</v>
      </c>
      <c r="E76" s="471" t="s">
        <v>98</v>
      </c>
      <c r="F76" s="478" t="s">
        <v>210</v>
      </c>
      <c r="G76" s="49" t="s">
        <v>127</v>
      </c>
      <c r="H76" s="48" t="s">
        <v>39</v>
      </c>
      <c r="I76" s="674">
        <v>15.5</v>
      </c>
      <c r="J76" s="461" t="s">
        <v>98</v>
      </c>
      <c r="K76" s="462" t="s">
        <v>210</v>
      </c>
      <c r="L76" s="624"/>
      <c r="M76" s="437"/>
      <c r="N76" s="437"/>
    </row>
    <row r="77" spans="1:14" s="47" customFormat="1" ht="25.5">
      <c r="A77" s="369" t="s">
        <v>128</v>
      </c>
      <c r="B77" s="517">
        <v>701</v>
      </c>
      <c r="C77" s="49" t="s">
        <v>39</v>
      </c>
      <c r="D77" s="471" t="s">
        <v>53</v>
      </c>
      <c r="E77" s="471" t="s">
        <v>98</v>
      </c>
      <c r="F77" s="478" t="s">
        <v>210</v>
      </c>
      <c r="G77" s="49" t="s">
        <v>129</v>
      </c>
      <c r="H77" s="49"/>
      <c r="I77" s="46">
        <v>20</v>
      </c>
      <c r="J77" s="251"/>
      <c r="K77" s="579"/>
      <c r="L77" s="624"/>
      <c r="M77" s="437"/>
      <c r="N77" s="437"/>
    </row>
    <row r="78" spans="1:14" s="47" customFormat="1" ht="60">
      <c r="A78" s="679" t="s">
        <v>465</v>
      </c>
      <c r="B78" s="516">
        <v>701</v>
      </c>
      <c r="C78" s="48" t="s">
        <v>39</v>
      </c>
      <c r="D78" s="48" t="s">
        <v>53</v>
      </c>
      <c r="E78" s="461" t="s">
        <v>98</v>
      </c>
      <c r="F78" s="462" t="s">
        <v>425</v>
      </c>
      <c r="G78" s="48"/>
      <c r="H78" s="48"/>
      <c r="I78" s="45">
        <f>SUM(I79:I80)</f>
        <v>55</v>
      </c>
      <c r="J78" s="251"/>
      <c r="K78" s="579"/>
      <c r="L78" s="624"/>
      <c r="M78" s="437"/>
      <c r="N78" s="437"/>
    </row>
    <row r="79" spans="1:14" s="47" customFormat="1" ht="15" customHeight="1">
      <c r="A79" s="369" t="s">
        <v>126</v>
      </c>
      <c r="B79" s="517">
        <v>701</v>
      </c>
      <c r="C79" s="49" t="s">
        <v>39</v>
      </c>
      <c r="D79" s="49" t="s">
        <v>53</v>
      </c>
      <c r="E79" s="466" t="s">
        <v>98</v>
      </c>
      <c r="F79" s="467" t="s">
        <v>425</v>
      </c>
      <c r="G79" s="49" t="s">
        <v>127</v>
      </c>
      <c r="H79" s="48" t="s">
        <v>39</v>
      </c>
      <c r="I79" s="773">
        <v>15</v>
      </c>
      <c r="J79" s="461" t="s">
        <v>98</v>
      </c>
      <c r="K79" s="462" t="s">
        <v>210</v>
      </c>
      <c r="L79" s="624"/>
      <c r="M79" s="437"/>
      <c r="N79" s="437"/>
    </row>
    <row r="80" spans="1:14" s="47" customFormat="1" ht="18.75" customHeight="1">
      <c r="A80" s="369" t="s">
        <v>128</v>
      </c>
      <c r="B80" s="517">
        <v>701</v>
      </c>
      <c r="C80" s="49" t="s">
        <v>39</v>
      </c>
      <c r="D80" s="49" t="s">
        <v>53</v>
      </c>
      <c r="E80" s="466" t="s">
        <v>98</v>
      </c>
      <c r="F80" s="467" t="s">
        <v>425</v>
      </c>
      <c r="G80" s="49" t="s">
        <v>129</v>
      </c>
      <c r="H80" s="48" t="s">
        <v>39</v>
      </c>
      <c r="I80" s="773">
        <v>40</v>
      </c>
      <c r="J80" s="461" t="s">
        <v>98</v>
      </c>
      <c r="K80" s="462" t="s">
        <v>210</v>
      </c>
      <c r="L80" s="624"/>
      <c r="M80" s="437"/>
      <c r="N80" s="437"/>
    </row>
    <row r="81" spans="1:14" s="47" customFormat="1" ht="32.25" customHeight="1">
      <c r="A81" s="500" t="s">
        <v>62</v>
      </c>
      <c r="B81" s="516">
        <v>701</v>
      </c>
      <c r="C81" s="48" t="s">
        <v>39</v>
      </c>
      <c r="D81" s="48" t="s">
        <v>53</v>
      </c>
      <c r="E81" s="461" t="s">
        <v>104</v>
      </c>
      <c r="F81" s="462" t="s">
        <v>105</v>
      </c>
      <c r="G81" s="48"/>
      <c r="H81" s="48"/>
      <c r="I81" s="45">
        <f>SUM(I82:I83)</f>
        <v>1082.1</v>
      </c>
      <c r="J81" s="251"/>
      <c r="K81" s="579"/>
      <c r="L81" s="624"/>
      <c r="M81" s="437"/>
      <c r="N81" s="437"/>
    </row>
    <row r="82" spans="1:14" s="47" customFormat="1" ht="15.75" customHeight="1">
      <c r="A82" s="369" t="s">
        <v>126</v>
      </c>
      <c r="B82" s="517">
        <v>701</v>
      </c>
      <c r="C82" s="49" t="s">
        <v>39</v>
      </c>
      <c r="D82" s="49" t="s">
        <v>53</v>
      </c>
      <c r="E82" s="466" t="s">
        <v>104</v>
      </c>
      <c r="F82" s="467" t="s">
        <v>105</v>
      </c>
      <c r="G82" s="49" t="s">
        <v>127</v>
      </c>
      <c r="H82" s="49"/>
      <c r="I82" s="46">
        <v>900</v>
      </c>
      <c r="J82" s="251"/>
      <c r="K82" s="579"/>
      <c r="L82" s="624"/>
      <c r="M82" s="437"/>
      <c r="N82" s="437"/>
    </row>
    <row r="83" spans="1:14" s="47" customFormat="1" ht="15.75" customHeight="1">
      <c r="A83" s="369" t="s">
        <v>128</v>
      </c>
      <c r="B83" s="517">
        <v>701</v>
      </c>
      <c r="C83" s="49" t="s">
        <v>39</v>
      </c>
      <c r="D83" s="49" t="s">
        <v>53</v>
      </c>
      <c r="E83" s="466" t="s">
        <v>104</v>
      </c>
      <c r="F83" s="467" t="s">
        <v>105</v>
      </c>
      <c r="G83" s="49" t="s">
        <v>129</v>
      </c>
      <c r="H83" s="49"/>
      <c r="I83" s="46">
        <v>182.1</v>
      </c>
      <c r="J83" s="251"/>
      <c r="K83" s="579"/>
      <c r="L83" s="624"/>
      <c r="M83" s="437"/>
      <c r="N83" s="437"/>
    </row>
    <row r="84" spans="1:14" s="29" customFormat="1" ht="14.25">
      <c r="A84" s="353" t="s">
        <v>134</v>
      </c>
      <c r="B84" s="353">
        <v>701</v>
      </c>
      <c r="C84" s="213" t="s">
        <v>42</v>
      </c>
      <c r="D84" s="214"/>
      <c r="E84" s="804"/>
      <c r="F84" s="805"/>
      <c r="G84" s="214"/>
      <c r="H84" s="214"/>
      <c r="I84" s="360">
        <f>I85</f>
        <v>375.5</v>
      </c>
      <c r="J84" s="249"/>
      <c r="K84" s="573"/>
      <c r="L84" s="624"/>
      <c r="M84" s="156"/>
      <c r="N84" s="156"/>
    </row>
    <row r="85" spans="1:14" s="29" customFormat="1" ht="14.25">
      <c r="A85" s="370" t="s">
        <v>133</v>
      </c>
      <c r="B85" s="354">
        <v>701</v>
      </c>
      <c r="C85" s="215" t="s">
        <v>42</v>
      </c>
      <c r="D85" s="215" t="s">
        <v>40</v>
      </c>
      <c r="E85" s="802"/>
      <c r="F85" s="803"/>
      <c r="G85" s="216"/>
      <c r="H85" s="216"/>
      <c r="I85" s="312">
        <f>I86</f>
        <v>375.5</v>
      </c>
      <c r="J85" s="249"/>
      <c r="K85" s="573"/>
      <c r="L85" s="624"/>
      <c r="M85" s="156"/>
      <c r="N85" s="156"/>
    </row>
    <row r="86" spans="1:14" s="29" customFormat="1" ht="27">
      <c r="A86" s="368" t="s">
        <v>124</v>
      </c>
      <c r="B86" s="355">
        <v>701</v>
      </c>
      <c r="C86" s="31" t="s">
        <v>42</v>
      </c>
      <c r="D86" s="31" t="s">
        <v>40</v>
      </c>
      <c r="E86" s="461" t="s">
        <v>509</v>
      </c>
      <c r="F86" s="462" t="s">
        <v>125</v>
      </c>
      <c r="G86" s="31"/>
      <c r="H86" s="31"/>
      <c r="I86" s="45">
        <f>SUM(I87:I88)</f>
        <v>375.5</v>
      </c>
      <c r="J86" s="249"/>
      <c r="K86" s="573"/>
      <c r="L86" s="624"/>
      <c r="M86" s="156"/>
      <c r="N86" s="156"/>
    </row>
    <row r="87" spans="1:14" s="29" customFormat="1" ht="25.5">
      <c r="A87" s="367" t="s">
        <v>126</v>
      </c>
      <c r="B87" s="352">
        <v>701</v>
      </c>
      <c r="C87" s="36" t="s">
        <v>42</v>
      </c>
      <c r="D87" s="36" t="s">
        <v>40</v>
      </c>
      <c r="E87" s="466" t="s">
        <v>509</v>
      </c>
      <c r="F87" s="467" t="s">
        <v>125</v>
      </c>
      <c r="G87" s="36" t="s">
        <v>127</v>
      </c>
      <c r="H87" s="31"/>
      <c r="I87" s="37">
        <v>360</v>
      </c>
      <c r="J87" s="249"/>
      <c r="K87" s="573"/>
      <c r="L87" s="624"/>
      <c r="M87" s="156"/>
      <c r="N87" s="156"/>
    </row>
    <row r="88" spans="1:14" s="29" customFormat="1" ht="25.5">
      <c r="A88" s="369" t="s">
        <v>128</v>
      </c>
      <c r="B88" s="352">
        <v>701</v>
      </c>
      <c r="C88" s="36" t="s">
        <v>42</v>
      </c>
      <c r="D88" s="36" t="s">
        <v>40</v>
      </c>
      <c r="E88" s="466" t="s">
        <v>509</v>
      </c>
      <c r="F88" s="467" t="s">
        <v>125</v>
      </c>
      <c r="G88" s="36" t="s">
        <v>129</v>
      </c>
      <c r="H88" s="31"/>
      <c r="I88" s="37">
        <v>15.5</v>
      </c>
      <c r="J88" s="249"/>
      <c r="K88" s="573"/>
      <c r="L88" s="624"/>
      <c r="M88" s="156"/>
      <c r="N88" s="156"/>
    </row>
    <row r="89" spans="1:14" s="29" customFormat="1" ht="28.5">
      <c r="A89" s="353" t="s">
        <v>16</v>
      </c>
      <c r="B89" s="52">
        <v>701</v>
      </c>
      <c r="C89" s="52" t="s">
        <v>40</v>
      </c>
      <c r="D89" s="52"/>
      <c r="E89" s="804"/>
      <c r="F89" s="805"/>
      <c r="G89" s="52"/>
      <c r="H89" s="52"/>
      <c r="I89" s="324">
        <f>I90+I100</f>
        <v>1869.5</v>
      </c>
      <c r="J89" s="252" t="e">
        <f>J90</f>
        <v>#REF!</v>
      </c>
      <c r="K89" s="582" t="e">
        <f>J89/I89</f>
        <v>#REF!</v>
      </c>
      <c r="L89" s="624"/>
      <c r="M89" s="156"/>
      <c r="N89" s="156"/>
    </row>
    <row r="90" spans="1:14" s="29" customFormat="1" ht="33" customHeight="1">
      <c r="A90" s="371" t="s">
        <v>107</v>
      </c>
      <c r="B90" s="40">
        <v>701</v>
      </c>
      <c r="C90" s="40" t="s">
        <v>40</v>
      </c>
      <c r="D90" s="40" t="s">
        <v>45</v>
      </c>
      <c r="E90" s="802"/>
      <c r="F90" s="803"/>
      <c r="G90" s="40"/>
      <c r="H90" s="40" t="s">
        <v>38</v>
      </c>
      <c r="I90" s="41">
        <f>I91+I95</f>
        <v>1719.5</v>
      </c>
      <c r="J90" s="253" t="e">
        <f>#REF!</f>
        <v>#REF!</v>
      </c>
      <c r="K90" s="583" t="e">
        <f>J90/I90</f>
        <v>#REF!</v>
      </c>
      <c r="L90" s="624"/>
      <c r="M90" s="156"/>
      <c r="N90" s="156"/>
    </row>
    <row r="91" spans="1:14" s="58" customFormat="1" ht="27">
      <c r="A91" s="368" t="s">
        <v>497</v>
      </c>
      <c r="B91" s="48">
        <v>701</v>
      </c>
      <c r="C91" s="48" t="s">
        <v>40</v>
      </c>
      <c r="D91" s="48" t="s">
        <v>45</v>
      </c>
      <c r="E91" s="461" t="s">
        <v>108</v>
      </c>
      <c r="F91" s="462" t="s">
        <v>95</v>
      </c>
      <c r="G91" s="48"/>
      <c r="H91" s="48"/>
      <c r="I91" s="45">
        <f>I92</f>
        <v>1128.8</v>
      </c>
      <c r="J91" s="254"/>
      <c r="K91" s="584"/>
      <c r="L91" s="624"/>
      <c r="M91" s="625"/>
      <c r="N91" s="625"/>
    </row>
    <row r="92" spans="1:14" s="58" customFormat="1" ht="27">
      <c r="A92" s="368" t="s">
        <v>51</v>
      </c>
      <c r="B92" s="49">
        <v>701</v>
      </c>
      <c r="C92" s="49" t="s">
        <v>40</v>
      </c>
      <c r="D92" s="49" t="s">
        <v>45</v>
      </c>
      <c r="E92" s="466" t="s">
        <v>108</v>
      </c>
      <c r="F92" s="467" t="s">
        <v>498</v>
      </c>
      <c r="G92" s="48"/>
      <c r="H92" s="48"/>
      <c r="I92" s="45">
        <f>SUM(I93:I94)</f>
        <v>1128.8</v>
      </c>
      <c r="J92" s="254"/>
      <c r="K92" s="584"/>
      <c r="L92" s="624"/>
      <c r="M92" s="625"/>
      <c r="N92" s="625"/>
    </row>
    <row r="93" spans="1:14" s="29" customFormat="1" ht="25.5">
      <c r="A93" s="369" t="s">
        <v>128</v>
      </c>
      <c r="B93" s="49">
        <v>701</v>
      </c>
      <c r="C93" s="49" t="s">
        <v>40</v>
      </c>
      <c r="D93" s="49" t="s">
        <v>45</v>
      </c>
      <c r="E93" s="466" t="s">
        <v>108</v>
      </c>
      <c r="F93" s="467" t="s">
        <v>498</v>
      </c>
      <c r="G93" s="49" t="s">
        <v>129</v>
      </c>
      <c r="H93" s="49"/>
      <c r="I93" s="46">
        <f>1000-100</f>
        <v>900</v>
      </c>
      <c r="J93" s="255"/>
      <c r="K93" s="574"/>
      <c r="L93" s="624"/>
      <c r="M93" s="156"/>
      <c r="N93" s="156"/>
    </row>
    <row r="94" spans="1:14" s="29" customFormat="1" ht="38.25">
      <c r="A94" s="369" t="s">
        <v>327</v>
      </c>
      <c r="B94" s="49">
        <v>701</v>
      </c>
      <c r="C94" s="49" t="s">
        <v>40</v>
      </c>
      <c r="D94" s="49" t="s">
        <v>45</v>
      </c>
      <c r="E94" s="466" t="s">
        <v>108</v>
      </c>
      <c r="F94" s="467" t="s">
        <v>498</v>
      </c>
      <c r="G94" s="49" t="s">
        <v>84</v>
      </c>
      <c r="H94" s="49"/>
      <c r="I94" s="46">
        <v>228.8</v>
      </c>
      <c r="J94" s="255"/>
      <c r="K94" s="574"/>
      <c r="L94" s="624"/>
      <c r="M94" s="156"/>
      <c r="N94" s="156"/>
    </row>
    <row r="95" spans="1:14" s="29" customFormat="1" ht="54">
      <c r="A95" s="347" t="s">
        <v>499</v>
      </c>
      <c r="B95" s="234">
        <v>701</v>
      </c>
      <c r="C95" s="93" t="s">
        <v>40</v>
      </c>
      <c r="D95" s="93" t="s">
        <v>45</v>
      </c>
      <c r="E95" s="461" t="s">
        <v>500</v>
      </c>
      <c r="F95" s="462" t="s">
        <v>95</v>
      </c>
      <c r="G95" s="49"/>
      <c r="H95" s="49"/>
      <c r="I95" s="45">
        <f>I96</f>
        <v>590.7</v>
      </c>
      <c r="J95" s="736"/>
      <c r="K95" s="737"/>
      <c r="L95" s="624"/>
      <c r="M95" s="156"/>
      <c r="N95" s="156"/>
    </row>
    <row r="96" spans="1:14" s="29" customFormat="1" ht="54">
      <c r="A96" s="347" t="s">
        <v>309</v>
      </c>
      <c r="B96" s="234">
        <v>701</v>
      </c>
      <c r="C96" s="93" t="s">
        <v>40</v>
      </c>
      <c r="D96" s="93" t="s">
        <v>45</v>
      </c>
      <c r="E96" s="461" t="s">
        <v>289</v>
      </c>
      <c r="F96" s="462" t="s">
        <v>95</v>
      </c>
      <c r="G96" s="93"/>
      <c r="H96" s="49"/>
      <c r="I96" s="45">
        <f>I97</f>
        <v>590.7</v>
      </c>
      <c r="J96" s="736"/>
      <c r="K96" s="737"/>
      <c r="L96" s="624"/>
      <c r="M96" s="156"/>
      <c r="N96" s="156"/>
    </row>
    <row r="97" spans="1:14" s="62" customFormat="1" ht="45" customHeight="1">
      <c r="A97" s="347" t="s">
        <v>502</v>
      </c>
      <c r="B97" s="234">
        <v>701</v>
      </c>
      <c r="C97" s="93" t="s">
        <v>40</v>
      </c>
      <c r="D97" s="93" t="s">
        <v>45</v>
      </c>
      <c r="E97" s="461" t="s">
        <v>289</v>
      </c>
      <c r="F97" s="462" t="s">
        <v>501</v>
      </c>
      <c r="G97" s="93"/>
      <c r="H97" s="233" t="e">
        <f>H99</f>
        <v>#REF!</v>
      </c>
      <c r="I97" s="327">
        <f>SUM(I98:I99)</f>
        <v>590.7</v>
      </c>
      <c r="L97" s="626"/>
      <c r="M97" s="651"/>
      <c r="N97" s="627"/>
    </row>
    <row r="98" spans="1:14" s="62" customFormat="1" ht="25.5">
      <c r="A98" s="369" t="s">
        <v>128</v>
      </c>
      <c r="B98" s="112">
        <v>701</v>
      </c>
      <c r="C98" s="94" t="s">
        <v>40</v>
      </c>
      <c r="D98" s="94" t="s">
        <v>45</v>
      </c>
      <c r="E98" s="466" t="s">
        <v>289</v>
      </c>
      <c r="F98" s="467" t="s">
        <v>501</v>
      </c>
      <c r="G98" s="94" t="s">
        <v>129</v>
      </c>
      <c r="H98" s="233"/>
      <c r="I98" s="103">
        <v>140.7</v>
      </c>
      <c r="L98" s="626"/>
      <c r="M98" s="627"/>
      <c r="N98" s="627"/>
    </row>
    <row r="99" spans="1:14" s="62" customFormat="1" ht="36" customHeight="1">
      <c r="A99" s="369" t="s">
        <v>327</v>
      </c>
      <c r="B99" s="112">
        <v>701</v>
      </c>
      <c r="C99" s="94" t="s">
        <v>40</v>
      </c>
      <c r="D99" s="94" t="s">
        <v>45</v>
      </c>
      <c r="E99" s="466" t="s">
        <v>289</v>
      </c>
      <c r="F99" s="467" t="s">
        <v>501</v>
      </c>
      <c r="G99" s="94" t="s">
        <v>84</v>
      </c>
      <c r="H99" s="289" t="e">
        <v>#REF!</v>
      </c>
      <c r="I99" s="103">
        <v>450</v>
      </c>
      <c r="L99" s="626"/>
      <c r="M99" s="627"/>
      <c r="N99" s="627"/>
    </row>
    <row r="100" spans="1:12" s="62" customFormat="1" ht="28.5">
      <c r="A100" s="371" t="s">
        <v>136</v>
      </c>
      <c r="B100" s="356">
        <v>701</v>
      </c>
      <c r="C100" s="219" t="s">
        <v>40</v>
      </c>
      <c r="D100" s="219" t="s">
        <v>49</v>
      </c>
      <c r="E100" s="802"/>
      <c r="F100" s="803"/>
      <c r="G100" s="218"/>
      <c r="H100" s="285"/>
      <c r="I100" s="323">
        <f>I101</f>
        <v>150</v>
      </c>
      <c r="L100" s="642"/>
    </row>
    <row r="101" spans="1:12" s="738" customFormat="1" ht="40.5">
      <c r="A101" s="347" t="s">
        <v>407</v>
      </c>
      <c r="B101" s="643">
        <v>701</v>
      </c>
      <c r="C101" s="61" t="s">
        <v>40</v>
      </c>
      <c r="D101" s="61" t="s">
        <v>49</v>
      </c>
      <c r="E101" s="461" t="s">
        <v>505</v>
      </c>
      <c r="F101" s="462" t="s">
        <v>95</v>
      </c>
      <c r="G101" s="94"/>
      <c r="H101" s="289"/>
      <c r="I101" s="327">
        <f>I102</f>
        <v>150</v>
      </c>
      <c r="L101" s="739"/>
    </row>
    <row r="102" spans="1:12" s="644" customFormat="1" ht="40.5">
      <c r="A102" s="347" t="s">
        <v>503</v>
      </c>
      <c r="B102" s="643">
        <v>701</v>
      </c>
      <c r="C102" s="61" t="s">
        <v>40</v>
      </c>
      <c r="D102" s="61" t="s">
        <v>49</v>
      </c>
      <c r="E102" s="461" t="s">
        <v>389</v>
      </c>
      <c r="F102" s="462" t="s">
        <v>95</v>
      </c>
      <c r="G102" s="61"/>
      <c r="H102" s="282"/>
      <c r="I102" s="95">
        <f>I103</f>
        <v>150</v>
      </c>
      <c r="L102" s="642"/>
    </row>
    <row r="103" spans="1:12" s="644" customFormat="1" ht="54">
      <c r="A103" s="347" t="s">
        <v>506</v>
      </c>
      <c r="B103" s="643">
        <v>701</v>
      </c>
      <c r="C103" s="61" t="s">
        <v>40</v>
      </c>
      <c r="D103" s="61" t="s">
        <v>49</v>
      </c>
      <c r="E103" s="461" t="s">
        <v>389</v>
      </c>
      <c r="F103" s="462" t="s">
        <v>504</v>
      </c>
      <c r="G103" s="61"/>
      <c r="H103" s="282"/>
      <c r="I103" s="95">
        <f>I104</f>
        <v>150</v>
      </c>
      <c r="L103" s="642"/>
    </row>
    <row r="104" spans="1:12" s="62" customFormat="1" ht="33" customHeight="1">
      <c r="A104" s="367" t="s">
        <v>128</v>
      </c>
      <c r="B104" s="645">
        <v>701</v>
      </c>
      <c r="C104" s="64" t="s">
        <v>40</v>
      </c>
      <c r="D104" s="64" t="s">
        <v>49</v>
      </c>
      <c r="E104" s="466" t="s">
        <v>389</v>
      </c>
      <c r="F104" s="467" t="s">
        <v>504</v>
      </c>
      <c r="G104" s="64" t="s">
        <v>129</v>
      </c>
      <c r="H104" s="284"/>
      <c r="I104" s="103">
        <v>150</v>
      </c>
      <c r="L104" s="642"/>
    </row>
    <row r="105" spans="1:14" s="29" customFormat="1" ht="24" customHeight="1">
      <c r="A105" s="353" t="s">
        <v>17</v>
      </c>
      <c r="B105" s="52">
        <v>701</v>
      </c>
      <c r="C105" s="52" t="s">
        <v>12</v>
      </c>
      <c r="D105" s="52"/>
      <c r="E105" s="804"/>
      <c r="F105" s="805"/>
      <c r="G105" s="52"/>
      <c r="H105" s="52"/>
      <c r="I105" s="324">
        <f>I106+I112+I119+I123</f>
        <v>6254.6</v>
      </c>
      <c r="J105" s="252" t="e">
        <f>#REF!</f>
        <v>#REF!</v>
      </c>
      <c r="K105" s="582" t="e">
        <f>J105/I105</f>
        <v>#REF!</v>
      </c>
      <c r="L105" s="624"/>
      <c r="M105" s="156"/>
      <c r="N105" s="156"/>
    </row>
    <row r="106" spans="1:14" s="29" customFormat="1" ht="23.25" customHeight="1">
      <c r="A106" s="370" t="s">
        <v>135</v>
      </c>
      <c r="B106" s="215" t="s">
        <v>116</v>
      </c>
      <c r="C106" s="215" t="s">
        <v>12</v>
      </c>
      <c r="D106" s="215" t="s">
        <v>41</v>
      </c>
      <c r="E106" s="802"/>
      <c r="F106" s="803"/>
      <c r="G106" s="215"/>
      <c r="H106" s="215"/>
      <c r="I106" s="357">
        <f>I107+I109</f>
        <v>298</v>
      </c>
      <c r="J106" s="256"/>
      <c r="K106" s="585"/>
      <c r="L106" s="624"/>
      <c r="M106" s="156"/>
      <c r="N106" s="156"/>
    </row>
    <row r="107" spans="1:14" s="50" customFormat="1" ht="33" customHeight="1">
      <c r="A107" s="372" t="s">
        <v>452</v>
      </c>
      <c r="B107" s="48" t="s">
        <v>116</v>
      </c>
      <c r="C107" s="48" t="s">
        <v>12</v>
      </c>
      <c r="D107" s="48" t="s">
        <v>41</v>
      </c>
      <c r="E107" s="461" t="s">
        <v>451</v>
      </c>
      <c r="F107" s="462" t="s">
        <v>450</v>
      </c>
      <c r="G107" s="48"/>
      <c r="H107" s="48"/>
      <c r="I107" s="45">
        <f>I108</f>
        <v>10</v>
      </c>
      <c r="J107" s="257"/>
      <c r="K107" s="587"/>
      <c r="L107" s="624"/>
      <c r="M107" s="156"/>
      <c r="N107" s="156"/>
    </row>
    <row r="108" spans="1:14" s="50" customFormat="1" ht="33" customHeight="1">
      <c r="A108" s="398" t="s">
        <v>128</v>
      </c>
      <c r="B108" s="49" t="s">
        <v>116</v>
      </c>
      <c r="C108" s="49" t="s">
        <v>12</v>
      </c>
      <c r="D108" s="49" t="s">
        <v>41</v>
      </c>
      <c r="E108" s="471" t="s">
        <v>451</v>
      </c>
      <c r="F108" s="478" t="s">
        <v>450</v>
      </c>
      <c r="G108" s="49" t="s">
        <v>129</v>
      </c>
      <c r="H108" s="49"/>
      <c r="I108" s="46">
        <v>10</v>
      </c>
      <c r="J108" s="257"/>
      <c r="K108" s="587"/>
      <c r="L108" s="624"/>
      <c r="M108" s="156"/>
      <c r="N108" s="156"/>
    </row>
    <row r="109" spans="1:14" s="50" customFormat="1" ht="26.25" customHeight="1">
      <c r="A109" s="372" t="s">
        <v>384</v>
      </c>
      <c r="B109" s="48" t="s">
        <v>116</v>
      </c>
      <c r="C109" s="48" t="s">
        <v>12</v>
      </c>
      <c r="D109" s="48" t="s">
        <v>41</v>
      </c>
      <c r="E109" s="461" t="s">
        <v>377</v>
      </c>
      <c r="F109" s="462" t="s">
        <v>378</v>
      </c>
      <c r="G109" s="48"/>
      <c r="H109" s="48"/>
      <c r="I109" s="45">
        <f>SUM(I110:I111)</f>
        <v>288</v>
      </c>
      <c r="J109" s="560"/>
      <c r="K109" s="586"/>
      <c r="L109" s="628"/>
      <c r="M109" s="156"/>
      <c r="N109" s="156"/>
    </row>
    <row r="110" spans="1:14" s="50" customFormat="1" ht="25.5">
      <c r="A110" s="398" t="s">
        <v>128</v>
      </c>
      <c r="B110" s="49" t="s">
        <v>116</v>
      </c>
      <c r="C110" s="49" t="s">
        <v>12</v>
      </c>
      <c r="D110" s="49" t="s">
        <v>41</v>
      </c>
      <c r="E110" s="471" t="s">
        <v>377</v>
      </c>
      <c r="F110" s="478" t="s">
        <v>378</v>
      </c>
      <c r="G110" s="49" t="s">
        <v>129</v>
      </c>
      <c r="H110" s="49"/>
      <c r="I110" s="46">
        <v>38</v>
      </c>
      <c r="J110" s="560"/>
      <c r="K110" s="586"/>
      <c r="L110" s="628"/>
      <c r="M110" s="156"/>
      <c r="N110" s="156"/>
    </row>
    <row r="111" spans="1:14" s="50" customFormat="1" ht="38.25">
      <c r="A111" s="369" t="s">
        <v>327</v>
      </c>
      <c r="B111" s="49" t="s">
        <v>116</v>
      </c>
      <c r="C111" s="49" t="s">
        <v>12</v>
      </c>
      <c r="D111" s="49" t="s">
        <v>41</v>
      </c>
      <c r="E111" s="471" t="s">
        <v>377</v>
      </c>
      <c r="F111" s="478" t="s">
        <v>378</v>
      </c>
      <c r="G111" s="49" t="s">
        <v>84</v>
      </c>
      <c r="H111" s="49"/>
      <c r="I111" s="46">
        <v>250</v>
      </c>
      <c r="J111" s="560"/>
      <c r="K111" s="586"/>
      <c r="L111" s="628"/>
      <c r="M111" s="156"/>
      <c r="N111" s="156"/>
    </row>
    <row r="112" spans="1:14" s="50" customFormat="1" ht="38.25" customHeight="1">
      <c r="A112" s="672" t="s">
        <v>74</v>
      </c>
      <c r="B112" s="307" t="s">
        <v>116</v>
      </c>
      <c r="C112" s="307" t="s">
        <v>12</v>
      </c>
      <c r="D112" s="307" t="s">
        <v>43</v>
      </c>
      <c r="E112" s="802"/>
      <c r="F112" s="803"/>
      <c r="G112" s="307"/>
      <c r="H112" s="307"/>
      <c r="I112" s="318">
        <f>I113+I116</f>
        <v>2000</v>
      </c>
      <c r="J112" s="306"/>
      <c r="K112" s="588"/>
      <c r="L112" s="624"/>
      <c r="M112" s="156"/>
      <c r="N112" s="156"/>
    </row>
    <row r="113" spans="1:14" s="50" customFormat="1" ht="54">
      <c r="A113" s="347" t="s">
        <v>444</v>
      </c>
      <c r="B113" s="93" t="s">
        <v>116</v>
      </c>
      <c r="C113" s="93" t="s">
        <v>12</v>
      </c>
      <c r="D113" s="93" t="s">
        <v>43</v>
      </c>
      <c r="E113" s="461" t="s">
        <v>289</v>
      </c>
      <c r="F113" s="462" t="s">
        <v>436</v>
      </c>
      <c r="G113" s="93"/>
      <c r="H113" s="678"/>
      <c r="I113" s="95">
        <f>SUM(I114:I115)</f>
        <v>100</v>
      </c>
      <c r="J113" s="306"/>
      <c r="K113" s="588"/>
      <c r="L113" s="624"/>
      <c r="M113" s="156"/>
      <c r="N113" s="156"/>
    </row>
    <row r="114" spans="1:14" s="50" customFormat="1" ht="26.25" customHeight="1">
      <c r="A114" s="369" t="s">
        <v>128</v>
      </c>
      <c r="B114" s="49" t="s">
        <v>116</v>
      </c>
      <c r="C114" s="49" t="s">
        <v>12</v>
      </c>
      <c r="D114" s="49" t="s">
        <v>43</v>
      </c>
      <c r="E114" s="466" t="s">
        <v>289</v>
      </c>
      <c r="F114" s="478" t="s">
        <v>436</v>
      </c>
      <c r="G114" s="49" t="s">
        <v>129</v>
      </c>
      <c r="H114" s="678"/>
      <c r="I114" s="103">
        <v>50</v>
      </c>
      <c r="J114" s="306"/>
      <c r="K114" s="588"/>
      <c r="L114" s="624"/>
      <c r="M114" s="156"/>
      <c r="N114" s="156"/>
    </row>
    <row r="115" spans="1:14" s="50" customFormat="1" ht="26.25" customHeight="1">
      <c r="A115" s="369" t="s">
        <v>327</v>
      </c>
      <c r="B115" s="49" t="s">
        <v>116</v>
      </c>
      <c r="C115" s="49" t="s">
        <v>12</v>
      </c>
      <c r="D115" s="49" t="s">
        <v>43</v>
      </c>
      <c r="E115" s="466" t="s">
        <v>289</v>
      </c>
      <c r="F115" s="478" t="s">
        <v>436</v>
      </c>
      <c r="G115" s="49" t="s">
        <v>84</v>
      </c>
      <c r="H115" s="678"/>
      <c r="I115" s="103">
        <v>50</v>
      </c>
      <c r="J115" s="306"/>
      <c r="K115" s="588"/>
      <c r="L115" s="624"/>
      <c r="M115" s="156"/>
      <c r="N115" s="156"/>
    </row>
    <row r="116" spans="1:14" s="50" customFormat="1" ht="67.5">
      <c r="A116" s="387" t="s">
        <v>443</v>
      </c>
      <c r="B116" s="93" t="s">
        <v>116</v>
      </c>
      <c r="C116" s="93" t="s">
        <v>12</v>
      </c>
      <c r="D116" s="93" t="s">
        <v>43</v>
      </c>
      <c r="E116" s="461" t="s">
        <v>289</v>
      </c>
      <c r="F116" s="465" t="s">
        <v>435</v>
      </c>
      <c r="G116" s="93"/>
      <c r="H116" s="93"/>
      <c r="I116" s="95">
        <f>SUM(I117:I118)</f>
        <v>1900</v>
      </c>
      <c r="J116" s="306"/>
      <c r="K116" s="588"/>
      <c r="L116" s="624"/>
      <c r="M116" s="156"/>
      <c r="N116" s="156"/>
    </row>
    <row r="117" spans="1:14" s="50" customFormat="1" ht="25.5">
      <c r="A117" s="369" t="s">
        <v>128</v>
      </c>
      <c r="B117" s="49" t="s">
        <v>116</v>
      </c>
      <c r="C117" s="49" t="s">
        <v>12</v>
      </c>
      <c r="D117" s="49" t="s">
        <v>43</v>
      </c>
      <c r="E117" s="471" t="s">
        <v>289</v>
      </c>
      <c r="F117" s="467" t="s">
        <v>435</v>
      </c>
      <c r="G117" s="49" t="s">
        <v>129</v>
      </c>
      <c r="H117" s="678"/>
      <c r="I117" s="103">
        <v>200</v>
      </c>
      <c r="J117" s="306"/>
      <c r="K117" s="588"/>
      <c r="L117" s="624"/>
      <c r="M117" s="156"/>
      <c r="N117" s="156"/>
    </row>
    <row r="118" spans="1:14" s="50" customFormat="1" ht="38.25">
      <c r="A118" s="369" t="s">
        <v>327</v>
      </c>
      <c r="B118" s="49" t="s">
        <v>116</v>
      </c>
      <c r="C118" s="49" t="s">
        <v>12</v>
      </c>
      <c r="D118" s="49" t="s">
        <v>43</v>
      </c>
      <c r="E118" s="466" t="s">
        <v>289</v>
      </c>
      <c r="F118" s="467" t="s">
        <v>435</v>
      </c>
      <c r="G118" s="49" t="s">
        <v>84</v>
      </c>
      <c r="H118" s="678"/>
      <c r="I118" s="103">
        <v>1700</v>
      </c>
      <c r="J118" s="306"/>
      <c r="K118" s="588"/>
      <c r="L118" s="624"/>
      <c r="M118" s="156"/>
      <c r="N118" s="156"/>
    </row>
    <row r="119" spans="1:14" s="29" customFormat="1" ht="20.25" customHeight="1">
      <c r="A119" s="365" t="s">
        <v>18</v>
      </c>
      <c r="B119" s="356">
        <v>701</v>
      </c>
      <c r="C119" s="40" t="s">
        <v>12</v>
      </c>
      <c r="D119" s="40" t="s">
        <v>44</v>
      </c>
      <c r="E119" s="802"/>
      <c r="F119" s="803"/>
      <c r="G119" s="40"/>
      <c r="H119" s="40" t="s">
        <v>38</v>
      </c>
      <c r="I119" s="41">
        <f>I120</f>
        <v>2160</v>
      </c>
      <c r="J119" s="258"/>
      <c r="K119" s="589"/>
      <c r="L119" s="624"/>
      <c r="M119" s="156"/>
      <c r="N119" s="156"/>
    </row>
    <row r="120" spans="1:14" s="488" customFormat="1" ht="34.5" customHeight="1">
      <c r="A120" s="347" t="s">
        <v>507</v>
      </c>
      <c r="B120" s="520">
        <v>701</v>
      </c>
      <c r="C120" s="48" t="s">
        <v>12</v>
      </c>
      <c r="D120" s="48" t="s">
        <v>44</v>
      </c>
      <c r="E120" s="461" t="s">
        <v>292</v>
      </c>
      <c r="F120" s="462" t="s">
        <v>95</v>
      </c>
      <c r="G120" s="48"/>
      <c r="H120" s="48" t="s">
        <v>38</v>
      </c>
      <c r="I120" s="45">
        <f>I121</f>
        <v>2160</v>
      </c>
      <c r="J120" s="487"/>
      <c r="K120" s="590"/>
      <c r="L120" s="624"/>
      <c r="M120" s="437"/>
      <c r="N120" s="437"/>
    </row>
    <row r="121" spans="1:14" s="488" customFormat="1" ht="34.5" customHeight="1">
      <c r="A121" s="347" t="s">
        <v>306</v>
      </c>
      <c r="B121" s="520">
        <v>701</v>
      </c>
      <c r="C121" s="48" t="s">
        <v>12</v>
      </c>
      <c r="D121" s="48" t="s">
        <v>44</v>
      </c>
      <c r="E121" s="461" t="s">
        <v>292</v>
      </c>
      <c r="F121" s="462" t="s">
        <v>508</v>
      </c>
      <c r="G121" s="48"/>
      <c r="H121" s="48"/>
      <c r="I121" s="45">
        <f>I122</f>
        <v>2160</v>
      </c>
      <c r="J121" s="487"/>
      <c r="K121" s="590"/>
      <c r="L121" s="624"/>
      <c r="M121" s="437"/>
      <c r="N121" s="437"/>
    </row>
    <row r="122" spans="1:14" s="486" customFormat="1" ht="32.25" customHeight="1">
      <c r="A122" s="369" t="s">
        <v>327</v>
      </c>
      <c r="B122" s="112">
        <v>701</v>
      </c>
      <c r="C122" s="49" t="s">
        <v>12</v>
      </c>
      <c r="D122" s="49" t="s">
        <v>44</v>
      </c>
      <c r="E122" s="471" t="s">
        <v>292</v>
      </c>
      <c r="F122" s="467" t="s">
        <v>508</v>
      </c>
      <c r="G122" s="49" t="s">
        <v>84</v>
      </c>
      <c r="H122" s="49" t="s">
        <v>38</v>
      </c>
      <c r="I122" s="46">
        <v>2160</v>
      </c>
      <c r="J122" s="489"/>
      <c r="K122" s="591"/>
      <c r="L122" s="624"/>
      <c r="M122" s="156"/>
      <c r="N122" s="156"/>
    </row>
    <row r="123" spans="1:14" s="50" customFormat="1" ht="23.25" customHeight="1">
      <c r="A123" s="374" t="s">
        <v>52</v>
      </c>
      <c r="B123" s="40">
        <v>701</v>
      </c>
      <c r="C123" s="40" t="s">
        <v>12</v>
      </c>
      <c r="D123" s="40" t="s">
        <v>48</v>
      </c>
      <c r="E123" s="802"/>
      <c r="F123" s="803"/>
      <c r="G123" s="40"/>
      <c r="H123" s="40"/>
      <c r="I123" s="41">
        <f>I126+I133+I131+I124</f>
        <v>1796.6</v>
      </c>
      <c r="J123" s="260"/>
      <c r="K123" s="592"/>
      <c r="L123" s="624"/>
      <c r="M123" s="156"/>
      <c r="N123" s="156"/>
    </row>
    <row r="124" spans="1:14" s="50" customFormat="1" ht="67.5">
      <c r="A124" s="500" t="s">
        <v>532</v>
      </c>
      <c r="B124" s="48" t="s">
        <v>116</v>
      </c>
      <c r="C124" s="48" t="s">
        <v>12</v>
      </c>
      <c r="D124" s="48" t="s">
        <v>48</v>
      </c>
      <c r="E124" s="461" t="s">
        <v>177</v>
      </c>
      <c r="F124" s="462" t="s">
        <v>333</v>
      </c>
      <c r="G124" s="48"/>
      <c r="H124" s="48"/>
      <c r="I124" s="45">
        <f>I125</f>
        <v>1</v>
      </c>
      <c r="J124" s="260"/>
      <c r="K124" s="592"/>
      <c r="L124" s="624"/>
      <c r="M124" s="156"/>
      <c r="N124" s="156"/>
    </row>
    <row r="125" spans="1:14" s="50" customFormat="1" ht="25.5">
      <c r="A125" s="369" t="s">
        <v>128</v>
      </c>
      <c r="B125" s="49" t="s">
        <v>116</v>
      </c>
      <c r="C125" s="49" t="s">
        <v>12</v>
      </c>
      <c r="D125" s="49" t="s">
        <v>48</v>
      </c>
      <c r="E125" s="471" t="s">
        <v>177</v>
      </c>
      <c r="F125" s="478" t="s">
        <v>333</v>
      </c>
      <c r="G125" s="49" t="s">
        <v>129</v>
      </c>
      <c r="H125" s="49"/>
      <c r="I125" s="46">
        <v>1</v>
      </c>
      <c r="J125" s="260"/>
      <c r="K125" s="592"/>
      <c r="L125" s="624"/>
      <c r="M125" s="156"/>
      <c r="N125" s="156"/>
    </row>
    <row r="126" spans="1:14" s="50" customFormat="1" ht="30" customHeight="1">
      <c r="A126" s="372" t="s">
        <v>285</v>
      </c>
      <c r="B126" s="48" t="s">
        <v>116</v>
      </c>
      <c r="C126" s="48" t="s">
        <v>12</v>
      </c>
      <c r="D126" s="48" t="s">
        <v>48</v>
      </c>
      <c r="E126" s="461" t="s">
        <v>290</v>
      </c>
      <c r="F126" s="462" t="s">
        <v>95</v>
      </c>
      <c r="G126" s="171"/>
      <c r="H126" s="171"/>
      <c r="I126" s="45">
        <f>I127+I129</f>
        <v>254</v>
      </c>
      <c r="J126" s="260"/>
      <c r="K126" s="592"/>
      <c r="L126" s="624"/>
      <c r="M126" s="156"/>
      <c r="N126" s="156"/>
    </row>
    <row r="127" spans="1:14" s="50" customFormat="1" ht="30" customHeight="1">
      <c r="A127" s="372" t="s">
        <v>512</v>
      </c>
      <c r="B127" s="48" t="s">
        <v>116</v>
      </c>
      <c r="C127" s="48" t="s">
        <v>12</v>
      </c>
      <c r="D127" s="48" t="s">
        <v>48</v>
      </c>
      <c r="E127" s="461" t="s">
        <v>290</v>
      </c>
      <c r="F127" s="462" t="s">
        <v>511</v>
      </c>
      <c r="G127" s="171"/>
      <c r="H127" s="171"/>
      <c r="I127" s="45">
        <f>I128</f>
        <v>100</v>
      </c>
      <c r="J127" s="260"/>
      <c r="K127" s="592"/>
      <c r="L127" s="624"/>
      <c r="M127" s="156"/>
      <c r="N127" s="156"/>
    </row>
    <row r="128" spans="1:14" s="486" customFormat="1" ht="30" customHeight="1">
      <c r="A128" s="369" t="s">
        <v>327</v>
      </c>
      <c r="B128" s="49" t="s">
        <v>116</v>
      </c>
      <c r="C128" s="49" t="s">
        <v>12</v>
      </c>
      <c r="D128" s="49" t="s">
        <v>48</v>
      </c>
      <c r="E128" s="466" t="s">
        <v>290</v>
      </c>
      <c r="F128" s="467" t="s">
        <v>511</v>
      </c>
      <c r="G128" s="49" t="s">
        <v>84</v>
      </c>
      <c r="H128" s="171"/>
      <c r="I128" s="46">
        <f>100</f>
        <v>100</v>
      </c>
      <c r="J128" s="489"/>
      <c r="K128" s="591"/>
      <c r="L128" s="624"/>
      <c r="M128" s="156"/>
      <c r="N128" s="156"/>
    </row>
    <row r="129" spans="1:14" s="50" customFormat="1" ht="30" customHeight="1">
      <c r="A129" s="372" t="s">
        <v>513</v>
      </c>
      <c r="B129" s="48" t="s">
        <v>116</v>
      </c>
      <c r="C129" s="48" t="s">
        <v>12</v>
      </c>
      <c r="D129" s="48" t="s">
        <v>48</v>
      </c>
      <c r="E129" s="461" t="s">
        <v>290</v>
      </c>
      <c r="F129" s="462" t="s">
        <v>510</v>
      </c>
      <c r="G129" s="171"/>
      <c r="H129" s="171"/>
      <c r="I129" s="45">
        <f>I130</f>
        <v>154</v>
      </c>
      <c r="J129" s="260"/>
      <c r="K129" s="592"/>
      <c r="L129" s="624"/>
      <c r="M129" s="156"/>
      <c r="N129" s="156"/>
    </row>
    <row r="130" spans="1:14" s="50" customFormat="1" ht="30" customHeight="1">
      <c r="A130" s="369" t="s">
        <v>128</v>
      </c>
      <c r="B130" s="49" t="s">
        <v>116</v>
      </c>
      <c r="C130" s="49" t="s">
        <v>12</v>
      </c>
      <c r="D130" s="49" t="s">
        <v>48</v>
      </c>
      <c r="E130" s="466" t="s">
        <v>290</v>
      </c>
      <c r="F130" s="467" t="s">
        <v>510</v>
      </c>
      <c r="G130" s="49" t="s">
        <v>129</v>
      </c>
      <c r="H130" s="171"/>
      <c r="I130" s="46">
        <v>154</v>
      </c>
      <c r="J130" s="260"/>
      <c r="K130" s="592"/>
      <c r="L130" s="624"/>
      <c r="M130" s="156"/>
      <c r="N130" s="156"/>
    </row>
    <row r="131" spans="1:14" s="50" customFormat="1" ht="67.5">
      <c r="A131" s="372" t="s">
        <v>431</v>
      </c>
      <c r="B131" s="48" t="s">
        <v>116</v>
      </c>
      <c r="C131" s="48" t="s">
        <v>12</v>
      </c>
      <c r="D131" s="48" t="s">
        <v>48</v>
      </c>
      <c r="E131" s="461" t="s">
        <v>177</v>
      </c>
      <c r="F131" s="462" t="s">
        <v>332</v>
      </c>
      <c r="G131" s="48"/>
      <c r="H131" s="48"/>
      <c r="I131" s="45">
        <f>I132</f>
        <v>300</v>
      </c>
      <c r="J131" s="260"/>
      <c r="K131" s="592"/>
      <c r="L131" s="624"/>
      <c r="M131" s="156"/>
      <c r="N131" s="156"/>
    </row>
    <row r="132" spans="1:14" s="50" customFormat="1" ht="25.5">
      <c r="A132" s="369" t="s">
        <v>128</v>
      </c>
      <c r="B132" s="49" t="s">
        <v>116</v>
      </c>
      <c r="C132" s="49" t="s">
        <v>12</v>
      </c>
      <c r="D132" s="49" t="s">
        <v>48</v>
      </c>
      <c r="E132" s="471" t="s">
        <v>177</v>
      </c>
      <c r="F132" s="478" t="s">
        <v>332</v>
      </c>
      <c r="G132" s="49" t="s">
        <v>129</v>
      </c>
      <c r="H132" s="49"/>
      <c r="I132" s="46">
        <v>300</v>
      </c>
      <c r="J132" s="260"/>
      <c r="K132" s="592"/>
      <c r="L132" s="624"/>
      <c r="M132" s="156"/>
      <c r="N132" s="156"/>
    </row>
    <row r="133" spans="1:14" s="29" customFormat="1" ht="94.5">
      <c r="A133" s="375" t="s">
        <v>80</v>
      </c>
      <c r="B133" s="48">
        <v>701</v>
      </c>
      <c r="C133" s="48" t="s">
        <v>12</v>
      </c>
      <c r="D133" s="48" t="s">
        <v>48</v>
      </c>
      <c r="E133" s="461" t="s">
        <v>111</v>
      </c>
      <c r="F133" s="462" t="s">
        <v>112</v>
      </c>
      <c r="G133" s="48"/>
      <c r="H133" s="48"/>
      <c r="I133" s="45">
        <f>SUM(I134:I135)</f>
        <v>1241.6</v>
      </c>
      <c r="J133" s="255"/>
      <c r="K133" s="574"/>
      <c r="L133" s="624"/>
      <c r="M133" s="156"/>
      <c r="N133" s="156"/>
    </row>
    <row r="134" spans="1:14" s="29" customFormat="1" ht="26.25" customHeight="1">
      <c r="A134" s="367" t="s">
        <v>126</v>
      </c>
      <c r="B134" s="36">
        <v>701</v>
      </c>
      <c r="C134" s="36" t="s">
        <v>12</v>
      </c>
      <c r="D134" s="36" t="s">
        <v>48</v>
      </c>
      <c r="E134" s="466" t="s">
        <v>111</v>
      </c>
      <c r="F134" s="467" t="s">
        <v>112</v>
      </c>
      <c r="G134" s="36" t="s">
        <v>127</v>
      </c>
      <c r="H134" s="36"/>
      <c r="I134" s="37">
        <v>1000</v>
      </c>
      <c r="J134" s="255"/>
      <c r="K134" s="574"/>
      <c r="L134" s="624"/>
      <c r="M134" s="156"/>
      <c r="N134" s="156"/>
    </row>
    <row r="135" spans="1:14" s="29" customFormat="1" ht="33" customHeight="1">
      <c r="A135" s="367" t="s">
        <v>128</v>
      </c>
      <c r="B135" s="36">
        <v>701</v>
      </c>
      <c r="C135" s="36" t="s">
        <v>12</v>
      </c>
      <c r="D135" s="36" t="s">
        <v>48</v>
      </c>
      <c r="E135" s="466" t="s">
        <v>111</v>
      </c>
      <c r="F135" s="467" t="s">
        <v>112</v>
      </c>
      <c r="G135" s="36" t="s">
        <v>129</v>
      </c>
      <c r="H135" s="36"/>
      <c r="I135" s="37">
        <v>241.6</v>
      </c>
      <c r="J135" s="255"/>
      <c r="K135" s="574"/>
      <c r="L135" s="624"/>
      <c r="M135" s="156"/>
      <c r="N135" s="156"/>
    </row>
    <row r="136" spans="1:14" s="29" customFormat="1" ht="14.25">
      <c r="A136" s="385" t="s">
        <v>19</v>
      </c>
      <c r="B136" s="213" t="s">
        <v>116</v>
      </c>
      <c r="C136" s="213" t="s">
        <v>41</v>
      </c>
      <c r="D136" s="214"/>
      <c r="E136" s="804"/>
      <c r="F136" s="805"/>
      <c r="G136" s="214"/>
      <c r="H136" s="214"/>
      <c r="I136" s="349">
        <f>I137</f>
        <v>560.7</v>
      </c>
      <c r="J136" s="255"/>
      <c r="K136" s="574"/>
      <c r="L136" s="624"/>
      <c r="M136" s="156"/>
      <c r="N136" s="156"/>
    </row>
    <row r="137" spans="1:14" s="29" customFormat="1" ht="24.75" customHeight="1">
      <c r="A137" s="365" t="s">
        <v>368</v>
      </c>
      <c r="B137" s="356">
        <v>701</v>
      </c>
      <c r="C137" s="40" t="s">
        <v>41</v>
      </c>
      <c r="D137" s="40" t="s">
        <v>42</v>
      </c>
      <c r="E137" s="802"/>
      <c r="F137" s="803"/>
      <c r="G137" s="40"/>
      <c r="H137" s="40" t="s">
        <v>38</v>
      </c>
      <c r="I137" s="41">
        <f>I138</f>
        <v>560.7</v>
      </c>
      <c r="J137" s="255"/>
      <c r="K137" s="574"/>
      <c r="L137" s="624"/>
      <c r="M137" s="156"/>
      <c r="N137" s="156"/>
    </row>
    <row r="138" spans="1:14" s="29" customFormat="1" ht="41.25" customHeight="1">
      <c r="A138" s="399" t="s">
        <v>514</v>
      </c>
      <c r="B138" s="520">
        <v>701</v>
      </c>
      <c r="C138" s="171" t="s">
        <v>41</v>
      </c>
      <c r="D138" s="171" t="s">
        <v>42</v>
      </c>
      <c r="E138" s="459" t="s">
        <v>515</v>
      </c>
      <c r="F138" s="460" t="s">
        <v>95</v>
      </c>
      <c r="G138" s="171"/>
      <c r="H138" s="171" t="s">
        <v>38</v>
      </c>
      <c r="I138" s="493">
        <f>I139</f>
        <v>560.7</v>
      </c>
      <c r="J138" s="255"/>
      <c r="K138" s="574"/>
      <c r="L138" s="561"/>
      <c r="M138" s="156"/>
      <c r="N138" s="156"/>
    </row>
    <row r="139" spans="1:14" s="29" customFormat="1" ht="41.25" customHeight="1">
      <c r="A139" s="347" t="s">
        <v>390</v>
      </c>
      <c r="B139" s="234">
        <v>701</v>
      </c>
      <c r="C139" s="48" t="s">
        <v>41</v>
      </c>
      <c r="D139" s="48" t="s">
        <v>42</v>
      </c>
      <c r="E139" s="461" t="s">
        <v>369</v>
      </c>
      <c r="F139" s="465" t="s">
        <v>489</v>
      </c>
      <c r="G139" s="48"/>
      <c r="H139" s="48"/>
      <c r="I139" s="45">
        <f>I140</f>
        <v>560.7</v>
      </c>
      <c r="J139" s="255"/>
      <c r="K139" s="574"/>
      <c r="L139" s="624"/>
      <c r="M139" s="156"/>
      <c r="N139" s="156"/>
    </row>
    <row r="140" spans="1:14" s="29" customFormat="1" ht="33" customHeight="1">
      <c r="A140" s="369" t="s">
        <v>128</v>
      </c>
      <c r="B140" s="112">
        <v>701</v>
      </c>
      <c r="C140" s="49" t="s">
        <v>41</v>
      </c>
      <c r="D140" s="49" t="s">
        <v>42</v>
      </c>
      <c r="E140" s="471" t="s">
        <v>369</v>
      </c>
      <c r="F140" s="467" t="s">
        <v>489</v>
      </c>
      <c r="G140" s="49" t="s">
        <v>129</v>
      </c>
      <c r="H140" s="49" t="s">
        <v>38</v>
      </c>
      <c r="I140" s="46">
        <v>560.7</v>
      </c>
      <c r="J140" s="255"/>
      <c r="K140" s="574"/>
      <c r="L140" s="624"/>
      <c r="M140" s="156"/>
      <c r="N140" s="156"/>
    </row>
    <row r="141" spans="1:14" s="29" customFormat="1" ht="21.75" customHeight="1">
      <c r="A141" s="66" t="s">
        <v>20</v>
      </c>
      <c r="B141" s="67" t="s">
        <v>116</v>
      </c>
      <c r="C141" s="67" t="s">
        <v>21</v>
      </c>
      <c r="D141" s="67"/>
      <c r="E141" s="804"/>
      <c r="F141" s="805"/>
      <c r="G141" s="67"/>
      <c r="H141" s="67"/>
      <c r="I141" s="325">
        <f>I142+I146</f>
        <v>1200.1000000000001</v>
      </c>
      <c r="J141" s="255"/>
      <c r="K141" s="574"/>
      <c r="L141" s="624"/>
      <c r="M141" s="156"/>
      <c r="N141" s="156"/>
    </row>
    <row r="142" spans="1:12" s="90" customFormat="1" ht="13.5">
      <c r="A142" s="392" t="s">
        <v>24</v>
      </c>
      <c r="B142" s="81" t="s">
        <v>116</v>
      </c>
      <c r="C142" s="81" t="s">
        <v>21</v>
      </c>
      <c r="D142" s="81" t="s">
        <v>21</v>
      </c>
      <c r="E142" s="802"/>
      <c r="F142" s="803"/>
      <c r="G142" s="81"/>
      <c r="H142" s="81" t="s">
        <v>38</v>
      </c>
      <c r="I142" s="79">
        <f>I143</f>
        <v>27</v>
      </c>
      <c r="J142" s="274">
        <v>38.842690000000005</v>
      </c>
      <c r="K142" s="100" t="e">
        <f>J142/#REF!</f>
        <v>#REF!</v>
      </c>
      <c r="L142" s="650"/>
    </row>
    <row r="143" spans="1:14" s="29" customFormat="1" ht="38.25">
      <c r="A143" s="373" t="s">
        <v>402</v>
      </c>
      <c r="B143" s="229">
        <v>701</v>
      </c>
      <c r="C143" s="94" t="s">
        <v>21</v>
      </c>
      <c r="D143" s="94" t="s">
        <v>21</v>
      </c>
      <c r="E143" s="459" t="s">
        <v>403</v>
      </c>
      <c r="F143" s="460" t="s">
        <v>95</v>
      </c>
      <c r="G143" s="225"/>
      <c r="H143" s="225"/>
      <c r="I143" s="327">
        <f>I144</f>
        <v>27</v>
      </c>
      <c r="J143" s="255"/>
      <c r="K143" s="574"/>
      <c r="L143" s="561"/>
      <c r="M143" s="156"/>
      <c r="N143" s="156"/>
    </row>
    <row r="144" spans="1:14" s="78" customFormat="1" ht="40.5">
      <c r="A144" s="387" t="s">
        <v>517</v>
      </c>
      <c r="B144" s="342">
        <v>701</v>
      </c>
      <c r="C144" s="225" t="s">
        <v>21</v>
      </c>
      <c r="D144" s="225" t="s">
        <v>21</v>
      </c>
      <c r="E144" s="461" t="s">
        <v>403</v>
      </c>
      <c r="F144" s="462" t="s">
        <v>516</v>
      </c>
      <c r="G144" s="93"/>
      <c r="H144" s="93"/>
      <c r="I144" s="95">
        <f>I145</f>
        <v>27</v>
      </c>
      <c r="J144" s="262"/>
      <c r="K144" s="575"/>
      <c r="L144" s="624"/>
      <c r="M144" s="437"/>
      <c r="N144" s="437"/>
    </row>
    <row r="145" spans="1:14" s="29" customFormat="1" ht="25.5">
      <c r="A145" s="379" t="s">
        <v>294</v>
      </c>
      <c r="B145" s="229">
        <v>701</v>
      </c>
      <c r="C145" s="94" t="s">
        <v>21</v>
      </c>
      <c r="D145" s="94" t="s">
        <v>21</v>
      </c>
      <c r="E145" s="466" t="s">
        <v>403</v>
      </c>
      <c r="F145" s="467" t="s">
        <v>516</v>
      </c>
      <c r="G145" s="94" t="s">
        <v>131</v>
      </c>
      <c r="H145" s="93"/>
      <c r="I145" s="103">
        <v>27</v>
      </c>
      <c r="J145" s="255"/>
      <c r="K145" s="574"/>
      <c r="L145" s="624"/>
      <c r="M145" s="156"/>
      <c r="N145" s="156"/>
    </row>
    <row r="146" spans="1:14" s="29" customFormat="1" ht="13.5">
      <c r="A146" s="392" t="s">
        <v>25</v>
      </c>
      <c r="B146" s="232">
        <v>701</v>
      </c>
      <c r="C146" s="81" t="s">
        <v>21</v>
      </c>
      <c r="D146" s="81" t="s">
        <v>45</v>
      </c>
      <c r="E146" s="802"/>
      <c r="F146" s="803"/>
      <c r="G146" s="81"/>
      <c r="H146" s="81" t="s">
        <v>38</v>
      </c>
      <c r="I146" s="79">
        <f>I149+I151+I147</f>
        <v>1173.1000000000001</v>
      </c>
      <c r="J146" s="255"/>
      <c r="K146" s="574"/>
      <c r="L146" s="624"/>
      <c r="M146" s="156"/>
      <c r="N146" s="156"/>
    </row>
    <row r="147" spans="1:14" s="29" customFormat="1" ht="81">
      <c r="A147" s="366" t="s">
        <v>453</v>
      </c>
      <c r="B147" s="48" t="s">
        <v>116</v>
      </c>
      <c r="C147" s="48" t="s">
        <v>21</v>
      </c>
      <c r="D147" s="48" t="s">
        <v>45</v>
      </c>
      <c r="E147" s="464" t="s">
        <v>98</v>
      </c>
      <c r="F147" s="465" t="s">
        <v>321</v>
      </c>
      <c r="G147" s="48"/>
      <c r="H147" s="48"/>
      <c r="I147" s="45">
        <f>I148</f>
        <v>1</v>
      </c>
      <c r="J147" s="255"/>
      <c r="K147" s="574"/>
      <c r="L147" s="624"/>
      <c r="M147" s="156"/>
      <c r="N147" s="156"/>
    </row>
    <row r="148" spans="1:14" s="29" customFormat="1" ht="25.5">
      <c r="A148" s="367" t="s">
        <v>128</v>
      </c>
      <c r="B148" s="49" t="s">
        <v>116</v>
      </c>
      <c r="C148" s="49" t="s">
        <v>21</v>
      </c>
      <c r="D148" s="49" t="s">
        <v>45</v>
      </c>
      <c r="E148" s="466" t="s">
        <v>98</v>
      </c>
      <c r="F148" s="467" t="s">
        <v>321</v>
      </c>
      <c r="G148" s="49" t="s">
        <v>129</v>
      </c>
      <c r="H148" s="49"/>
      <c r="I148" s="46">
        <v>1</v>
      </c>
      <c r="J148" s="255"/>
      <c r="K148" s="574"/>
      <c r="L148" s="624"/>
      <c r="M148" s="156"/>
      <c r="N148" s="156"/>
    </row>
    <row r="149" spans="1:14" s="29" customFormat="1" ht="59.25" customHeight="1">
      <c r="A149" s="366" t="s">
        <v>432</v>
      </c>
      <c r="B149" s="48" t="s">
        <v>116</v>
      </c>
      <c r="C149" s="48" t="s">
        <v>21</v>
      </c>
      <c r="D149" s="48" t="s">
        <v>45</v>
      </c>
      <c r="E149" s="464" t="s">
        <v>98</v>
      </c>
      <c r="F149" s="465" t="s">
        <v>265</v>
      </c>
      <c r="G149" s="48"/>
      <c r="H149" s="48"/>
      <c r="I149" s="45">
        <f>I150</f>
        <v>144.9</v>
      </c>
      <c r="J149" s="255"/>
      <c r="K149" s="574"/>
      <c r="L149" s="624"/>
      <c r="M149" s="156"/>
      <c r="N149" s="156"/>
    </row>
    <row r="150" spans="1:14" s="29" customFormat="1" ht="26.25" customHeight="1">
      <c r="A150" s="367" t="s">
        <v>128</v>
      </c>
      <c r="B150" s="49" t="s">
        <v>116</v>
      </c>
      <c r="C150" s="49" t="s">
        <v>21</v>
      </c>
      <c r="D150" s="49" t="s">
        <v>45</v>
      </c>
      <c r="E150" s="466" t="s">
        <v>98</v>
      </c>
      <c r="F150" s="467" t="s">
        <v>265</v>
      </c>
      <c r="G150" s="49" t="s">
        <v>129</v>
      </c>
      <c r="H150" s="49"/>
      <c r="I150" s="46">
        <v>144.9</v>
      </c>
      <c r="J150" s="255"/>
      <c r="K150" s="574"/>
      <c r="L150" s="624"/>
      <c r="M150" s="156"/>
      <c r="N150" s="156"/>
    </row>
    <row r="151" spans="1:14" s="50" customFormat="1" ht="34.5" customHeight="1">
      <c r="A151" s="500" t="s">
        <v>60</v>
      </c>
      <c r="B151" s="516">
        <v>701</v>
      </c>
      <c r="C151" s="48" t="s">
        <v>21</v>
      </c>
      <c r="D151" s="48" t="s">
        <v>45</v>
      </c>
      <c r="E151" s="461" t="s">
        <v>102</v>
      </c>
      <c r="F151" s="462" t="s">
        <v>103</v>
      </c>
      <c r="G151" s="48"/>
      <c r="H151" s="48"/>
      <c r="I151" s="45">
        <f>SUM(I152:I153)</f>
        <v>1027.2</v>
      </c>
      <c r="J151" s="513"/>
      <c r="K151" s="580"/>
      <c r="L151" s="624"/>
      <c r="M151" s="156"/>
      <c r="N151" s="156"/>
    </row>
    <row r="152" spans="1:14" s="29" customFormat="1" ht="27.75" customHeight="1">
      <c r="A152" s="369" t="s">
        <v>126</v>
      </c>
      <c r="B152" s="517">
        <v>701</v>
      </c>
      <c r="C152" s="49" t="s">
        <v>21</v>
      </c>
      <c r="D152" s="49" t="s">
        <v>45</v>
      </c>
      <c r="E152" s="498" t="s">
        <v>102</v>
      </c>
      <c r="F152" s="499" t="s">
        <v>103</v>
      </c>
      <c r="G152" s="49" t="s">
        <v>127</v>
      </c>
      <c r="H152" s="48"/>
      <c r="I152" s="46">
        <v>1000</v>
      </c>
      <c r="J152" s="249"/>
      <c r="K152" s="573"/>
      <c r="L152" s="624"/>
      <c r="M152" s="156"/>
      <c r="N152" s="156"/>
    </row>
    <row r="153" spans="1:14" s="29" customFormat="1" ht="24.75" customHeight="1">
      <c r="A153" s="367" t="s">
        <v>128</v>
      </c>
      <c r="B153" s="352">
        <v>701</v>
      </c>
      <c r="C153" s="36" t="s">
        <v>21</v>
      </c>
      <c r="D153" s="469" t="s">
        <v>45</v>
      </c>
      <c r="E153" s="469" t="s">
        <v>102</v>
      </c>
      <c r="F153" s="15" t="s">
        <v>103</v>
      </c>
      <c r="G153" s="15" t="s">
        <v>129</v>
      </c>
      <c r="H153" s="36"/>
      <c r="I153" s="46">
        <v>27.2</v>
      </c>
      <c r="J153" s="249"/>
      <c r="K153" s="573"/>
      <c r="L153" s="624"/>
      <c r="M153" s="156"/>
      <c r="N153" s="156"/>
    </row>
    <row r="154" spans="1:14" s="29" customFormat="1" ht="21" customHeight="1">
      <c r="A154" s="376" t="s">
        <v>28</v>
      </c>
      <c r="B154" s="276" t="s">
        <v>116</v>
      </c>
      <c r="C154" s="209" t="s">
        <v>47</v>
      </c>
      <c r="D154" s="209"/>
      <c r="E154" s="804"/>
      <c r="F154" s="805"/>
      <c r="G154" s="210"/>
      <c r="H154" s="210"/>
      <c r="I154" s="325">
        <f>I155+I159+I172</f>
        <v>2738</v>
      </c>
      <c r="J154" s="255"/>
      <c r="K154" s="574"/>
      <c r="L154" s="624"/>
      <c r="M154" s="156"/>
      <c r="N154" s="156"/>
    </row>
    <row r="155" spans="1:14" s="29" customFormat="1" ht="21" customHeight="1">
      <c r="A155" s="377" t="s">
        <v>29</v>
      </c>
      <c r="B155" s="217" t="s">
        <v>116</v>
      </c>
      <c r="C155" s="219" t="s">
        <v>47</v>
      </c>
      <c r="D155" s="219" t="s">
        <v>39</v>
      </c>
      <c r="E155" s="802"/>
      <c r="F155" s="803"/>
      <c r="G155" s="219"/>
      <c r="H155" s="219" t="s">
        <v>38</v>
      </c>
      <c r="I155" s="323">
        <f>I156</f>
        <v>1728</v>
      </c>
      <c r="J155" s="255"/>
      <c r="K155" s="574"/>
      <c r="L155" s="624"/>
      <c r="M155" s="156"/>
      <c r="N155" s="156"/>
    </row>
    <row r="156" spans="1:14" s="78" customFormat="1" ht="20.25" customHeight="1">
      <c r="A156" s="744" t="s">
        <v>518</v>
      </c>
      <c r="B156" s="171" t="s">
        <v>116</v>
      </c>
      <c r="C156" s="186" t="s">
        <v>47</v>
      </c>
      <c r="D156" s="186" t="s">
        <v>39</v>
      </c>
      <c r="E156" s="459" t="s">
        <v>132</v>
      </c>
      <c r="F156" s="460" t="s">
        <v>95</v>
      </c>
      <c r="G156" s="186"/>
      <c r="H156" s="186" t="s">
        <v>38</v>
      </c>
      <c r="I156" s="327">
        <f>I157</f>
        <v>1728</v>
      </c>
      <c r="J156" s="745"/>
      <c r="K156" s="746"/>
      <c r="L156" s="561"/>
      <c r="M156" s="437"/>
      <c r="N156" s="437"/>
    </row>
    <row r="157" spans="1:14" s="55" customFormat="1" ht="21" customHeight="1">
      <c r="A157" s="378" t="s">
        <v>144</v>
      </c>
      <c r="B157" s="48" t="s">
        <v>116</v>
      </c>
      <c r="C157" s="61" t="s">
        <v>47</v>
      </c>
      <c r="D157" s="61" t="s">
        <v>39</v>
      </c>
      <c r="E157" s="461" t="s">
        <v>132</v>
      </c>
      <c r="F157" s="462" t="s">
        <v>289</v>
      </c>
      <c r="G157" s="61"/>
      <c r="H157" s="61" t="s">
        <v>38</v>
      </c>
      <c r="I157" s="95">
        <f>I158</f>
        <v>1728</v>
      </c>
      <c r="J157" s="747"/>
      <c r="K157" s="748"/>
      <c r="L157" s="624"/>
      <c r="M157" s="567"/>
      <c r="N157" s="567"/>
    </row>
    <row r="158" spans="1:14" s="29" customFormat="1" ht="24.75" customHeight="1">
      <c r="A158" s="381" t="s">
        <v>376</v>
      </c>
      <c r="B158" s="49" t="s">
        <v>116</v>
      </c>
      <c r="C158" s="64" t="s">
        <v>47</v>
      </c>
      <c r="D158" s="64" t="s">
        <v>39</v>
      </c>
      <c r="E158" s="466" t="s">
        <v>132</v>
      </c>
      <c r="F158" s="467" t="s">
        <v>289</v>
      </c>
      <c r="G158" s="64" t="s">
        <v>375</v>
      </c>
      <c r="H158" s="61"/>
      <c r="I158" s="103">
        <v>1728</v>
      </c>
      <c r="J158" s="261"/>
      <c r="K158" s="593"/>
      <c r="L158" s="624"/>
      <c r="M158" s="156"/>
      <c r="N158" s="156"/>
    </row>
    <row r="159" spans="1:14" s="29" customFormat="1" ht="14.25">
      <c r="A159" s="380" t="s">
        <v>30</v>
      </c>
      <c r="B159" s="217" t="s">
        <v>116</v>
      </c>
      <c r="C159" s="81" t="s">
        <v>47</v>
      </c>
      <c r="D159" s="81" t="s">
        <v>40</v>
      </c>
      <c r="E159" s="802"/>
      <c r="F159" s="803"/>
      <c r="G159" s="81"/>
      <c r="H159" s="81" t="s">
        <v>38</v>
      </c>
      <c r="I159" s="79">
        <f>I160+I167</f>
        <v>450</v>
      </c>
      <c r="J159" s="261"/>
      <c r="K159" s="593"/>
      <c r="L159" s="624"/>
      <c r="M159" s="156"/>
      <c r="N159" s="156"/>
    </row>
    <row r="160" spans="1:14" s="78" customFormat="1" ht="48" customHeight="1">
      <c r="A160" s="750" t="s">
        <v>410</v>
      </c>
      <c r="B160" s="171" t="s">
        <v>116</v>
      </c>
      <c r="C160" s="225" t="s">
        <v>47</v>
      </c>
      <c r="D160" s="225" t="s">
        <v>40</v>
      </c>
      <c r="E160" s="459" t="s">
        <v>177</v>
      </c>
      <c r="F160" s="460" t="s">
        <v>95</v>
      </c>
      <c r="G160" s="225"/>
      <c r="H160" s="225" t="s">
        <v>38</v>
      </c>
      <c r="I160" s="327">
        <f>I161+I163+I165</f>
        <v>350</v>
      </c>
      <c r="J160" s="745"/>
      <c r="K160" s="746"/>
      <c r="L160" s="561"/>
      <c r="M160" s="437"/>
      <c r="N160" s="437"/>
    </row>
    <row r="161" spans="1:14" s="29" customFormat="1" ht="48" customHeight="1">
      <c r="A161" s="521" t="s">
        <v>409</v>
      </c>
      <c r="B161" s="48" t="s">
        <v>116</v>
      </c>
      <c r="C161" s="93" t="s">
        <v>47</v>
      </c>
      <c r="D161" s="93" t="s">
        <v>40</v>
      </c>
      <c r="E161" s="461" t="s">
        <v>291</v>
      </c>
      <c r="F161" s="462" t="s">
        <v>489</v>
      </c>
      <c r="G161" s="93"/>
      <c r="H161" s="93" t="s">
        <v>38</v>
      </c>
      <c r="I161" s="95">
        <f>I162</f>
        <v>280</v>
      </c>
      <c r="J161" s="261"/>
      <c r="K161" s="593"/>
      <c r="L161" s="624"/>
      <c r="M161" s="156"/>
      <c r="N161" s="156"/>
    </row>
    <row r="162" spans="1:14" s="29" customFormat="1" ht="28.5" customHeight="1">
      <c r="A162" s="369" t="s">
        <v>128</v>
      </c>
      <c r="B162" s="49" t="s">
        <v>116</v>
      </c>
      <c r="C162" s="94" t="s">
        <v>47</v>
      </c>
      <c r="D162" s="94" t="s">
        <v>40</v>
      </c>
      <c r="E162" s="466" t="s">
        <v>291</v>
      </c>
      <c r="F162" s="467" t="s">
        <v>489</v>
      </c>
      <c r="G162" s="49" t="s">
        <v>129</v>
      </c>
      <c r="H162" s="93"/>
      <c r="I162" s="103">
        <v>280</v>
      </c>
      <c r="J162" s="261"/>
      <c r="K162" s="593"/>
      <c r="L162" s="624"/>
      <c r="M162" s="156"/>
      <c r="N162" s="156"/>
    </row>
    <row r="163" spans="1:14" s="29" customFormat="1" ht="48" customHeight="1">
      <c r="A163" s="521" t="s">
        <v>519</v>
      </c>
      <c r="B163" s="48" t="s">
        <v>116</v>
      </c>
      <c r="C163" s="93" t="s">
        <v>47</v>
      </c>
      <c r="D163" s="93" t="s">
        <v>40</v>
      </c>
      <c r="E163" s="461" t="s">
        <v>291</v>
      </c>
      <c r="F163" s="462" t="s">
        <v>520</v>
      </c>
      <c r="G163" s="93"/>
      <c r="H163" s="93" t="s">
        <v>38</v>
      </c>
      <c r="I163" s="95">
        <f>I164</f>
        <v>30</v>
      </c>
      <c r="J163" s="261"/>
      <c r="K163" s="593"/>
      <c r="L163" s="624"/>
      <c r="M163" s="156"/>
      <c r="N163" s="156"/>
    </row>
    <row r="164" spans="1:14" s="29" customFormat="1" ht="30" customHeight="1">
      <c r="A164" s="379" t="s">
        <v>130</v>
      </c>
      <c r="B164" s="49" t="s">
        <v>116</v>
      </c>
      <c r="C164" s="94" t="s">
        <v>47</v>
      </c>
      <c r="D164" s="94" t="s">
        <v>40</v>
      </c>
      <c r="E164" s="466" t="s">
        <v>291</v>
      </c>
      <c r="F164" s="467" t="s">
        <v>520</v>
      </c>
      <c r="G164" s="94" t="s">
        <v>131</v>
      </c>
      <c r="H164" s="94" t="s">
        <v>38</v>
      </c>
      <c r="I164" s="103">
        <v>30</v>
      </c>
      <c r="J164" s="261"/>
      <c r="K164" s="593"/>
      <c r="L164" s="624"/>
      <c r="M164" s="156"/>
      <c r="N164" s="156"/>
    </row>
    <row r="165" spans="1:14" s="29" customFormat="1" ht="47.25" customHeight="1">
      <c r="A165" s="368" t="s">
        <v>521</v>
      </c>
      <c r="B165" s="48" t="s">
        <v>116</v>
      </c>
      <c r="C165" s="93" t="s">
        <v>47</v>
      </c>
      <c r="D165" s="93" t="s">
        <v>40</v>
      </c>
      <c r="E165" s="464" t="s">
        <v>291</v>
      </c>
      <c r="F165" s="465" t="s">
        <v>501</v>
      </c>
      <c r="G165" s="93"/>
      <c r="H165" s="93"/>
      <c r="I165" s="95">
        <f>I166</f>
        <v>40</v>
      </c>
      <c r="J165" s="261"/>
      <c r="K165" s="593"/>
      <c r="L165" s="624"/>
      <c r="M165" s="156"/>
      <c r="N165" s="156"/>
    </row>
    <row r="166" spans="1:14" s="29" customFormat="1" ht="41.25" customHeight="1">
      <c r="A166" s="369" t="s">
        <v>128</v>
      </c>
      <c r="B166" s="49" t="s">
        <v>116</v>
      </c>
      <c r="C166" s="94" t="s">
        <v>47</v>
      </c>
      <c r="D166" s="94" t="s">
        <v>40</v>
      </c>
      <c r="E166" s="466" t="s">
        <v>291</v>
      </c>
      <c r="F166" s="467" t="s">
        <v>501</v>
      </c>
      <c r="G166" s="94" t="s">
        <v>129</v>
      </c>
      <c r="H166" s="94"/>
      <c r="I166" s="103">
        <v>40</v>
      </c>
      <c r="J166" s="261"/>
      <c r="K166" s="593"/>
      <c r="L166" s="624"/>
      <c r="M166" s="156"/>
      <c r="N166" s="156"/>
    </row>
    <row r="167" spans="1:14" s="29" customFormat="1" ht="33.75" customHeight="1">
      <c r="A167" s="399" t="s">
        <v>421</v>
      </c>
      <c r="B167" s="171" t="s">
        <v>116</v>
      </c>
      <c r="C167" s="225" t="s">
        <v>47</v>
      </c>
      <c r="D167" s="225" t="s">
        <v>40</v>
      </c>
      <c r="E167" s="459" t="s">
        <v>293</v>
      </c>
      <c r="F167" s="460" t="s">
        <v>95</v>
      </c>
      <c r="G167" s="225"/>
      <c r="H167" s="225" t="s">
        <v>38</v>
      </c>
      <c r="I167" s="327">
        <f>I168+I170</f>
        <v>100</v>
      </c>
      <c r="J167" s="261"/>
      <c r="K167" s="593"/>
      <c r="L167" s="561"/>
      <c r="M167" s="156"/>
      <c r="N167" s="156"/>
    </row>
    <row r="168" spans="1:14" s="29" customFormat="1" ht="33.75" customHeight="1">
      <c r="A168" s="347" t="s">
        <v>522</v>
      </c>
      <c r="B168" s="171" t="s">
        <v>116</v>
      </c>
      <c r="C168" s="93" t="s">
        <v>47</v>
      </c>
      <c r="D168" s="93" t="s">
        <v>40</v>
      </c>
      <c r="E168" s="461" t="s">
        <v>293</v>
      </c>
      <c r="F168" s="462" t="s">
        <v>489</v>
      </c>
      <c r="G168" s="93"/>
      <c r="H168" s="93" t="s">
        <v>38</v>
      </c>
      <c r="I168" s="95">
        <f>I169</f>
        <v>50</v>
      </c>
      <c r="J168" s="261"/>
      <c r="K168" s="593"/>
      <c r="L168" s="624"/>
      <c r="M168" s="156"/>
      <c r="N168" s="156"/>
    </row>
    <row r="169" spans="1:14" s="29" customFormat="1" ht="33.75" customHeight="1">
      <c r="A169" s="379" t="s">
        <v>130</v>
      </c>
      <c r="B169" s="49" t="s">
        <v>116</v>
      </c>
      <c r="C169" s="94" t="s">
        <v>47</v>
      </c>
      <c r="D169" s="94" t="s">
        <v>40</v>
      </c>
      <c r="E169" s="466" t="s">
        <v>293</v>
      </c>
      <c r="F169" s="467" t="s">
        <v>489</v>
      </c>
      <c r="G169" s="94" t="s">
        <v>131</v>
      </c>
      <c r="H169" s="94"/>
      <c r="I169" s="103">
        <v>50</v>
      </c>
      <c r="J169" s="261"/>
      <c r="K169" s="593"/>
      <c r="L169" s="624"/>
      <c r="M169" s="156"/>
      <c r="N169" s="156"/>
    </row>
    <row r="170" spans="1:14" s="29" customFormat="1" ht="40.5">
      <c r="A170" s="347" t="s">
        <v>523</v>
      </c>
      <c r="B170" s="171" t="s">
        <v>116</v>
      </c>
      <c r="C170" s="93" t="s">
        <v>47</v>
      </c>
      <c r="D170" s="93" t="s">
        <v>40</v>
      </c>
      <c r="E170" s="461" t="s">
        <v>293</v>
      </c>
      <c r="F170" s="462" t="s">
        <v>520</v>
      </c>
      <c r="G170" s="93"/>
      <c r="H170" s="93" t="s">
        <v>38</v>
      </c>
      <c r="I170" s="95">
        <f>I171</f>
        <v>50</v>
      </c>
      <c r="J170" s="261"/>
      <c r="K170" s="593"/>
      <c r="L170" s="624"/>
      <c r="M170" s="156"/>
      <c r="N170" s="156"/>
    </row>
    <row r="171" spans="1:14" s="29" customFormat="1" ht="33.75" customHeight="1">
      <c r="A171" s="369" t="s">
        <v>327</v>
      </c>
      <c r="B171" s="49" t="s">
        <v>116</v>
      </c>
      <c r="C171" s="94" t="s">
        <v>47</v>
      </c>
      <c r="D171" s="94" t="s">
        <v>40</v>
      </c>
      <c r="E171" s="466" t="s">
        <v>293</v>
      </c>
      <c r="F171" s="467" t="s">
        <v>520</v>
      </c>
      <c r="G171" s="94" t="s">
        <v>84</v>
      </c>
      <c r="H171" s="94"/>
      <c r="I171" s="103">
        <v>50</v>
      </c>
      <c r="J171" s="261"/>
      <c r="K171" s="593"/>
      <c r="L171" s="624"/>
      <c r="M171" s="156"/>
      <c r="N171" s="156"/>
    </row>
    <row r="172" spans="1:14" s="29" customFormat="1" ht="22.5" customHeight="1">
      <c r="A172" s="380" t="s">
        <v>31</v>
      </c>
      <c r="B172" s="81">
        <v>701</v>
      </c>
      <c r="C172" s="81" t="s">
        <v>47</v>
      </c>
      <c r="D172" s="81" t="s">
        <v>43</v>
      </c>
      <c r="E172" s="802"/>
      <c r="F172" s="803"/>
      <c r="G172" s="81"/>
      <c r="H172" s="81"/>
      <c r="I172" s="79">
        <f>I173</f>
        <v>560</v>
      </c>
      <c r="J172" s="261"/>
      <c r="K172" s="593"/>
      <c r="L172" s="624"/>
      <c r="M172" s="156"/>
      <c r="N172" s="156"/>
    </row>
    <row r="173" spans="1:14" s="29" customFormat="1" ht="27">
      <c r="A173" s="366" t="s">
        <v>145</v>
      </c>
      <c r="B173" s="48" t="s">
        <v>116</v>
      </c>
      <c r="C173" s="61" t="s">
        <v>47</v>
      </c>
      <c r="D173" s="61" t="s">
        <v>43</v>
      </c>
      <c r="E173" s="461" t="s">
        <v>146</v>
      </c>
      <c r="F173" s="462" t="s">
        <v>147</v>
      </c>
      <c r="G173" s="61"/>
      <c r="H173" s="61"/>
      <c r="I173" s="84">
        <f>SUM(I174:I175)</f>
        <v>560</v>
      </c>
      <c r="J173" s="261"/>
      <c r="K173" s="593"/>
      <c r="L173" s="624"/>
      <c r="M173" s="156"/>
      <c r="N173" s="156"/>
    </row>
    <row r="174" spans="1:14" s="29" customFormat="1" ht="25.5" customHeight="1">
      <c r="A174" s="367" t="s">
        <v>126</v>
      </c>
      <c r="B174" s="49" t="s">
        <v>116</v>
      </c>
      <c r="C174" s="64" t="s">
        <v>47</v>
      </c>
      <c r="D174" s="64" t="s">
        <v>43</v>
      </c>
      <c r="E174" s="466" t="s">
        <v>146</v>
      </c>
      <c r="F174" s="467" t="s">
        <v>147</v>
      </c>
      <c r="G174" s="36" t="s">
        <v>127</v>
      </c>
      <c r="H174" s="64"/>
      <c r="I174" s="103">
        <v>380</v>
      </c>
      <c r="J174" s="255"/>
      <c r="K174" s="574"/>
      <c r="L174" s="624"/>
      <c r="M174" s="156"/>
      <c r="N174" s="156"/>
    </row>
    <row r="175" spans="1:14" s="29" customFormat="1" ht="25.5" customHeight="1">
      <c r="A175" s="367" t="s">
        <v>128</v>
      </c>
      <c r="B175" s="49" t="s">
        <v>116</v>
      </c>
      <c r="C175" s="64" t="s">
        <v>47</v>
      </c>
      <c r="D175" s="64" t="s">
        <v>43</v>
      </c>
      <c r="E175" s="466" t="s">
        <v>146</v>
      </c>
      <c r="F175" s="467" t="s">
        <v>147</v>
      </c>
      <c r="G175" s="36" t="s">
        <v>129</v>
      </c>
      <c r="H175" s="64"/>
      <c r="I175" s="103">
        <v>180</v>
      </c>
      <c r="J175" s="255"/>
      <c r="K175" s="574"/>
      <c r="L175" s="624"/>
      <c r="M175" s="156"/>
      <c r="N175" s="156"/>
    </row>
    <row r="176" spans="1:14" s="29" customFormat="1" ht="28.5" customHeight="1">
      <c r="A176" s="382" t="s">
        <v>114</v>
      </c>
      <c r="B176" s="424" t="s">
        <v>94</v>
      </c>
      <c r="C176" s="425"/>
      <c r="D176" s="425"/>
      <c r="E176" s="834"/>
      <c r="F176" s="835"/>
      <c r="G176" s="425"/>
      <c r="H176" s="425"/>
      <c r="I176" s="326">
        <f>I177</f>
        <v>380.3</v>
      </c>
      <c r="J176" s="255"/>
      <c r="K176" s="574"/>
      <c r="L176" s="624"/>
      <c r="M176" s="156"/>
      <c r="N176" s="156"/>
    </row>
    <row r="177" spans="1:14" s="29" customFormat="1" ht="28.5" customHeight="1">
      <c r="A177" s="353" t="s">
        <v>10</v>
      </c>
      <c r="B177" s="359">
        <v>702</v>
      </c>
      <c r="C177" s="220" t="s">
        <v>39</v>
      </c>
      <c r="D177" s="220"/>
      <c r="E177" s="804"/>
      <c r="F177" s="805"/>
      <c r="G177" s="52"/>
      <c r="H177" s="52"/>
      <c r="I177" s="324">
        <f>I178</f>
        <v>380.3</v>
      </c>
      <c r="J177" s="255"/>
      <c r="K177" s="574"/>
      <c r="L177" s="624"/>
      <c r="M177" s="156"/>
      <c r="N177" s="156"/>
    </row>
    <row r="178" spans="1:14" s="29" customFormat="1" ht="38.25">
      <c r="A178" s="384" t="s">
        <v>86</v>
      </c>
      <c r="B178" s="40" t="s">
        <v>94</v>
      </c>
      <c r="C178" s="40" t="s">
        <v>39</v>
      </c>
      <c r="D178" s="40" t="s">
        <v>40</v>
      </c>
      <c r="E178" s="802"/>
      <c r="F178" s="803"/>
      <c r="G178" s="40"/>
      <c r="H178" s="40"/>
      <c r="I178" s="41">
        <f>SUM(I179)</f>
        <v>380.3</v>
      </c>
      <c r="J178" s="255"/>
      <c r="K178" s="574"/>
      <c r="L178" s="624"/>
      <c r="M178" s="156"/>
      <c r="N178" s="156"/>
    </row>
    <row r="179" spans="1:14" s="29" customFormat="1" ht="12.75">
      <c r="A179" s="663" t="s">
        <v>524</v>
      </c>
      <c r="B179" s="665" t="s">
        <v>94</v>
      </c>
      <c r="C179" s="665" t="s">
        <v>39</v>
      </c>
      <c r="D179" s="665" t="s">
        <v>40</v>
      </c>
      <c r="E179" s="459" t="s">
        <v>117</v>
      </c>
      <c r="F179" s="460" t="s">
        <v>95</v>
      </c>
      <c r="G179" s="665"/>
      <c r="H179" s="665"/>
      <c r="I179" s="757">
        <f>I180+I182</f>
        <v>380.3</v>
      </c>
      <c r="J179" s="255"/>
      <c r="K179" s="574"/>
      <c r="L179" s="561"/>
      <c r="M179" s="156"/>
      <c r="N179" s="156"/>
    </row>
    <row r="180" spans="1:18" s="78" customFormat="1" ht="13.5">
      <c r="A180" s="368" t="s">
        <v>535</v>
      </c>
      <c r="B180" s="280">
        <v>702</v>
      </c>
      <c r="C180" s="48" t="s">
        <v>39</v>
      </c>
      <c r="D180" s="48" t="s">
        <v>40</v>
      </c>
      <c r="E180" s="461" t="s">
        <v>117</v>
      </c>
      <c r="F180" s="465" t="s">
        <v>472</v>
      </c>
      <c r="G180" s="49"/>
      <c r="H180" s="48"/>
      <c r="I180" s="45">
        <f>I181</f>
        <v>345.3</v>
      </c>
      <c r="J180" s="248"/>
      <c r="K180" s="577"/>
      <c r="L180" s="624"/>
      <c r="M180" s="561"/>
      <c r="N180" s="437"/>
      <c r="O180" s="555"/>
      <c r="P180" s="555"/>
      <c r="Q180" s="555"/>
      <c r="R180" s="555"/>
    </row>
    <row r="181" spans="1:14" s="29" customFormat="1" ht="21.75" customHeight="1">
      <c r="A181" s="367" t="s">
        <v>126</v>
      </c>
      <c r="B181" s="36" t="s">
        <v>94</v>
      </c>
      <c r="C181" s="36" t="s">
        <v>39</v>
      </c>
      <c r="D181" s="36" t="s">
        <v>40</v>
      </c>
      <c r="E181" s="466" t="s">
        <v>117</v>
      </c>
      <c r="F181" s="467" t="s">
        <v>472</v>
      </c>
      <c r="G181" s="36" t="s">
        <v>127</v>
      </c>
      <c r="H181" s="36"/>
      <c r="I181" s="46">
        <f>300+90.6/2</f>
        <v>345.3</v>
      </c>
      <c r="J181" s="255"/>
      <c r="K181" s="574"/>
      <c r="L181" s="624"/>
      <c r="M181" s="156"/>
      <c r="N181" s="156"/>
    </row>
    <row r="182" spans="1:14" s="29" customFormat="1" ht="27">
      <c r="A182" s="368" t="s">
        <v>534</v>
      </c>
      <c r="B182" s="280">
        <v>702</v>
      </c>
      <c r="C182" s="48" t="s">
        <v>39</v>
      </c>
      <c r="D182" s="48" t="s">
        <v>40</v>
      </c>
      <c r="E182" s="464" t="s">
        <v>117</v>
      </c>
      <c r="F182" s="465" t="s">
        <v>476</v>
      </c>
      <c r="G182" s="36"/>
      <c r="H182" s="36"/>
      <c r="I182" s="45">
        <f>SUM(I183:I184)</f>
        <v>35</v>
      </c>
      <c r="J182" s="255"/>
      <c r="K182" s="574"/>
      <c r="L182" s="624"/>
      <c r="M182" s="156"/>
      <c r="N182" s="156"/>
    </row>
    <row r="183" spans="1:14" s="29" customFormat="1" ht="18" customHeight="1">
      <c r="A183" s="367" t="s">
        <v>128</v>
      </c>
      <c r="B183" s="36" t="s">
        <v>94</v>
      </c>
      <c r="C183" s="36" t="s">
        <v>39</v>
      </c>
      <c r="D183" s="36" t="s">
        <v>40</v>
      </c>
      <c r="E183" s="466" t="s">
        <v>117</v>
      </c>
      <c r="F183" s="467" t="s">
        <v>476</v>
      </c>
      <c r="G183" s="36" t="s">
        <v>129</v>
      </c>
      <c r="H183" s="36"/>
      <c r="I183" s="46">
        <f>150-130</f>
        <v>20</v>
      </c>
      <c r="J183" s="255"/>
      <c r="K183" s="574"/>
      <c r="L183" s="624"/>
      <c r="M183" s="156"/>
      <c r="N183" s="156"/>
    </row>
    <row r="184" spans="1:14" s="486" customFormat="1" ht="13.5">
      <c r="A184" s="367" t="s">
        <v>76</v>
      </c>
      <c r="B184" s="36" t="s">
        <v>94</v>
      </c>
      <c r="C184" s="36" t="s">
        <v>39</v>
      </c>
      <c r="D184" s="36" t="s">
        <v>40</v>
      </c>
      <c r="E184" s="466" t="s">
        <v>117</v>
      </c>
      <c r="F184" s="467" t="s">
        <v>476</v>
      </c>
      <c r="G184" s="36" t="s">
        <v>77</v>
      </c>
      <c r="H184" s="36"/>
      <c r="I184" s="46">
        <v>15</v>
      </c>
      <c r="J184" s="485"/>
      <c r="K184" s="594"/>
      <c r="L184" s="624"/>
      <c r="M184" s="156"/>
      <c r="N184" s="156"/>
    </row>
    <row r="185" spans="1:14" s="29" customFormat="1" ht="31.5" customHeight="1">
      <c r="A185" s="403" t="s">
        <v>121</v>
      </c>
      <c r="B185" s="404" t="s">
        <v>120</v>
      </c>
      <c r="C185" s="405"/>
      <c r="D185" s="405"/>
      <c r="E185" s="832"/>
      <c r="F185" s="833"/>
      <c r="G185" s="405"/>
      <c r="H185" s="405"/>
      <c r="I185" s="406">
        <f>I186+I199</f>
        <v>13928.900000000001</v>
      </c>
      <c r="J185" s="255"/>
      <c r="K185" s="574"/>
      <c r="L185" s="624"/>
      <c r="M185" s="156"/>
      <c r="N185" s="156"/>
    </row>
    <row r="186" spans="1:14" s="29" customFormat="1" ht="21" customHeight="1">
      <c r="A186" s="353" t="s">
        <v>10</v>
      </c>
      <c r="B186" s="276" t="s">
        <v>120</v>
      </c>
      <c r="C186" s="276" t="s">
        <v>39</v>
      </c>
      <c r="D186" s="220"/>
      <c r="E186" s="804"/>
      <c r="F186" s="805"/>
      <c r="G186" s="52"/>
      <c r="H186" s="52"/>
      <c r="I186" s="324">
        <f>I187+I194</f>
        <v>10080.1</v>
      </c>
      <c r="J186" s="255"/>
      <c r="K186" s="574"/>
      <c r="L186" s="624"/>
      <c r="M186" s="156"/>
      <c r="N186" s="156"/>
    </row>
    <row r="187" spans="1:14" s="29" customFormat="1" ht="38.25">
      <c r="A187" s="384" t="s">
        <v>75</v>
      </c>
      <c r="B187" s="217" t="s">
        <v>120</v>
      </c>
      <c r="C187" s="40" t="s">
        <v>39</v>
      </c>
      <c r="D187" s="40" t="s">
        <v>43</v>
      </c>
      <c r="E187" s="802"/>
      <c r="F187" s="803"/>
      <c r="G187" s="40"/>
      <c r="H187" s="40" t="s">
        <v>38</v>
      </c>
      <c r="I187" s="41">
        <f>I188</f>
        <v>10025.5</v>
      </c>
      <c r="J187" s="255"/>
      <c r="K187" s="574"/>
      <c r="L187" s="624"/>
      <c r="M187" s="156"/>
      <c r="N187" s="156"/>
    </row>
    <row r="188" spans="1:14" s="29" customFormat="1" ht="12.75">
      <c r="A188" s="754" t="s">
        <v>122</v>
      </c>
      <c r="B188" s="171" t="s">
        <v>120</v>
      </c>
      <c r="C188" s="171" t="s">
        <v>39</v>
      </c>
      <c r="D188" s="171" t="s">
        <v>43</v>
      </c>
      <c r="E188" s="459" t="s">
        <v>98</v>
      </c>
      <c r="F188" s="460" t="s">
        <v>95</v>
      </c>
      <c r="G188" s="171"/>
      <c r="H188" s="171" t="s">
        <v>38</v>
      </c>
      <c r="I188" s="493">
        <f>I189+I191</f>
        <v>10025.5</v>
      </c>
      <c r="J188" s="255"/>
      <c r="K188" s="574"/>
      <c r="L188" s="561"/>
      <c r="M188" s="156"/>
      <c r="N188" s="156"/>
    </row>
    <row r="189" spans="1:14" s="58" customFormat="1" ht="27">
      <c r="A189" s="368" t="s">
        <v>473</v>
      </c>
      <c r="B189" s="280">
        <v>703</v>
      </c>
      <c r="C189" s="48" t="s">
        <v>39</v>
      </c>
      <c r="D189" s="48" t="s">
        <v>43</v>
      </c>
      <c r="E189" s="464" t="s">
        <v>98</v>
      </c>
      <c r="F189" s="465" t="s">
        <v>472</v>
      </c>
      <c r="G189" s="48"/>
      <c r="H189" s="48"/>
      <c r="I189" s="45">
        <f>I190</f>
        <v>8705.5</v>
      </c>
      <c r="J189" s="254"/>
      <c r="K189" s="584"/>
      <c r="L189" s="624"/>
      <c r="M189" s="625"/>
      <c r="N189" s="625"/>
    </row>
    <row r="190" spans="1:14" s="58" customFormat="1" ht="25.5">
      <c r="A190" s="369" t="s">
        <v>126</v>
      </c>
      <c r="B190" s="49" t="s">
        <v>120</v>
      </c>
      <c r="C190" s="49" t="s">
        <v>39</v>
      </c>
      <c r="D190" s="49" t="s">
        <v>43</v>
      </c>
      <c r="E190" s="466" t="s">
        <v>98</v>
      </c>
      <c r="F190" s="467" t="s">
        <v>472</v>
      </c>
      <c r="G190" s="49" t="s">
        <v>127</v>
      </c>
      <c r="H190" s="49" t="s">
        <v>38</v>
      </c>
      <c r="I190" s="46">
        <f>(7000+2114/2+220)+575.5-147</f>
        <v>8705.5</v>
      </c>
      <c r="J190" s="254"/>
      <c r="K190" s="584"/>
      <c r="L190" s="624"/>
      <c r="M190" s="625"/>
      <c r="N190" s="625"/>
    </row>
    <row r="191" spans="1:14" s="58" customFormat="1" ht="27">
      <c r="A191" s="368" t="s">
        <v>475</v>
      </c>
      <c r="B191" s="280">
        <v>703</v>
      </c>
      <c r="C191" s="48" t="s">
        <v>39</v>
      </c>
      <c r="D191" s="48" t="s">
        <v>43</v>
      </c>
      <c r="E191" s="464" t="s">
        <v>98</v>
      </c>
      <c r="F191" s="465" t="s">
        <v>476</v>
      </c>
      <c r="G191" s="49"/>
      <c r="H191" s="48"/>
      <c r="I191" s="45">
        <f>SUM(I192:I193)</f>
        <v>1320</v>
      </c>
      <c r="J191" s="254"/>
      <c r="K191" s="584"/>
      <c r="L191" s="624"/>
      <c r="M191" s="625"/>
      <c r="N191" s="625"/>
    </row>
    <row r="192" spans="1:14" s="58" customFormat="1" ht="25.5">
      <c r="A192" s="369" t="s">
        <v>128</v>
      </c>
      <c r="B192" s="49" t="s">
        <v>120</v>
      </c>
      <c r="C192" s="49" t="s">
        <v>39</v>
      </c>
      <c r="D192" s="49" t="s">
        <v>43</v>
      </c>
      <c r="E192" s="466" t="s">
        <v>98</v>
      </c>
      <c r="F192" s="467" t="s">
        <v>476</v>
      </c>
      <c r="G192" s="49" t="s">
        <v>129</v>
      </c>
      <c r="H192" s="49"/>
      <c r="I192" s="46">
        <f>1170+100</f>
        <v>1270</v>
      </c>
      <c r="J192" s="254"/>
      <c r="K192" s="584"/>
      <c r="L192" s="624"/>
      <c r="M192" s="625"/>
      <c r="N192" s="625"/>
    </row>
    <row r="193" spans="1:14" s="58" customFormat="1" ht="13.5">
      <c r="A193" s="367" t="s">
        <v>76</v>
      </c>
      <c r="B193" s="49" t="s">
        <v>120</v>
      </c>
      <c r="C193" s="36" t="s">
        <v>39</v>
      </c>
      <c r="D193" s="36" t="s">
        <v>43</v>
      </c>
      <c r="E193" s="466" t="s">
        <v>98</v>
      </c>
      <c r="F193" s="467" t="s">
        <v>476</v>
      </c>
      <c r="G193" s="36" t="s">
        <v>77</v>
      </c>
      <c r="H193" s="36"/>
      <c r="I193" s="46">
        <v>50</v>
      </c>
      <c r="J193" s="254"/>
      <c r="K193" s="584"/>
      <c r="L193" s="624"/>
      <c r="M193" s="625"/>
      <c r="N193" s="625"/>
    </row>
    <row r="194" spans="1:14" s="58" customFormat="1" ht="14.25">
      <c r="A194" s="365" t="s">
        <v>15</v>
      </c>
      <c r="B194" s="98">
        <v>703</v>
      </c>
      <c r="C194" s="40" t="s">
        <v>39</v>
      </c>
      <c r="D194" s="40" t="s">
        <v>53</v>
      </c>
      <c r="E194" s="802"/>
      <c r="F194" s="803"/>
      <c r="G194" s="40"/>
      <c r="H194" s="40"/>
      <c r="I194" s="41">
        <f>I195</f>
        <v>54.6</v>
      </c>
      <c r="J194" s="254"/>
      <c r="K194" s="584"/>
      <c r="L194" s="624"/>
      <c r="M194" s="625"/>
      <c r="N194" s="625"/>
    </row>
    <row r="195" spans="1:14" s="58" customFormat="1" ht="54">
      <c r="A195" s="500" t="s">
        <v>494</v>
      </c>
      <c r="B195" s="516">
        <v>703</v>
      </c>
      <c r="C195" s="48" t="s">
        <v>39</v>
      </c>
      <c r="D195" s="48" t="s">
        <v>53</v>
      </c>
      <c r="E195" s="461" t="s">
        <v>288</v>
      </c>
      <c r="F195" s="462" t="s">
        <v>95</v>
      </c>
      <c r="G195" s="48"/>
      <c r="H195" s="48"/>
      <c r="I195" s="45">
        <f>I196</f>
        <v>54.6</v>
      </c>
      <c r="J195" s="254"/>
      <c r="K195" s="584"/>
      <c r="L195" s="624"/>
      <c r="M195" s="625"/>
      <c r="N195" s="625"/>
    </row>
    <row r="196" spans="1:14" s="58" customFormat="1" ht="54">
      <c r="A196" s="500" t="s">
        <v>492</v>
      </c>
      <c r="B196" s="516">
        <v>703</v>
      </c>
      <c r="C196" s="48" t="s">
        <v>39</v>
      </c>
      <c r="D196" s="48" t="s">
        <v>53</v>
      </c>
      <c r="E196" s="464" t="s">
        <v>288</v>
      </c>
      <c r="F196" s="465" t="s">
        <v>489</v>
      </c>
      <c r="G196" s="48"/>
      <c r="H196" s="48"/>
      <c r="I196" s="45">
        <f>SUBTOTAL(9,I197:I198)</f>
        <v>54.6</v>
      </c>
      <c r="J196" s="254"/>
      <c r="K196" s="584"/>
      <c r="L196" s="624"/>
      <c r="M196" s="625"/>
      <c r="N196" s="625"/>
    </row>
    <row r="197" spans="1:14" s="29" customFormat="1" ht="30.75" customHeight="1">
      <c r="A197" s="369" t="s">
        <v>126</v>
      </c>
      <c r="B197" s="517">
        <v>703</v>
      </c>
      <c r="C197" s="49" t="s">
        <v>39</v>
      </c>
      <c r="D197" s="49" t="s">
        <v>53</v>
      </c>
      <c r="E197" s="466" t="s">
        <v>288</v>
      </c>
      <c r="F197" s="467" t="s">
        <v>489</v>
      </c>
      <c r="G197" s="49" t="s">
        <v>127</v>
      </c>
      <c r="H197" s="518"/>
      <c r="I197" s="46">
        <v>24.6</v>
      </c>
      <c r="J197" s="255"/>
      <c r="K197" s="574"/>
      <c r="L197" s="624"/>
      <c r="M197" s="156"/>
      <c r="N197" s="156"/>
    </row>
    <row r="198" spans="1:14" s="29" customFormat="1" ht="15" customHeight="1">
      <c r="A198" s="369" t="s">
        <v>128</v>
      </c>
      <c r="B198" s="517">
        <v>703</v>
      </c>
      <c r="C198" s="49" t="s">
        <v>39</v>
      </c>
      <c r="D198" s="49" t="s">
        <v>53</v>
      </c>
      <c r="E198" s="466" t="s">
        <v>288</v>
      </c>
      <c r="F198" s="467" t="s">
        <v>489</v>
      </c>
      <c r="G198" s="49" t="s">
        <v>129</v>
      </c>
      <c r="H198" s="49"/>
      <c r="I198" s="46">
        <v>30</v>
      </c>
      <c r="J198" s="255"/>
      <c r="K198" s="574"/>
      <c r="L198" s="624"/>
      <c r="M198" s="156"/>
      <c r="N198" s="156"/>
    </row>
    <row r="199" spans="1:14" s="78" customFormat="1" ht="30" customHeight="1">
      <c r="A199" s="353" t="s">
        <v>54</v>
      </c>
      <c r="B199" s="276" t="s">
        <v>120</v>
      </c>
      <c r="C199" s="220" t="s">
        <v>53</v>
      </c>
      <c r="D199" s="220"/>
      <c r="E199" s="828"/>
      <c r="F199" s="829"/>
      <c r="G199" s="52"/>
      <c r="H199" s="52"/>
      <c r="I199" s="324">
        <f>I200</f>
        <v>3848.8</v>
      </c>
      <c r="J199" s="262"/>
      <c r="K199" s="575"/>
      <c r="L199" s="624"/>
      <c r="M199" s="437"/>
      <c r="N199" s="437"/>
    </row>
    <row r="200" spans="1:14" s="29" customFormat="1" ht="15" customHeight="1">
      <c r="A200" s="384" t="s">
        <v>64</v>
      </c>
      <c r="B200" s="217" t="s">
        <v>120</v>
      </c>
      <c r="C200" s="40" t="s">
        <v>53</v>
      </c>
      <c r="D200" s="40" t="s">
        <v>39</v>
      </c>
      <c r="E200" s="802"/>
      <c r="F200" s="803"/>
      <c r="G200" s="40"/>
      <c r="H200" s="40" t="s">
        <v>38</v>
      </c>
      <c r="I200" s="41">
        <f>I201</f>
        <v>3848.8</v>
      </c>
      <c r="J200" s="255"/>
      <c r="K200" s="574"/>
      <c r="L200" s="624"/>
      <c r="M200" s="156"/>
      <c r="N200" s="156"/>
    </row>
    <row r="201" spans="1:14" s="29" customFormat="1" ht="19.5" customHeight="1">
      <c r="A201" s="663" t="s">
        <v>525</v>
      </c>
      <c r="B201" s="171" t="s">
        <v>120</v>
      </c>
      <c r="C201" s="665" t="s">
        <v>53</v>
      </c>
      <c r="D201" s="665" t="s">
        <v>39</v>
      </c>
      <c r="E201" s="459" t="s">
        <v>192</v>
      </c>
      <c r="F201" s="460" t="s">
        <v>95</v>
      </c>
      <c r="G201" s="665"/>
      <c r="H201" s="665" t="s">
        <v>38</v>
      </c>
      <c r="I201" s="757">
        <f>I202</f>
        <v>3848.8</v>
      </c>
      <c r="J201" s="255"/>
      <c r="K201" s="574"/>
      <c r="L201" s="561"/>
      <c r="M201" s="156"/>
      <c r="N201" s="156"/>
    </row>
    <row r="202" spans="1:14" s="29" customFormat="1" ht="19.5" customHeight="1">
      <c r="A202" s="366" t="s">
        <v>81</v>
      </c>
      <c r="B202" s="48" t="s">
        <v>120</v>
      </c>
      <c r="C202" s="31" t="s">
        <v>53</v>
      </c>
      <c r="D202" s="31" t="s">
        <v>39</v>
      </c>
      <c r="E202" s="461" t="s">
        <v>192</v>
      </c>
      <c r="F202" s="462" t="s">
        <v>526</v>
      </c>
      <c r="G202" s="31"/>
      <c r="H202" s="31" t="s">
        <v>38</v>
      </c>
      <c r="I202" s="32">
        <f>I203</f>
        <v>3848.8</v>
      </c>
      <c r="J202" s="255"/>
      <c r="K202" s="574"/>
      <c r="L202" s="624"/>
      <c r="M202" s="156"/>
      <c r="N202" s="156"/>
    </row>
    <row r="203" spans="1:14" s="29" customFormat="1" ht="21" customHeight="1">
      <c r="A203" s="367" t="s">
        <v>81</v>
      </c>
      <c r="B203" s="49" t="s">
        <v>120</v>
      </c>
      <c r="C203" s="36" t="s">
        <v>53</v>
      </c>
      <c r="D203" s="36" t="s">
        <v>39</v>
      </c>
      <c r="E203" s="466" t="s">
        <v>192</v>
      </c>
      <c r="F203" s="467" t="s">
        <v>526</v>
      </c>
      <c r="G203" s="36" t="s">
        <v>2</v>
      </c>
      <c r="H203" s="36" t="s">
        <v>38</v>
      </c>
      <c r="I203" s="46">
        <v>3848.8</v>
      </c>
      <c r="J203" s="255"/>
      <c r="K203" s="574"/>
      <c r="L203" s="624"/>
      <c r="M203" s="156"/>
      <c r="N203" s="156"/>
    </row>
    <row r="204" spans="1:14" s="47" customFormat="1" ht="18.75" customHeight="1">
      <c r="A204" s="409" t="s">
        <v>92</v>
      </c>
      <c r="B204" s="404" t="s">
        <v>113</v>
      </c>
      <c r="C204" s="410"/>
      <c r="D204" s="410"/>
      <c r="E204" s="830"/>
      <c r="F204" s="831"/>
      <c r="G204" s="410"/>
      <c r="H204" s="410"/>
      <c r="I204" s="411">
        <f>I205+I220+I226+I278</f>
        <v>69179.95999999999</v>
      </c>
      <c r="J204" s="250" t="e">
        <f>#REF!+#REF!+#REF!+#REF!+#REF!</f>
        <v>#REF!</v>
      </c>
      <c r="K204" s="576" t="e">
        <f>J204/I206</f>
        <v>#REF!</v>
      </c>
      <c r="L204" s="624"/>
      <c r="M204" s="437"/>
      <c r="N204" s="437"/>
    </row>
    <row r="205" spans="1:14" s="47" customFormat="1" ht="18.75" customHeight="1">
      <c r="A205" s="353" t="s">
        <v>10</v>
      </c>
      <c r="B205" s="276" t="s">
        <v>113</v>
      </c>
      <c r="C205" s="276" t="s">
        <v>39</v>
      </c>
      <c r="D205" s="220"/>
      <c r="E205" s="804"/>
      <c r="F205" s="805"/>
      <c r="G205" s="52"/>
      <c r="H205" s="52"/>
      <c r="I205" s="324">
        <f>I206</f>
        <v>21936.14</v>
      </c>
      <c r="J205" s="250"/>
      <c r="K205" s="576"/>
      <c r="L205" s="624"/>
      <c r="M205" s="437"/>
      <c r="N205" s="437"/>
    </row>
    <row r="206" spans="1:14" s="29" customFormat="1" ht="13.5">
      <c r="A206" s="384" t="s">
        <v>15</v>
      </c>
      <c r="B206" s="98">
        <v>704</v>
      </c>
      <c r="C206" s="40" t="s">
        <v>39</v>
      </c>
      <c r="D206" s="40" t="s">
        <v>53</v>
      </c>
      <c r="E206" s="802"/>
      <c r="F206" s="803"/>
      <c r="G206" s="40"/>
      <c r="H206" s="40" t="s">
        <v>38</v>
      </c>
      <c r="I206" s="41">
        <f>I210+I216+I207</f>
        <v>21936.14</v>
      </c>
      <c r="J206" s="265"/>
      <c r="K206" s="595"/>
      <c r="L206" s="624"/>
      <c r="M206" s="156"/>
      <c r="N206" s="156"/>
    </row>
    <row r="207" spans="1:14" s="29" customFormat="1" ht="27">
      <c r="A207" s="368" t="s">
        <v>322</v>
      </c>
      <c r="B207" s="280">
        <v>704</v>
      </c>
      <c r="C207" s="48" t="s">
        <v>39</v>
      </c>
      <c r="D207" s="48" t="s">
        <v>53</v>
      </c>
      <c r="E207" s="464" t="s">
        <v>323</v>
      </c>
      <c r="F207" s="465" t="s">
        <v>95</v>
      </c>
      <c r="G207" s="49"/>
      <c r="H207" s="49"/>
      <c r="I207" s="45">
        <f>I208</f>
        <v>100</v>
      </c>
      <c r="J207" s="265"/>
      <c r="K207" s="595"/>
      <c r="L207" s="624"/>
      <c r="M207" s="156"/>
      <c r="N207" s="156"/>
    </row>
    <row r="208" spans="1:14" s="29" customFormat="1" ht="40.5">
      <c r="A208" s="368" t="s">
        <v>486</v>
      </c>
      <c r="B208" s="688">
        <v>704</v>
      </c>
      <c r="C208" s="171" t="s">
        <v>39</v>
      </c>
      <c r="D208" s="171" t="s">
        <v>53</v>
      </c>
      <c r="E208" s="463" t="s">
        <v>323</v>
      </c>
      <c r="F208" s="203" t="s">
        <v>485</v>
      </c>
      <c r="G208" s="49"/>
      <c r="H208" s="49"/>
      <c r="I208" s="45">
        <f>I209</f>
        <v>100</v>
      </c>
      <c r="J208" s="265"/>
      <c r="K208" s="595"/>
      <c r="L208" s="624"/>
      <c r="M208" s="156"/>
      <c r="N208" s="156"/>
    </row>
    <row r="209" spans="1:14" s="29" customFormat="1" ht="25.5">
      <c r="A209" s="369" t="s">
        <v>128</v>
      </c>
      <c r="B209" s="115">
        <v>704</v>
      </c>
      <c r="C209" s="49" t="s">
        <v>39</v>
      </c>
      <c r="D209" s="49" t="s">
        <v>53</v>
      </c>
      <c r="E209" s="466" t="s">
        <v>323</v>
      </c>
      <c r="F209" s="467" t="s">
        <v>485</v>
      </c>
      <c r="G209" s="49" t="s">
        <v>129</v>
      </c>
      <c r="H209" s="49"/>
      <c r="I209" s="46">
        <v>100</v>
      </c>
      <c r="J209" s="265"/>
      <c r="K209" s="595"/>
      <c r="L209" s="624"/>
      <c r="M209" s="156"/>
      <c r="N209" s="156"/>
    </row>
    <row r="210" spans="1:14" s="29" customFormat="1" ht="13.5">
      <c r="A210" s="368" t="s">
        <v>366</v>
      </c>
      <c r="B210" s="280">
        <v>704</v>
      </c>
      <c r="C210" s="48" t="s">
        <v>39</v>
      </c>
      <c r="D210" s="48" t="s">
        <v>53</v>
      </c>
      <c r="E210" s="472" t="s">
        <v>367</v>
      </c>
      <c r="F210" s="333" t="s">
        <v>95</v>
      </c>
      <c r="G210" s="48"/>
      <c r="H210" s="48"/>
      <c r="I210" s="45">
        <f>I211+I213</f>
        <v>21806.14</v>
      </c>
      <c r="J210" s="265"/>
      <c r="K210" s="595"/>
      <c r="L210" s="624"/>
      <c r="M210" s="156"/>
      <c r="N210" s="156"/>
    </row>
    <row r="211" spans="1:14" s="29" customFormat="1" ht="13.5">
      <c r="A211" s="368" t="s">
        <v>495</v>
      </c>
      <c r="B211" s="280">
        <v>704</v>
      </c>
      <c r="C211" s="48" t="s">
        <v>39</v>
      </c>
      <c r="D211" s="48" t="s">
        <v>53</v>
      </c>
      <c r="E211" s="464" t="s">
        <v>367</v>
      </c>
      <c r="F211" s="465" t="s">
        <v>472</v>
      </c>
      <c r="G211" s="48"/>
      <c r="H211" s="48"/>
      <c r="I211" s="45">
        <f>I212</f>
        <v>20163.18</v>
      </c>
      <c r="J211" s="265"/>
      <c r="K211" s="595"/>
      <c r="L211" s="624"/>
      <c r="M211" s="156"/>
      <c r="N211" s="156"/>
    </row>
    <row r="212" spans="1:14" s="29" customFormat="1" ht="13.5">
      <c r="A212" s="379" t="s">
        <v>183</v>
      </c>
      <c r="B212" s="115">
        <v>704</v>
      </c>
      <c r="C212" s="49" t="s">
        <v>39</v>
      </c>
      <c r="D212" s="49" t="s">
        <v>53</v>
      </c>
      <c r="E212" s="466" t="s">
        <v>367</v>
      </c>
      <c r="F212" s="467" t="s">
        <v>472</v>
      </c>
      <c r="G212" s="49" t="s">
        <v>184</v>
      </c>
      <c r="H212" s="94"/>
      <c r="I212" s="103">
        <f>16909.8+5106.76/2+700</f>
        <v>20163.18</v>
      </c>
      <c r="J212" s="265"/>
      <c r="K212" s="595"/>
      <c r="L212" s="624"/>
      <c r="M212" s="156"/>
      <c r="N212" s="156"/>
    </row>
    <row r="213" spans="1:14" s="29" customFormat="1" ht="13.5">
      <c r="A213" s="347" t="s">
        <v>496</v>
      </c>
      <c r="B213" s="280">
        <v>704</v>
      </c>
      <c r="C213" s="48" t="s">
        <v>39</v>
      </c>
      <c r="D213" s="48" t="s">
        <v>53</v>
      </c>
      <c r="E213" s="464" t="s">
        <v>367</v>
      </c>
      <c r="F213" s="465" t="s">
        <v>476</v>
      </c>
      <c r="G213" s="49"/>
      <c r="H213" s="94"/>
      <c r="I213" s="95">
        <f>SUM(I214:I215)</f>
        <v>1642.96</v>
      </c>
      <c r="J213" s="265"/>
      <c r="K213" s="595"/>
      <c r="L213" s="624"/>
      <c r="M213" s="156"/>
      <c r="N213" s="156"/>
    </row>
    <row r="214" spans="1:14" s="486" customFormat="1" ht="25.5">
      <c r="A214" s="369" t="s">
        <v>128</v>
      </c>
      <c r="B214" s="115">
        <v>704</v>
      </c>
      <c r="C214" s="49" t="s">
        <v>39</v>
      </c>
      <c r="D214" s="49" t="s">
        <v>53</v>
      </c>
      <c r="E214" s="466" t="s">
        <v>367</v>
      </c>
      <c r="F214" s="467" t="s">
        <v>476</v>
      </c>
      <c r="G214" s="49" t="s">
        <v>129</v>
      </c>
      <c r="H214" s="94"/>
      <c r="I214" s="103">
        <f>2000+(223.96)-800</f>
        <v>1423.96</v>
      </c>
      <c r="J214" s="485"/>
      <c r="K214" s="594"/>
      <c r="L214" s="624"/>
      <c r="M214" s="156"/>
      <c r="N214" s="156"/>
    </row>
    <row r="215" spans="1:14" s="58" customFormat="1" ht="13.5">
      <c r="A215" s="369" t="s">
        <v>76</v>
      </c>
      <c r="B215" s="115">
        <v>704</v>
      </c>
      <c r="C215" s="49" t="s">
        <v>39</v>
      </c>
      <c r="D215" s="49" t="s">
        <v>53</v>
      </c>
      <c r="E215" s="466" t="s">
        <v>367</v>
      </c>
      <c r="F215" s="467" t="s">
        <v>476</v>
      </c>
      <c r="G215" s="94" t="s">
        <v>77</v>
      </c>
      <c r="H215" s="94"/>
      <c r="I215" s="103">
        <v>219</v>
      </c>
      <c r="J215" s="254"/>
      <c r="K215" s="584"/>
      <c r="L215" s="624"/>
      <c r="M215" s="625"/>
      <c r="N215" s="625"/>
    </row>
    <row r="216" spans="1:14" s="486" customFormat="1" ht="54">
      <c r="A216" s="500" t="s">
        <v>494</v>
      </c>
      <c r="B216" s="516">
        <v>704</v>
      </c>
      <c r="C216" s="48" t="s">
        <v>39</v>
      </c>
      <c r="D216" s="48" t="s">
        <v>53</v>
      </c>
      <c r="E216" s="472" t="s">
        <v>288</v>
      </c>
      <c r="F216" s="333" t="s">
        <v>95</v>
      </c>
      <c r="G216" s="48"/>
      <c r="H216" s="48"/>
      <c r="I216" s="45">
        <f>I217</f>
        <v>30</v>
      </c>
      <c r="J216" s="485"/>
      <c r="K216" s="594"/>
      <c r="L216" s="624"/>
      <c r="M216" s="156"/>
      <c r="N216" s="156"/>
    </row>
    <row r="217" spans="1:14" s="486" customFormat="1" ht="54">
      <c r="A217" s="500" t="s">
        <v>492</v>
      </c>
      <c r="B217" s="516">
        <v>704</v>
      </c>
      <c r="C217" s="48" t="s">
        <v>39</v>
      </c>
      <c r="D217" s="48" t="s">
        <v>53</v>
      </c>
      <c r="E217" s="464" t="s">
        <v>288</v>
      </c>
      <c r="F217" s="465" t="s">
        <v>489</v>
      </c>
      <c r="G217" s="48"/>
      <c r="H217" s="48"/>
      <c r="I217" s="45">
        <f>SUBTOTAL(9,I218:I219)</f>
        <v>30</v>
      </c>
      <c r="J217" s="732"/>
      <c r="K217" s="733"/>
      <c r="L217" s="624"/>
      <c r="M217" s="156"/>
      <c r="N217" s="156"/>
    </row>
    <row r="218" spans="1:14" s="29" customFormat="1" ht="26.25" customHeight="1">
      <c r="A218" s="369" t="s">
        <v>126</v>
      </c>
      <c r="B218" s="517">
        <v>704</v>
      </c>
      <c r="C218" s="49" t="s">
        <v>39</v>
      </c>
      <c r="D218" s="49" t="s">
        <v>53</v>
      </c>
      <c r="E218" s="466" t="s">
        <v>288</v>
      </c>
      <c r="F218" s="467" t="s">
        <v>489</v>
      </c>
      <c r="G218" s="49" t="s">
        <v>127</v>
      </c>
      <c r="H218" s="518"/>
      <c r="I218" s="46">
        <v>10</v>
      </c>
      <c r="J218" s="261"/>
      <c r="K218" s="593"/>
      <c r="L218" s="624"/>
      <c r="M218" s="156"/>
      <c r="N218" s="156"/>
    </row>
    <row r="219" spans="1:14" s="90" customFormat="1" ht="25.5">
      <c r="A219" s="369" t="s">
        <v>128</v>
      </c>
      <c r="B219" s="517">
        <v>704</v>
      </c>
      <c r="C219" s="49" t="s">
        <v>39</v>
      </c>
      <c r="D219" s="49" t="s">
        <v>53</v>
      </c>
      <c r="E219" s="466" t="s">
        <v>288</v>
      </c>
      <c r="F219" s="467" t="s">
        <v>489</v>
      </c>
      <c r="G219" s="49" t="s">
        <v>129</v>
      </c>
      <c r="H219" s="49"/>
      <c r="I219" s="46">
        <v>20</v>
      </c>
      <c r="J219" s="116"/>
      <c r="K219" s="596"/>
      <c r="L219" s="569"/>
      <c r="M219" s="168"/>
      <c r="N219" s="168"/>
    </row>
    <row r="220" spans="1:14" s="78" customFormat="1" ht="14.25">
      <c r="A220" s="66" t="s">
        <v>17</v>
      </c>
      <c r="B220" s="67" t="s">
        <v>113</v>
      </c>
      <c r="C220" s="67" t="s">
        <v>12</v>
      </c>
      <c r="D220" s="67"/>
      <c r="E220" s="804"/>
      <c r="F220" s="805"/>
      <c r="G220" s="67"/>
      <c r="H220" s="67"/>
      <c r="I220" s="325">
        <f>I221</f>
        <v>5025</v>
      </c>
      <c r="J220" s="250" t="e">
        <f>#REF!</f>
        <v>#REF!</v>
      </c>
      <c r="K220" s="576" t="e">
        <f>J220/#REF!</f>
        <v>#REF!</v>
      </c>
      <c r="L220" s="624"/>
      <c r="M220" s="437"/>
      <c r="N220" s="437"/>
    </row>
    <row r="221" spans="1:14" s="47" customFormat="1" ht="19.5" customHeight="1">
      <c r="A221" s="370" t="s">
        <v>55</v>
      </c>
      <c r="B221" s="40" t="s">
        <v>113</v>
      </c>
      <c r="C221" s="40" t="s">
        <v>12</v>
      </c>
      <c r="D221" s="40" t="s">
        <v>45</v>
      </c>
      <c r="E221" s="802"/>
      <c r="F221" s="803"/>
      <c r="G221" s="40"/>
      <c r="H221" s="40" t="s">
        <v>38</v>
      </c>
      <c r="I221" s="41">
        <f>I222</f>
        <v>5025</v>
      </c>
      <c r="J221" s="251"/>
      <c r="K221" s="579"/>
      <c r="L221" s="624"/>
      <c r="M221" s="437"/>
      <c r="N221" s="437"/>
    </row>
    <row r="222" spans="1:14" s="47" customFormat="1" ht="12.75">
      <c r="A222" s="742" t="s">
        <v>528</v>
      </c>
      <c r="B222" s="171" t="s">
        <v>113</v>
      </c>
      <c r="C222" s="171" t="s">
        <v>12</v>
      </c>
      <c r="D222" s="171" t="s">
        <v>45</v>
      </c>
      <c r="E222" s="459" t="s">
        <v>109</v>
      </c>
      <c r="F222" s="460" t="s">
        <v>95</v>
      </c>
      <c r="G222" s="171"/>
      <c r="H222" s="171"/>
      <c r="I222" s="493">
        <f>I223</f>
        <v>5025</v>
      </c>
      <c r="J222" s="251"/>
      <c r="K222" s="579"/>
      <c r="L222" s="561"/>
      <c r="M222" s="437"/>
      <c r="N222" s="437"/>
    </row>
    <row r="223" spans="1:14" s="47" customFormat="1" ht="13.5">
      <c r="A223" s="742" t="s">
        <v>110</v>
      </c>
      <c r="B223" s="48" t="s">
        <v>113</v>
      </c>
      <c r="C223" s="48" t="s">
        <v>12</v>
      </c>
      <c r="D223" s="48" t="s">
        <v>45</v>
      </c>
      <c r="E223" s="461" t="s">
        <v>109</v>
      </c>
      <c r="F223" s="462" t="s">
        <v>527</v>
      </c>
      <c r="G223" s="48"/>
      <c r="H223" s="48"/>
      <c r="I223" s="45">
        <f>SUM(I224:I225)</f>
        <v>5025</v>
      </c>
      <c r="J223" s="251"/>
      <c r="K223" s="579"/>
      <c r="L223" s="624"/>
      <c r="M223" s="437"/>
      <c r="N223" s="437"/>
    </row>
    <row r="224" spans="1:14" s="47" customFormat="1" ht="25.5">
      <c r="A224" s="367" t="s">
        <v>128</v>
      </c>
      <c r="B224" s="49" t="s">
        <v>113</v>
      </c>
      <c r="C224" s="49" t="s">
        <v>12</v>
      </c>
      <c r="D224" s="49" t="s">
        <v>45</v>
      </c>
      <c r="E224" s="466" t="s">
        <v>109</v>
      </c>
      <c r="F224" s="467" t="s">
        <v>527</v>
      </c>
      <c r="G224" s="49" t="s">
        <v>129</v>
      </c>
      <c r="H224" s="49"/>
      <c r="I224" s="46">
        <v>3025</v>
      </c>
      <c r="J224" s="251"/>
      <c r="K224" s="579"/>
      <c r="L224" s="624"/>
      <c r="M224" s="437"/>
      <c r="N224" s="437"/>
    </row>
    <row r="225" spans="1:14" s="47" customFormat="1" ht="38.25">
      <c r="A225" s="367" t="s">
        <v>327</v>
      </c>
      <c r="B225" s="49" t="s">
        <v>113</v>
      </c>
      <c r="C225" s="49" t="s">
        <v>12</v>
      </c>
      <c r="D225" s="49" t="s">
        <v>45</v>
      </c>
      <c r="E225" s="466" t="s">
        <v>109</v>
      </c>
      <c r="F225" s="467" t="s">
        <v>527</v>
      </c>
      <c r="G225" s="49" t="s">
        <v>84</v>
      </c>
      <c r="H225" s="49"/>
      <c r="I225" s="46">
        <v>2000</v>
      </c>
      <c r="J225" s="251"/>
      <c r="K225" s="579"/>
      <c r="L225" s="624"/>
      <c r="M225" s="437"/>
      <c r="N225" s="437"/>
    </row>
    <row r="226" spans="1:14" s="47" customFormat="1" ht="14.25">
      <c r="A226" s="385" t="s">
        <v>19</v>
      </c>
      <c r="B226" s="213" t="s">
        <v>113</v>
      </c>
      <c r="C226" s="213" t="s">
        <v>41</v>
      </c>
      <c r="D226" s="214"/>
      <c r="E226" s="804"/>
      <c r="F226" s="805"/>
      <c r="G226" s="214"/>
      <c r="H226" s="214"/>
      <c r="I226" s="349">
        <f>I227+I236+I245+I264</f>
        <v>39808.81999999999</v>
      </c>
      <c r="J226" s="251"/>
      <c r="K226" s="579"/>
      <c r="L226" s="624"/>
      <c r="M226" s="437"/>
      <c r="N226" s="437"/>
    </row>
    <row r="227" spans="1:14" s="47" customFormat="1" ht="14.25">
      <c r="A227" s="386" t="s">
        <v>85</v>
      </c>
      <c r="B227" s="81" t="s">
        <v>113</v>
      </c>
      <c r="C227" s="81" t="s">
        <v>41</v>
      </c>
      <c r="D227" s="81" t="s">
        <v>39</v>
      </c>
      <c r="E227" s="802"/>
      <c r="F227" s="803"/>
      <c r="G227" s="81"/>
      <c r="H227" s="81"/>
      <c r="I227" s="79">
        <f>I228+I230+I234+I232</f>
        <v>18054.6</v>
      </c>
      <c r="J227" s="536"/>
      <c r="K227" s="597"/>
      <c r="L227" s="624"/>
      <c r="M227" s="437"/>
      <c r="N227" s="437"/>
    </row>
    <row r="228" spans="1:14" s="47" customFormat="1" ht="13.5">
      <c r="A228" s="387" t="s">
        <v>87</v>
      </c>
      <c r="B228" s="93" t="s">
        <v>113</v>
      </c>
      <c r="C228" s="93" t="s">
        <v>41</v>
      </c>
      <c r="D228" s="93" t="s">
        <v>39</v>
      </c>
      <c r="E228" s="461" t="s">
        <v>137</v>
      </c>
      <c r="F228" s="462" t="s">
        <v>529</v>
      </c>
      <c r="G228" s="93"/>
      <c r="H228" s="93"/>
      <c r="I228" s="95">
        <f>SUM(I229)</f>
        <v>5407.2</v>
      </c>
      <c r="J228" s="536"/>
      <c r="K228" s="597"/>
      <c r="L228" s="624"/>
      <c r="M228" s="437"/>
      <c r="N228" s="437"/>
    </row>
    <row r="229" spans="1:14" s="55" customFormat="1" ht="27.75" customHeight="1">
      <c r="A229" s="369" t="s">
        <v>327</v>
      </c>
      <c r="B229" s="94" t="s">
        <v>113</v>
      </c>
      <c r="C229" s="94" t="s">
        <v>41</v>
      </c>
      <c r="D229" s="94" t="s">
        <v>39</v>
      </c>
      <c r="E229" s="466" t="s">
        <v>137</v>
      </c>
      <c r="F229" s="467" t="s">
        <v>529</v>
      </c>
      <c r="G229" s="94" t="s">
        <v>84</v>
      </c>
      <c r="H229" s="93"/>
      <c r="I229" s="103">
        <f>1954+3453.2</f>
        <v>5407.2</v>
      </c>
      <c r="J229" s="532"/>
      <c r="K229" s="598"/>
      <c r="L229" s="624"/>
      <c r="M229" s="567"/>
      <c r="N229" s="567"/>
    </row>
    <row r="230" spans="1:14" s="78" customFormat="1" ht="13.5">
      <c r="A230" s="368" t="s">
        <v>330</v>
      </c>
      <c r="B230" s="93" t="s">
        <v>113</v>
      </c>
      <c r="C230" s="93" t="s">
        <v>41</v>
      </c>
      <c r="D230" s="93" t="s">
        <v>39</v>
      </c>
      <c r="E230" s="464" t="s">
        <v>331</v>
      </c>
      <c r="F230" s="465" t="s">
        <v>529</v>
      </c>
      <c r="G230" s="93"/>
      <c r="H230" s="93"/>
      <c r="I230" s="95">
        <f>SUM(I231)</f>
        <v>6396.4</v>
      </c>
      <c r="J230" s="263">
        <v>622.84101</v>
      </c>
      <c r="K230" s="599" t="e">
        <f>J230/#REF!</f>
        <v>#REF!</v>
      </c>
      <c r="L230" s="624"/>
      <c r="M230" s="437"/>
      <c r="N230" s="437"/>
    </row>
    <row r="231" spans="1:14" s="29" customFormat="1" ht="25.5">
      <c r="A231" s="369" t="s">
        <v>128</v>
      </c>
      <c r="B231" s="94" t="s">
        <v>113</v>
      </c>
      <c r="C231" s="94" t="s">
        <v>41</v>
      </c>
      <c r="D231" s="94" t="s">
        <v>39</v>
      </c>
      <c r="E231" s="466" t="s">
        <v>331</v>
      </c>
      <c r="F231" s="467" t="s">
        <v>529</v>
      </c>
      <c r="G231" s="94" t="s">
        <v>129</v>
      </c>
      <c r="H231" s="94"/>
      <c r="I231" s="103">
        <v>6396.4</v>
      </c>
      <c r="J231" s="252" t="e">
        <f>J236</f>
        <v>#REF!</v>
      </c>
      <c r="K231" s="582" t="e">
        <f>J231/#REF!</f>
        <v>#REF!</v>
      </c>
      <c r="L231" s="624"/>
      <c r="M231" s="156"/>
      <c r="N231" s="156"/>
    </row>
    <row r="232" spans="1:14" s="29" customFormat="1" ht="81">
      <c r="A232" s="368" t="s">
        <v>447</v>
      </c>
      <c r="B232" s="93" t="s">
        <v>113</v>
      </c>
      <c r="C232" s="93" t="s">
        <v>41</v>
      </c>
      <c r="D232" s="93" t="s">
        <v>39</v>
      </c>
      <c r="E232" s="464" t="s">
        <v>434</v>
      </c>
      <c r="F232" s="465" t="s">
        <v>446</v>
      </c>
      <c r="G232" s="93"/>
      <c r="H232" s="93"/>
      <c r="I232" s="95">
        <f>I233</f>
        <v>1</v>
      </c>
      <c r="J232" s="256"/>
      <c r="K232" s="585"/>
      <c r="L232" s="624"/>
      <c r="M232" s="156"/>
      <c r="N232" s="156"/>
    </row>
    <row r="233" spans="1:14" s="29" customFormat="1" ht="25.5">
      <c r="A233" s="369" t="s">
        <v>130</v>
      </c>
      <c r="B233" s="94" t="s">
        <v>113</v>
      </c>
      <c r="C233" s="94" t="s">
        <v>41</v>
      </c>
      <c r="D233" s="94" t="s">
        <v>39</v>
      </c>
      <c r="E233" s="466" t="s">
        <v>434</v>
      </c>
      <c r="F233" s="467" t="s">
        <v>446</v>
      </c>
      <c r="G233" s="94" t="s">
        <v>131</v>
      </c>
      <c r="H233" s="94"/>
      <c r="I233" s="103">
        <v>1</v>
      </c>
      <c r="J233" s="256"/>
      <c r="K233" s="585"/>
      <c r="L233" s="624"/>
      <c r="M233" s="156"/>
      <c r="N233" s="156"/>
    </row>
    <row r="234" spans="1:14" s="55" customFormat="1" ht="81">
      <c r="A234" s="368" t="s">
        <v>445</v>
      </c>
      <c r="B234" s="93" t="s">
        <v>113</v>
      </c>
      <c r="C234" s="93" t="s">
        <v>41</v>
      </c>
      <c r="D234" s="93" t="s">
        <v>39</v>
      </c>
      <c r="E234" s="464" t="s">
        <v>434</v>
      </c>
      <c r="F234" s="465" t="s">
        <v>433</v>
      </c>
      <c r="G234" s="93"/>
      <c r="H234" s="93"/>
      <c r="I234" s="95">
        <f>I235</f>
        <v>6250</v>
      </c>
      <c r="J234" s="669"/>
      <c r="K234" s="670"/>
      <c r="L234" s="624"/>
      <c r="M234" s="567"/>
      <c r="N234" s="567"/>
    </row>
    <row r="235" spans="1:14" s="29" customFormat="1" ht="25.5">
      <c r="A235" s="369" t="s">
        <v>130</v>
      </c>
      <c r="B235" s="94" t="s">
        <v>113</v>
      </c>
      <c r="C235" s="94" t="s">
        <v>41</v>
      </c>
      <c r="D235" s="94" t="s">
        <v>39</v>
      </c>
      <c r="E235" s="466" t="s">
        <v>434</v>
      </c>
      <c r="F235" s="467" t="s">
        <v>433</v>
      </c>
      <c r="G235" s="94" t="s">
        <v>131</v>
      </c>
      <c r="H235" s="94"/>
      <c r="I235" s="103">
        <v>6250</v>
      </c>
      <c r="J235" s="256"/>
      <c r="K235" s="585"/>
      <c r="L235" s="624"/>
      <c r="M235" s="156"/>
      <c r="N235" s="156"/>
    </row>
    <row r="236" spans="1:14" s="29" customFormat="1" ht="14.25">
      <c r="A236" s="365" t="s">
        <v>88</v>
      </c>
      <c r="B236" s="81" t="s">
        <v>113</v>
      </c>
      <c r="C236" s="81" t="s">
        <v>41</v>
      </c>
      <c r="D236" s="81" t="s">
        <v>42</v>
      </c>
      <c r="E236" s="802"/>
      <c r="F236" s="803"/>
      <c r="G236" s="81"/>
      <c r="H236" s="81"/>
      <c r="I236" s="79">
        <f>I237+I243+I240</f>
        <v>5311.5</v>
      </c>
      <c r="J236" s="253" t="e">
        <f>#REF!</f>
        <v>#REF!</v>
      </c>
      <c r="K236" s="583" t="e">
        <f>J236/#REF!</f>
        <v>#REF!</v>
      </c>
      <c r="L236" s="624"/>
      <c r="M236" s="156"/>
      <c r="N236" s="156"/>
    </row>
    <row r="237" spans="1:14" s="55" customFormat="1" ht="13.5">
      <c r="A237" s="366" t="s">
        <v>91</v>
      </c>
      <c r="B237" s="93" t="s">
        <v>113</v>
      </c>
      <c r="C237" s="93" t="s">
        <v>41</v>
      </c>
      <c r="D237" s="93" t="s">
        <v>42</v>
      </c>
      <c r="E237" s="461" t="s">
        <v>138</v>
      </c>
      <c r="F237" s="462" t="s">
        <v>530</v>
      </c>
      <c r="G237" s="93"/>
      <c r="H237" s="93"/>
      <c r="I237" s="95">
        <f>SUM(I238:I239)</f>
        <v>2548.8</v>
      </c>
      <c r="J237" s="264"/>
      <c r="K237" s="600"/>
      <c r="L237" s="624"/>
      <c r="M237" s="567"/>
      <c r="N237" s="567"/>
    </row>
    <row r="238" spans="1:14" s="55" customFormat="1" ht="28.5" customHeight="1">
      <c r="A238" s="367" t="s">
        <v>128</v>
      </c>
      <c r="B238" s="94" t="s">
        <v>113</v>
      </c>
      <c r="C238" s="94" t="s">
        <v>41</v>
      </c>
      <c r="D238" s="94" t="s">
        <v>42</v>
      </c>
      <c r="E238" s="466" t="s">
        <v>138</v>
      </c>
      <c r="F238" s="467" t="s">
        <v>530</v>
      </c>
      <c r="G238" s="94" t="s">
        <v>129</v>
      </c>
      <c r="H238" s="110"/>
      <c r="I238" s="103">
        <v>48.8</v>
      </c>
      <c r="J238" s="264"/>
      <c r="K238" s="600"/>
      <c r="L238" s="624"/>
      <c r="M238" s="567"/>
      <c r="N238" s="567"/>
    </row>
    <row r="239" spans="1:14" s="55" customFormat="1" ht="38.25">
      <c r="A239" s="367" t="s">
        <v>327</v>
      </c>
      <c r="B239" s="94" t="s">
        <v>113</v>
      </c>
      <c r="C239" s="94" t="s">
        <v>41</v>
      </c>
      <c r="D239" s="94" t="s">
        <v>42</v>
      </c>
      <c r="E239" s="466" t="s">
        <v>138</v>
      </c>
      <c r="F239" s="467" t="s">
        <v>530</v>
      </c>
      <c r="G239" s="94" t="s">
        <v>84</v>
      </c>
      <c r="H239" s="110"/>
      <c r="I239" s="103">
        <v>2500</v>
      </c>
      <c r="J239" s="264"/>
      <c r="K239" s="600"/>
      <c r="L239" s="624"/>
      <c r="M239" s="567"/>
      <c r="N239" s="567"/>
    </row>
    <row r="240" spans="1:14" s="29" customFormat="1" ht="40.5" customHeight="1">
      <c r="A240" s="347" t="s">
        <v>390</v>
      </c>
      <c r="B240" s="520">
        <v>704</v>
      </c>
      <c r="C240" s="48" t="s">
        <v>41</v>
      </c>
      <c r="D240" s="48" t="s">
        <v>42</v>
      </c>
      <c r="E240" s="461" t="s">
        <v>369</v>
      </c>
      <c r="F240" s="462" t="s">
        <v>489</v>
      </c>
      <c r="G240" s="48"/>
      <c r="H240" s="48" t="s">
        <v>38</v>
      </c>
      <c r="I240" s="45">
        <f>SUM(I241:I242)</f>
        <v>2762.7</v>
      </c>
      <c r="J240" s="255"/>
      <c r="K240" s="574"/>
      <c r="L240" s="624"/>
      <c r="M240" s="156"/>
      <c r="N240" s="156"/>
    </row>
    <row r="241" spans="1:14" s="29" customFormat="1" ht="25.5">
      <c r="A241" s="369" t="s">
        <v>128</v>
      </c>
      <c r="B241" s="112">
        <v>704</v>
      </c>
      <c r="C241" s="49" t="s">
        <v>41</v>
      </c>
      <c r="D241" s="49" t="s">
        <v>42</v>
      </c>
      <c r="E241" s="471" t="s">
        <v>369</v>
      </c>
      <c r="F241" s="467" t="s">
        <v>489</v>
      </c>
      <c r="G241" s="49" t="s">
        <v>129</v>
      </c>
      <c r="H241" s="49" t="s">
        <v>38</v>
      </c>
      <c r="I241" s="46">
        <v>562.7</v>
      </c>
      <c r="J241" s="253" t="e">
        <f>#REF!</f>
        <v>#REF!</v>
      </c>
      <c r="K241" s="583" t="e">
        <f>J241/I119</f>
        <v>#REF!</v>
      </c>
      <c r="L241" s="624"/>
      <c r="M241" s="156"/>
      <c r="N241" s="156"/>
    </row>
    <row r="242" spans="1:14" s="55" customFormat="1" ht="38.25">
      <c r="A242" s="369" t="s">
        <v>327</v>
      </c>
      <c r="B242" s="112">
        <v>704</v>
      </c>
      <c r="C242" s="49" t="s">
        <v>41</v>
      </c>
      <c r="D242" s="49" t="s">
        <v>42</v>
      </c>
      <c r="E242" s="471" t="s">
        <v>369</v>
      </c>
      <c r="F242" s="467" t="s">
        <v>489</v>
      </c>
      <c r="G242" s="49" t="s">
        <v>84</v>
      </c>
      <c r="H242" s="49"/>
      <c r="I242" s="46">
        <v>2200</v>
      </c>
      <c r="J242" s="264">
        <f>J245</f>
        <v>0</v>
      </c>
      <c r="K242" s="600">
        <f>J242/I120</f>
        <v>0</v>
      </c>
      <c r="L242" s="624"/>
      <c r="M242" s="567"/>
      <c r="N242" s="567"/>
    </row>
    <row r="243" spans="1:14" s="55" customFormat="1" ht="27" hidden="1">
      <c r="A243" s="366" t="s">
        <v>380</v>
      </c>
      <c r="B243" s="93" t="s">
        <v>113</v>
      </c>
      <c r="C243" s="93" t="s">
        <v>41</v>
      </c>
      <c r="D243" s="93" t="s">
        <v>42</v>
      </c>
      <c r="E243" s="464" t="s">
        <v>138</v>
      </c>
      <c r="F243" s="465" t="s">
        <v>379</v>
      </c>
      <c r="G243" s="93"/>
      <c r="H243" s="93"/>
      <c r="I243" s="95">
        <f>SUM(I244)</f>
        <v>0</v>
      </c>
      <c r="J243" s="264"/>
      <c r="K243" s="600"/>
      <c r="L243" s="624"/>
      <c r="M243" s="567"/>
      <c r="N243" s="567"/>
    </row>
    <row r="244" spans="1:14" s="55" customFormat="1" ht="25.5" hidden="1">
      <c r="A244" s="367" t="s">
        <v>327</v>
      </c>
      <c r="B244" s="94" t="s">
        <v>113</v>
      </c>
      <c r="C244" s="94" t="s">
        <v>41</v>
      </c>
      <c r="D244" s="94" t="s">
        <v>42</v>
      </c>
      <c r="E244" s="466" t="s">
        <v>138</v>
      </c>
      <c r="F244" s="467" t="s">
        <v>379</v>
      </c>
      <c r="G244" s="94" t="s">
        <v>84</v>
      </c>
      <c r="H244" s="110"/>
      <c r="I244" s="103"/>
      <c r="J244" s="264"/>
      <c r="K244" s="600"/>
      <c r="L244" s="624"/>
      <c r="M244" s="567"/>
      <c r="N244" s="567"/>
    </row>
    <row r="245" spans="1:14" s="50" customFormat="1" ht="14.25">
      <c r="A245" s="365" t="s">
        <v>71</v>
      </c>
      <c r="B245" s="81" t="s">
        <v>113</v>
      </c>
      <c r="C245" s="81" t="s">
        <v>41</v>
      </c>
      <c r="D245" s="81" t="s">
        <v>40</v>
      </c>
      <c r="E245" s="802"/>
      <c r="F245" s="803"/>
      <c r="G245" s="81"/>
      <c r="H245" s="81"/>
      <c r="I245" s="79">
        <f>I246+I249+I252+I254+I262+I257+I259</f>
        <v>6098.6</v>
      </c>
      <c r="J245" s="260">
        <v>0</v>
      </c>
      <c r="K245" s="592">
        <f>J245/I122</f>
        <v>0</v>
      </c>
      <c r="L245" s="624"/>
      <c r="M245" s="156"/>
      <c r="N245" s="156"/>
    </row>
    <row r="246" spans="1:14" s="50" customFormat="1" ht="13.5">
      <c r="A246" s="366" t="s">
        <v>89</v>
      </c>
      <c r="B246" s="61" t="s">
        <v>113</v>
      </c>
      <c r="C246" s="61" t="s">
        <v>41</v>
      </c>
      <c r="D246" s="61" t="s">
        <v>40</v>
      </c>
      <c r="E246" s="461" t="s">
        <v>139</v>
      </c>
      <c r="F246" s="462" t="s">
        <v>531</v>
      </c>
      <c r="G246" s="61"/>
      <c r="H246" s="61"/>
      <c r="I246" s="84">
        <f>SUM(I247:I248)</f>
        <v>539</v>
      </c>
      <c r="J246" s="260"/>
      <c r="K246" s="592"/>
      <c r="L246" s="624"/>
      <c r="M246" s="156"/>
      <c r="N246" s="156"/>
    </row>
    <row r="247" spans="1:14" s="47" customFormat="1" ht="25.5">
      <c r="A247" s="369" t="s">
        <v>128</v>
      </c>
      <c r="B247" s="94" t="s">
        <v>113</v>
      </c>
      <c r="C247" s="94" t="s">
        <v>41</v>
      </c>
      <c r="D247" s="94" t="s">
        <v>40</v>
      </c>
      <c r="E247" s="466" t="s">
        <v>139</v>
      </c>
      <c r="F247" s="467" t="s">
        <v>531</v>
      </c>
      <c r="G247" s="94" t="s">
        <v>129</v>
      </c>
      <c r="H247" s="94"/>
      <c r="I247" s="103">
        <v>500</v>
      </c>
      <c r="J247" s="259" t="e">
        <f>#REF!+#REF!</f>
        <v>#REF!</v>
      </c>
      <c r="K247" s="601" t="e">
        <f>J247/I221</f>
        <v>#REF!</v>
      </c>
      <c r="L247" s="624"/>
      <c r="M247" s="437"/>
      <c r="N247" s="437"/>
    </row>
    <row r="248" spans="1:14" s="50" customFormat="1" ht="38.25">
      <c r="A248" s="367" t="s">
        <v>327</v>
      </c>
      <c r="B248" s="94" t="s">
        <v>113</v>
      </c>
      <c r="C248" s="94" t="s">
        <v>41</v>
      </c>
      <c r="D248" s="94" t="s">
        <v>40</v>
      </c>
      <c r="E248" s="466" t="s">
        <v>139</v>
      </c>
      <c r="F248" s="467" t="s">
        <v>531</v>
      </c>
      <c r="G248" s="94" t="s">
        <v>84</v>
      </c>
      <c r="H248" s="94"/>
      <c r="I248" s="103">
        <v>39</v>
      </c>
      <c r="J248" s="259"/>
      <c r="K248" s="601"/>
      <c r="L248" s="624"/>
      <c r="M248" s="156"/>
      <c r="N248" s="156"/>
    </row>
    <row r="249" spans="1:14" s="50" customFormat="1" ht="13.5">
      <c r="A249" s="347" t="s">
        <v>142</v>
      </c>
      <c r="B249" s="93" t="s">
        <v>113</v>
      </c>
      <c r="C249" s="93" t="s">
        <v>41</v>
      </c>
      <c r="D249" s="93" t="s">
        <v>40</v>
      </c>
      <c r="E249" s="461" t="s">
        <v>140</v>
      </c>
      <c r="F249" s="462" t="s">
        <v>531</v>
      </c>
      <c r="G249" s="93"/>
      <c r="H249" s="225"/>
      <c r="I249" s="327">
        <f>SUM(I250:I251)</f>
        <v>250</v>
      </c>
      <c r="J249" s="259"/>
      <c r="K249" s="601"/>
      <c r="L249" s="624"/>
      <c r="M249" s="156"/>
      <c r="N249" s="156"/>
    </row>
    <row r="250" spans="1:14" s="486" customFormat="1" ht="25.5">
      <c r="A250" s="369" t="s">
        <v>128</v>
      </c>
      <c r="B250" s="211" t="s">
        <v>113</v>
      </c>
      <c r="C250" s="94" t="s">
        <v>41</v>
      </c>
      <c r="D250" s="94" t="s">
        <v>40</v>
      </c>
      <c r="E250" s="466" t="s">
        <v>140</v>
      </c>
      <c r="F250" s="467" t="s">
        <v>531</v>
      </c>
      <c r="G250" s="94" t="s">
        <v>129</v>
      </c>
      <c r="H250" s="94"/>
      <c r="I250" s="103">
        <v>50</v>
      </c>
      <c r="J250" s="487"/>
      <c r="K250" s="590"/>
      <c r="L250" s="624"/>
      <c r="M250" s="156"/>
      <c r="N250" s="156"/>
    </row>
    <row r="251" spans="1:14" s="486" customFormat="1" ht="38.25">
      <c r="A251" s="369" t="s">
        <v>327</v>
      </c>
      <c r="B251" s="211" t="s">
        <v>113</v>
      </c>
      <c r="C251" s="94" t="s">
        <v>41</v>
      </c>
      <c r="D251" s="94" t="s">
        <v>40</v>
      </c>
      <c r="E251" s="466" t="s">
        <v>140</v>
      </c>
      <c r="F251" s="467" t="s">
        <v>531</v>
      </c>
      <c r="G251" s="94" t="s">
        <v>84</v>
      </c>
      <c r="H251" s="94"/>
      <c r="I251" s="103">
        <v>200</v>
      </c>
      <c r="J251" s="487"/>
      <c r="K251" s="590"/>
      <c r="L251" s="624"/>
      <c r="M251" s="156"/>
      <c r="N251" s="156"/>
    </row>
    <row r="252" spans="1:14" s="50" customFormat="1" ht="13.5">
      <c r="A252" s="368" t="s">
        <v>325</v>
      </c>
      <c r="B252" s="93" t="s">
        <v>113</v>
      </c>
      <c r="C252" s="93" t="s">
        <v>41</v>
      </c>
      <c r="D252" s="93" t="s">
        <v>40</v>
      </c>
      <c r="E252" s="461" t="s">
        <v>326</v>
      </c>
      <c r="F252" s="462" t="s">
        <v>531</v>
      </c>
      <c r="G252" s="94"/>
      <c r="H252" s="94"/>
      <c r="I252" s="95">
        <f>SUM(I253)</f>
        <v>821</v>
      </c>
      <c r="J252" s="407"/>
      <c r="K252" s="602"/>
      <c r="L252" s="637"/>
      <c r="M252" s="567"/>
      <c r="N252" s="156"/>
    </row>
    <row r="253" spans="1:14" s="50" customFormat="1" ht="25.5">
      <c r="A253" s="369" t="s">
        <v>128</v>
      </c>
      <c r="B253" s="94" t="s">
        <v>113</v>
      </c>
      <c r="C253" s="94" t="s">
        <v>41</v>
      </c>
      <c r="D253" s="94" t="s">
        <v>40</v>
      </c>
      <c r="E253" s="471" t="s">
        <v>326</v>
      </c>
      <c r="F253" s="478" t="s">
        <v>531</v>
      </c>
      <c r="G253" s="94" t="s">
        <v>129</v>
      </c>
      <c r="H253" s="94"/>
      <c r="I253" s="103">
        <v>821</v>
      </c>
      <c r="J253" s="407"/>
      <c r="K253" s="602"/>
      <c r="L253" s="624"/>
      <c r="M253" s="567"/>
      <c r="N253" s="156"/>
    </row>
    <row r="254" spans="1:14" s="50" customFormat="1" ht="40.5">
      <c r="A254" s="347" t="s">
        <v>317</v>
      </c>
      <c r="B254" s="171" t="s">
        <v>113</v>
      </c>
      <c r="C254" s="48" t="s">
        <v>41</v>
      </c>
      <c r="D254" s="48" t="s">
        <v>40</v>
      </c>
      <c r="E254" s="461" t="s">
        <v>296</v>
      </c>
      <c r="F254" s="462" t="s">
        <v>531</v>
      </c>
      <c r="G254" s="48"/>
      <c r="H254" s="48"/>
      <c r="I254" s="45">
        <f>SUM(I255:I256)</f>
        <v>2388.7</v>
      </c>
      <c r="J254" s="407"/>
      <c r="K254" s="602"/>
      <c r="L254" s="624"/>
      <c r="M254" s="567"/>
      <c r="N254" s="156"/>
    </row>
    <row r="255" spans="1:14" s="636" customFormat="1" ht="25.5">
      <c r="A255" s="369" t="s">
        <v>128</v>
      </c>
      <c r="B255" s="49" t="s">
        <v>113</v>
      </c>
      <c r="C255" s="49" t="s">
        <v>41</v>
      </c>
      <c r="D255" s="49" t="s">
        <v>40</v>
      </c>
      <c r="E255" s="466" t="s">
        <v>296</v>
      </c>
      <c r="F255" s="467" t="s">
        <v>531</v>
      </c>
      <c r="G255" s="49" t="s">
        <v>129</v>
      </c>
      <c r="H255" s="48"/>
      <c r="I255" s="46">
        <v>288.7</v>
      </c>
      <c r="J255" s="407"/>
      <c r="K255" s="602"/>
      <c r="L255" s="624"/>
      <c r="M255" s="567"/>
      <c r="N255" s="625"/>
    </row>
    <row r="256" spans="1:14" s="50" customFormat="1" ht="38.25">
      <c r="A256" s="369" t="s">
        <v>327</v>
      </c>
      <c r="B256" s="49" t="s">
        <v>113</v>
      </c>
      <c r="C256" s="49" t="s">
        <v>41</v>
      </c>
      <c r="D256" s="49" t="s">
        <v>40</v>
      </c>
      <c r="E256" s="466" t="s">
        <v>296</v>
      </c>
      <c r="F256" s="467" t="s">
        <v>531</v>
      </c>
      <c r="G256" s="49" t="s">
        <v>84</v>
      </c>
      <c r="H256" s="49"/>
      <c r="I256" s="46">
        <f>2300-200</f>
        <v>2100</v>
      </c>
      <c r="J256" s="407"/>
      <c r="K256" s="602"/>
      <c r="L256" s="624"/>
      <c r="M256" s="567"/>
      <c r="N256" s="156"/>
    </row>
    <row r="257" spans="1:14" s="50" customFormat="1" ht="40.5">
      <c r="A257" s="368" t="s">
        <v>467</v>
      </c>
      <c r="B257" s="48" t="s">
        <v>113</v>
      </c>
      <c r="C257" s="48" t="s">
        <v>41</v>
      </c>
      <c r="D257" s="48" t="s">
        <v>40</v>
      </c>
      <c r="E257" s="464" t="s">
        <v>296</v>
      </c>
      <c r="F257" s="465" t="s">
        <v>339</v>
      </c>
      <c r="G257" s="48"/>
      <c r="H257" s="48"/>
      <c r="I257" s="45">
        <f>SUM(I258)</f>
        <v>1</v>
      </c>
      <c r="J257" s="407"/>
      <c r="K257" s="602"/>
      <c r="L257" s="624"/>
      <c r="M257" s="567"/>
      <c r="N257" s="156"/>
    </row>
    <row r="258" spans="1:14" s="50" customFormat="1" ht="38.25">
      <c r="A258" s="369" t="s">
        <v>327</v>
      </c>
      <c r="B258" s="49" t="s">
        <v>113</v>
      </c>
      <c r="C258" s="49" t="s">
        <v>41</v>
      </c>
      <c r="D258" s="49" t="s">
        <v>40</v>
      </c>
      <c r="E258" s="466" t="s">
        <v>296</v>
      </c>
      <c r="F258" s="467" t="s">
        <v>339</v>
      </c>
      <c r="G258" s="49" t="s">
        <v>84</v>
      </c>
      <c r="H258" s="49"/>
      <c r="I258" s="46">
        <v>1</v>
      </c>
      <c r="J258" s="407"/>
      <c r="K258" s="602"/>
      <c r="L258" s="624"/>
      <c r="M258" s="567"/>
      <c r="N258" s="156"/>
    </row>
    <row r="259" spans="1:14" s="50" customFormat="1" ht="40.5">
      <c r="A259" s="347" t="s">
        <v>316</v>
      </c>
      <c r="B259" s="171" t="s">
        <v>113</v>
      </c>
      <c r="C259" s="48" t="s">
        <v>41</v>
      </c>
      <c r="D259" s="48" t="s">
        <v>40</v>
      </c>
      <c r="E259" s="461" t="s">
        <v>295</v>
      </c>
      <c r="F259" s="462" t="s">
        <v>531</v>
      </c>
      <c r="G259" s="48"/>
      <c r="H259" s="48"/>
      <c r="I259" s="45">
        <f>SUM(I260:I261)</f>
        <v>200</v>
      </c>
      <c r="J259" s="407"/>
      <c r="K259" s="602"/>
      <c r="L259" s="624"/>
      <c r="M259" s="567"/>
      <c r="N259" s="156"/>
    </row>
    <row r="260" spans="1:14" s="29" customFormat="1" ht="25.5">
      <c r="A260" s="369" t="s">
        <v>128</v>
      </c>
      <c r="B260" s="49" t="s">
        <v>113</v>
      </c>
      <c r="C260" s="49" t="s">
        <v>41</v>
      </c>
      <c r="D260" s="49" t="s">
        <v>40</v>
      </c>
      <c r="E260" s="466" t="s">
        <v>295</v>
      </c>
      <c r="F260" s="467" t="s">
        <v>531</v>
      </c>
      <c r="G260" s="49" t="s">
        <v>129</v>
      </c>
      <c r="H260" s="49"/>
      <c r="I260" s="46">
        <v>100</v>
      </c>
      <c r="J260" s="265"/>
      <c r="K260" s="595"/>
      <c r="L260" s="624"/>
      <c r="M260" s="156"/>
      <c r="N260" s="156"/>
    </row>
    <row r="261" spans="1:14" s="55" customFormat="1" ht="38.25">
      <c r="A261" s="369" t="s">
        <v>327</v>
      </c>
      <c r="B261" s="49" t="s">
        <v>113</v>
      </c>
      <c r="C261" s="49" t="s">
        <v>41</v>
      </c>
      <c r="D261" s="49" t="s">
        <v>40</v>
      </c>
      <c r="E261" s="466" t="s">
        <v>295</v>
      </c>
      <c r="F261" s="467" t="s">
        <v>531</v>
      </c>
      <c r="G261" s="49" t="s">
        <v>84</v>
      </c>
      <c r="H261" s="49"/>
      <c r="I261" s="46">
        <v>100</v>
      </c>
      <c r="J261" s="266"/>
      <c r="K261" s="603"/>
      <c r="L261" s="624"/>
      <c r="M261" s="567"/>
      <c r="N261" s="567"/>
    </row>
    <row r="262" spans="1:14" s="636" customFormat="1" ht="45" customHeight="1">
      <c r="A262" s="368" t="s">
        <v>337</v>
      </c>
      <c r="B262" s="48" t="s">
        <v>113</v>
      </c>
      <c r="C262" s="48" t="s">
        <v>41</v>
      </c>
      <c r="D262" s="48" t="s">
        <v>40</v>
      </c>
      <c r="E262" s="464" t="s">
        <v>296</v>
      </c>
      <c r="F262" s="465" t="s">
        <v>338</v>
      </c>
      <c r="G262" s="48"/>
      <c r="H262" s="48"/>
      <c r="I262" s="45">
        <f>SUM(I263)</f>
        <v>1898.9</v>
      </c>
      <c r="J262" s="407"/>
      <c r="K262" s="602"/>
      <c r="L262" s="624"/>
      <c r="M262" s="567"/>
      <c r="N262" s="625"/>
    </row>
    <row r="263" spans="1:14" s="50" customFormat="1" ht="38.25">
      <c r="A263" s="369" t="s">
        <v>327</v>
      </c>
      <c r="B263" s="49" t="s">
        <v>113</v>
      </c>
      <c r="C263" s="49" t="s">
        <v>41</v>
      </c>
      <c r="D263" s="49" t="s">
        <v>40</v>
      </c>
      <c r="E263" s="466" t="s">
        <v>296</v>
      </c>
      <c r="F263" s="467" t="s">
        <v>338</v>
      </c>
      <c r="G263" s="49" t="s">
        <v>84</v>
      </c>
      <c r="H263" s="49"/>
      <c r="I263" s="46">
        <v>1898.9</v>
      </c>
      <c r="J263" s="407"/>
      <c r="K263" s="602"/>
      <c r="L263" s="624"/>
      <c r="M263" s="567"/>
      <c r="N263" s="156"/>
    </row>
    <row r="264" spans="1:14" s="29" customFormat="1" ht="14.25">
      <c r="A264" s="358" t="s">
        <v>93</v>
      </c>
      <c r="B264" s="221" t="s">
        <v>113</v>
      </c>
      <c r="C264" s="219" t="s">
        <v>41</v>
      </c>
      <c r="D264" s="219" t="s">
        <v>41</v>
      </c>
      <c r="E264" s="802"/>
      <c r="F264" s="803"/>
      <c r="G264" s="218"/>
      <c r="H264" s="218"/>
      <c r="I264" s="323">
        <f>I265+I271</f>
        <v>10344.119999999999</v>
      </c>
      <c r="J264" s="265"/>
      <c r="K264" s="595"/>
      <c r="L264" s="624"/>
      <c r="M264" s="156"/>
      <c r="N264" s="156"/>
    </row>
    <row r="265" spans="1:14" s="29" customFormat="1" ht="12.75">
      <c r="A265" s="663" t="s">
        <v>122</v>
      </c>
      <c r="B265" s="171" t="s">
        <v>113</v>
      </c>
      <c r="C265" s="171" t="s">
        <v>41</v>
      </c>
      <c r="D265" s="171" t="s">
        <v>41</v>
      </c>
      <c r="E265" s="459" t="s">
        <v>98</v>
      </c>
      <c r="F265" s="460" t="s">
        <v>95</v>
      </c>
      <c r="G265" s="171"/>
      <c r="H265" s="171" t="s">
        <v>38</v>
      </c>
      <c r="I265" s="493">
        <f>I266+I268</f>
        <v>8917.47</v>
      </c>
      <c r="J265" s="265"/>
      <c r="K265" s="595"/>
      <c r="L265" s="561"/>
      <c r="M265" s="156"/>
      <c r="N265" s="156"/>
    </row>
    <row r="266" spans="1:14" s="29" customFormat="1" ht="27">
      <c r="A266" s="366" t="s">
        <v>473</v>
      </c>
      <c r="B266" s="280" t="s">
        <v>113</v>
      </c>
      <c r="C266" s="48" t="s">
        <v>41</v>
      </c>
      <c r="D266" s="48" t="s">
        <v>41</v>
      </c>
      <c r="E266" s="464" t="s">
        <v>98</v>
      </c>
      <c r="F266" s="465" t="s">
        <v>472</v>
      </c>
      <c r="G266" s="48"/>
      <c r="H266" s="48"/>
      <c r="I266" s="45">
        <f>SUM(I267)</f>
        <v>7226.19</v>
      </c>
      <c r="J266" s="265"/>
      <c r="K266" s="595"/>
      <c r="L266" s="624"/>
      <c r="M266" s="156"/>
      <c r="N266" s="156"/>
    </row>
    <row r="267" spans="1:14" s="29" customFormat="1" ht="25.5">
      <c r="A267" s="367" t="s">
        <v>126</v>
      </c>
      <c r="B267" s="49" t="s">
        <v>113</v>
      </c>
      <c r="C267" s="49" t="s">
        <v>41</v>
      </c>
      <c r="D267" s="49" t="s">
        <v>41</v>
      </c>
      <c r="E267" s="466" t="s">
        <v>98</v>
      </c>
      <c r="F267" s="467" t="s">
        <v>472</v>
      </c>
      <c r="G267" s="49" t="s">
        <v>127</v>
      </c>
      <c r="H267" s="49" t="s">
        <v>38</v>
      </c>
      <c r="I267" s="46">
        <v>7226.19</v>
      </c>
      <c r="J267" s="265"/>
      <c r="K267" s="595"/>
      <c r="L267" s="624"/>
      <c r="M267" s="156"/>
      <c r="N267" s="156"/>
    </row>
    <row r="268" spans="1:14" s="29" customFormat="1" ht="27">
      <c r="A268" s="366" t="s">
        <v>475</v>
      </c>
      <c r="B268" s="280" t="s">
        <v>113</v>
      </c>
      <c r="C268" s="48" t="s">
        <v>41</v>
      </c>
      <c r="D268" s="48" t="s">
        <v>41</v>
      </c>
      <c r="E268" s="464" t="s">
        <v>98</v>
      </c>
      <c r="F268" s="465" t="s">
        <v>476</v>
      </c>
      <c r="G268" s="49"/>
      <c r="H268" s="48"/>
      <c r="I268" s="45">
        <f>SUM(I269:I270)</f>
        <v>1691.28</v>
      </c>
      <c r="J268" s="265"/>
      <c r="K268" s="595"/>
      <c r="L268" s="624"/>
      <c r="M268" s="156"/>
      <c r="N268" s="156"/>
    </row>
    <row r="269" spans="1:14" s="29" customFormat="1" ht="25.5">
      <c r="A269" s="367" t="s">
        <v>128</v>
      </c>
      <c r="B269" s="49" t="s">
        <v>113</v>
      </c>
      <c r="C269" s="49" t="s">
        <v>41</v>
      </c>
      <c r="D269" s="49" t="s">
        <v>41</v>
      </c>
      <c r="E269" s="466" t="s">
        <v>98</v>
      </c>
      <c r="F269" s="467" t="s">
        <v>476</v>
      </c>
      <c r="G269" s="49" t="s">
        <v>129</v>
      </c>
      <c r="H269" s="49"/>
      <c r="I269" s="46">
        <v>1621.28</v>
      </c>
      <c r="J269" s="265"/>
      <c r="K269" s="595"/>
      <c r="L269" s="624"/>
      <c r="M269" s="156"/>
      <c r="N269" s="156"/>
    </row>
    <row r="270" spans="1:14" s="29" customFormat="1" ht="15.75" customHeight="1">
      <c r="A270" s="367" t="s">
        <v>76</v>
      </c>
      <c r="B270" s="49" t="s">
        <v>113</v>
      </c>
      <c r="C270" s="36" t="s">
        <v>41</v>
      </c>
      <c r="D270" s="36" t="s">
        <v>41</v>
      </c>
      <c r="E270" s="466" t="s">
        <v>98</v>
      </c>
      <c r="F270" s="467" t="s">
        <v>476</v>
      </c>
      <c r="G270" s="36" t="s">
        <v>77</v>
      </c>
      <c r="H270" s="36"/>
      <c r="I270" s="46">
        <v>70</v>
      </c>
      <c r="J270" s="265"/>
      <c r="K270" s="595"/>
      <c r="L270" s="624"/>
      <c r="M270" s="156"/>
      <c r="N270" s="156"/>
    </row>
    <row r="271" spans="1:14" s="29" customFormat="1" ht="25.5">
      <c r="A271" s="754" t="s">
        <v>223</v>
      </c>
      <c r="B271" s="688" t="s">
        <v>113</v>
      </c>
      <c r="C271" s="171" t="s">
        <v>41</v>
      </c>
      <c r="D271" s="171" t="s">
        <v>41</v>
      </c>
      <c r="E271" s="459" t="s">
        <v>224</v>
      </c>
      <c r="F271" s="460" t="s">
        <v>95</v>
      </c>
      <c r="G271" s="171"/>
      <c r="H271" s="665"/>
      <c r="I271" s="493">
        <f>I272+I274</f>
        <v>1426.65</v>
      </c>
      <c r="J271" s="265"/>
      <c r="K271" s="595"/>
      <c r="L271" s="561"/>
      <c r="M271" s="156"/>
      <c r="N271" s="156"/>
    </row>
    <row r="272" spans="1:14" s="29" customFormat="1" ht="27">
      <c r="A272" s="368" t="s">
        <v>477</v>
      </c>
      <c r="B272" s="280" t="s">
        <v>113</v>
      </c>
      <c r="C272" s="48" t="s">
        <v>41</v>
      </c>
      <c r="D272" s="48" t="s">
        <v>41</v>
      </c>
      <c r="E272" s="464" t="s">
        <v>224</v>
      </c>
      <c r="F272" s="465" t="s">
        <v>472</v>
      </c>
      <c r="G272" s="48"/>
      <c r="H272" s="31"/>
      <c r="I272" s="45">
        <f>I273</f>
        <v>1366.65</v>
      </c>
      <c r="J272" s="265"/>
      <c r="K272" s="595"/>
      <c r="L272" s="624"/>
      <c r="M272" s="156"/>
      <c r="N272" s="156"/>
    </row>
    <row r="273" spans="1:14" s="29" customFormat="1" ht="25.5">
      <c r="A273" s="369" t="s">
        <v>126</v>
      </c>
      <c r="B273" s="115" t="s">
        <v>113</v>
      </c>
      <c r="C273" s="49" t="s">
        <v>41</v>
      </c>
      <c r="D273" s="49" t="s">
        <v>41</v>
      </c>
      <c r="E273" s="466" t="s">
        <v>224</v>
      </c>
      <c r="F273" s="467" t="s">
        <v>472</v>
      </c>
      <c r="G273" s="49" t="s">
        <v>127</v>
      </c>
      <c r="H273" s="31"/>
      <c r="I273" s="46">
        <v>1366.65</v>
      </c>
      <c r="J273" s="265"/>
      <c r="K273" s="595"/>
      <c r="L273" s="624"/>
      <c r="M273" s="156"/>
      <c r="N273" s="156"/>
    </row>
    <row r="274" spans="1:14" s="29" customFormat="1" ht="27">
      <c r="A274" s="368" t="s">
        <v>478</v>
      </c>
      <c r="B274" s="280" t="s">
        <v>113</v>
      </c>
      <c r="C274" s="48" t="s">
        <v>41</v>
      </c>
      <c r="D274" s="48" t="s">
        <v>41</v>
      </c>
      <c r="E274" s="464" t="s">
        <v>224</v>
      </c>
      <c r="F274" s="465" t="s">
        <v>476</v>
      </c>
      <c r="G274" s="48"/>
      <c r="H274" s="31"/>
      <c r="I274" s="45">
        <f>SUM(I275:I276)</f>
        <v>60</v>
      </c>
      <c r="J274" s="265"/>
      <c r="K274" s="595"/>
      <c r="L274" s="624"/>
      <c r="M274" s="156"/>
      <c r="N274" s="156"/>
    </row>
    <row r="275" spans="1:14" s="29" customFormat="1" ht="25.5">
      <c r="A275" s="369" t="s">
        <v>128</v>
      </c>
      <c r="B275" s="115" t="s">
        <v>113</v>
      </c>
      <c r="C275" s="49" t="s">
        <v>41</v>
      </c>
      <c r="D275" s="49" t="s">
        <v>41</v>
      </c>
      <c r="E275" s="466" t="s">
        <v>224</v>
      </c>
      <c r="F275" s="467" t="s">
        <v>476</v>
      </c>
      <c r="G275" s="49" t="s">
        <v>129</v>
      </c>
      <c r="H275" s="36"/>
      <c r="I275" s="46">
        <v>50</v>
      </c>
      <c r="J275" s="265"/>
      <c r="K275" s="595"/>
      <c r="L275" s="624"/>
      <c r="M275" s="156"/>
      <c r="N275" s="156"/>
    </row>
    <row r="276" spans="1:14" s="29" customFormat="1" ht="21" customHeight="1">
      <c r="A276" s="367" t="s">
        <v>76</v>
      </c>
      <c r="B276" s="14" t="s">
        <v>113</v>
      </c>
      <c r="C276" s="36" t="s">
        <v>41</v>
      </c>
      <c r="D276" s="36" t="s">
        <v>41</v>
      </c>
      <c r="E276" s="466" t="s">
        <v>224</v>
      </c>
      <c r="F276" s="467" t="s">
        <v>476</v>
      </c>
      <c r="G276" s="64" t="s">
        <v>77</v>
      </c>
      <c r="H276" s="64"/>
      <c r="I276" s="103">
        <v>10</v>
      </c>
      <c r="J276" s="255"/>
      <c r="K276" s="574"/>
      <c r="L276" s="624"/>
      <c r="M276" s="156"/>
      <c r="N276" s="156"/>
    </row>
    <row r="277" spans="1:14" s="47" customFormat="1" ht="14.25">
      <c r="A277" s="385" t="s">
        <v>67</v>
      </c>
      <c r="B277" s="213" t="s">
        <v>113</v>
      </c>
      <c r="C277" s="213" t="s">
        <v>43</v>
      </c>
      <c r="D277" s="214"/>
      <c r="E277" s="804"/>
      <c r="F277" s="805"/>
      <c r="G277" s="214"/>
      <c r="H277" s="214"/>
      <c r="I277" s="349">
        <f>I278</f>
        <v>2410</v>
      </c>
      <c r="J277" s="251"/>
      <c r="K277" s="579"/>
      <c r="L277" s="624"/>
      <c r="M277" s="437"/>
      <c r="N277" s="437"/>
    </row>
    <row r="278" spans="1:14" s="29" customFormat="1" ht="21" customHeight="1">
      <c r="A278" s="358" t="s">
        <v>68</v>
      </c>
      <c r="B278" s="221" t="s">
        <v>113</v>
      </c>
      <c r="C278" s="219" t="s">
        <v>43</v>
      </c>
      <c r="D278" s="219" t="s">
        <v>41</v>
      </c>
      <c r="E278" s="802"/>
      <c r="F278" s="803"/>
      <c r="G278" s="218"/>
      <c r="H278" s="218"/>
      <c r="I278" s="323">
        <f>I279+I284</f>
        <v>2410</v>
      </c>
      <c r="J278" s="255"/>
      <c r="K278" s="574"/>
      <c r="L278" s="624"/>
      <c r="M278" s="156"/>
      <c r="N278" s="156"/>
    </row>
    <row r="279" spans="1:14" s="29" customFormat="1" ht="51">
      <c r="A279" s="663" t="s">
        <v>459</v>
      </c>
      <c r="B279" s="664">
        <v>704</v>
      </c>
      <c r="C279" s="665" t="s">
        <v>43</v>
      </c>
      <c r="D279" s="665" t="s">
        <v>41</v>
      </c>
      <c r="E279" s="463" t="s">
        <v>426</v>
      </c>
      <c r="F279" s="203" t="s">
        <v>461</v>
      </c>
      <c r="G279" s="186"/>
      <c r="H279" s="186"/>
      <c r="I279" s="327">
        <f>I280+I283</f>
        <v>15</v>
      </c>
      <c r="J279" s="255"/>
      <c r="K279" s="574"/>
      <c r="L279" s="624"/>
      <c r="M279" s="156"/>
      <c r="N279" s="156"/>
    </row>
    <row r="280" spans="1:14" s="29" customFormat="1" ht="40.5">
      <c r="A280" s="366" t="s">
        <v>457</v>
      </c>
      <c r="B280" s="162">
        <v>704</v>
      </c>
      <c r="C280" s="31" t="s">
        <v>43</v>
      </c>
      <c r="D280" s="31" t="s">
        <v>41</v>
      </c>
      <c r="E280" s="464" t="s">
        <v>426</v>
      </c>
      <c r="F280" s="465" t="s">
        <v>455</v>
      </c>
      <c r="G280" s="61"/>
      <c r="H280" s="61"/>
      <c r="I280" s="95">
        <f>I281</f>
        <v>10</v>
      </c>
      <c r="J280" s="255"/>
      <c r="K280" s="574"/>
      <c r="L280" s="624"/>
      <c r="M280" s="156"/>
      <c r="N280" s="156"/>
    </row>
    <row r="281" spans="1:14" s="29" customFormat="1" ht="25.5">
      <c r="A281" s="369" t="s">
        <v>128</v>
      </c>
      <c r="B281" s="14">
        <v>704</v>
      </c>
      <c r="C281" s="36" t="s">
        <v>43</v>
      </c>
      <c r="D281" s="36" t="s">
        <v>41</v>
      </c>
      <c r="E281" s="466" t="s">
        <v>426</v>
      </c>
      <c r="F281" s="467" t="s">
        <v>455</v>
      </c>
      <c r="G281" s="64" t="s">
        <v>129</v>
      </c>
      <c r="H281" s="64"/>
      <c r="I281" s="103">
        <v>10</v>
      </c>
      <c r="J281" s="255"/>
      <c r="K281" s="574"/>
      <c r="L281" s="624"/>
      <c r="M281" s="156"/>
      <c r="N281" s="156"/>
    </row>
    <row r="282" spans="1:14" s="29" customFormat="1" ht="40.5">
      <c r="A282" s="366" t="s">
        <v>458</v>
      </c>
      <c r="B282" s="162">
        <v>704</v>
      </c>
      <c r="C282" s="31" t="s">
        <v>43</v>
      </c>
      <c r="D282" s="31" t="s">
        <v>41</v>
      </c>
      <c r="E282" s="464" t="s">
        <v>426</v>
      </c>
      <c r="F282" s="465" t="s">
        <v>456</v>
      </c>
      <c r="G282" s="61"/>
      <c r="H282" s="61"/>
      <c r="I282" s="95">
        <f>I283</f>
        <v>5</v>
      </c>
      <c r="J282" s="255"/>
      <c r="K282" s="574"/>
      <c r="L282" s="624"/>
      <c r="M282" s="156"/>
      <c r="N282" s="156"/>
    </row>
    <row r="283" spans="1:14" s="29" customFormat="1" ht="25.5">
      <c r="A283" s="369" t="s">
        <v>128</v>
      </c>
      <c r="B283" s="14">
        <v>704</v>
      </c>
      <c r="C283" s="36" t="s">
        <v>43</v>
      </c>
      <c r="D283" s="36" t="s">
        <v>41</v>
      </c>
      <c r="E283" s="466" t="s">
        <v>426</v>
      </c>
      <c r="F283" s="467" t="s">
        <v>456</v>
      </c>
      <c r="G283" s="64" t="s">
        <v>129</v>
      </c>
      <c r="H283" s="64"/>
      <c r="I283" s="103">
        <v>5</v>
      </c>
      <c r="J283" s="255"/>
      <c r="K283" s="574"/>
      <c r="L283" s="624"/>
      <c r="M283" s="156"/>
      <c r="N283" s="156"/>
    </row>
    <row r="284" spans="1:14" s="29" customFormat="1" ht="51">
      <c r="A284" s="663" t="s">
        <v>460</v>
      </c>
      <c r="B284" s="664">
        <v>704</v>
      </c>
      <c r="C284" s="665" t="s">
        <v>43</v>
      </c>
      <c r="D284" s="665" t="s">
        <v>41</v>
      </c>
      <c r="E284" s="463" t="s">
        <v>426</v>
      </c>
      <c r="F284" s="203" t="s">
        <v>454</v>
      </c>
      <c r="G284" s="186"/>
      <c r="H284" s="186"/>
      <c r="I284" s="327">
        <f>I285+I288</f>
        <v>2395</v>
      </c>
      <c r="J284" s="255"/>
      <c r="K284" s="574"/>
      <c r="L284" s="624"/>
      <c r="M284" s="156"/>
      <c r="N284" s="156"/>
    </row>
    <row r="285" spans="1:14" s="29" customFormat="1" ht="40.5">
      <c r="A285" s="366" t="s">
        <v>427</v>
      </c>
      <c r="B285" s="162">
        <v>704</v>
      </c>
      <c r="C285" s="31" t="s">
        <v>43</v>
      </c>
      <c r="D285" s="31" t="s">
        <v>41</v>
      </c>
      <c r="E285" s="464" t="s">
        <v>426</v>
      </c>
      <c r="F285" s="465" t="s">
        <v>428</v>
      </c>
      <c r="G285" s="61"/>
      <c r="H285" s="61"/>
      <c r="I285" s="95">
        <f>SUM(I286:I287)</f>
        <v>1900</v>
      </c>
      <c r="J285" s="255"/>
      <c r="K285" s="574"/>
      <c r="L285" s="624"/>
      <c r="M285" s="156"/>
      <c r="N285" s="156"/>
    </row>
    <row r="286" spans="1:14" s="29" customFormat="1" ht="25.5">
      <c r="A286" s="369" t="s">
        <v>128</v>
      </c>
      <c r="B286" s="14">
        <v>704</v>
      </c>
      <c r="C286" s="36" t="s">
        <v>43</v>
      </c>
      <c r="D286" s="36" t="s">
        <v>41</v>
      </c>
      <c r="E286" s="466" t="s">
        <v>426</v>
      </c>
      <c r="F286" s="467" t="s">
        <v>428</v>
      </c>
      <c r="G286" s="64" t="s">
        <v>129</v>
      </c>
      <c r="H286" s="64"/>
      <c r="I286" s="103">
        <v>200</v>
      </c>
      <c r="J286" s="255"/>
      <c r="K286" s="574"/>
      <c r="L286" s="624"/>
      <c r="M286" s="156"/>
      <c r="N286" s="156"/>
    </row>
    <row r="287" spans="1:14" s="29" customFormat="1" ht="38.25">
      <c r="A287" s="369" t="s">
        <v>327</v>
      </c>
      <c r="B287" s="14">
        <v>704</v>
      </c>
      <c r="C287" s="36" t="s">
        <v>43</v>
      </c>
      <c r="D287" s="36" t="s">
        <v>41</v>
      </c>
      <c r="E287" s="466" t="s">
        <v>426</v>
      </c>
      <c r="F287" s="467" t="s">
        <v>428</v>
      </c>
      <c r="G287" s="64" t="s">
        <v>84</v>
      </c>
      <c r="H287" s="64"/>
      <c r="I287" s="103">
        <v>1700</v>
      </c>
      <c r="J287" s="255"/>
      <c r="K287" s="574"/>
      <c r="L287" s="624"/>
      <c r="M287" s="156"/>
      <c r="N287" s="156"/>
    </row>
    <row r="288" spans="1:14" s="29" customFormat="1" ht="40.5">
      <c r="A288" s="366" t="s">
        <v>429</v>
      </c>
      <c r="B288" s="162">
        <v>704</v>
      </c>
      <c r="C288" s="31" t="s">
        <v>43</v>
      </c>
      <c r="D288" s="31" t="s">
        <v>41</v>
      </c>
      <c r="E288" s="464" t="s">
        <v>426</v>
      </c>
      <c r="F288" s="465" t="s">
        <v>430</v>
      </c>
      <c r="G288" s="61"/>
      <c r="H288" s="61"/>
      <c r="I288" s="95">
        <f>SUM(I289:I290)</f>
        <v>495</v>
      </c>
      <c r="J288" s="255"/>
      <c r="K288" s="574"/>
      <c r="L288" s="624"/>
      <c r="M288" s="156"/>
      <c r="N288" s="156"/>
    </row>
    <row r="289" spans="1:14" s="29" customFormat="1" ht="25.5">
      <c r="A289" s="369" t="s">
        <v>128</v>
      </c>
      <c r="B289" s="14">
        <v>704</v>
      </c>
      <c r="C289" s="36" t="s">
        <v>43</v>
      </c>
      <c r="D289" s="36" t="s">
        <v>41</v>
      </c>
      <c r="E289" s="466" t="s">
        <v>426</v>
      </c>
      <c r="F289" s="467" t="s">
        <v>430</v>
      </c>
      <c r="G289" s="64" t="s">
        <v>129</v>
      </c>
      <c r="H289" s="64"/>
      <c r="I289" s="103">
        <v>95</v>
      </c>
      <c r="J289" s="255"/>
      <c r="K289" s="574"/>
      <c r="L289" s="624"/>
      <c r="M289" s="156"/>
      <c r="N289" s="156"/>
    </row>
    <row r="290" spans="1:14" s="29" customFormat="1" ht="38.25">
      <c r="A290" s="369" t="s">
        <v>327</v>
      </c>
      <c r="B290" s="14">
        <v>704</v>
      </c>
      <c r="C290" s="36" t="s">
        <v>43</v>
      </c>
      <c r="D290" s="36" t="s">
        <v>41</v>
      </c>
      <c r="E290" s="466" t="s">
        <v>426</v>
      </c>
      <c r="F290" s="467" t="s">
        <v>430</v>
      </c>
      <c r="G290" s="64" t="s">
        <v>84</v>
      </c>
      <c r="H290" s="64"/>
      <c r="I290" s="103">
        <v>400</v>
      </c>
      <c r="J290" s="255"/>
      <c r="K290" s="574"/>
      <c r="L290" s="624"/>
      <c r="M290" s="156"/>
      <c r="N290" s="156"/>
    </row>
    <row r="291" spans="1:14" s="47" customFormat="1" ht="30" customHeight="1">
      <c r="A291" s="412" t="s">
        <v>408</v>
      </c>
      <c r="B291" s="413" t="s">
        <v>143</v>
      </c>
      <c r="C291" s="414"/>
      <c r="D291" s="414"/>
      <c r="E291" s="826"/>
      <c r="F291" s="827"/>
      <c r="G291" s="414"/>
      <c r="H291" s="414"/>
      <c r="I291" s="415">
        <f>I292+I298+I485+I531</f>
        <v>180681.40000000002</v>
      </c>
      <c r="J291" s="250" t="e">
        <f>#REF!+#REF!+#REF!+#REF!+#REF!</f>
        <v>#REF!</v>
      </c>
      <c r="K291" s="576" t="e">
        <f>J291/I293</f>
        <v>#REF!</v>
      </c>
      <c r="L291" s="624"/>
      <c r="M291" s="561"/>
      <c r="N291" s="437"/>
    </row>
    <row r="292" spans="1:14" s="50" customFormat="1" ht="14.25">
      <c r="A292" s="353" t="s">
        <v>10</v>
      </c>
      <c r="B292" s="276" t="s">
        <v>143</v>
      </c>
      <c r="C292" s="276" t="s">
        <v>39</v>
      </c>
      <c r="D292" s="220"/>
      <c r="E292" s="804"/>
      <c r="F292" s="805"/>
      <c r="G292" s="52"/>
      <c r="H292" s="52"/>
      <c r="I292" s="324">
        <f>I293</f>
        <v>35.4</v>
      </c>
      <c r="J292" s="513"/>
      <c r="K292" s="580"/>
      <c r="L292" s="624"/>
      <c r="M292" s="156"/>
      <c r="N292" s="156"/>
    </row>
    <row r="293" spans="1:14" s="58" customFormat="1" ht="14.25">
      <c r="A293" s="365" t="s">
        <v>15</v>
      </c>
      <c r="B293" s="98">
        <v>705</v>
      </c>
      <c r="C293" s="40" t="s">
        <v>39</v>
      </c>
      <c r="D293" s="40" t="s">
        <v>53</v>
      </c>
      <c r="E293" s="802"/>
      <c r="F293" s="803"/>
      <c r="G293" s="40"/>
      <c r="H293" s="40" t="s">
        <v>38</v>
      </c>
      <c r="I293" s="41">
        <f>I294</f>
        <v>35.4</v>
      </c>
      <c r="J293" s="254"/>
      <c r="K293" s="584"/>
      <c r="L293" s="624"/>
      <c r="M293" s="625"/>
      <c r="N293" s="625"/>
    </row>
    <row r="294" spans="1:14" s="58" customFormat="1" ht="54">
      <c r="A294" s="500" t="s">
        <v>494</v>
      </c>
      <c r="B294" s="516">
        <v>705</v>
      </c>
      <c r="C294" s="48" t="s">
        <v>39</v>
      </c>
      <c r="D294" s="48" t="s">
        <v>53</v>
      </c>
      <c r="E294" s="472" t="s">
        <v>288</v>
      </c>
      <c r="F294" s="333" t="s">
        <v>95</v>
      </c>
      <c r="G294" s="48"/>
      <c r="H294" s="48"/>
      <c r="I294" s="45">
        <f>I295</f>
        <v>35.4</v>
      </c>
      <c r="J294" s="254"/>
      <c r="K294" s="584"/>
      <c r="L294" s="624"/>
      <c r="M294" s="625"/>
      <c r="N294" s="625"/>
    </row>
    <row r="295" spans="1:14" s="58" customFormat="1" ht="54">
      <c r="A295" s="500" t="s">
        <v>492</v>
      </c>
      <c r="B295" s="516">
        <v>705</v>
      </c>
      <c r="C295" s="48" t="s">
        <v>39</v>
      </c>
      <c r="D295" s="48" t="s">
        <v>53</v>
      </c>
      <c r="E295" s="472" t="s">
        <v>288</v>
      </c>
      <c r="F295" s="333" t="s">
        <v>489</v>
      </c>
      <c r="G295" s="48"/>
      <c r="H295" s="48"/>
      <c r="I295" s="45">
        <f>SUBTOTAL(9,I296:I297)</f>
        <v>35.4</v>
      </c>
      <c r="J295" s="254"/>
      <c r="K295" s="584"/>
      <c r="L295" s="624"/>
      <c r="M295" s="625"/>
      <c r="N295" s="625"/>
    </row>
    <row r="296" spans="1:14" s="88" customFormat="1" ht="25.5">
      <c r="A296" s="369" t="s">
        <v>126</v>
      </c>
      <c r="B296" s="517">
        <v>705</v>
      </c>
      <c r="C296" s="49" t="s">
        <v>39</v>
      </c>
      <c r="D296" s="49" t="s">
        <v>53</v>
      </c>
      <c r="E296" s="466" t="s">
        <v>288</v>
      </c>
      <c r="F296" s="467" t="s">
        <v>489</v>
      </c>
      <c r="G296" s="49" t="s">
        <v>127</v>
      </c>
      <c r="H296" s="518"/>
      <c r="I296" s="46">
        <v>10</v>
      </c>
      <c r="J296" s="267" t="e">
        <f>#REF!+J297</f>
        <v>#REF!</v>
      </c>
      <c r="K296" s="604" t="e">
        <f>J296/#REF!</f>
        <v>#REF!</v>
      </c>
      <c r="L296" s="569"/>
      <c r="M296" s="570"/>
      <c r="N296" s="570"/>
    </row>
    <row r="297" spans="1:14" s="88" customFormat="1" ht="25.5">
      <c r="A297" s="369" t="s">
        <v>128</v>
      </c>
      <c r="B297" s="517">
        <v>705</v>
      </c>
      <c r="C297" s="49" t="s">
        <v>39</v>
      </c>
      <c r="D297" s="49" t="s">
        <v>53</v>
      </c>
      <c r="E297" s="466" t="s">
        <v>288</v>
      </c>
      <c r="F297" s="467" t="s">
        <v>489</v>
      </c>
      <c r="G297" s="49" t="s">
        <v>129</v>
      </c>
      <c r="H297" s="49"/>
      <c r="I297" s="46">
        <v>25.4</v>
      </c>
      <c r="J297" s="267" t="e">
        <f>#REF!+#REF!+#REF!</f>
        <v>#REF!</v>
      </c>
      <c r="K297" s="604" t="e">
        <f>J297/#REF!</f>
        <v>#REF!</v>
      </c>
      <c r="L297" s="569"/>
      <c r="M297" s="570"/>
      <c r="N297" s="570"/>
    </row>
    <row r="298" spans="1:14" s="86" customFormat="1" ht="14.25">
      <c r="A298" s="66" t="s">
        <v>20</v>
      </c>
      <c r="B298" s="67" t="s">
        <v>143</v>
      </c>
      <c r="C298" s="67" t="s">
        <v>21</v>
      </c>
      <c r="D298" s="67"/>
      <c r="E298" s="804"/>
      <c r="F298" s="805"/>
      <c r="G298" s="67"/>
      <c r="H298" s="67"/>
      <c r="I298" s="325">
        <f>I299+I342+I405+I438+I482</f>
        <v>142188.25000000003</v>
      </c>
      <c r="J298" s="273"/>
      <c r="K298" s="605"/>
      <c r="L298" s="569"/>
      <c r="M298" s="569"/>
      <c r="N298" s="629"/>
    </row>
    <row r="299" spans="1:14" s="86" customFormat="1" ht="15.75" customHeight="1">
      <c r="A299" s="380" t="s">
        <v>22</v>
      </c>
      <c r="B299" s="81" t="s">
        <v>143</v>
      </c>
      <c r="C299" s="81" t="s">
        <v>21</v>
      </c>
      <c r="D299" s="81" t="s">
        <v>39</v>
      </c>
      <c r="E299" s="802"/>
      <c r="F299" s="803"/>
      <c r="G299" s="81"/>
      <c r="H299" s="81" t="s">
        <v>38</v>
      </c>
      <c r="I299" s="79">
        <f>I300+I302+I304+I317+I320+I325+I330+I335+I340</f>
        <v>46006.17</v>
      </c>
      <c r="J299" s="272" t="e">
        <f>J301</f>
        <v>#REF!</v>
      </c>
      <c r="K299" s="606" t="e">
        <f>J299/#REF!</f>
        <v>#REF!</v>
      </c>
      <c r="L299" s="569"/>
      <c r="M299" s="569"/>
      <c r="N299" s="629"/>
    </row>
    <row r="300" spans="1:14" s="86" customFormat="1" ht="15.75" customHeight="1">
      <c r="A300" s="222" t="s">
        <v>245</v>
      </c>
      <c r="B300" s="61" t="s">
        <v>143</v>
      </c>
      <c r="C300" s="61" t="s">
        <v>21</v>
      </c>
      <c r="D300" s="61" t="s">
        <v>39</v>
      </c>
      <c r="E300" s="461" t="s">
        <v>141</v>
      </c>
      <c r="F300" s="462" t="s">
        <v>533</v>
      </c>
      <c r="G300" s="61"/>
      <c r="H300" s="93"/>
      <c r="I300" s="95">
        <f>I301</f>
        <v>7177.15</v>
      </c>
      <c r="J300" s="272"/>
      <c r="K300" s="606"/>
      <c r="L300" s="569"/>
      <c r="M300" s="629"/>
      <c r="N300" s="629"/>
    </row>
    <row r="301" spans="1:14" s="88" customFormat="1" ht="13.5">
      <c r="A301" s="388" t="s">
        <v>148</v>
      </c>
      <c r="B301" s="224">
        <v>705</v>
      </c>
      <c r="C301" s="64" t="s">
        <v>21</v>
      </c>
      <c r="D301" s="64" t="s">
        <v>39</v>
      </c>
      <c r="E301" s="466" t="s">
        <v>141</v>
      </c>
      <c r="F301" s="467" t="s">
        <v>533</v>
      </c>
      <c r="G301" s="94" t="s">
        <v>149</v>
      </c>
      <c r="H301" s="94"/>
      <c r="I301" s="103">
        <f>(5527.15)+1000+300+350</f>
        <v>7177.15</v>
      </c>
      <c r="J301" s="267" t="e">
        <f>#REF!+#REF!</f>
        <v>#REF!</v>
      </c>
      <c r="K301" s="604" t="e">
        <f>J301/#REF!</f>
        <v>#REF!</v>
      </c>
      <c r="L301" s="569"/>
      <c r="M301" s="570"/>
      <c r="N301" s="570"/>
    </row>
    <row r="302" spans="1:14" s="88" customFormat="1" ht="13.5">
      <c r="A302" s="222" t="s">
        <v>160</v>
      </c>
      <c r="B302" s="61" t="s">
        <v>143</v>
      </c>
      <c r="C302" s="61" t="s">
        <v>21</v>
      </c>
      <c r="D302" s="61" t="s">
        <v>39</v>
      </c>
      <c r="E302" s="461" t="s">
        <v>151</v>
      </c>
      <c r="F302" s="462" t="s">
        <v>533</v>
      </c>
      <c r="G302" s="61"/>
      <c r="H302" s="93"/>
      <c r="I302" s="95">
        <f>I303</f>
        <v>6534.52</v>
      </c>
      <c r="J302" s="267"/>
      <c r="K302" s="604"/>
      <c r="L302" s="569"/>
      <c r="M302" s="630"/>
      <c r="N302" s="570"/>
    </row>
    <row r="303" spans="1:14" s="88" customFormat="1" ht="13.5">
      <c r="A303" s="388" t="s">
        <v>148</v>
      </c>
      <c r="B303" s="64" t="s">
        <v>143</v>
      </c>
      <c r="C303" s="64" t="s">
        <v>21</v>
      </c>
      <c r="D303" s="64" t="s">
        <v>39</v>
      </c>
      <c r="E303" s="466" t="s">
        <v>151</v>
      </c>
      <c r="F303" s="467" t="s">
        <v>533</v>
      </c>
      <c r="G303" s="94" t="s">
        <v>149</v>
      </c>
      <c r="H303" s="94"/>
      <c r="I303" s="103">
        <f>(5139.22)+1000+400-4.7</f>
        <v>6534.52</v>
      </c>
      <c r="J303" s="267"/>
      <c r="K303" s="604"/>
      <c r="L303" s="569"/>
      <c r="M303" s="570"/>
      <c r="N303" s="570"/>
    </row>
    <row r="304" spans="1:14" s="88" customFormat="1" ht="25.5">
      <c r="A304" s="373" t="s">
        <v>268</v>
      </c>
      <c r="B304" s="342">
        <v>705</v>
      </c>
      <c r="C304" s="225" t="s">
        <v>21</v>
      </c>
      <c r="D304" s="225" t="s">
        <v>39</v>
      </c>
      <c r="E304" s="459" t="s">
        <v>307</v>
      </c>
      <c r="F304" s="460" t="s">
        <v>95</v>
      </c>
      <c r="G304" s="225"/>
      <c r="H304" s="225"/>
      <c r="I304" s="327">
        <f>I305+I312+I310</f>
        <v>1425.3</v>
      </c>
      <c r="J304" s="267"/>
      <c r="K304" s="604"/>
      <c r="L304" s="569"/>
      <c r="M304" s="570"/>
      <c r="N304" s="570"/>
    </row>
    <row r="305" spans="1:14" s="88" customFormat="1" ht="40.5">
      <c r="A305" s="394" t="s">
        <v>269</v>
      </c>
      <c r="B305" s="228">
        <v>705</v>
      </c>
      <c r="C305" s="93" t="s">
        <v>21</v>
      </c>
      <c r="D305" s="93" t="s">
        <v>39</v>
      </c>
      <c r="E305" s="461" t="s">
        <v>232</v>
      </c>
      <c r="F305" s="462" t="s">
        <v>95</v>
      </c>
      <c r="G305" s="93"/>
      <c r="H305" s="93"/>
      <c r="I305" s="95">
        <f>I306+I308</f>
        <v>390.6</v>
      </c>
      <c r="J305" s="267"/>
      <c r="K305" s="604"/>
      <c r="L305" s="569"/>
      <c r="M305" s="570"/>
      <c r="N305" s="570"/>
    </row>
    <row r="306" spans="1:14" s="88" customFormat="1" ht="51">
      <c r="A306" s="522" t="s">
        <v>281</v>
      </c>
      <c r="B306" s="523">
        <v>705</v>
      </c>
      <c r="C306" s="110" t="s">
        <v>21</v>
      </c>
      <c r="D306" s="110" t="s">
        <v>39</v>
      </c>
      <c r="E306" s="506" t="s">
        <v>233</v>
      </c>
      <c r="F306" s="507" t="s">
        <v>533</v>
      </c>
      <c r="G306" s="110"/>
      <c r="H306" s="110"/>
      <c r="I306" s="105">
        <f>I307</f>
        <v>156.2</v>
      </c>
      <c r="J306" s="267"/>
      <c r="K306" s="604"/>
      <c r="L306" s="569"/>
      <c r="M306" s="570"/>
      <c r="N306" s="570"/>
    </row>
    <row r="307" spans="1:14" s="88" customFormat="1" ht="13.5">
      <c r="A307" s="393" t="s">
        <v>148</v>
      </c>
      <c r="B307" s="229">
        <v>705</v>
      </c>
      <c r="C307" s="94" t="s">
        <v>21</v>
      </c>
      <c r="D307" s="94" t="s">
        <v>39</v>
      </c>
      <c r="E307" s="466" t="s">
        <v>233</v>
      </c>
      <c r="F307" s="467" t="s">
        <v>533</v>
      </c>
      <c r="G307" s="94" t="s">
        <v>149</v>
      </c>
      <c r="H307" s="93"/>
      <c r="I307" s="103">
        <f>120+36.2</f>
        <v>156.2</v>
      </c>
      <c r="J307" s="267"/>
      <c r="K307" s="604"/>
      <c r="L307" s="569"/>
      <c r="M307" s="570"/>
      <c r="N307" s="570"/>
    </row>
    <row r="308" spans="1:14" s="88" customFormat="1" ht="38.25">
      <c r="A308" s="522" t="s">
        <v>280</v>
      </c>
      <c r="B308" s="523">
        <v>705</v>
      </c>
      <c r="C308" s="110" t="s">
        <v>21</v>
      </c>
      <c r="D308" s="110" t="s">
        <v>39</v>
      </c>
      <c r="E308" s="506" t="s">
        <v>234</v>
      </c>
      <c r="F308" s="507" t="s">
        <v>533</v>
      </c>
      <c r="G308" s="110"/>
      <c r="H308" s="110"/>
      <c r="I308" s="105">
        <f>I309</f>
        <v>234.4</v>
      </c>
      <c r="J308" s="267"/>
      <c r="K308" s="604"/>
      <c r="L308" s="569"/>
      <c r="M308" s="570"/>
      <c r="N308" s="570"/>
    </row>
    <row r="309" spans="1:14" s="88" customFormat="1" ht="13.5">
      <c r="A309" s="393" t="s">
        <v>148</v>
      </c>
      <c r="B309" s="229">
        <v>705</v>
      </c>
      <c r="C309" s="94" t="s">
        <v>21</v>
      </c>
      <c r="D309" s="94" t="s">
        <v>39</v>
      </c>
      <c r="E309" s="466" t="s">
        <v>234</v>
      </c>
      <c r="F309" s="467" t="s">
        <v>533</v>
      </c>
      <c r="G309" s="94" t="s">
        <v>149</v>
      </c>
      <c r="H309" s="93"/>
      <c r="I309" s="103">
        <f>180+54.4</f>
        <v>234.4</v>
      </c>
      <c r="J309" s="267"/>
      <c r="K309" s="604"/>
      <c r="L309" s="569"/>
      <c r="M309" s="570"/>
      <c r="N309" s="570"/>
    </row>
    <row r="310" spans="1:14" s="88" customFormat="1" ht="81">
      <c r="A310" s="394" t="s">
        <v>319</v>
      </c>
      <c r="B310" s="228">
        <v>705</v>
      </c>
      <c r="C310" s="93" t="s">
        <v>21</v>
      </c>
      <c r="D310" s="93" t="s">
        <v>39</v>
      </c>
      <c r="E310" s="464" t="s">
        <v>381</v>
      </c>
      <c r="F310" s="465" t="s">
        <v>274</v>
      </c>
      <c r="G310" s="93"/>
      <c r="H310" s="93"/>
      <c r="I310" s="95">
        <f>I311</f>
        <v>4.7</v>
      </c>
      <c r="J310" s="267"/>
      <c r="K310" s="604"/>
      <c r="L310" s="569"/>
      <c r="M310" s="570"/>
      <c r="N310" s="570"/>
    </row>
    <row r="311" spans="1:14" s="88" customFormat="1" ht="13.5">
      <c r="A311" s="393" t="s">
        <v>148</v>
      </c>
      <c r="B311" s="229">
        <v>705</v>
      </c>
      <c r="C311" s="94" t="s">
        <v>21</v>
      </c>
      <c r="D311" s="94" t="s">
        <v>39</v>
      </c>
      <c r="E311" s="466" t="s">
        <v>381</v>
      </c>
      <c r="F311" s="467" t="s">
        <v>274</v>
      </c>
      <c r="G311" s="94" t="s">
        <v>149</v>
      </c>
      <c r="H311" s="93"/>
      <c r="I311" s="103">
        <v>4.7</v>
      </c>
      <c r="J311" s="267"/>
      <c r="K311" s="604"/>
      <c r="L311" s="569"/>
      <c r="M311" s="570"/>
      <c r="N311" s="570"/>
    </row>
    <row r="312" spans="1:14" s="88" customFormat="1" ht="38.25">
      <c r="A312" s="524" t="s">
        <v>270</v>
      </c>
      <c r="B312" s="342">
        <v>705</v>
      </c>
      <c r="C312" s="225" t="s">
        <v>21</v>
      </c>
      <c r="D312" s="225" t="s">
        <v>39</v>
      </c>
      <c r="E312" s="459" t="s">
        <v>229</v>
      </c>
      <c r="F312" s="460" t="s">
        <v>95</v>
      </c>
      <c r="G312" s="225"/>
      <c r="H312" s="225"/>
      <c r="I312" s="327">
        <f>I313+I315</f>
        <v>1030</v>
      </c>
      <c r="J312" s="267"/>
      <c r="K312" s="604"/>
      <c r="L312" s="569"/>
      <c r="M312" s="570"/>
      <c r="N312" s="570"/>
    </row>
    <row r="313" spans="1:14" s="88" customFormat="1" ht="40.5">
      <c r="A313" s="390" t="s">
        <v>271</v>
      </c>
      <c r="B313" s="223">
        <v>705</v>
      </c>
      <c r="C313" s="61" t="s">
        <v>21</v>
      </c>
      <c r="D313" s="61" t="s">
        <v>39</v>
      </c>
      <c r="E313" s="461" t="s">
        <v>230</v>
      </c>
      <c r="F313" s="462" t="s">
        <v>533</v>
      </c>
      <c r="G313" s="93"/>
      <c r="H313" s="93"/>
      <c r="I313" s="95">
        <f>I314</f>
        <v>430</v>
      </c>
      <c r="J313" s="267"/>
      <c r="K313" s="604"/>
      <c r="L313" s="569"/>
      <c r="M313" s="570"/>
      <c r="N313" s="570"/>
    </row>
    <row r="314" spans="1:14" s="88" customFormat="1" ht="13.5">
      <c r="A314" s="388" t="s">
        <v>148</v>
      </c>
      <c r="B314" s="224">
        <v>705</v>
      </c>
      <c r="C314" s="64" t="s">
        <v>21</v>
      </c>
      <c r="D314" s="64" t="s">
        <v>39</v>
      </c>
      <c r="E314" s="466" t="s">
        <v>230</v>
      </c>
      <c r="F314" s="467" t="s">
        <v>533</v>
      </c>
      <c r="G314" s="94" t="s">
        <v>149</v>
      </c>
      <c r="H314" s="94"/>
      <c r="I314" s="103">
        <f>1236-815+9</f>
        <v>430</v>
      </c>
      <c r="J314" s="267"/>
      <c r="K314" s="604"/>
      <c r="L314" s="569"/>
      <c r="M314" s="570"/>
      <c r="N314" s="570"/>
    </row>
    <row r="315" spans="1:14" s="86" customFormat="1" ht="41.25" customHeight="1">
      <c r="A315" s="390" t="s">
        <v>282</v>
      </c>
      <c r="B315" s="223">
        <v>705</v>
      </c>
      <c r="C315" s="61" t="s">
        <v>21</v>
      </c>
      <c r="D315" s="61" t="s">
        <v>39</v>
      </c>
      <c r="E315" s="461" t="s">
        <v>231</v>
      </c>
      <c r="F315" s="462" t="s">
        <v>533</v>
      </c>
      <c r="G315" s="93"/>
      <c r="H315" s="94"/>
      <c r="I315" s="95">
        <f>I316</f>
        <v>600</v>
      </c>
      <c r="J315" s="269"/>
      <c r="K315" s="607"/>
      <c r="L315" s="569"/>
      <c r="M315" s="629"/>
      <c r="N315" s="629"/>
    </row>
    <row r="316" spans="1:14" s="83" customFormat="1" ht="13.5">
      <c r="A316" s="388" t="s">
        <v>148</v>
      </c>
      <c r="B316" s="224">
        <v>705</v>
      </c>
      <c r="C316" s="64" t="s">
        <v>21</v>
      </c>
      <c r="D316" s="64" t="s">
        <v>39</v>
      </c>
      <c r="E316" s="466" t="s">
        <v>231</v>
      </c>
      <c r="F316" s="467" t="s">
        <v>533</v>
      </c>
      <c r="G316" s="94" t="s">
        <v>149</v>
      </c>
      <c r="H316" s="94"/>
      <c r="I316" s="103">
        <f>560.6+39.4</f>
        <v>600</v>
      </c>
      <c r="J316" s="271"/>
      <c r="K316" s="608"/>
      <c r="L316" s="569"/>
      <c r="M316" s="447"/>
      <c r="N316" s="447"/>
    </row>
    <row r="317" spans="1:14" s="90" customFormat="1" ht="38.25">
      <c r="A317" s="416" t="s">
        <v>152</v>
      </c>
      <c r="B317" s="186" t="s">
        <v>143</v>
      </c>
      <c r="C317" s="186" t="s">
        <v>21</v>
      </c>
      <c r="D317" s="186" t="s">
        <v>39</v>
      </c>
      <c r="E317" s="459" t="s">
        <v>95</v>
      </c>
      <c r="F317" s="460" t="s">
        <v>150</v>
      </c>
      <c r="G317" s="225"/>
      <c r="H317" s="225"/>
      <c r="I317" s="327">
        <f>I318</f>
        <v>49</v>
      </c>
      <c r="J317" s="270"/>
      <c r="K317" s="609"/>
      <c r="L317" s="569"/>
      <c r="M317" s="168"/>
      <c r="N317" s="168"/>
    </row>
    <row r="318" spans="1:14" s="107" customFormat="1" ht="54">
      <c r="A318" s="389" t="s">
        <v>260</v>
      </c>
      <c r="B318" s="61" t="s">
        <v>143</v>
      </c>
      <c r="C318" s="61" t="s">
        <v>21</v>
      </c>
      <c r="D318" s="61" t="s">
        <v>39</v>
      </c>
      <c r="E318" s="461" t="s">
        <v>151</v>
      </c>
      <c r="F318" s="462" t="s">
        <v>150</v>
      </c>
      <c r="G318" s="225"/>
      <c r="H318" s="225"/>
      <c r="I318" s="327">
        <f>I319</f>
        <v>49</v>
      </c>
      <c r="J318" s="268"/>
      <c r="K318" s="610"/>
      <c r="L318" s="569"/>
      <c r="M318" s="570"/>
      <c r="N318" s="570"/>
    </row>
    <row r="319" spans="1:14" s="101" customFormat="1" ht="13.5">
      <c r="A319" s="388" t="s">
        <v>148</v>
      </c>
      <c r="B319" s="64" t="s">
        <v>143</v>
      </c>
      <c r="C319" s="64" t="s">
        <v>21</v>
      </c>
      <c r="D319" s="64" t="s">
        <v>39</v>
      </c>
      <c r="E319" s="466" t="s">
        <v>151</v>
      </c>
      <c r="F319" s="467" t="s">
        <v>150</v>
      </c>
      <c r="G319" s="64" t="s">
        <v>149</v>
      </c>
      <c r="H319" s="64"/>
      <c r="I319" s="103">
        <v>49</v>
      </c>
      <c r="J319" s="269"/>
      <c r="K319" s="607"/>
      <c r="L319" s="569"/>
      <c r="M319" s="629"/>
      <c r="N319" s="629"/>
    </row>
    <row r="320" spans="1:14" s="108" customFormat="1" ht="38.25">
      <c r="A320" s="373" t="s">
        <v>82</v>
      </c>
      <c r="B320" s="225" t="s">
        <v>143</v>
      </c>
      <c r="C320" s="225" t="s">
        <v>21</v>
      </c>
      <c r="D320" s="225" t="s">
        <v>39</v>
      </c>
      <c r="E320" s="459" t="s">
        <v>95</v>
      </c>
      <c r="F320" s="460" t="s">
        <v>153</v>
      </c>
      <c r="G320" s="225"/>
      <c r="H320" s="225"/>
      <c r="I320" s="327">
        <f>I321+I323</f>
        <v>360</v>
      </c>
      <c r="J320" s="270"/>
      <c r="K320" s="609"/>
      <c r="L320" s="569"/>
      <c r="M320" s="168"/>
      <c r="N320" s="168"/>
    </row>
    <row r="321" spans="1:14" s="101" customFormat="1" ht="26.25" customHeight="1">
      <c r="A321" s="387" t="s">
        <v>246</v>
      </c>
      <c r="B321" s="93" t="s">
        <v>143</v>
      </c>
      <c r="C321" s="93" t="s">
        <v>21</v>
      </c>
      <c r="D321" s="93" t="s">
        <v>39</v>
      </c>
      <c r="E321" s="461" t="s">
        <v>141</v>
      </c>
      <c r="F321" s="462" t="s">
        <v>153</v>
      </c>
      <c r="G321" s="93"/>
      <c r="H321" s="93"/>
      <c r="I321" s="95">
        <f>I322</f>
        <v>161.6</v>
      </c>
      <c r="J321" s="269"/>
      <c r="K321" s="607"/>
      <c r="L321" s="569"/>
      <c r="M321" s="629"/>
      <c r="N321" s="629"/>
    </row>
    <row r="322" spans="1:14" s="108" customFormat="1" ht="26.25" customHeight="1">
      <c r="A322" s="388" t="s">
        <v>148</v>
      </c>
      <c r="B322" s="94" t="s">
        <v>143</v>
      </c>
      <c r="C322" s="94" t="s">
        <v>21</v>
      </c>
      <c r="D322" s="94" t="s">
        <v>39</v>
      </c>
      <c r="E322" s="466" t="s">
        <v>141</v>
      </c>
      <c r="F322" s="467" t="s">
        <v>153</v>
      </c>
      <c r="G322" s="94" t="s">
        <v>149</v>
      </c>
      <c r="H322" s="94"/>
      <c r="I322" s="103">
        <f>124.1+37.5</f>
        <v>161.6</v>
      </c>
      <c r="J322" s="270"/>
      <c r="K322" s="609"/>
      <c r="L322" s="569"/>
      <c r="M322" s="168"/>
      <c r="N322" s="168"/>
    </row>
    <row r="323" spans="1:14" s="101" customFormat="1" ht="40.5">
      <c r="A323" s="222" t="s">
        <v>154</v>
      </c>
      <c r="B323" s="223">
        <v>705</v>
      </c>
      <c r="C323" s="93" t="s">
        <v>21</v>
      </c>
      <c r="D323" s="93" t="s">
        <v>39</v>
      </c>
      <c r="E323" s="461" t="s">
        <v>151</v>
      </c>
      <c r="F323" s="462" t="s">
        <v>153</v>
      </c>
      <c r="G323" s="93"/>
      <c r="H323" s="93"/>
      <c r="I323" s="95">
        <f>I324</f>
        <v>198.4</v>
      </c>
      <c r="J323" s="269"/>
      <c r="K323" s="607"/>
      <c r="L323" s="569"/>
      <c r="M323" s="629"/>
      <c r="N323" s="629"/>
    </row>
    <row r="324" spans="1:14" s="101" customFormat="1" ht="13.5">
      <c r="A324" s="388" t="s">
        <v>148</v>
      </c>
      <c r="B324" s="94" t="s">
        <v>143</v>
      </c>
      <c r="C324" s="94" t="s">
        <v>21</v>
      </c>
      <c r="D324" s="94" t="s">
        <v>39</v>
      </c>
      <c r="E324" s="466" t="s">
        <v>151</v>
      </c>
      <c r="F324" s="467" t="s">
        <v>153</v>
      </c>
      <c r="G324" s="94" t="s">
        <v>149</v>
      </c>
      <c r="H324" s="94"/>
      <c r="I324" s="103">
        <f>152.4+46</f>
        <v>198.4</v>
      </c>
      <c r="J324" s="269"/>
      <c r="K324" s="607"/>
      <c r="L324" s="569"/>
      <c r="M324" s="629"/>
      <c r="N324" s="629"/>
    </row>
    <row r="325" spans="1:14" s="108" customFormat="1" ht="51">
      <c r="A325" s="373" t="s">
        <v>83</v>
      </c>
      <c r="B325" s="225" t="s">
        <v>143</v>
      </c>
      <c r="C325" s="225" t="s">
        <v>21</v>
      </c>
      <c r="D325" s="225" t="s">
        <v>39</v>
      </c>
      <c r="E325" s="459" t="s">
        <v>95</v>
      </c>
      <c r="F325" s="460" t="s">
        <v>155</v>
      </c>
      <c r="G325" s="225"/>
      <c r="H325" s="225"/>
      <c r="I325" s="327">
        <f>I326+I328</f>
        <v>735.8</v>
      </c>
      <c r="J325" s="270"/>
      <c r="K325" s="609"/>
      <c r="L325" s="569"/>
      <c r="M325" s="168"/>
      <c r="N325" s="168"/>
    </row>
    <row r="326" spans="1:14" s="101" customFormat="1" ht="54">
      <c r="A326" s="389" t="s">
        <v>247</v>
      </c>
      <c r="B326" s="93" t="s">
        <v>143</v>
      </c>
      <c r="C326" s="93" t="s">
        <v>21</v>
      </c>
      <c r="D326" s="93" t="s">
        <v>39</v>
      </c>
      <c r="E326" s="461" t="s">
        <v>141</v>
      </c>
      <c r="F326" s="462" t="s">
        <v>155</v>
      </c>
      <c r="G326" s="93"/>
      <c r="H326" s="93"/>
      <c r="I326" s="95">
        <f>I327</f>
        <v>245.5</v>
      </c>
      <c r="J326" s="269"/>
      <c r="K326" s="607"/>
      <c r="L326" s="569"/>
      <c r="M326" s="629"/>
      <c r="N326" s="629"/>
    </row>
    <row r="327" spans="1:14" s="108" customFormat="1" ht="13.5" customHeight="1">
      <c r="A327" s="388" t="s">
        <v>148</v>
      </c>
      <c r="B327" s="94" t="s">
        <v>143</v>
      </c>
      <c r="C327" s="94" t="s">
        <v>21</v>
      </c>
      <c r="D327" s="94" t="s">
        <v>39</v>
      </c>
      <c r="E327" s="466" t="s">
        <v>141</v>
      </c>
      <c r="F327" s="467" t="s">
        <v>155</v>
      </c>
      <c r="G327" s="94" t="s">
        <v>149</v>
      </c>
      <c r="H327" s="94"/>
      <c r="I327" s="103">
        <f>188.5+57</f>
        <v>245.5</v>
      </c>
      <c r="J327" s="270"/>
      <c r="K327" s="609"/>
      <c r="L327" s="569"/>
      <c r="M327" s="168"/>
      <c r="N327" s="168"/>
    </row>
    <row r="328" spans="1:14" s="101" customFormat="1" ht="44.25" customHeight="1">
      <c r="A328" s="387" t="s">
        <v>156</v>
      </c>
      <c r="B328" s="93" t="s">
        <v>143</v>
      </c>
      <c r="C328" s="93" t="s">
        <v>21</v>
      </c>
      <c r="D328" s="93" t="s">
        <v>39</v>
      </c>
      <c r="E328" s="461" t="s">
        <v>151</v>
      </c>
      <c r="F328" s="462" t="s">
        <v>155</v>
      </c>
      <c r="G328" s="93"/>
      <c r="H328" s="93"/>
      <c r="I328" s="95">
        <f>I329</f>
        <v>490.3</v>
      </c>
      <c r="J328" s="269"/>
      <c r="K328" s="607"/>
      <c r="L328" s="569"/>
      <c r="M328" s="629"/>
      <c r="N328" s="629"/>
    </row>
    <row r="329" spans="1:14" s="101" customFormat="1" ht="13.5">
      <c r="A329" s="388" t="s">
        <v>148</v>
      </c>
      <c r="B329" s="94" t="s">
        <v>143</v>
      </c>
      <c r="C329" s="94" t="s">
        <v>21</v>
      </c>
      <c r="D329" s="94" t="s">
        <v>39</v>
      </c>
      <c r="E329" s="466" t="s">
        <v>151</v>
      </c>
      <c r="F329" s="467" t="s">
        <v>155</v>
      </c>
      <c r="G329" s="94" t="s">
        <v>149</v>
      </c>
      <c r="H329" s="94"/>
      <c r="I329" s="103">
        <f>376.5+113.8</f>
        <v>490.3</v>
      </c>
      <c r="J329" s="269"/>
      <c r="K329" s="607"/>
      <c r="L329" s="569"/>
      <c r="M329" s="629"/>
      <c r="N329" s="629"/>
    </row>
    <row r="330" spans="1:14" s="107" customFormat="1" ht="25.5">
      <c r="A330" s="373" t="s">
        <v>211</v>
      </c>
      <c r="B330" s="225" t="s">
        <v>143</v>
      </c>
      <c r="C330" s="225" t="s">
        <v>21</v>
      </c>
      <c r="D330" s="225" t="s">
        <v>39</v>
      </c>
      <c r="E330" s="459" t="s">
        <v>95</v>
      </c>
      <c r="F330" s="460" t="s">
        <v>157</v>
      </c>
      <c r="G330" s="225"/>
      <c r="H330" s="225"/>
      <c r="I330" s="327">
        <f>I331+I333</f>
        <v>28436.800000000003</v>
      </c>
      <c r="J330" s="268"/>
      <c r="K330" s="610"/>
      <c r="L330" s="569"/>
      <c r="M330" s="570"/>
      <c r="N330" s="570"/>
    </row>
    <row r="331" spans="1:14" s="101" customFormat="1" ht="54">
      <c r="A331" s="387" t="s">
        <v>248</v>
      </c>
      <c r="B331" s="93" t="s">
        <v>143</v>
      </c>
      <c r="C331" s="93" t="s">
        <v>21</v>
      </c>
      <c r="D331" s="93" t="s">
        <v>39</v>
      </c>
      <c r="E331" s="461" t="s">
        <v>141</v>
      </c>
      <c r="F331" s="462" t="s">
        <v>157</v>
      </c>
      <c r="G331" s="93"/>
      <c r="H331" s="93"/>
      <c r="I331" s="95">
        <f>I332</f>
        <v>11630.6</v>
      </c>
      <c r="J331" s="269"/>
      <c r="K331" s="607"/>
      <c r="L331" s="569"/>
      <c r="M331" s="629"/>
      <c r="N331" s="629"/>
    </row>
    <row r="332" spans="1:14" s="108" customFormat="1" ht="21" customHeight="1">
      <c r="A332" s="388" t="s">
        <v>148</v>
      </c>
      <c r="B332" s="94" t="s">
        <v>143</v>
      </c>
      <c r="C332" s="94" t="s">
        <v>21</v>
      </c>
      <c r="D332" s="94" t="s">
        <v>39</v>
      </c>
      <c r="E332" s="466" t="s">
        <v>141</v>
      </c>
      <c r="F332" s="467" t="s">
        <v>157</v>
      </c>
      <c r="G332" s="94" t="s">
        <v>149</v>
      </c>
      <c r="H332" s="94"/>
      <c r="I332" s="103">
        <v>11630.6</v>
      </c>
      <c r="J332" s="270"/>
      <c r="K332" s="609"/>
      <c r="L332" s="569"/>
      <c r="M332" s="168"/>
      <c r="N332" s="168"/>
    </row>
    <row r="333" spans="1:14" s="107" customFormat="1" ht="54">
      <c r="A333" s="387" t="s">
        <v>158</v>
      </c>
      <c r="B333" s="93" t="s">
        <v>143</v>
      </c>
      <c r="C333" s="93" t="s">
        <v>21</v>
      </c>
      <c r="D333" s="93" t="s">
        <v>39</v>
      </c>
      <c r="E333" s="461" t="s">
        <v>151</v>
      </c>
      <c r="F333" s="462" t="s">
        <v>157</v>
      </c>
      <c r="G333" s="93"/>
      <c r="H333" s="93"/>
      <c r="I333" s="95">
        <f>I334</f>
        <v>16806.2</v>
      </c>
      <c r="J333" s="268"/>
      <c r="K333" s="610"/>
      <c r="L333" s="569"/>
      <c r="M333" s="570"/>
      <c r="N333" s="570"/>
    </row>
    <row r="334" spans="1:14" s="101" customFormat="1" ht="13.5">
      <c r="A334" s="393" t="s">
        <v>148</v>
      </c>
      <c r="B334" s="94" t="s">
        <v>143</v>
      </c>
      <c r="C334" s="94" t="s">
        <v>21</v>
      </c>
      <c r="D334" s="94" t="s">
        <v>39</v>
      </c>
      <c r="E334" s="466" t="s">
        <v>151</v>
      </c>
      <c r="F334" s="467" t="s">
        <v>157</v>
      </c>
      <c r="G334" s="94" t="s">
        <v>149</v>
      </c>
      <c r="H334" s="94"/>
      <c r="I334" s="103">
        <v>16806.2</v>
      </c>
      <c r="J334" s="269"/>
      <c r="K334" s="607"/>
      <c r="L334" s="569"/>
      <c r="M334" s="629"/>
      <c r="N334" s="629"/>
    </row>
    <row r="335" spans="1:14" s="107" customFormat="1" ht="63.75">
      <c r="A335" s="396" t="s">
        <v>90</v>
      </c>
      <c r="B335" s="225" t="s">
        <v>143</v>
      </c>
      <c r="C335" s="225" t="s">
        <v>21</v>
      </c>
      <c r="D335" s="225" t="s">
        <v>39</v>
      </c>
      <c r="E335" s="463" t="s">
        <v>95</v>
      </c>
      <c r="F335" s="203" t="s">
        <v>159</v>
      </c>
      <c r="G335" s="225"/>
      <c r="H335" s="225"/>
      <c r="I335" s="327">
        <f>I336+I338</f>
        <v>1287.6</v>
      </c>
      <c r="J335" s="268"/>
      <c r="K335" s="610"/>
      <c r="L335" s="569"/>
      <c r="M335" s="570"/>
      <c r="N335" s="570"/>
    </row>
    <row r="336" spans="1:14" s="107" customFormat="1" ht="40.5">
      <c r="A336" s="387" t="s">
        <v>249</v>
      </c>
      <c r="B336" s="93" t="s">
        <v>143</v>
      </c>
      <c r="C336" s="93" t="s">
        <v>21</v>
      </c>
      <c r="D336" s="93" t="s">
        <v>39</v>
      </c>
      <c r="E336" s="464" t="s">
        <v>141</v>
      </c>
      <c r="F336" s="465" t="s">
        <v>159</v>
      </c>
      <c r="G336" s="93"/>
      <c r="H336" s="93"/>
      <c r="I336" s="95">
        <f>I337</f>
        <v>481.4</v>
      </c>
      <c r="J336" s="268"/>
      <c r="K336" s="610"/>
      <c r="L336" s="569"/>
      <c r="M336" s="570"/>
      <c r="N336" s="570"/>
    </row>
    <row r="337" spans="1:14" s="107" customFormat="1" ht="13.5">
      <c r="A337" s="388" t="s">
        <v>148</v>
      </c>
      <c r="B337" s="94" t="s">
        <v>143</v>
      </c>
      <c r="C337" s="94" t="s">
        <v>21</v>
      </c>
      <c r="D337" s="94" t="s">
        <v>39</v>
      </c>
      <c r="E337" s="466" t="s">
        <v>141</v>
      </c>
      <c r="F337" s="467" t="s">
        <v>159</v>
      </c>
      <c r="G337" s="94" t="s">
        <v>149</v>
      </c>
      <c r="H337" s="94"/>
      <c r="I337" s="103">
        <v>481.4</v>
      </c>
      <c r="J337" s="268"/>
      <c r="K337" s="610"/>
      <c r="L337" s="569"/>
      <c r="M337" s="570"/>
      <c r="N337" s="570"/>
    </row>
    <row r="338" spans="1:14" s="107" customFormat="1" ht="40.5">
      <c r="A338" s="387" t="s">
        <v>161</v>
      </c>
      <c r="B338" s="93" t="s">
        <v>143</v>
      </c>
      <c r="C338" s="93" t="s">
        <v>21</v>
      </c>
      <c r="D338" s="93" t="s">
        <v>39</v>
      </c>
      <c r="E338" s="464" t="s">
        <v>151</v>
      </c>
      <c r="F338" s="465" t="s">
        <v>159</v>
      </c>
      <c r="G338" s="93"/>
      <c r="H338" s="93"/>
      <c r="I338" s="95">
        <f>I339</f>
        <v>806.2</v>
      </c>
      <c r="J338" s="268"/>
      <c r="K338" s="610"/>
      <c r="L338" s="569"/>
      <c r="M338" s="570"/>
      <c r="N338" s="570"/>
    </row>
    <row r="339" spans="1:14" s="107" customFormat="1" ht="13.5">
      <c r="A339" s="388" t="s">
        <v>148</v>
      </c>
      <c r="B339" s="94" t="s">
        <v>143</v>
      </c>
      <c r="C339" s="94" t="s">
        <v>21</v>
      </c>
      <c r="D339" s="94" t="s">
        <v>39</v>
      </c>
      <c r="E339" s="466" t="s">
        <v>151</v>
      </c>
      <c r="F339" s="467" t="s">
        <v>159</v>
      </c>
      <c r="G339" s="94" t="s">
        <v>149</v>
      </c>
      <c r="H339" s="94"/>
      <c r="I339" s="103">
        <v>806.2</v>
      </c>
      <c r="J339" s="268"/>
      <c r="K339" s="610"/>
      <c r="L339" s="569"/>
      <c r="M339" s="570"/>
      <c r="N339" s="570"/>
    </row>
    <row r="340" spans="1:14" s="90" customFormat="1" ht="32.25" customHeight="1">
      <c r="A340" s="373" t="s">
        <v>334</v>
      </c>
      <c r="B340" s="225" t="s">
        <v>143</v>
      </c>
      <c r="C340" s="225" t="s">
        <v>21</v>
      </c>
      <c r="D340" s="225" t="s">
        <v>39</v>
      </c>
      <c r="E340" s="463" t="s">
        <v>141</v>
      </c>
      <c r="F340" s="203" t="s">
        <v>382</v>
      </c>
      <c r="G340" s="225"/>
      <c r="H340" s="225"/>
      <c r="I340" s="327">
        <f>I341</f>
        <v>0</v>
      </c>
      <c r="J340" s="274" t="e">
        <f>#REF!+#REF!</f>
        <v>#REF!</v>
      </c>
      <c r="K340" s="611" t="e">
        <f>J340/#REF!</f>
        <v>#REF!</v>
      </c>
      <c r="L340" s="569"/>
      <c r="M340" s="537"/>
      <c r="N340" s="168"/>
    </row>
    <row r="341" spans="1:14" s="86" customFormat="1" ht="13.5">
      <c r="A341" s="393" t="s">
        <v>148</v>
      </c>
      <c r="B341" s="94" t="s">
        <v>143</v>
      </c>
      <c r="C341" s="94" t="s">
        <v>21</v>
      </c>
      <c r="D341" s="94" t="s">
        <v>39</v>
      </c>
      <c r="E341" s="466" t="s">
        <v>141</v>
      </c>
      <c r="F341" s="467" t="s">
        <v>382</v>
      </c>
      <c r="G341" s="94" t="s">
        <v>149</v>
      </c>
      <c r="H341" s="94"/>
      <c r="I341" s="103"/>
      <c r="J341" s="272"/>
      <c r="K341" s="606"/>
      <c r="L341" s="569"/>
      <c r="M341" s="569"/>
      <c r="N341" s="629"/>
    </row>
    <row r="342" spans="1:14" s="90" customFormat="1" ht="13.5">
      <c r="A342" s="530" t="s">
        <v>23</v>
      </c>
      <c r="B342" s="81" t="s">
        <v>143</v>
      </c>
      <c r="C342" s="81" t="s">
        <v>21</v>
      </c>
      <c r="D342" s="81" t="s">
        <v>42</v>
      </c>
      <c r="E342" s="802"/>
      <c r="F342" s="803"/>
      <c r="G342" s="81"/>
      <c r="H342" s="81" t="s">
        <v>38</v>
      </c>
      <c r="I342" s="323">
        <f>I343+I349+I351+I371+I379+I385+I390+I395+I400+I376</f>
        <v>73750.69000000002</v>
      </c>
      <c r="J342" s="274"/>
      <c r="K342" s="611"/>
      <c r="L342" s="569"/>
      <c r="M342" s="537"/>
      <c r="N342" s="168"/>
    </row>
    <row r="343" spans="1:14" s="90" customFormat="1" ht="12.75">
      <c r="A343" s="754" t="s">
        <v>189</v>
      </c>
      <c r="B343" s="225" t="s">
        <v>143</v>
      </c>
      <c r="C343" s="225" t="s">
        <v>21</v>
      </c>
      <c r="D343" s="225" t="s">
        <v>42</v>
      </c>
      <c r="E343" s="459" t="s">
        <v>176</v>
      </c>
      <c r="F343" s="460" t="s">
        <v>95</v>
      </c>
      <c r="G343" s="225"/>
      <c r="H343" s="225"/>
      <c r="I343" s="327">
        <f>I344+I346</f>
        <v>8161.200000000001</v>
      </c>
      <c r="J343" s="274"/>
      <c r="K343" s="611"/>
      <c r="L343" s="205"/>
      <c r="M343" s="168"/>
      <c r="N343" s="168"/>
    </row>
    <row r="344" spans="1:14" s="90" customFormat="1" ht="27">
      <c r="A344" s="368" t="s">
        <v>538</v>
      </c>
      <c r="B344" s="93" t="s">
        <v>143</v>
      </c>
      <c r="C344" s="93" t="s">
        <v>21</v>
      </c>
      <c r="D344" s="93" t="s">
        <v>42</v>
      </c>
      <c r="E344" s="461" t="s">
        <v>176</v>
      </c>
      <c r="F344" s="462" t="s">
        <v>472</v>
      </c>
      <c r="G344" s="93"/>
      <c r="H344" s="93"/>
      <c r="I344" s="95">
        <f>I345</f>
        <v>948.6</v>
      </c>
      <c r="J344" s="274"/>
      <c r="K344" s="611"/>
      <c r="L344" s="569"/>
      <c r="M344" s="168"/>
      <c r="N344" s="168"/>
    </row>
    <row r="345" spans="1:14" s="90" customFormat="1" ht="13.5">
      <c r="A345" s="379" t="s">
        <v>183</v>
      </c>
      <c r="B345" s="94" t="s">
        <v>143</v>
      </c>
      <c r="C345" s="94" t="s">
        <v>21</v>
      </c>
      <c r="D345" s="94" t="s">
        <v>42</v>
      </c>
      <c r="E345" s="466" t="s">
        <v>176</v>
      </c>
      <c r="F345" s="467" t="s">
        <v>472</v>
      </c>
      <c r="G345" s="94" t="s">
        <v>184</v>
      </c>
      <c r="H345" s="225"/>
      <c r="I345" s="103">
        <f>237+71.6+640</f>
        <v>948.6</v>
      </c>
      <c r="J345" s="274"/>
      <c r="K345" s="611"/>
      <c r="L345" s="569"/>
      <c r="M345" s="168"/>
      <c r="N345" s="168"/>
    </row>
    <row r="346" spans="1:14" s="90" customFormat="1" ht="27">
      <c r="A346" s="368" t="s">
        <v>537</v>
      </c>
      <c r="B346" s="93" t="s">
        <v>143</v>
      </c>
      <c r="C346" s="93" t="s">
        <v>21</v>
      </c>
      <c r="D346" s="93" t="s">
        <v>42</v>
      </c>
      <c r="E346" s="464" t="s">
        <v>176</v>
      </c>
      <c r="F346" s="465" t="s">
        <v>476</v>
      </c>
      <c r="G346" s="93"/>
      <c r="H346" s="93"/>
      <c r="I346" s="95">
        <f>SUM(I347:I348)</f>
        <v>7212.6</v>
      </c>
      <c r="J346" s="759"/>
      <c r="K346" s="760"/>
      <c r="L346" s="569"/>
      <c r="M346" s="168"/>
      <c r="N346" s="168"/>
    </row>
    <row r="347" spans="1:14" s="102" customFormat="1" ht="25.5">
      <c r="A347" s="369" t="s">
        <v>128</v>
      </c>
      <c r="B347" s="94" t="s">
        <v>143</v>
      </c>
      <c r="C347" s="94" t="s">
        <v>21</v>
      </c>
      <c r="D347" s="94" t="s">
        <v>42</v>
      </c>
      <c r="E347" s="466" t="s">
        <v>176</v>
      </c>
      <c r="F347" s="467" t="s">
        <v>476</v>
      </c>
      <c r="G347" s="94" t="s">
        <v>129</v>
      </c>
      <c r="H347" s="225"/>
      <c r="I347" s="103">
        <f>6212.6+500+350</f>
        <v>7062.6</v>
      </c>
      <c r="J347" s="231"/>
      <c r="K347" s="616"/>
      <c r="L347" s="569"/>
      <c r="M347" s="205"/>
      <c r="N347" s="447"/>
    </row>
    <row r="348" spans="1:14" s="102" customFormat="1" ht="19.5" customHeight="1">
      <c r="A348" s="369" t="s">
        <v>76</v>
      </c>
      <c r="B348" s="94" t="s">
        <v>143</v>
      </c>
      <c r="C348" s="94" t="s">
        <v>21</v>
      </c>
      <c r="D348" s="94" t="s">
        <v>42</v>
      </c>
      <c r="E348" s="466" t="s">
        <v>176</v>
      </c>
      <c r="F348" s="467" t="s">
        <v>476</v>
      </c>
      <c r="G348" s="94" t="s">
        <v>77</v>
      </c>
      <c r="H348" s="225"/>
      <c r="I348" s="103">
        <v>150</v>
      </c>
      <c r="J348" s="231"/>
      <c r="K348" s="616"/>
      <c r="L348" s="569"/>
      <c r="M348" s="205"/>
      <c r="N348" s="447"/>
    </row>
    <row r="349" spans="1:15" s="90" customFormat="1" ht="13.5">
      <c r="A349" s="368" t="s">
        <v>175</v>
      </c>
      <c r="B349" s="93" t="s">
        <v>143</v>
      </c>
      <c r="C349" s="93" t="s">
        <v>21</v>
      </c>
      <c r="D349" s="93" t="s">
        <v>42</v>
      </c>
      <c r="E349" s="461" t="s">
        <v>166</v>
      </c>
      <c r="F349" s="462" t="s">
        <v>536</v>
      </c>
      <c r="G349" s="93"/>
      <c r="H349" s="93"/>
      <c r="I349" s="95">
        <f>I350</f>
        <v>10681.06</v>
      </c>
      <c r="J349" s="274"/>
      <c r="K349" s="611"/>
      <c r="L349" s="569"/>
      <c r="M349" s="537"/>
      <c r="N349" s="168"/>
      <c r="O349" s="182"/>
    </row>
    <row r="350" spans="1:15" s="90" customFormat="1" ht="13.5">
      <c r="A350" s="393" t="s">
        <v>148</v>
      </c>
      <c r="B350" s="94" t="s">
        <v>143</v>
      </c>
      <c r="C350" s="94" t="s">
        <v>21</v>
      </c>
      <c r="D350" s="94" t="s">
        <v>42</v>
      </c>
      <c r="E350" s="466" t="s">
        <v>166</v>
      </c>
      <c r="F350" s="467" t="s">
        <v>536</v>
      </c>
      <c r="G350" s="94" t="s">
        <v>149</v>
      </c>
      <c r="H350" s="94"/>
      <c r="I350" s="103">
        <f>8781.06+1200+700</f>
        <v>10681.06</v>
      </c>
      <c r="J350" s="274"/>
      <c r="K350" s="611"/>
      <c r="L350" s="569"/>
      <c r="M350" s="537"/>
      <c r="N350" s="168"/>
      <c r="O350" s="182"/>
    </row>
    <row r="351" spans="1:14" s="88" customFormat="1" ht="27">
      <c r="A351" s="387" t="s">
        <v>268</v>
      </c>
      <c r="B351" s="93" t="s">
        <v>143</v>
      </c>
      <c r="C351" s="93" t="s">
        <v>21</v>
      </c>
      <c r="D351" s="93" t="s">
        <v>42</v>
      </c>
      <c r="E351" s="461" t="s">
        <v>307</v>
      </c>
      <c r="F351" s="462" t="s">
        <v>95</v>
      </c>
      <c r="G351" s="93"/>
      <c r="H351" s="93"/>
      <c r="I351" s="95">
        <f>I355+I363+I361+I352</f>
        <v>2839.93</v>
      </c>
      <c r="J351" s="267"/>
      <c r="K351" s="604"/>
      <c r="L351" s="569"/>
      <c r="M351" s="570"/>
      <c r="N351" s="570"/>
    </row>
    <row r="352" spans="1:14" s="88" customFormat="1" ht="40.5">
      <c r="A352" s="368" t="s">
        <v>441</v>
      </c>
      <c r="B352" s="228">
        <v>705</v>
      </c>
      <c r="C352" s="93" t="s">
        <v>21</v>
      </c>
      <c r="D352" s="93" t="s">
        <v>42</v>
      </c>
      <c r="E352" s="464" t="s">
        <v>442</v>
      </c>
      <c r="F352" s="465" t="s">
        <v>95</v>
      </c>
      <c r="G352" s="93"/>
      <c r="H352" s="93"/>
      <c r="I352" s="95">
        <f>I353</f>
        <v>75</v>
      </c>
      <c r="J352" s="267"/>
      <c r="K352" s="604"/>
      <c r="L352" s="569"/>
      <c r="M352" s="570"/>
      <c r="N352" s="570"/>
    </row>
    <row r="353" spans="1:14" s="88" customFormat="1" ht="27">
      <c r="A353" s="368" t="s">
        <v>544</v>
      </c>
      <c r="B353" s="229">
        <v>705</v>
      </c>
      <c r="C353" s="94" t="s">
        <v>21</v>
      </c>
      <c r="D353" s="94" t="s">
        <v>42</v>
      </c>
      <c r="E353" s="466" t="s">
        <v>442</v>
      </c>
      <c r="F353" s="467" t="s">
        <v>472</v>
      </c>
      <c r="G353" s="93"/>
      <c r="H353" s="93"/>
      <c r="I353" s="95">
        <f>I354</f>
        <v>75</v>
      </c>
      <c r="J353" s="267"/>
      <c r="K353" s="604"/>
      <c r="L353" s="569"/>
      <c r="M353" s="570"/>
      <c r="N353" s="570"/>
    </row>
    <row r="354" spans="1:14" s="88" customFormat="1" ht="13.5">
      <c r="A354" s="369" t="s">
        <v>183</v>
      </c>
      <c r="B354" s="229">
        <v>705</v>
      </c>
      <c r="C354" s="94" t="s">
        <v>21</v>
      </c>
      <c r="D354" s="94" t="s">
        <v>42</v>
      </c>
      <c r="E354" s="466" t="s">
        <v>442</v>
      </c>
      <c r="F354" s="467" t="s">
        <v>472</v>
      </c>
      <c r="G354" s="94" t="s">
        <v>184</v>
      </c>
      <c r="H354" s="94"/>
      <c r="I354" s="103">
        <v>75</v>
      </c>
      <c r="J354" s="267"/>
      <c r="K354" s="604"/>
      <c r="L354" s="569"/>
      <c r="M354" s="570"/>
      <c r="N354" s="570"/>
    </row>
    <row r="355" spans="1:14" s="88" customFormat="1" ht="38.25">
      <c r="A355" s="524" t="s">
        <v>269</v>
      </c>
      <c r="B355" s="342">
        <v>705</v>
      </c>
      <c r="C355" s="225" t="s">
        <v>21</v>
      </c>
      <c r="D355" s="225" t="s">
        <v>42</v>
      </c>
      <c r="E355" s="459" t="s">
        <v>232</v>
      </c>
      <c r="F355" s="460" t="s">
        <v>95</v>
      </c>
      <c r="G355" s="225"/>
      <c r="H355" s="225"/>
      <c r="I355" s="327">
        <f>I356+I359</f>
        <v>835.13</v>
      </c>
      <c r="J355" s="267"/>
      <c r="K355" s="604"/>
      <c r="L355" s="569"/>
      <c r="M355" s="570"/>
      <c r="N355" s="570"/>
    </row>
    <row r="356" spans="1:14" s="88" customFormat="1" ht="42" customHeight="1">
      <c r="A356" s="390" t="s">
        <v>279</v>
      </c>
      <c r="B356" s="223">
        <v>705</v>
      </c>
      <c r="C356" s="61" t="s">
        <v>21</v>
      </c>
      <c r="D356" s="61" t="s">
        <v>42</v>
      </c>
      <c r="E356" s="461" t="s">
        <v>235</v>
      </c>
      <c r="F356" s="462" t="s">
        <v>95</v>
      </c>
      <c r="G356" s="61"/>
      <c r="H356" s="93"/>
      <c r="I356" s="95">
        <f>I357</f>
        <v>308.6</v>
      </c>
      <c r="J356" s="267"/>
      <c r="K356" s="604"/>
      <c r="L356" s="569"/>
      <c r="M356" s="570"/>
      <c r="N356" s="570"/>
    </row>
    <row r="357" spans="1:14" s="88" customFormat="1" ht="27">
      <c r="A357" s="368" t="s">
        <v>543</v>
      </c>
      <c r="B357" s="223">
        <v>705</v>
      </c>
      <c r="C357" s="61" t="s">
        <v>21</v>
      </c>
      <c r="D357" s="61" t="s">
        <v>42</v>
      </c>
      <c r="E357" s="464" t="s">
        <v>235</v>
      </c>
      <c r="F357" s="465" t="s">
        <v>472</v>
      </c>
      <c r="G357" s="61"/>
      <c r="H357" s="93"/>
      <c r="I357" s="95">
        <f>I358</f>
        <v>308.6</v>
      </c>
      <c r="J357" s="267"/>
      <c r="K357" s="604"/>
      <c r="L357" s="569"/>
      <c r="M357" s="570"/>
      <c r="N357" s="570"/>
    </row>
    <row r="358" spans="1:14" s="88" customFormat="1" ht="13.5">
      <c r="A358" s="379" t="s">
        <v>183</v>
      </c>
      <c r="B358" s="224">
        <v>705</v>
      </c>
      <c r="C358" s="64" t="s">
        <v>21</v>
      </c>
      <c r="D358" s="64" t="s">
        <v>42</v>
      </c>
      <c r="E358" s="466" t="s">
        <v>235</v>
      </c>
      <c r="F358" s="467" t="s">
        <v>472</v>
      </c>
      <c r="G358" s="64" t="s">
        <v>184</v>
      </c>
      <c r="H358" s="93"/>
      <c r="I358" s="103">
        <f>(105+132)+71.6</f>
        <v>308.6</v>
      </c>
      <c r="J358" s="267"/>
      <c r="K358" s="604"/>
      <c r="L358" s="569"/>
      <c r="M358" s="570"/>
      <c r="N358" s="570"/>
    </row>
    <row r="359" spans="1:14" s="88" customFormat="1" ht="40.5">
      <c r="A359" s="390" t="s">
        <v>278</v>
      </c>
      <c r="B359" s="223">
        <v>705</v>
      </c>
      <c r="C359" s="61" t="s">
        <v>21</v>
      </c>
      <c r="D359" s="61" t="s">
        <v>42</v>
      </c>
      <c r="E359" s="461" t="s">
        <v>236</v>
      </c>
      <c r="F359" s="462" t="s">
        <v>536</v>
      </c>
      <c r="G359" s="61"/>
      <c r="H359" s="93"/>
      <c r="I359" s="95">
        <f>I360</f>
        <v>526.53</v>
      </c>
      <c r="J359" s="267"/>
      <c r="K359" s="604"/>
      <c r="L359" s="569"/>
      <c r="M359" s="570"/>
      <c r="N359" s="570"/>
    </row>
    <row r="360" spans="1:14" s="88" customFormat="1" ht="13.5">
      <c r="A360" s="393" t="s">
        <v>148</v>
      </c>
      <c r="B360" s="229">
        <v>705</v>
      </c>
      <c r="C360" s="94" t="s">
        <v>21</v>
      </c>
      <c r="D360" s="94" t="s">
        <v>42</v>
      </c>
      <c r="E360" s="466" t="s">
        <v>236</v>
      </c>
      <c r="F360" s="467" t="s">
        <v>536</v>
      </c>
      <c r="G360" s="94" t="s">
        <v>149</v>
      </c>
      <c r="H360" s="93"/>
      <c r="I360" s="103">
        <f>(266.4+138)+122.13</f>
        <v>526.53</v>
      </c>
      <c r="J360" s="267"/>
      <c r="K360" s="604"/>
      <c r="L360" s="569"/>
      <c r="M360" s="570"/>
      <c r="N360" s="570"/>
    </row>
    <row r="361" spans="1:14" s="88" customFormat="1" ht="54">
      <c r="A361" s="387" t="s">
        <v>312</v>
      </c>
      <c r="B361" s="93" t="s">
        <v>143</v>
      </c>
      <c r="C361" s="93" t="s">
        <v>21</v>
      </c>
      <c r="D361" s="93" t="s">
        <v>42</v>
      </c>
      <c r="E361" s="464" t="s">
        <v>266</v>
      </c>
      <c r="F361" s="465" t="s">
        <v>311</v>
      </c>
      <c r="G361" s="93"/>
      <c r="H361" s="93"/>
      <c r="I361" s="95">
        <f>I362</f>
        <v>0</v>
      </c>
      <c r="J361" s="267"/>
      <c r="K361" s="604"/>
      <c r="L361" s="569"/>
      <c r="M361" s="570"/>
      <c r="N361" s="570"/>
    </row>
    <row r="362" spans="1:14" s="101" customFormat="1" ht="25.5">
      <c r="A362" s="369" t="s">
        <v>128</v>
      </c>
      <c r="B362" s="94" t="s">
        <v>143</v>
      </c>
      <c r="C362" s="94" t="s">
        <v>21</v>
      </c>
      <c r="D362" s="94" t="s">
        <v>42</v>
      </c>
      <c r="E362" s="466" t="s">
        <v>266</v>
      </c>
      <c r="F362" s="467" t="s">
        <v>311</v>
      </c>
      <c r="G362" s="94" t="s">
        <v>129</v>
      </c>
      <c r="H362" s="93"/>
      <c r="I362" s="103"/>
      <c r="J362" s="269"/>
      <c r="K362" s="607"/>
      <c r="L362" s="569"/>
      <c r="M362" s="629"/>
      <c r="N362" s="629"/>
    </row>
    <row r="363" spans="1:14" s="107" customFormat="1" ht="27.75" customHeight="1">
      <c r="A363" s="524" t="s">
        <v>277</v>
      </c>
      <c r="B363" s="342">
        <v>705</v>
      </c>
      <c r="C363" s="225" t="s">
        <v>21</v>
      </c>
      <c r="D363" s="225" t="s">
        <v>42</v>
      </c>
      <c r="E363" s="459" t="s">
        <v>229</v>
      </c>
      <c r="F363" s="460" t="s">
        <v>95</v>
      </c>
      <c r="G363" s="225"/>
      <c r="H363" s="225"/>
      <c r="I363" s="327">
        <f>I364+I366+I368</f>
        <v>1929.8</v>
      </c>
      <c r="J363" s="268"/>
      <c r="K363" s="610"/>
      <c r="L363" s="569"/>
      <c r="M363" s="570"/>
      <c r="N363" s="570"/>
    </row>
    <row r="364" spans="1:14" s="108" customFormat="1" ht="40.5">
      <c r="A364" s="394" t="s">
        <v>314</v>
      </c>
      <c r="B364" s="228">
        <v>705</v>
      </c>
      <c r="C364" s="93" t="s">
        <v>21</v>
      </c>
      <c r="D364" s="93" t="s">
        <v>42</v>
      </c>
      <c r="E364" s="461" t="s">
        <v>283</v>
      </c>
      <c r="F364" s="462" t="s">
        <v>313</v>
      </c>
      <c r="G364" s="93"/>
      <c r="H364" s="93"/>
      <c r="I364" s="95">
        <f>I365</f>
        <v>1357</v>
      </c>
      <c r="J364" s="270"/>
      <c r="K364" s="609"/>
      <c r="L364" s="569"/>
      <c r="M364" s="168"/>
      <c r="N364" s="168"/>
    </row>
    <row r="365" spans="1:14" s="108" customFormat="1" ht="25.5">
      <c r="A365" s="369" t="s">
        <v>128</v>
      </c>
      <c r="B365" s="229">
        <v>705</v>
      </c>
      <c r="C365" s="94" t="s">
        <v>21</v>
      </c>
      <c r="D365" s="94" t="s">
        <v>42</v>
      </c>
      <c r="E365" s="466" t="s">
        <v>283</v>
      </c>
      <c r="F365" s="467" t="s">
        <v>313</v>
      </c>
      <c r="G365" s="94" t="s">
        <v>129</v>
      </c>
      <c r="H365" s="93"/>
      <c r="I365" s="103">
        <v>1357</v>
      </c>
      <c r="J365" s="270"/>
      <c r="K365" s="609"/>
      <c r="L365" s="569"/>
      <c r="M365" s="168"/>
      <c r="N365" s="168"/>
    </row>
    <row r="366" spans="1:14" s="108" customFormat="1" ht="40.5" customHeight="1">
      <c r="A366" s="394" t="s">
        <v>373</v>
      </c>
      <c r="B366" s="93" t="s">
        <v>143</v>
      </c>
      <c r="C366" s="93" t="s">
        <v>21</v>
      </c>
      <c r="D366" s="93" t="s">
        <v>42</v>
      </c>
      <c r="E366" s="461" t="s">
        <v>284</v>
      </c>
      <c r="F366" s="462" t="s">
        <v>313</v>
      </c>
      <c r="G366" s="225"/>
      <c r="H366" s="225"/>
      <c r="I366" s="327">
        <f>I367</f>
        <v>566.8</v>
      </c>
      <c r="J366" s="270"/>
      <c r="K366" s="609"/>
      <c r="L366" s="569"/>
      <c r="M366" s="168"/>
      <c r="N366" s="168"/>
    </row>
    <row r="367" spans="1:14" s="108" customFormat="1" ht="13.5">
      <c r="A367" s="393" t="s">
        <v>148</v>
      </c>
      <c r="B367" s="94" t="s">
        <v>143</v>
      </c>
      <c r="C367" s="94" t="s">
        <v>21</v>
      </c>
      <c r="D367" s="94" t="s">
        <v>42</v>
      </c>
      <c r="E367" s="466" t="s">
        <v>284</v>
      </c>
      <c r="F367" s="467" t="s">
        <v>313</v>
      </c>
      <c r="G367" s="94" t="s">
        <v>149</v>
      </c>
      <c r="H367" s="94"/>
      <c r="I367" s="103">
        <v>566.8</v>
      </c>
      <c r="J367" s="270"/>
      <c r="K367" s="609"/>
      <c r="L367" s="569"/>
      <c r="M367" s="168"/>
      <c r="N367" s="168"/>
    </row>
    <row r="368" spans="1:14" s="108" customFormat="1" ht="54">
      <c r="A368" s="387" t="s">
        <v>374</v>
      </c>
      <c r="B368" s="93" t="s">
        <v>143</v>
      </c>
      <c r="C368" s="93" t="s">
        <v>21</v>
      </c>
      <c r="D368" s="93" t="s">
        <v>42</v>
      </c>
      <c r="E368" s="464" t="s">
        <v>229</v>
      </c>
      <c r="F368" s="465" t="s">
        <v>342</v>
      </c>
      <c r="G368" s="93"/>
      <c r="H368" s="93"/>
      <c r="I368" s="95">
        <f>I369+I370</f>
        <v>6</v>
      </c>
      <c r="J368" s="270"/>
      <c r="K368" s="609"/>
      <c r="L368" s="569"/>
      <c r="M368" s="168"/>
      <c r="N368" s="168"/>
    </row>
    <row r="369" spans="1:14" s="86" customFormat="1" ht="25.5">
      <c r="A369" s="369" t="s">
        <v>128</v>
      </c>
      <c r="B369" s="94" t="s">
        <v>143</v>
      </c>
      <c r="C369" s="94" t="s">
        <v>21</v>
      </c>
      <c r="D369" s="94" t="s">
        <v>42</v>
      </c>
      <c r="E369" s="466" t="s">
        <v>283</v>
      </c>
      <c r="F369" s="467" t="s">
        <v>342</v>
      </c>
      <c r="G369" s="94" t="s">
        <v>129</v>
      </c>
      <c r="H369" s="94"/>
      <c r="I369" s="103">
        <v>0.4</v>
      </c>
      <c r="J369" s="295"/>
      <c r="K369" s="618"/>
      <c r="L369" s="569"/>
      <c r="M369" s="629"/>
      <c r="N369" s="629"/>
    </row>
    <row r="370" spans="1:14" s="86" customFormat="1" ht="14.25">
      <c r="A370" s="393" t="s">
        <v>148</v>
      </c>
      <c r="B370" s="94" t="s">
        <v>143</v>
      </c>
      <c r="C370" s="94" t="s">
        <v>21</v>
      </c>
      <c r="D370" s="94" t="s">
        <v>42</v>
      </c>
      <c r="E370" s="466" t="s">
        <v>284</v>
      </c>
      <c r="F370" s="467" t="s">
        <v>342</v>
      </c>
      <c r="G370" s="94" t="s">
        <v>149</v>
      </c>
      <c r="H370" s="94"/>
      <c r="I370" s="103">
        <v>5.6</v>
      </c>
      <c r="J370" s="295"/>
      <c r="K370" s="618"/>
      <c r="L370" s="569"/>
      <c r="M370" s="629"/>
      <c r="N370" s="629"/>
    </row>
    <row r="371" spans="1:14" s="101" customFormat="1" ht="76.5">
      <c r="A371" s="395" t="s">
        <v>164</v>
      </c>
      <c r="B371" s="225" t="s">
        <v>143</v>
      </c>
      <c r="C371" s="225" t="s">
        <v>21</v>
      </c>
      <c r="D371" s="225" t="s">
        <v>42</v>
      </c>
      <c r="E371" s="459" t="s">
        <v>95</v>
      </c>
      <c r="F371" s="460" t="s">
        <v>162</v>
      </c>
      <c r="G371" s="225"/>
      <c r="H371" s="225"/>
      <c r="I371" s="327">
        <f>I372+I374</f>
        <v>620.5</v>
      </c>
      <c r="J371" s="269"/>
      <c r="K371" s="607"/>
      <c r="L371" s="569"/>
      <c r="M371" s="629"/>
      <c r="N371" s="629"/>
    </row>
    <row r="372" spans="1:14" s="101" customFormat="1" ht="27">
      <c r="A372" s="368" t="s">
        <v>185</v>
      </c>
      <c r="B372" s="93" t="s">
        <v>143</v>
      </c>
      <c r="C372" s="93" t="s">
        <v>21</v>
      </c>
      <c r="D372" s="93" t="s">
        <v>42</v>
      </c>
      <c r="E372" s="461" t="s">
        <v>176</v>
      </c>
      <c r="F372" s="462" t="s">
        <v>162</v>
      </c>
      <c r="G372" s="93"/>
      <c r="H372" s="93"/>
      <c r="I372" s="95">
        <f>I373</f>
        <v>63</v>
      </c>
      <c r="J372" s="269"/>
      <c r="K372" s="607"/>
      <c r="L372" s="569"/>
      <c r="M372" s="629"/>
      <c r="N372" s="629"/>
    </row>
    <row r="373" spans="1:14" s="101" customFormat="1" ht="25.5">
      <c r="A373" s="369" t="s">
        <v>128</v>
      </c>
      <c r="B373" s="94" t="s">
        <v>143</v>
      </c>
      <c r="C373" s="94" t="s">
        <v>21</v>
      </c>
      <c r="D373" s="94" t="s">
        <v>42</v>
      </c>
      <c r="E373" s="466" t="s">
        <v>176</v>
      </c>
      <c r="F373" s="467" t="s">
        <v>162</v>
      </c>
      <c r="G373" s="94" t="s">
        <v>129</v>
      </c>
      <c r="H373" s="93"/>
      <c r="I373" s="103">
        <v>63</v>
      </c>
      <c r="J373" s="269"/>
      <c r="K373" s="607"/>
      <c r="L373" s="569"/>
      <c r="M373" s="629"/>
      <c r="N373" s="629"/>
    </row>
    <row r="374" spans="1:14" s="86" customFormat="1" ht="27">
      <c r="A374" s="387" t="s">
        <v>163</v>
      </c>
      <c r="B374" s="93" t="s">
        <v>143</v>
      </c>
      <c r="C374" s="93" t="s">
        <v>21</v>
      </c>
      <c r="D374" s="93" t="s">
        <v>42</v>
      </c>
      <c r="E374" s="461" t="s">
        <v>166</v>
      </c>
      <c r="F374" s="462" t="s">
        <v>162</v>
      </c>
      <c r="G374" s="93"/>
      <c r="H374" s="93"/>
      <c r="I374" s="95">
        <f>I375</f>
        <v>557.5</v>
      </c>
      <c r="J374" s="272"/>
      <c r="K374" s="606"/>
      <c r="L374" s="569"/>
      <c r="M374" s="629"/>
      <c r="N374" s="629"/>
    </row>
    <row r="375" spans="1:14" s="90" customFormat="1" ht="23.25" customHeight="1">
      <c r="A375" s="393" t="s">
        <v>148</v>
      </c>
      <c r="B375" s="94" t="s">
        <v>143</v>
      </c>
      <c r="C375" s="94" t="s">
        <v>21</v>
      </c>
      <c r="D375" s="94" t="s">
        <v>42</v>
      </c>
      <c r="E375" s="466" t="s">
        <v>166</v>
      </c>
      <c r="F375" s="467" t="s">
        <v>162</v>
      </c>
      <c r="G375" s="94" t="s">
        <v>149</v>
      </c>
      <c r="H375" s="93"/>
      <c r="I375" s="103">
        <f>548.5+9</f>
        <v>557.5</v>
      </c>
      <c r="J375" s="274"/>
      <c r="K375" s="611"/>
      <c r="L375" s="569"/>
      <c r="M375" s="168"/>
      <c r="N375" s="168"/>
    </row>
    <row r="376" spans="1:14" s="88" customFormat="1" ht="13.5">
      <c r="A376" s="524" t="s">
        <v>340</v>
      </c>
      <c r="B376" s="342">
        <v>705</v>
      </c>
      <c r="C376" s="225" t="s">
        <v>21</v>
      </c>
      <c r="D376" s="225" t="s">
        <v>42</v>
      </c>
      <c r="E376" s="459" t="s">
        <v>95</v>
      </c>
      <c r="F376" s="460" t="s">
        <v>341</v>
      </c>
      <c r="G376" s="225"/>
      <c r="H376" s="225"/>
      <c r="I376" s="327">
        <f>I377+I378</f>
        <v>153.7</v>
      </c>
      <c r="J376" s="267"/>
      <c r="K376" s="604"/>
      <c r="L376" s="569"/>
      <c r="M376" s="570"/>
      <c r="N376" s="570"/>
    </row>
    <row r="377" spans="1:14" s="90" customFormat="1" ht="25.5">
      <c r="A377" s="369" t="s">
        <v>128</v>
      </c>
      <c r="B377" s="229">
        <v>705</v>
      </c>
      <c r="C377" s="94" t="s">
        <v>21</v>
      </c>
      <c r="D377" s="94" t="s">
        <v>42</v>
      </c>
      <c r="E377" s="471" t="s">
        <v>176</v>
      </c>
      <c r="F377" s="478" t="s">
        <v>341</v>
      </c>
      <c r="G377" s="94" t="s">
        <v>129</v>
      </c>
      <c r="H377" s="225"/>
      <c r="I377" s="103">
        <v>15</v>
      </c>
      <c r="J377" s="274"/>
      <c r="K377" s="611"/>
      <c r="L377" s="569"/>
      <c r="M377" s="168"/>
      <c r="N377" s="168"/>
    </row>
    <row r="378" spans="1:14" s="86" customFormat="1" ht="13.5">
      <c r="A378" s="393" t="s">
        <v>148</v>
      </c>
      <c r="B378" s="229">
        <v>705</v>
      </c>
      <c r="C378" s="94" t="s">
        <v>21</v>
      </c>
      <c r="D378" s="94" t="s">
        <v>42</v>
      </c>
      <c r="E378" s="471" t="s">
        <v>166</v>
      </c>
      <c r="F378" s="478" t="s">
        <v>341</v>
      </c>
      <c r="G378" s="94" t="s">
        <v>149</v>
      </c>
      <c r="H378" s="225"/>
      <c r="I378" s="103">
        <v>138.7</v>
      </c>
      <c r="J378" s="272"/>
      <c r="K378" s="606"/>
      <c r="L378" s="569"/>
      <c r="M378" s="629"/>
      <c r="N378" s="629"/>
    </row>
    <row r="379" spans="1:14" s="86" customFormat="1" ht="89.25">
      <c r="A379" s="396" t="s">
        <v>167</v>
      </c>
      <c r="B379" s="225" t="s">
        <v>143</v>
      </c>
      <c r="C379" s="225" t="s">
        <v>21</v>
      </c>
      <c r="D379" s="225" t="s">
        <v>42</v>
      </c>
      <c r="E379" s="459" t="s">
        <v>95</v>
      </c>
      <c r="F379" s="460" t="s">
        <v>165</v>
      </c>
      <c r="G379" s="225"/>
      <c r="H379" s="225"/>
      <c r="I379" s="327">
        <f>I380+I383</f>
        <v>45965.2</v>
      </c>
      <c r="J379" s="272"/>
      <c r="K379" s="606"/>
      <c r="L379" s="569"/>
      <c r="M379" s="629"/>
      <c r="N379" s="629"/>
    </row>
    <row r="380" spans="1:14" s="90" customFormat="1" ht="27">
      <c r="A380" s="397" t="s">
        <v>186</v>
      </c>
      <c r="B380" s="234">
        <v>705</v>
      </c>
      <c r="C380" s="93" t="s">
        <v>21</v>
      </c>
      <c r="D380" s="93" t="s">
        <v>42</v>
      </c>
      <c r="E380" s="461" t="s">
        <v>176</v>
      </c>
      <c r="F380" s="462" t="s">
        <v>165</v>
      </c>
      <c r="G380" s="93"/>
      <c r="H380" s="93"/>
      <c r="I380" s="95">
        <f>SUM(I381:I382)</f>
        <v>15827.5</v>
      </c>
      <c r="J380" s="274"/>
      <c r="K380" s="611"/>
      <c r="L380" s="569"/>
      <c r="M380" s="168"/>
      <c r="N380" s="168"/>
    </row>
    <row r="381" spans="1:14" s="90" customFormat="1" ht="13.5">
      <c r="A381" s="379" t="s">
        <v>183</v>
      </c>
      <c r="B381" s="227">
        <v>705</v>
      </c>
      <c r="C381" s="94" t="s">
        <v>21</v>
      </c>
      <c r="D381" s="94" t="s">
        <v>42</v>
      </c>
      <c r="E381" s="466" t="s">
        <v>176</v>
      </c>
      <c r="F381" s="467" t="s">
        <v>165</v>
      </c>
      <c r="G381" s="94" t="s">
        <v>184</v>
      </c>
      <c r="H381" s="61"/>
      <c r="I381" s="72">
        <f>11480.3+3467.1</f>
        <v>14947.4</v>
      </c>
      <c r="J381" s="274"/>
      <c r="K381" s="611"/>
      <c r="L381" s="569"/>
      <c r="M381" s="168"/>
      <c r="N381" s="168"/>
    </row>
    <row r="382" spans="1:14" s="90" customFormat="1" ht="25.5">
      <c r="A382" s="398" t="s">
        <v>128</v>
      </c>
      <c r="B382" s="227">
        <v>705</v>
      </c>
      <c r="C382" s="94" t="s">
        <v>21</v>
      </c>
      <c r="D382" s="94" t="s">
        <v>42</v>
      </c>
      <c r="E382" s="466" t="s">
        <v>176</v>
      </c>
      <c r="F382" s="467" t="s">
        <v>165</v>
      </c>
      <c r="G382" s="94" t="s">
        <v>129</v>
      </c>
      <c r="H382" s="64"/>
      <c r="I382" s="72">
        <v>880.1</v>
      </c>
      <c r="J382" s="274"/>
      <c r="K382" s="611"/>
      <c r="L382" s="569"/>
      <c r="M382" s="168"/>
      <c r="N382" s="168"/>
    </row>
    <row r="383" spans="1:14" s="90" customFormat="1" ht="40.5">
      <c r="A383" s="389" t="s">
        <v>168</v>
      </c>
      <c r="B383" s="93" t="s">
        <v>143</v>
      </c>
      <c r="C383" s="93" t="s">
        <v>21</v>
      </c>
      <c r="D383" s="93" t="s">
        <v>42</v>
      </c>
      <c r="E383" s="461" t="s">
        <v>166</v>
      </c>
      <c r="F383" s="462" t="s">
        <v>165</v>
      </c>
      <c r="G383" s="93"/>
      <c r="H383" s="61"/>
      <c r="I383" s="84">
        <f>I384</f>
        <v>30137.7</v>
      </c>
      <c r="J383" s="274"/>
      <c r="K383" s="611"/>
      <c r="L383" s="569"/>
      <c r="M383" s="168"/>
      <c r="N383" s="168"/>
    </row>
    <row r="384" spans="1:14" s="86" customFormat="1" ht="13.5">
      <c r="A384" s="388" t="s">
        <v>148</v>
      </c>
      <c r="B384" s="94" t="s">
        <v>143</v>
      </c>
      <c r="C384" s="94" t="s">
        <v>21</v>
      </c>
      <c r="D384" s="94" t="s">
        <v>42</v>
      </c>
      <c r="E384" s="466" t="s">
        <v>166</v>
      </c>
      <c r="F384" s="467" t="s">
        <v>165</v>
      </c>
      <c r="G384" s="94" t="s">
        <v>149</v>
      </c>
      <c r="H384" s="64"/>
      <c r="I384" s="72">
        <v>30137.7</v>
      </c>
      <c r="J384" s="272"/>
      <c r="K384" s="606"/>
      <c r="L384" s="569"/>
      <c r="M384" s="629"/>
      <c r="N384" s="629"/>
    </row>
    <row r="385" spans="1:14" s="90" customFormat="1" ht="38.25">
      <c r="A385" s="373" t="s">
        <v>82</v>
      </c>
      <c r="B385" s="225" t="s">
        <v>143</v>
      </c>
      <c r="C385" s="225" t="s">
        <v>21</v>
      </c>
      <c r="D385" s="225" t="s">
        <v>42</v>
      </c>
      <c r="E385" s="459" t="s">
        <v>95</v>
      </c>
      <c r="F385" s="460" t="s">
        <v>153</v>
      </c>
      <c r="G385" s="225"/>
      <c r="H385" s="186"/>
      <c r="I385" s="113">
        <f>I386+I388</f>
        <v>755.1</v>
      </c>
      <c r="J385" s="274"/>
      <c r="K385" s="611"/>
      <c r="L385" s="569"/>
      <c r="M385" s="168"/>
      <c r="N385" s="168"/>
    </row>
    <row r="386" spans="1:14" s="101" customFormat="1" ht="32.25" customHeight="1">
      <c r="A386" s="347" t="s">
        <v>187</v>
      </c>
      <c r="B386" s="93" t="s">
        <v>143</v>
      </c>
      <c r="C386" s="93" t="s">
        <v>21</v>
      </c>
      <c r="D386" s="93" t="s">
        <v>42</v>
      </c>
      <c r="E386" s="461" t="s">
        <v>176</v>
      </c>
      <c r="F386" s="462" t="s">
        <v>153</v>
      </c>
      <c r="G386" s="93"/>
      <c r="H386" s="61"/>
      <c r="I386" s="84">
        <f>I387</f>
        <v>181.70000000000002</v>
      </c>
      <c r="J386" s="230"/>
      <c r="K386" s="615"/>
      <c r="L386" s="569"/>
      <c r="M386" s="629"/>
      <c r="N386" s="629"/>
    </row>
    <row r="387" spans="1:14" s="102" customFormat="1" ht="19.5" customHeight="1">
      <c r="A387" s="379" t="s">
        <v>183</v>
      </c>
      <c r="B387" s="94" t="s">
        <v>143</v>
      </c>
      <c r="C387" s="94" t="s">
        <v>21</v>
      </c>
      <c r="D387" s="94" t="s">
        <v>42</v>
      </c>
      <c r="E387" s="466" t="s">
        <v>176</v>
      </c>
      <c r="F387" s="467" t="s">
        <v>153</v>
      </c>
      <c r="G387" s="94" t="s">
        <v>184</v>
      </c>
      <c r="H387" s="64"/>
      <c r="I387" s="72">
        <f>134.3+47.4</f>
        <v>181.70000000000002</v>
      </c>
      <c r="J387" s="231"/>
      <c r="K387" s="616"/>
      <c r="L387" s="569"/>
      <c r="M387" s="447"/>
      <c r="N387" s="447"/>
    </row>
    <row r="388" spans="1:14" s="90" customFormat="1" ht="32.25" customHeight="1">
      <c r="A388" s="389" t="s">
        <v>169</v>
      </c>
      <c r="B388" s="93" t="s">
        <v>143</v>
      </c>
      <c r="C388" s="93" t="s">
        <v>21</v>
      </c>
      <c r="D388" s="93" t="s">
        <v>42</v>
      </c>
      <c r="E388" s="461" t="s">
        <v>166</v>
      </c>
      <c r="F388" s="462" t="s">
        <v>153</v>
      </c>
      <c r="G388" s="93"/>
      <c r="H388" s="61"/>
      <c r="I388" s="95">
        <f>I389</f>
        <v>573.4</v>
      </c>
      <c r="J388" s="274"/>
      <c r="K388" s="611"/>
      <c r="L388" s="569"/>
      <c r="M388" s="168"/>
      <c r="N388" s="168"/>
    </row>
    <row r="389" spans="1:14" s="86" customFormat="1" ht="13.5">
      <c r="A389" s="388" t="s">
        <v>148</v>
      </c>
      <c r="B389" s="94" t="s">
        <v>143</v>
      </c>
      <c r="C389" s="94" t="s">
        <v>21</v>
      </c>
      <c r="D389" s="94" t="s">
        <v>42</v>
      </c>
      <c r="E389" s="466" t="s">
        <v>166</v>
      </c>
      <c r="F389" s="467" t="s">
        <v>153</v>
      </c>
      <c r="G389" s="94" t="s">
        <v>149</v>
      </c>
      <c r="H389" s="64"/>
      <c r="I389" s="103">
        <f>440.4+133</f>
        <v>573.4</v>
      </c>
      <c r="J389" s="272"/>
      <c r="K389" s="606"/>
      <c r="L389" s="569"/>
      <c r="M389" s="629"/>
      <c r="N389" s="629"/>
    </row>
    <row r="390" spans="1:14" s="88" customFormat="1" ht="89.25">
      <c r="A390" s="373" t="s">
        <v>170</v>
      </c>
      <c r="B390" s="225" t="s">
        <v>143</v>
      </c>
      <c r="C390" s="225" t="s">
        <v>21</v>
      </c>
      <c r="D390" s="225" t="s">
        <v>42</v>
      </c>
      <c r="E390" s="461" t="s">
        <v>95</v>
      </c>
      <c r="F390" s="462" t="s">
        <v>155</v>
      </c>
      <c r="G390" s="225"/>
      <c r="H390" s="186"/>
      <c r="I390" s="327">
        <f>I391+I393</f>
        <v>1599.2999999999997</v>
      </c>
      <c r="J390" s="267"/>
      <c r="K390" s="604"/>
      <c r="L390" s="569"/>
      <c r="M390" s="570"/>
      <c r="N390" s="570"/>
    </row>
    <row r="391" spans="1:14" s="102" customFormat="1" ht="40.5">
      <c r="A391" s="389" t="s">
        <v>188</v>
      </c>
      <c r="B391" s="93" t="s">
        <v>143</v>
      </c>
      <c r="C391" s="93" t="s">
        <v>21</v>
      </c>
      <c r="D391" s="93" t="s">
        <v>42</v>
      </c>
      <c r="E391" s="461" t="s">
        <v>176</v>
      </c>
      <c r="F391" s="462" t="s">
        <v>155</v>
      </c>
      <c r="G391" s="93"/>
      <c r="H391" s="61"/>
      <c r="I391" s="84">
        <f>I392</f>
        <v>572.9</v>
      </c>
      <c r="J391" s="231"/>
      <c r="K391" s="616"/>
      <c r="L391" s="569"/>
      <c r="M391" s="447"/>
      <c r="N391" s="447"/>
    </row>
    <row r="392" spans="1:14" s="102" customFormat="1" ht="28.5" customHeight="1">
      <c r="A392" s="379" t="s">
        <v>183</v>
      </c>
      <c r="B392" s="94" t="s">
        <v>143</v>
      </c>
      <c r="C392" s="94" t="s">
        <v>21</v>
      </c>
      <c r="D392" s="94" t="s">
        <v>42</v>
      </c>
      <c r="E392" s="466" t="s">
        <v>176</v>
      </c>
      <c r="F392" s="467" t="s">
        <v>155</v>
      </c>
      <c r="G392" s="94" t="s">
        <v>184</v>
      </c>
      <c r="H392" s="64"/>
      <c r="I392" s="72">
        <f>440+132.9</f>
        <v>572.9</v>
      </c>
      <c r="J392" s="231"/>
      <c r="K392" s="616"/>
      <c r="L392" s="569"/>
      <c r="M392" s="447"/>
      <c r="N392" s="447"/>
    </row>
    <row r="393" spans="1:14" s="90" customFormat="1" ht="40.5">
      <c r="A393" s="389" t="s">
        <v>171</v>
      </c>
      <c r="B393" s="93" t="s">
        <v>143</v>
      </c>
      <c r="C393" s="93" t="s">
        <v>21</v>
      </c>
      <c r="D393" s="93" t="s">
        <v>42</v>
      </c>
      <c r="E393" s="461" t="s">
        <v>166</v>
      </c>
      <c r="F393" s="462" t="s">
        <v>155</v>
      </c>
      <c r="G393" s="93"/>
      <c r="H393" s="61"/>
      <c r="I393" s="84">
        <f>I394</f>
        <v>1026.3999999999999</v>
      </c>
      <c r="J393" s="274"/>
      <c r="K393" s="611"/>
      <c r="L393" s="569"/>
      <c r="M393" s="168"/>
      <c r="N393" s="168"/>
    </row>
    <row r="394" spans="1:14" s="86" customFormat="1" ht="13.5">
      <c r="A394" s="388" t="s">
        <v>148</v>
      </c>
      <c r="B394" s="94" t="s">
        <v>143</v>
      </c>
      <c r="C394" s="94" t="s">
        <v>21</v>
      </c>
      <c r="D394" s="94" t="s">
        <v>42</v>
      </c>
      <c r="E394" s="466" t="s">
        <v>166</v>
      </c>
      <c r="F394" s="467" t="s">
        <v>155</v>
      </c>
      <c r="G394" s="94" t="s">
        <v>149</v>
      </c>
      <c r="H394" s="64"/>
      <c r="I394" s="72">
        <f>788.3+238.1</f>
        <v>1026.3999999999999</v>
      </c>
      <c r="J394" s="272"/>
      <c r="K394" s="606"/>
      <c r="L394" s="569"/>
      <c r="M394" s="629"/>
      <c r="N394" s="629"/>
    </row>
    <row r="395" spans="1:14" s="90" customFormat="1" ht="76.5">
      <c r="A395" s="373" t="s">
        <v>173</v>
      </c>
      <c r="B395" s="225" t="s">
        <v>143</v>
      </c>
      <c r="C395" s="225" t="s">
        <v>21</v>
      </c>
      <c r="D395" s="225" t="s">
        <v>42</v>
      </c>
      <c r="E395" s="459" t="s">
        <v>95</v>
      </c>
      <c r="F395" s="460" t="s">
        <v>172</v>
      </c>
      <c r="G395" s="225"/>
      <c r="H395" s="186"/>
      <c r="I395" s="113">
        <f>I396+I398</f>
        <v>474.6</v>
      </c>
      <c r="J395" s="274"/>
      <c r="K395" s="611"/>
      <c r="L395" s="569"/>
      <c r="M395" s="168"/>
      <c r="N395" s="168"/>
    </row>
    <row r="396" spans="1:14" s="86" customFormat="1" ht="27" customHeight="1">
      <c r="A396" s="389" t="s">
        <v>276</v>
      </c>
      <c r="B396" s="93" t="s">
        <v>143</v>
      </c>
      <c r="C396" s="93" t="s">
        <v>21</v>
      </c>
      <c r="D396" s="93" t="s">
        <v>42</v>
      </c>
      <c r="E396" s="461" t="s">
        <v>176</v>
      </c>
      <c r="F396" s="462" t="s">
        <v>172</v>
      </c>
      <c r="G396" s="93"/>
      <c r="H396" s="61"/>
      <c r="I396" s="84">
        <f>I397</f>
        <v>90</v>
      </c>
      <c r="J396" s="272"/>
      <c r="K396" s="606"/>
      <c r="L396" s="569"/>
      <c r="M396" s="629"/>
      <c r="N396" s="629"/>
    </row>
    <row r="397" spans="1:14" s="90" customFormat="1" ht="13.5">
      <c r="A397" s="379" t="s">
        <v>183</v>
      </c>
      <c r="B397" s="94" t="s">
        <v>143</v>
      </c>
      <c r="C397" s="94" t="s">
        <v>21</v>
      </c>
      <c r="D397" s="94" t="s">
        <v>42</v>
      </c>
      <c r="E397" s="466" t="s">
        <v>176</v>
      </c>
      <c r="F397" s="467" t="s">
        <v>172</v>
      </c>
      <c r="G397" s="94" t="s">
        <v>184</v>
      </c>
      <c r="H397" s="63"/>
      <c r="I397" s="72">
        <v>90</v>
      </c>
      <c r="J397" s="274"/>
      <c r="K397" s="611"/>
      <c r="L397" s="569"/>
      <c r="M397" s="168"/>
      <c r="N397" s="168"/>
    </row>
    <row r="398" spans="1:14" s="310" customFormat="1" ht="27">
      <c r="A398" s="389" t="s">
        <v>275</v>
      </c>
      <c r="B398" s="93" t="s">
        <v>143</v>
      </c>
      <c r="C398" s="93" t="s">
        <v>21</v>
      </c>
      <c r="D398" s="93" t="s">
        <v>42</v>
      </c>
      <c r="E398" s="461" t="s">
        <v>166</v>
      </c>
      <c r="F398" s="462" t="s">
        <v>172</v>
      </c>
      <c r="G398" s="93"/>
      <c r="H398" s="61"/>
      <c r="I398" s="84">
        <f>I399</f>
        <v>384.6</v>
      </c>
      <c r="J398" s="309"/>
      <c r="K398" s="612"/>
      <c r="L398" s="569"/>
      <c r="M398" s="168"/>
      <c r="N398" s="168"/>
    </row>
    <row r="399" spans="1:14" s="310" customFormat="1" ht="13.5">
      <c r="A399" s="388" t="s">
        <v>148</v>
      </c>
      <c r="B399" s="94" t="s">
        <v>143</v>
      </c>
      <c r="C399" s="94" t="s">
        <v>21</v>
      </c>
      <c r="D399" s="94" t="s">
        <v>42</v>
      </c>
      <c r="E399" s="466" t="s">
        <v>166</v>
      </c>
      <c r="F399" s="467" t="s">
        <v>172</v>
      </c>
      <c r="G399" s="94" t="s">
        <v>149</v>
      </c>
      <c r="H399" s="64"/>
      <c r="I399" s="72">
        <v>384.6</v>
      </c>
      <c r="J399" s="309"/>
      <c r="K399" s="612"/>
      <c r="L399" s="569"/>
      <c r="M399" s="168"/>
      <c r="N399" s="168"/>
    </row>
    <row r="400" spans="1:14" s="310" customFormat="1" ht="63.75">
      <c r="A400" s="396" t="s">
        <v>90</v>
      </c>
      <c r="B400" s="225" t="s">
        <v>143</v>
      </c>
      <c r="C400" s="225" t="s">
        <v>21</v>
      </c>
      <c r="D400" s="225" t="s">
        <v>42</v>
      </c>
      <c r="E400" s="463" t="s">
        <v>95</v>
      </c>
      <c r="F400" s="203" t="s">
        <v>159</v>
      </c>
      <c r="G400" s="225"/>
      <c r="H400" s="225"/>
      <c r="I400" s="327">
        <f>I401+I403</f>
        <v>2500.1</v>
      </c>
      <c r="J400" s="309"/>
      <c r="K400" s="612"/>
      <c r="L400" s="569"/>
      <c r="M400" s="168"/>
      <c r="N400" s="168"/>
    </row>
    <row r="401" spans="1:14" s="102" customFormat="1" ht="27">
      <c r="A401" s="391" t="s">
        <v>238</v>
      </c>
      <c r="B401" s="93" t="s">
        <v>143</v>
      </c>
      <c r="C401" s="93" t="s">
        <v>21</v>
      </c>
      <c r="D401" s="93" t="s">
        <v>42</v>
      </c>
      <c r="E401" s="464" t="s">
        <v>176</v>
      </c>
      <c r="F401" s="465" t="s">
        <v>159</v>
      </c>
      <c r="G401" s="93"/>
      <c r="H401" s="93"/>
      <c r="I401" s="95">
        <f>I402</f>
        <v>800</v>
      </c>
      <c r="J401" s="231"/>
      <c r="K401" s="616"/>
      <c r="L401" s="569"/>
      <c r="M401" s="447"/>
      <c r="N401" s="447"/>
    </row>
    <row r="402" spans="1:14" s="102" customFormat="1" ht="19.5" customHeight="1">
      <c r="A402" s="379" t="s">
        <v>183</v>
      </c>
      <c r="B402" s="94" t="s">
        <v>143</v>
      </c>
      <c r="C402" s="94" t="s">
        <v>21</v>
      </c>
      <c r="D402" s="94" t="s">
        <v>42</v>
      </c>
      <c r="E402" s="466" t="s">
        <v>176</v>
      </c>
      <c r="F402" s="467" t="s">
        <v>159</v>
      </c>
      <c r="G402" s="94" t="s">
        <v>184</v>
      </c>
      <c r="H402" s="225"/>
      <c r="I402" s="103">
        <v>800</v>
      </c>
      <c r="J402" s="231"/>
      <c r="K402" s="616"/>
      <c r="L402" s="569"/>
      <c r="M402" s="447"/>
      <c r="N402" s="447"/>
    </row>
    <row r="403" spans="1:14" s="90" customFormat="1" ht="25.5">
      <c r="A403" s="379" t="s">
        <v>174</v>
      </c>
      <c r="B403" s="234">
        <v>705</v>
      </c>
      <c r="C403" s="93" t="s">
        <v>21</v>
      </c>
      <c r="D403" s="93" t="s">
        <v>42</v>
      </c>
      <c r="E403" s="464" t="s">
        <v>166</v>
      </c>
      <c r="F403" s="465" t="s">
        <v>159</v>
      </c>
      <c r="G403" s="93"/>
      <c r="H403" s="93"/>
      <c r="I403" s="95">
        <f>I404</f>
        <v>1700.1</v>
      </c>
      <c r="J403" s="274">
        <v>38.842690000000005</v>
      </c>
      <c r="K403" s="611" t="e">
        <f>J403/#REF!</f>
        <v>#REF!</v>
      </c>
      <c r="L403" s="569"/>
      <c r="M403" s="168"/>
      <c r="N403" s="168"/>
    </row>
    <row r="404" spans="1:14" s="102" customFormat="1" ht="13.5">
      <c r="A404" s="393" t="s">
        <v>148</v>
      </c>
      <c r="B404" s="110" t="s">
        <v>143</v>
      </c>
      <c r="C404" s="110" t="s">
        <v>21</v>
      </c>
      <c r="D404" s="110" t="s">
        <v>42</v>
      </c>
      <c r="E404" s="466" t="s">
        <v>166</v>
      </c>
      <c r="F404" s="473" t="s">
        <v>159</v>
      </c>
      <c r="G404" s="94" t="s">
        <v>149</v>
      </c>
      <c r="H404" s="94"/>
      <c r="I404" s="103">
        <v>1700.1</v>
      </c>
      <c r="J404" s="275" t="e">
        <f>J448+J474+#REF!</f>
        <v>#REF!</v>
      </c>
      <c r="K404" s="613" t="e">
        <f>J404/I472</f>
        <v>#REF!</v>
      </c>
      <c r="L404" s="569"/>
      <c r="M404" s="205"/>
      <c r="N404" s="447"/>
    </row>
    <row r="405" spans="1:14" s="90" customFormat="1" ht="19.5" customHeight="1">
      <c r="A405" s="772" t="s">
        <v>564</v>
      </c>
      <c r="B405" s="81" t="s">
        <v>143</v>
      </c>
      <c r="C405" s="81" t="s">
        <v>21</v>
      </c>
      <c r="D405" s="81" t="s">
        <v>40</v>
      </c>
      <c r="E405" s="802"/>
      <c r="F405" s="803"/>
      <c r="G405" s="81"/>
      <c r="H405" s="81" t="s">
        <v>38</v>
      </c>
      <c r="I405" s="323">
        <f>I406+I412+I418+I423+I428+I433</f>
        <v>18433.29</v>
      </c>
      <c r="J405" s="274"/>
      <c r="K405" s="611"/>
      <c r="L405" s="569"/>
      <c r="M405" s="537"/>
      <c r="N405" s="168"/>
    </row>
    <row r="406" spans="1:14" s="102" customFormat="1" ht="19.5" customHeight="1">
      <c r="A406" s="744" t="s">
        <v>215</v>
      </c>
      <c r="B406" s="186" t="s">
        <v>143</v>
      </c>
      <c r="C406" s="186" t="s">
        <v>21</v>
      </c>
      <c r="D406" s="186" t="s">
        <v>40</v>
      </c>
      <c r="E406" s="459" t="s">
        <v>216</v>
      </c>
      <c r="F406" s="460" t="s">
        <v>95</v>
      </c>
      <c r="G406" s="186"/>
      <c r="H406" s="186" t="s">
        <v>38</v>
      </c>
      <c r="I406" s="113">
        <f>I407+I409</f>
        <v>6392.540000000001</v>
      </c>
      <c r="J406" s="231"/>
      <c r="K406" s="616"/>
      <c r="L406" s="205"/>
      <c r="M406" s="447"/>
      <c r="N406" s="447"/>
    </row>
    <row r="407" spans="1:14" s="102" customFormat="1" ht="19.5" customHeight="1">
      <c r="A407" s="368" t="s">
        <v>539</v>
      </c>
      <c r="B407" s="61" t="s">
        <v>143</v>
      </c>
      <c r="C407" s="61" t="s">
        <v>21</v>
      </c>
      <c r="D407" s="61" t="s">
        <v>40</v>
      </c>
      <c r="E407" s="461" t="s">
        <v>216</v>
      </c>
      <c r="F407" s="462" t="s">
        <v>472</v>
      </c>
      <c r="G407" s="61"/>
      <c r="H407" s="61"/>
      <c r="I407" s="84">
        <f>I408</f>
        <v>4919.1</v>
      </c>
      <c r="J407" s="231"/>
      <c r="K407" s="616"/>
      <c r="L407" s="569"/>
      <c r="M407" s="447"/>
      <c r="N407" s="447"/>
    </row>
    <row r="408" spans="1:14" s="102" customFormat="1" ht="19.5" customHeight="1">
      <c r="A408" s="379" t="s">
        <v>183</v>
      </c>
      <c r="B408" s="64" t="s">
        <v>143</v>
      </c>
      <c r="C408" s="64" t="s">
        <v>21</v>
      </c>
      <c r="D408" s="64" t="s">
        <v>40</v>
      </c>
      <c r="E408" s="466" t="s">
        <v>216</v>
      </c>
      <c r="F408" s="467" t="s">
        <v>472</v>
      </c>
      <c r="G408" s="94" t="s">
        <v>184</v>
      </c>
      <c r="H408" s="94"/>
      <c r="I408" s="103">
        <f>4100+1238.2/2+200</f>
        <v>4919.1</v>
      </c>
      <c r="J408" s="231"/>
      <c r="K408" s="616"/>
      <c r="L408" s="569"/>
      <c r="M408" s="447"/>
      <c r="N408" s="447"/>
    </row>
    <row r="409" spans="1:14" s="102" customFormat="1" ht="19.5" customHeight="1">
      <c r="A409" s="368" t="s">
        <v>540</v>
      </c>
      <c r="B409" s="61" t="s">
        <v>143</v>
      </c>
      <c r="C409" s="61" t="s">
        <v>21</v>
      </c>
      <c r="D409" s="61" t="s">
        <v>40</v>
      </c>
      <c r="E409" s="461" t="s">
        <v>216</v>
      </c>
      <c r="F409" s="462" t="s">
        <v>476</v>
      </c>
      <c r="G409" s="94"/>
      <c r="H409" s="94"/>
      <c r="I409" s="95">
        <f>SUM(I410:I411)</f>
        <v>1473.44</v>
      </c>
      <c r="J409" s="231"/>
      <c r="K409" s="616"/>
      <c r="L409" s="569"/>
      <c r="M409" s="447"/>
      <c r="N409" s="447"/>
    </row>
    <row r="410" spans="1:15" s="90" customFormat="1" ht="25.5">
      <c r="A410" s="367" t="s">
        <v>128</v>
      </c>
      <c r="B410" s="64" t="s">
        <v>143</v>
      </c>
      <c r="C410" s="64" t="s">
        <v>21</v>
      </c>
      <c r="D410" s="64" t="s">
        <v>40</v>
      </c>
      <c r="E410" s="466" t="s">
        <v>216</v>
      </c>
      <c r="F410" s="467" t="s">
        <v>476</v>
      </c>
      <c r="G410" s="94" t="s">
        <v>129</v>
      </c>
      <c r="H410" s="94"/>
      <c r="I410" s="103">
        <f>(1053.44)+370</f>
        <v>1423.44</v>
      </c>
      <c r="J410" s="274"/>
      <c r="K410" s="611"/>
      <c r="L410" s="569"/>
      <c r="M410" s="537"/>
      <c r="N410" s="168"/>
      <c r="O410" s="182"/>
    </row>
    <row r="411" spans="1:14" s="90" customFormat="1" ht="13.5">
      <c r="A411" s="367" t="s">
        <v>76</v>
      </c>
      <c r="B411" s="64" t="s">
        <v>143</v>
      </c>
      <c r="C411" s="64" t="s">
        <v>21</v>
      </c>
      <c r="D411" s="64" t="s">
        <v>40</v>
      </c>
      <c r="E411" s="466" t="s">
        <v>216</v>
      </c>
      <c r="F411" s="467" t="s">
        <v>476</v>
      </c>
      <c r="G411" s="94" t="s">
        <v>77</v>
      </c>
      <c r="H411" s="94"/>
      <c r="I411" s="103">
        <v>50</v>
      </c>
      <c r="J411" s="274"/>
      <c r="K411" s="611"/>
      <c r="L411" s="569"/>
      <c r="M411" s="537"/>
      <c r="N411" s="168"/>
    </row>
    <row r="412" spans="1:14" s="90" customFormat="1" ht="25.5">
      <c r="A412" s="399" t="s">
        <v>194</v>
      </c>
      <c r="B412" s="225" t="s">
        <v>143</v>
      </c>
      <c r="C412" s="225" t="s">
        <v>21</v>
      </c>
      <c r="D412" s="225" t="s">
        <v>40</v>
      </c>
      <c r="E412" s="459" t="s">
        <v>193</v>
      </c>
      <c r="F412" s="460" t="s">
        <v>95</v>
      </c>
      <c r="G412" s="225"/>
      <c r="H412" s="225"/>
      <c r="I412" s="327">
        <f>I413+I415</f>
        <v>10713.55</v>
      </c>
      <c r="J412" s="274"/>
      <c r="K412" s="611"/>
      <c r="L412" s="205"/>
      <c r="M412" s="537"/>
      <c r="N412" s="168"/>
    </row>
    <row r="413" spans="1:14" s="90" customFormat="1" ht="27">
      <c r="A413" s="368" t="s">
        <v>541</v>
      </c>
      <c r="B413" s="93" t="s">
        <v>143</v>
      </c>
      <c r="C413" s="93" t="s">
        <v>21</v>
      </c>
      <c r="D413" s="93" t="s">
        <v>40</v>
      </c>
      <c r="E413" s="461" t="s">
        <v>193</v>
      </c>
      <c r="F413" s="462" t="s">
        <v>472</v>
      </c>
      <c r="G413" s="93"/>
      <c r="H413" s="225"/>
      <c r="I413" s="95">
        <f>I414</f>
        <v>6966.05</v>
      </c>
      <c r="J413" s="274"/>
      <c r="K413" s="611"/>
      <c r="L413" s="569"/>
      <c r="M413" s="537"/>
      <c r="N413" s="168"/>
    </row>
    <row r="414" spans="1:14" s="90" customFormat="1" ht="13.5">
      <c r="A414" s="379" t="s">
        <v>183</v>
      </c>
      <c r="B414" s="94" t="s">
        <v>143</v>
      </c>
      <c r="C414" s="94" t="s">
        <v>21</v>
      </c>
      <c r="D414" s="94" t="s">
        <v>40</v>
      </c>
      <c r="E414" s="466" t="s">
        <v>193</v>
      </c>
      <c r="F414" s="467" t="s">
        <v>472</v>
      </c>
      <c r="G414" s="94" t="s">
        <v>184</v>
      </c>
      <c r="H414" s="225"/>
      <c r="I414" s="103">
        <f>5700.3+1721.5/2+405</f>
        <v>6966.05</v>
      </c>
      <c r="J414" s="274"/>
      <c r="K414" s="611"/>
      <c r="L414" s="569"/>
      <c r="M414" s="537"/>
      <c r="N414" s="168"/>
    </row>
    <row r="415" spans="1:14" s="90" customFormat="1" ht="27">
      <c r="A415" s="368" t="s">
        <v>542</v>
      </c>
      <c r="B415" s="93" t="s">
        <v>143</v>
      </c>
      <c r="C415" s="93" t="s">
        <v>21</v>
      </c>
      <c r="D415" s="93" t="s">
        <v>40</v>
      </c>
      <c r="E415" s="464" t="s">
        <v>193</v>
      </c>
      <c r="F415" s="465" t="s">
        <v>476</v>
      </c>
      <c r="G415" s="93"/>
      <c r="H415" s="225"/>
      <c r="I415" s="95">
        <f>SUM(I416:I417)</f>
        <v>3747.5</v>
      </c>
      <c r="J415" s="274"/>
      <c r="K415" s="611"/>
      <c r="L415" s="569"/>
      <c r="M415" s="537"/>
      <c r="N415" s="168"/>
    </row>
    <row r="416" spans="1:14" s="90" customFormat="1" ht="25.5">
      <c r="A416" s="369" t="s">
        <v>128</v>
      </c>
      <c r="B416" s="94" t="s">
        <v>143</v>
      </c>
      <c r="C416" s="94" t="s">
        <v>21</v>
      </c>
      <c r="D416" s="94" t="s">
        <v>40</v>
      </c>
      <c r="E416" s="466" t="s">
        <v>193</v>
      </c>
      <c r="F416" s="467" t="s">
        <v>476</v>
      </c>
      <c r="G416" s="94" t="s">
        <v>129</v>
      </c>
      <c r="H416" s="225"/>
      <c r="I416" s="103">
        <f>2577.5+1020</f>
        <v>3597.5</v>
      </c>
      <c r="J416" s="274"/>
      <c r="K416" s="611"/>
      <c r="L416" s="569"/>
      <c r="M416" s="168"/>
      <c r="N416" s="168"/>
    </row>
    <row r="417" spans="1:15" s="90" customFormat="1" ht="13.5">
      <c r="A417" s="369" t="s">
        <v>76</v>
      </c>
      <c r="B417" s="94" t="s">
        <v>143</v>
      </c>
      <c r="C417" s="94" t="s">
        <v>21</v>
      </c>
      <c r="D417" s="94" t="s">
        <v>40</v>
      </c>
      <c r="E417" s="466" t="s">
        <v>193</v>
      </c>
      <c r="F417" s="467" t="s">
        <v>476</v>
      </c>
      <c r="G417" s="94" t="s">
        <v>77</v>
      </c>
      <c r="H417" s="225"/>
      <c r="I417" s="103">
        <v>150</v>
      </c>
      <c r="J417" s="274"/>
      <c r="K417" s="611"/>
      <c r="L417" s="569"/>
      <c r="M417" s="537"/>
      <c r="N417" s="168"/>
      <c r="O417" s="182"/>
    </row>
    <row r="418" spans="1:14" s="86" customFormat="1" ht="38.25">
      <c r="A418" s="399" t="s">
        <v>352</v>
      </c>
      <c r="B418" s="539" t="s">
        <v>143</v>
      </c>
      <c r="C418" s="225" t="s">
        <v>21</v>
      </c>
      <c r="D418" s="225" t="s">
        <v>40</v>
      </c>
      <c r="E418" s="463" t="s">
        <v>361</v>
      </c>
      <c r="F418" s="203" t="s">
        <v>95</v>
      </c>
      <c r="G418" s="225"/>
      <c r="H418" s="225"/>
      <c r="I418" s="327">
        <f>I419+I421</f>
        <v>15</v>
      </c>
      <c r="J418" s="295"/>
      <c r="K418" s="618"/>
      <c r="L418" s="569"/>
      <c r="M418" s="629"/>
      <c r="N418" s="629"/>
    </row>
    <row r="419" spans="1:14" s="86" customFormat="1" ht="30" customHeight="1">
      <c r="A419" s="347" t="s">
        <v>353</v>
      </c>
      <c r="B419" s="212" t="s">
        <v>143</v>
      </c>
      <c r="C419" s="93" t="s">
        <v>21</v>
      </c>
      <c r="D419" s="93" t="s">
        <v>40</v>
      </c>
      <c r="E419" s="464" t="s">
        <v>362</v>
      </c>
      <c r="F419" s="465" t="s">
        <v>489</v>
      </c>
      <c r="G419" s="93"/>
      <c r="H419" s="93"/>
      <c r="I419" s="95">
        <f>I420</f>
        <v>5</v>
      </c>
      <c r="J419" s="295"/>
      <c r="K419" s="618"/>
      <c r="L419" s="569"/>
      <c r="M419" s="629"/>
      <c r="N419" s="629"/>
    </row>
    <row r="420" spans="1:14" s="86" customFormat="1" ht="25.5">
      <c r="A420" s="369" t="s">
        <v>128</v>
      </c>
      <c r="B420" s="211" t="s">
        <v>143</v>
      </c>
      <c r="C420" s="94" t="s">
        <v>21</v>
      </c>
      <c r="D420" s="94" t="s">
        <v>40</v>
      </c>
      <c r="E420" s="466" t="s">
        <v>362</v>
      </c>
      <c r="F420" s="499" t="s">
        <v>489</v>
      </c>
      <c r="G420" s="94" t="s">
        <v>129</v>
      </c>
      <c r="H420" s="94"/>
      <c r="I420" s="103">
        <v>5</v>
      </c>
      <c r="J420" s="295"/>
      <c r="K420" s="618"/>
      <c r="L420" s="569"/>
      <c r="M420" s="629"/>
      <c r="N420" s="629"/>
    </row>
    <row r="421" spans="1:14" s="108" customFormat="1" ht="40.5">
      <c r="A421" s="347" t="s">
        <v>363</v>
      </c>
      <c r="B421" s="212" t="s">
        <v>143</v>
      </c>
      <c r="C421" s="93" t="s">
        <v>21</v>
      </c>
      <c r="D421" s="93" t="s">
        <v>40</v>
      </c>
      <c r="E421" s="464" t="s">
        <v>364</v>
      </c>
      <c r="F421" s="465" t="s">
        <v>489</v>
      </c>
      <c r="G421" s="93"/>
      <c r="H421" s="93"/>
      <c r="I421" s="95">
        <f>I422</f>
        <v>10</v>
      </c>
      <c r="J421" s="270"/>
      <c r="K421" s="609"/>
      <c r="L421" s="569"/>
      <c r="M421" s="168"/>
      <c r="N421" s="168"/>
    </row>
    <row r="422" spans="1:14" s="108" customFormat="1" ht="25.5">
      <c r="A422" s="369" t="s">
        <v>128</v>
      </c>
      <c r="B422" s="211" t="s">
        <v>143</v>
      </c>
      <c r="C422" s="94" t="s">
        <v>21</v>
      </c>
      <c r="D422" s="94" t="s">
        <v>40</v>
      </c>
      <c r="E422" s="466" t="s">
        <v>364</v>
      </c>
      <c r="F422" s="499" t="s">
        <v>489</v>
      </c>
      <c r="G422" s="94" t="s">
        <v>129</v>
      </c>
      <c r="H422" s="94"/>
      <c r="I422" s="103">
        <f>'[1]706_И'!$F$41/1000</f>
        <v>10</v>
      </c>
      <c r="J422" s="270"/>
      <c r="K422" s="609"/>
      <c r="L422" s="569"/>
      <c r="M422" s="168"/>
      <c r="N422" s="168"/>
    </row>
    <row r="423" spans="1:14" s="90" customFormat="1" ht="38.25">
      <c r="A423" s="373" t="s">
        <v>82</v>
      </c>
      <c r="B423" s="225" t="s">
        <v>143</v>
      </c>
      <c r="C423" s="225" t="s">
        <v>21</v>
      </c>
      <c r="D423" s="225" t="s">
        <v>40</v>
      </c>
      <c r="E423" s="459" t="s">
        <v>95</v>
      </c>
      <c r="F423" s="460" t="s">
        <v>153</v>
      </c>
      <c r="G423" s="225"/>
      <c r="H423" s="186"/>
      <c r="I423" s="113">
        <f>I424+I426</f>
        <v>201.9</v>
      </c>
      <c r="J423" s="274"/>
      <c r="K423" s="611"/>
      <c r="L423" s="569"/>
      <c r="M423" s="168"/>
      <c r="N423" s="168"/>
    </row>
    <row r="424" spans="1:14" s="90" customFormat="1" ht="40.5">
      <c r="A424" s="347" t="s">
        <v>217</v>
      </c>
      <c r="B424" s="61" t="s">
        <v>143</v>
      </c>
      <c r="C424" s="61" t="s">
        <v>21</v>
      </c>
      <c r="D424" s="61" t="s">
        <v>40</v>
      </c>
      <c r="E424" s="461" t="s">
        <v>216</v>
      </c>
      <c r="F424" s="462" t="s">
        <v>153</v>
      </c>
      <c r="G424" s="93"/>
      <c r="H424" s="93"/>
      <c r="I424" s="95">
        <f>I425</f>
        <v>90</v>
      </c>
      <c r="J424" s="274"/>
      <c r="K424" s="611"/>
      <c r="L424" s="569"/>
      <c r="M424" s="168"/>
      <c r="N424" s="168"/>
    </row>
    <row r="425" spans="1:14" s="90" customFormat="1" ht="13.5">
      <c r="A425" s="379" t="s">
        <v>183</v>
      </c>
      <c r="B425" s="64" t="s">
        <v>143</v>
      </c>
      <c r="C425" s="64" t="s">
        <v>21</v>
      </c>
      <c r="D425" s="64" t="s">
        <v>40</v>
      </c>
      <c r="E425" s="466" t="s">
        <v>216</v>
      </c>
      <c r="F425" s="467" t="s">
        <v>153</v>
      </c>
      <c r="G425" s="94" t="s">
        <v>184</v>
      </c>
      <c r="H425" s="186"/>
      <c r="I425" s="72">
        <f>69.1+20.9</f>
        <v>90</v>
      </c>
      <c r="J425" s="274"/>
      <c r="K425" s="611"/>
      <c r="L425" s="569"/>
      <c r="M425" s="168"/>
      <c r="N425" s="168"/>
    </row>
    <row r="426" spans="1:14" s="86" customFormat="1" ht="40.5">
      <c r="A426" s="347" t="s">
        <v>195</v>
      </c>
      <c r="B426" s="93" t="s">
        <v>143</v>
      </c>
      <c r="C426" s="93" t="s">
        <v>21</v>
      </c>
      <c r="D426" s="93" t="s">
        <v>40</v>
      </c>
      <c r="E426" s="461" t="s">
        <v>193</v>
      </c>
      <c r="F426" s="462" t="s">
        <v>153</v>
      </c>
      <c r="G426" s="94"/>
      <c r="H426" s="64"/>
      <c r="I426" s="84">
        <f>I427</f>
        <v>111.9</v>
      </c>
      <c r="J426" s="272"/>
      <c r="K426" s="606"/>
      <c r="L426" s="569"/>
      <c r="M426" s="629"/>
      <c r="N426" s="629"/>
    </row>
    <row r="427" spans="1:14" s="90" customFormat="1" ht="13.5">
      <c r="A427" s="379" t="s">
        <v>183</v>
      </c>
      <c r="B427" s="94" t="s">
        <v>143</v>
      </c>
      <c r="C427" s="94" t="s">
        <v>21</v>
      </c>
      <c r="D427" s="94" t="s">
        <v>40</v>
      </c>
      <c r="E427" s="466" t="s">
        <v>193</v>
      </c>
      <c r="F427" s="467" t="s">
        <v>153</v>
      </c>
      <c r="G427" s="94" t="s">
        <v>184</v>
      </c>
      <c r="H427" s="64"/>
      <c r="I427" s="72">
        <f>85.9+26</f>
        <v>111.9</v>
      </c>
      <c r="J427" s="274"/>
      <c r="K427" s="611"/>
      <c r="L427" s="569"/>
      <c r="M427" s="168"/>
      <c r="N427" s="168"/>
    </row>
    <row r="428" spans="1:14" s="88" customFormat="1" ht="89.25">
      <c r="A428" s="373" t="s">
        <v>170</v>
      </c>
      <c r="B428" s="225" t="s">
        <v>143</v>
      </c>
      <c r="C428" s="225" t="s">
        <v>21</v>
      </c>
      <c r="D428" s="225" t="s">
        <v>40</v>
      </c>
      <c r="E428" s="461" t="s">
        <v>95</v>
      </c>
      <c r="F428" s="462" t="s">
        <v>155</v>
      </c>
      <c r="G428" s="225"/>
      <c r="H428" s="186"/>
      <c r="I428" s="327">
        <f>I429+I431</f>
        <v>695.3</v>
      </c>
      <c r="J428" s="267"/>
      <c r="K428" s="604"/>
      <c r="L428" s="569"/>
      <c r="M428" s="570"/>
      <c r="N428" s="570"/>
    </row>
    <row r="429" spans="1:14" s="88" customFormat="1" ht="40.5">
      <c r="A429" s="387" t="s">
        <v>218</v>
      </c>
      <c r="B429" s="61" t="s">
        <v>143</v>
      </c>
      <c r="C429" s="61" t="s">
        <v>21</v>
      </c>
      <c r="D429" s="61" t="s">
        <v>40</v>
      </c>
      <c r="E429" s="461" t="s">
        <v>216</v>
      </c>
      <c r="F429" s="462" t="s">
        <v>155</v>
      </c>
      <c r="G429" s="61"/>
      <c r="H429" s="61"/>
      <c r="I429" s="84">
        <f>I430</f>
        <v>204.6</v>
      </c>
      <c r="J429" s="267"/>
      <c r="K429" s="604"/>
      <c r="L429" s="569"/>
      <c r="M429" s="570"/>
      <c r="N429" s="570"/>
    </row>
    <row r="430" spans="1:14" s="88" customFormat="1" ht="22.5" customHeight="1">
      <c r="A430" s="379" t="s">
        <v>183</v>
      </c>
      <c r="B430" s="64" t="s">
        <v>143</v>
      </c>
      <c r="C430" s="64" t="s">
        <v>21</v>
      </c>
      <c r="D430" s="64" t="s">
        <v>40</v>
      </c>
      <c r="E430" s="466" t="s">
        <v>216</v>
      </c>
      <c r="F430" s="467" t="s">
        <v>155</v>
      </c>
      <c r="G430" s="94" t="s">
        <v>184</v>
      </c>
      <c r="H430" s="186"/>
      <c r="I430" s="72">
        <f>157.1+47.5</f>
        <v>204.6</v>
      </c>
      <c r="J430" s="267"/>
      <c r="K430" s="604"/>
      <c r="L430" s="569"/>
      <c r="M430" s="570"/>
      <c r="N430" s="570"/>
    </row>
    <row r="431" spans="1:14" s="86" customFormat="1" ht="54">
      <c r="A431" s="347" t="s">
        <v>196</v>
      </c>
      <c r="B431" s="93" t="s">
        <v>143</v>
      </c>
      <c r="C431" s="93" t="s">
        <v>21</v>
      </c>
      <c r="D431" s="93" t="s">
        <v>40</v>
      </c>
      <c r="E431" s="461" t="s">
        <v>193</v>
      </c>
      <c r="F431" s="462" t="s">
        <v>155</v>
      </c>
      <c r="G431" s="94"/>
      <c r="H431" s="64"/>
      <c r="I431" s="84">
        <f>I432</f>
        <v>490.7</v>
      </c>
      <c r="J431" s="272"/>
      <c r="K431" s="606"/>
      <c r="L431" s="569"/>
      <c r="M431" s="629"/>
      <c r="N431" s="629"/>
    </row>
    <row r="432" spans="1:14" s="90" customFormat="1" ht="13.5">
      <c r="A432" s="379" t="s">
        <v>183</v>
      </c>
      <c r="B432" s="94" t="s">
        <v>143</v>
      </c>
      <c r="C432" s="94" t="s">
        <v>21</v>
      </c>
      <c r="D432" s="94" t="s">
        <v>40</v>
      </c>
      <c r="E432" s="466" t="s">
        <v>193</v>
      </c>
      <c r="F432" s="467" t="s">
        <v>155</v>
      </c>
      <c r="G432" s="94" t="s">
        <v>184</v>
      </c>
      <c r="H432" s="64"/>
      <c r="I432" s="72">
        <f>376.9+113.8</f>
        <v>490.7</v>
      </c>
      <c r="J432" s="274"/>
      <c r="K432" s="611"/>
      <c r="L432" s="569"/>
      <c r="M432" s="168"/>
      <c r="N432" s="168"/>
    </row>
    <row r="433" spans="1:14" s="90" customFormat="1" ht="63.75">
      <c r="A433" s="396" t="s">
        <v>90</v>
      </c>
      <c r="B433" s="225" t="s">
        <v>143</v>
      </c>
      <c r="C433" s="225" t="s">
        <v>21</v>
      </c>
      <c r="D433" s="225" t="s">
        <v>40</v>
      </c>
      <c r="E433" s="463" t="s">
        <v>95</v>
      </c>
      <c r="F433" s="203" t="s">
        <v>159</v>
      </c>
      <c r="G433" s="225"/>
      <c r="H433" s="225"/>
      <c r="I433" s="327">
        <f>I434+I436</f>
        <v>415</v>
      </c>
      <c r="J433" s="274"/>
      <c r="K433" s="611"/>
      <c r="L433" s="569"/>
      <c r="M433" s="168"/>
      <c r="N433" s="168"/>
    </row>
    <row r="434" spans="1:14" s="310" customFormat="1" ht="27">
      <c r="A434" s="391" t="s">
        <v>219</v>
      </c>
      <c r="B434" s="93" t="s">
        <v>143</v>
      </c>
      <c r="C434" s="93" t="s">
        <v>21</v>
      </c>
      <c r="D434" s="93" t="s">
        <v>40</v>
      </c>
      <c r="E434" s="480" t="s">
        <v>216</v>
      </c>
      <c r="F434" s="481" t="s">
        <v>159</v>
      </c>
      <c r="G434" s="110"/>
      <c r="H434" s="110"/>
      <c r="I434" s="95">
        <f>I435</f>
        <v>180</v>
      </c>
      <c r="J434" s="309"/>
      <c r="K434" s="612"/>
      <c r="L434" s="569"/>
      <c r="M434" s="168"/>
      <c r="N434" s="168"/>
    </row>
    <row r="435" spans="1:14" s="310" customFormat="1" ht="13.5">
      <c r="A435" s="379" t="s">
        <v>183</v>
      </c>
      <c r="B435" s="94" t="s">
        <v>143</v>
      </c>
      <c r="C435" s="94" t="s">
        <v>21</v>
      </c>
      <c r="D435" s="94" t="s">
        <v>40</v>
      </c>
      <c r="E435" s="482" t="s">
        <v>216</v>
      </c>
      <c r="F435" s="483" t="s">
        <v>159</v>
      </c>
      <c r="G435" s="94" t="s">
        <v>184</v>
      </c>
      <c r="H435" s="110"/>
      <c r="I435" s="103">
        <v>180</v>
      </c>
      <c r="J435" s="309"/>
      <c r="K435" s="612"/>
      <c r="L435" s="569"/>
      <c r="M435" s="168"/>
      <c r="N435" s="168"/>
    </row>
    <row r="436" spans="1:14" s="310" customFormat="1" ht="40.5">
      <c r="A436" s="391" t="s">
        <v>239</v>
      </c>
      <c r="B436" s="93" t="s">
        <v>143</v>
      </c>
      <c r="C436" s="93" t="s">
        <v>21</v>
      </c>
      <c r="D436" s="93" t="s">
        <v>40</v>
      </c>
      <c r="E436" s="464" t="s">
        <v>193</v>
      </c>
      <c r="F436" s="465" t="s">
        <v>159</v>
      </c>
      <c r="G436" s="93"/>
      <c r="H436" s="93"/>
      <c r="I436" s="95">
        <f>I437</f>
        <v>235</v>
      </c>
      <c r="J436" s="309"/>
      <c r="K436" s="612"/>
      <c r="L436" s="569"/>
      <c r="M436" s="168"/>
      <c r="N436" s="168"/>
    </row>
    <row r="437" spans="1:14" s="310" customFormat="1" ht="13.5">
      <c r="A437" s="379" t="s">
        <v>183</v>
      </c>
      <c r="B437" s="94" t="s">
        <v>143</v>
      </c>
      <c r="C437" s="94" t="s">
        <v>21</v>
      </c>
      <c r="D437" s="94" t="s">
        <v>40</v>
      </c>
      <c r="E437" s="466" t="s">
        <v>193</v>
      </c>
      <c r="F437" s="467" t="s">
        <v>159</v>
      </c>
      <c r="G437" s="94" t="s">
        <v>184</v>
      </c>
      <c r="H437" s="225"/>
      <c r="I437" s="103">
        <v>235</v>
      </c>
      <c r="J437" s="309"/>
      <c r="K437" s="612"/>
      <c r="L437" s="569"/>
      <c r="M437" s="168"/>
      <c r="N437" s="168"/>
    </row>
    <row r="438" spans="1:15" s="102" customFormat="1" ht="13.5">
      <c r="A438" s="392" t="s">
        <v>24</v>
      </c>
      <c r="B438" s="81" t="s">
        <v>143</v>
      </c>
      <c r="C438" s="81" t="s">
        <v>21</v>
      </c>
      <c r="D438" s="81" t="s">
        <v>21</v>
      </c>
      <c r="E438" s="802"/>
      <c r="F438" s="803"/>
      <c r="G438" s="81"/>
      <c r="H438" s="81" t="s">
        <v>38</v>
      </c>
      <c r="I438" s="79">
        <f>I439+I458+I460+I471</f>
        <v>3898.0999999999995</v>
      </c>
      <c r="J438" s="275"/>
      <c r="K438" s="613"/>
      <c r="L438" s="569"/>
      <c r="M438" s="205"/>
      <c r="N438" s="447"/>
      <c r="O438" s="477"/>
    </row>
    <row r="439" spans="1:14" s="102" customFormat="1" ht="40.5">
      <c r="A439" s="387" t="s">
        <v>400</v>
      </c>
      <c r="B439" s="228">
        <v>705</v>
      </c>
      <c r="C439" s="93" t="s">
        <v>21</v>
      </c>
      <c r="D439" s="93" t="s">
        <v>21</v>
      </c>
      <c r="E439" s="461" t="s">
        <v>106</v>
      </c>
      <c r="F439" s="462" t="s">
        <v>299</v>
      </c>
      <c r="G439" s="93"/>
      <c r="H439" s="93" t="s">
        <v>38</v>
      </c>
      <c r="I439" s="95">
        <f>I446+I450+I452+I456+I440+I454+I448+I444+I442</f>
        <v>2485.2</v>
      </c>
      <c r="J439" s="275"/>
      <c r="K439" s="613"/>
      <c r="L439" s="569"/>
      <c r="M439" s="447"/>
      <c r="N439" s="447"/>
    </row>
    <row r="440" spans="1:14" s="107" customFormat="1" ht="45" customHeight="1">
      <c r="A440" s="394" t="s">
        <v>399</v>
      </c>
      <c r="B440" s="228">
        <v>705</v>
      </c>
      <c r="C440" s="93" t="s">
        <v>21</v>
      </c>
      <c r="D440" s="93" t="s">
        <v>21</v>
      </c>
      <c r="E440" s="461" t="s">
        <v>244</v>
      </c>
      <c r="F440" s="462" t="s">
        <v>299</v>
      </c>
      <c r="G440" s="93"/>
      <c r="H440" s="93"/>
      <c r="I440" s="95">
        <f>I441</f>
        <v>461.8</v>
      </c>
      <c r="J440" s="268"/>
      <c r="K440" s="610"/>
      <c r="L440" s="569"/>
      <c r="M440" s="570"/>
      <c r="N440" s="570"/>
    </row>
    <row r="441" spans="1:14" s="107" customFormat="1" ht="25.5">
      <c r="A441" s="379" t="s">
        <v>128</v>
      </c>
      <c r="B441" s="229">
        <v>705</v>
      </c>
      <c r="C441" s="94" t="s">
        <v>21</v>
      </c>
      <c r="D441" s="94" t="s">
        <v>21</v>
      </c>
      <c r="E441" s="466" t="s">
        <v>244</v>
      </c>
      <c r="F441" s="467" t="s">
        <v>299</v>
      </c>
      <c r="G441" s="94" t="s">
        <v>129</v>
      </c>
      <c r="H441" s="94"/>
      <c r="I441" s="103">
        <v>461.8</v>
      </c>
      <c r="J441" s="268"/>
      <c r="K441" s="610"/>
      <c r="L441" s="569"/>
      <c r="M441" s="570"/>
      <c r="N441" s="570"/>
    </row>
    <row r="442" spans="1:14" s="102" customFormat="1" ht="40.5">
      <c r="A442" s="394" t="s">
        <v>398</v>
      </c>
      <c r="B442" s="228">
        <v>705</v>
      </c>
      <c r="C442" s="93" t="s">
        <v>21</v>
      </c>
      <c r="D442" s="93" t="s">
        <v>21</v>
      </c>
      <c r="E442" s="461" t="s">
        <v>344</v>
      </c>
      <c r="F442" s="462" t="s">
        <v>299</v>
      </c>
      <c r="G442" s="93"/>
      <c r="H442" s="93"/>
      <c r="I442" s="95">
        <f>I443</f>
        <v>160</v>
      </c>
      <c r="J442" s="275"/>
      <c r="K442" s="613"/>
      <c r="L442" s="569"/>
      <c r="M442" s="447"/>
      <c r="N442" s="447"/>
    </row>
    <row r="443" spans="1:14" s="102" customFormat="1" ht="25.5">
      <c r="A443" s="393" t="s">
        <v>128</v>
      </c>
      <c r="B443" s="229">
        <v>705</v>
      </c>
      <c r="C443" s="94" t="s">
        <v>21</v>
      </c>
      <c r="D443" s="94" t="s">
        <v>21</v>
      </c>
      <c r="E443" s="466" t="s">
        <v>344</v>
      </c>
      <c r="F443" s="467" t="s">
        <v>299</v>
      </c>
      <c r="G443" s="94" t="s">
        <v>129</v>
      </c>
      <c r="H443" s="94"/>
      <c r="I443" s="103">
        <v>160</v>
      </c>
      <c r="J443" s="275"/>
      <c r="K443" s="613"/>
      <c r="L443" s="569"/>
      <c r="M443" s="447"/>
      <c r="N443" s="447"/>
    </row>
    <row r="444" spans="1:14" s="102" customFormat="1" ht="41.25" customHeight="1" hidden="1">
      <c r="A444" s="394" t="s">
        <v>397</v>
      </c>
      <c r="B444" s="228">
        <v>705</v>
      </c>
      <c r="C444" s="93" t="s">
        <v>21</v>
      </c>
      <c r="D444" s="93" t="s">
        <v>21</v>
      </c>
      <c r="E444" s="461" t="s">
        <v>371</v>
      </c>
      <c r="F444" s="462" t="s">
        <v>299</v>
      </c>
      <c r="G444" s="93"/>
      <c r="H444" s="93"/>
      <c r="I444" s="95">
        <f>I445</f>
        <v>0</v>
      </c>
      <c r="J444" s="275"/>
      <c r="K444" s="613"/>
      <c r="L444" s="569"/>
      <c r="M444" s="447"/>
      <c r="N444" s="447"/>
    </row>
    <row r="445" spans="1:14" s="102" customFormat="1" ht="25.5" hidden="1">
      <c r="A445" s="379" t="s">
        <v>128</v>
      </c>
      <c r="B445" s="229">
        <v>705</v>
      </c>
      <c r="C445" s="94" t="s">
        <v>21</v>
      </c>
      <c r="D445" s="94" t="s">
        <v>21</v>
      </c>
      <c r="E445" s="466" t="s">
        <v>371</v>
      </c>
      <c r="F445" s="467" t="s">
        <v>299</v>
      </c>
      <c r="G445" s="94" t="s">
        <v>129</v>
      </c>
      <c r="H445" s="94"/>
      <c r="I445" s="103">
        <v>0</v>
      </c>
      <c r="J445" s="275"/>
      <c r="K445" s="613"/>
      <c r="L445" s="569"/>
      <c r="M445" s="447"/>
      <c r="N445" s="447"/>
    </row>
    <row r="446" spans="1:14" s="102" customFormat="1" ht="54">
      <c r="A446" s="387" t="s">
        <v>396</v>
      </c>
      <c r="B446" s="229">
        <v>705</v>
      </c>
      <c r="C446" s="94" t="s">
        <v>21</v>
      </c>
      <c r="D446" s="94" t="s">
        <v>21</v>
      </c>
      <c r="E446" s="461" t="s">
        <v>226</v>
      </c>
      <c r="F446" s="462" t="s">
        <v>299</v>
      </c>
      <c r="G446" s="93"/>
      <c r="H446" s="93"/>
      <c r="I446" s="95">
        <f>I447</f>
        <v>317.3</v>
      </c>
      <c r="J446" s="275"/>
      <c r="K446" s="613"/>
      <c r="L446" s="569"/>
      <c r="M446" s="447"/>
      <c r="N446" s="447"/>
    </row>
    <row r="447" spans="1:14" s="102" customFormat="1" ht="25.5">
      <c r="A447" s="379" t="s">
        <v>128</v>
      </c>
      <c r="B447" s="229">
        <v>705</v>
      </c>
      <c r="C447" s="94" t="s">
        <v>21</v>
      </c>
      <c r="D447" s="94" t="s">
        <v>21</v>
      </c>
      <c r="E447" s="466" t="s">
        <v>226</v>
      </c>
      <c r="F447" s="467" t="s">
        <v>299</v>
      </c>
      <c r="G447" s="94" t="s">
        <v>129</v>
      </c>
      <c r="H447" s="93"/>
      <c r="I447" s="103">
        <v>317.3</v>
      </c>
      <c r="J447" s="275"/>
      <c r="K447" s="613"/>
      <c r="L447" s="569"/>
      <c r="M447" s="447"/>
      <c r="N447" s="447"/>
    </row>
    <row r="448" spans="1:14" s="101" customFormat="1" ht="40.5" hidden="1">
      <c r="A448" s="387" t="s">
        <v>422</v>
      </c>
      <c r="B448" s="229">
        <v>705</v>
      </c>
      <c r="C448" s="94" t="s">
        <v>21</v>
      </c>
      <c r="D448" s="94" t="s">
        <v>21</v>
      </c>
      <c r="E448" s="461" t="s">
        <v>370</v>
      </c>
      <c r="F448" s="462" t="s">
        <v>299</v>
      </c>
      <c r="G448" s="93"/>
      <c r="H448" s="93"/>
      <c r="I448" s="95">
        <f>I449</f>
        <v>0</v>
      </c>
      <c r="J448" s="269" t="e">
        <f>#REF!</f>
        <v>#REF!</v>
      </c>
      <c r="K448" s="607" t="e">
        <f>J448/I473</f>
        <v>#REF!</v>
      </c>
      <c r="L448" s="569"/>
      <c r="M448" s="629"/>
      <c r="N448" s="629"/>
    </row>
    <row r="449" spans="1:14" s="101" customFormat="1" ht="25.5" hidden="1">
      <c r="A449" s="379" t="s">
        <v>128</v>
      </c>
      <c r="B449" s="229">
        <v>705</v>
      </c>
      <c r="C449" s="94" t="s">
        <v>21</v>
      </c>
      <c r="D449" s="94" t="s">
        <v>21</v>
      </c>
      <c r="E449" s="466" t="s">
        <v>370</v>
      </c>
      <c r="F449" s="467" t="s">
        <v>299</v>
      </c>
      <c r="G449" s="94" t="s">
        <v>129</v>
      </c>
      <c r="H449" s="93"/>
      <c r="I449" s="103">
        <v>0</v>
      </c>
      <c r="J449" s="269"/>
      <c r="K449" s="607"/>
      <c r="L449" s="569"/>
      <c r="M449" s="629"/>
      <c r="N449" s="629"/>
    </row>
    <row r="450" spans="1:14" s="107" customFormat="1" ht="40.5">
      <c r="A450" s="394" t="s">
        <v>395</v>
      </c>
      <c r="B450" s="228">
        <v>705</v>
      </c>
      <c r="C450" s="93" t="s">
        <v>21</v>
      </c>
      <c r="D450" s="93" t="s">
        <v>21</v>
      </c>
      <c r="E450" s="461" t="s">
        <v>227</v>
      </c>
      <c r="F450" s="462" t="s">
        <v>299</v>
      </c>
      <c r="G450" s="93"/>
      <c r="H450" s="93"/>
      <c r="I450" s="95">
        <f>I451</f>
        <v>977.6</v>
      </c>
      <c r="J450" s="268"/>
      <c r="K450" s="610"/>
      <c r="L450" s="569"/>
      <c r="M450" s="570"/>
      <c r="N450" s="570"/>
    </row>
    <row r="451" spans="1:14" s="107" customFormat="1" ht="13.5">
      <c r="A451" s="393" t="s">
        <v>148</v>
      </c>
      <c r="B451" s="229">
        <v>705</v>
      </c>
      <c r="C451" s="94" t="s">
        <v>21</v>
      </c>
      <c r="D451" s="94" t="s">
        <v>21</v>
      </c>
      <c r="E451" s="466" t="s">
        <v>227</v>
      </c>
      <c r="F451" s="467" t="s">
        <v>299</v>
      </c>
      <c r="G451" s="94" t="s">
        <v>149</v>
      </c>
      <c r="H451" s="94"/>
      <c r="I451" s="103">
        <v>977.6</v>
      </c>
      <c r="J451" s="268"/>
      <c r="K451" s="610"/>
      <c r="L451" s="569"/>
      <c r="M451" s="570"/>
      <c r="N451" s="570"/>
    </row>
    <row r="452" spans="1:14" s="107" customFormat="1" ht="41.25" customHeight="1">
      <c r="A452" s="394" t="s">
        <v>393</v>
      </c>
      <c r="B452" s="228">
        <v>705</v>
      </c>
      <c r="C452" s="93" t="s">
        <v>21</v>
      </c>
      <c r="D452" s="93" t="s">
        <v>21</v>
      </c>
      <c r="E452" s="461" t="s">
        <v>228</v>
      </c>
      <c r="F452" s="462" t="s">
        <v>299</v>
      </c>
      <c r="G452" s="93"/>
      <c r="H452" s="93"/>
      <c r="I452" s="95">
        <f>I453</f>
        <v>412.1</v>
      </c>
      <c r="J452" s="268"/>
      <c r="K452" s="610"/>
      <c r="L452" s="569"/>
      <c r="M452" s="570"/>
      <c r="N452" s="570"/>
    </row>
    <row r="453" spans="1:14" s="107" customFormat="1" ht="13.5">
      <c r="A453" s="393" t="s">
        <v>148</v>
      </c>
      <c r="B453" s="229">
        <v>705</v>
      </c>
      <c r="C453" s="94" t="s">
        <v>21</v>
      </c>
      <c r="D453" s="94" t="s">
        <v>21</v>
      </c>
      <c r="E453" s="466" t="s">
        <v>228</v>
      </c>
      <c r="F453" s="467" t="s">
        <v>299</v>
      </c>
      <c r="G453" s="94" t="s">
        <v>149</v>
      </c>
      <c r="H453" s="94"/>
      <c r="I453" s="103">
        <v>412.1</v>
      </c>
      <c r="J453" s="268"/>
      <c r="K453" s="610"/>
      <c r="L453" s="569"/>
      <c r="M453" s="570"/>
      <c r="N453" s="570"/>
    </row>
    <row r="454" spans="1:14" s="107" customFormat="1" ht="40.5">
      <c r="A454" s="394" t="s">
        <v>392</v>
      </c>
      <c r="B454" s="228">
        <v>705</v>
      </c>
      <c r="C454" s="93" t="s">
        <v>21</v>
      </c>
      <c r="D454" s="93" t="s">
        <v>21</v>
      </c>
      <c r="E454" s="461" t="s">
        <v>343</v>
      </c>
      <c r="F454" s="462" t="s">
        <v>299</v>
      </c>
      <c r="G454" s="93"/>
      <c r="H454" s="93"/>
      <c r="I454" s="95">
        <f>I455</f>
        <v>40.6</v>
      </c>
      <c r="J454" s="268"/>
      <c r="K454" s="610"/>
      <c r="L454" s="569"/>
      <c r="M454" s="570"/>
      <c r="N454" s="570"/>
    </row>
    <row r="455" spans="1:14" s="107" customFormat="1" ht="13.5">
      <c r="A455" s="393" t="s">
        <v>148</v>
      </c>
      <c r="B455" s="229">
        <v>705</v>
      </c>
      <c r="C455" s="94" t="s">
        <v>21</v>
      </c>
      <c r="D455" s="94" t="s">
        <v>21</v>
      </c>
      <c r="E455" s="466" t="s">
        <v>343</v>
      </c>
      <c r="F455" s="467" t="s">
        <v>299</v>
      </c>
      <c r="G455" s="94" t="s">
        <v>149</v>
      </c>
      <c r="H455" s="94"/>
      <c r="I455" s="103">
        <v>40.6</v>
      </c>
      <c r="J455" s="268"/>
      <c r="K455" s="610"/>
      <c r="L455" s="569"/>
      <c r="M455" s="570"/>
      <c r="N455" s="570"/>
    </row>
    <row r="456" spans="1:14" s="492" customFormat="1" ht="54">
      <c r="A456" s="394" t="s">
        <v>394</v>
      </c>
      <c r="B456" s="228">
        <v>705</v>
      </c>
      <c r="C456" s="93" t="s">
        <v>21</v>
      </c>
      <c r="D456" s="93" t="s">
        <v>21</v>
      </c>
      <c r="E456" s="461" t="s">
        <v>224</v>
      </c>
      <c r="F456" s="462" t="s">
        <v>299</v>
      </c>
      <c r="G456" s="93"/>
      <c r="H456" s="93"/>
      <c r="I456" s="95">
        <f>I457</f>
        <v>115.8</v>
      </c>
      <c r="J456" s="634"/>
      <c r="K456" s="635"/>
      <c r="L456" s="569"/>
      <c r="M456" s="168"/>
      <c r="N456" s="168"/>
    </row>
    <row r="457" spans="1:14" s="492" customFormat="1" ht="25.5">
      <c r="A457" s="379" t="s">
        <v>128</v>
      </c>
      <c r="B457" s="229">
        <v>705</v>
      </c>
      <c r="C457" s="94" t="s">
        <v>21</v>
      </c>
      <c r="D457" s="94" t="s">
        <v>21</v>
      </c>
      <c r="E457" s="466" t="s">
        <v>224</v>
      </c>
      <c r="F457" s="467" t="s">
        <v>299</v>
      </c>
      <c r="G457" s="94" t="s">
        <v>129</v>
      </c>
      <c r="H457" s="94"/>
      <c r="I457" s="103">
        <v>115.8</v>
      </c>
      <c r="J457" s="494"/>
      <c r="K457" s="614"/>
      <c r="L457" s="569"/>
      <c r="M457" s="168"/>
      <c r="N457" s="168"/>
    </row>
    <row r="458" spans="1:14" s="492" customFormat="1" ht="54">
      <c r="A458" s="387" t="s">
        <v>462</v>
      </c>
      <c r="B458" s="234">
        <v>705</v>
      </c>
      <c r="C458" s="93" t="s">
        <v>21</v>
      </c>
      <c r="D458" s="93" t="s">
        <v>21</v>
      </c>
      <c r="E458" s="464" t="s">
        <v>297</v>
      </c>
      <c r="F458" s="465" t="s">
        <v>533</v>
      </c>
      <c r="G458" s="93"/>
      <c r="H458" s="93"/>
      <c r="I458" s="95">
        <f>I459</f>
        <v>3</v>
      </c>
      <c r="J458" s="491"/>
      <c r="K458" s="497"/>
      <c r="L458" s="569"/>
      <c r="M458" s="168"/>
      <c r="N458" s="537"/>
    </row>
    <row r="459" spans="1:14" s="492" customFormat="1" ht="13.5">
      <c r="A459" s="393" t="s">
        <v>148</v>
      </c>
      <c r="B459" s="112">
        <v>705</v>
      </c>
      <c r="C459" s="94" t="s">
        <v>21</v>
      </c>
      <c r="D459" s="94" t="s">
        <v>21</v>
      </c>
      <c r="E459" s="466" t="s">
        <v>297</v>
      </c>
      <c r="F459" s="467" t="s">
        <v>533</v>
      </c>
      <c r="G459" s="94" t="s">
        <v>149</v>
      </c>
      <c r="H459" s="94"/>
      <c r="I459" s="103">
        <v>3</v>
      </c>
      <c r="J459" s="491"/>
      <c r="K459" s="497"/>
      <c r="L459" s="569"/>
      <c r="M459" s="168"/>
      <c r="N459" s="168"/>
    </row>
    <row r="460" spans="1:14" s="492" customFormat="1" ht="35.25" customHeight="1">
      <c r="A460" s="347" t="s">
        <v>303</v>
      </c>
      <c r="B460" s="234">
        <v>705</v>
      </c>
      <c r="C460" s="93" t="s">
        <v>21</v>
      </c>
      <c r="D460" s="93" t="s">
        <v>21</v>
      </c>
      <c r="E460" s="464" t="s">
        <v>308</v>
      </c>
      <c r="F460" s="465" t="s">
        <v>95</v>
      </c>
      <c r="G460" s="93"/>
      <c r="H460" s="93"/>
      <c r="I460" s="95">
        <f>I461+I466+I469</f>
        <v>406.6</v>
      </c>
      <c r="J460" s="491"/>
      <c r="K460" s="497"/>
      <c r="L460" s="569"/>
      <c r="M460" s="168"/>
      <c r="N460" s="168"/>
    </row>
    <row r="461" spans="1:14" s="86" customFormat="1" ht="30" customHeight="1">
      <c r="A461" s="347" t="s">
        <v>415</v>
      </c>
      <c r="B461" s="234">
        <v>705</v>
      </c>
      <c r="C461" s="93" t="s">
        <v>21</v>
      </c>
      <c r="D461" s="93" t="s">
        <v>21</v>
      </c>
      <c r="E461" s="464" t="s">
        <v>414</v>
      </c>
      <c r="F461" s="465" t="s">
        <v>95</v>
      </c>
      <c r="G461" s="94"/>
      <c r="H461" s="94"/>
      <c r="I461" s="95">
        <f>I462+I464</f>
        <v>381.6</v>
      </c>
      <c r="J461" s="344"/>
      <c r="K461" s="345"/>
      <c r="L461" s="569"/>
      <c r="M461" s="629"/>
      <c r="N461" s="629"/>
    </row>
    <row r="462" spans="1:14" s="86" customFormat="1" ht="30" customHeight="1">
      <c r="A462" s="368" t="s">
        <v>545</v>
      </c>
      <c r="B462" s="234">
        <v>705</v>
      </c>
      <c r="C462" s="93" t="s">
        <v>21</v>
      </c>
      <c r="D462" s="93" t="s">
        <v>21</v>
      </c>
      <c r="E462" s="464" t="s">
        <v>414</v>
      </c>
      <c r="F462" s="465" t="s">
        <v>472</v>
      </c>
      <c r="G462" s="94"/>
      <c r="H462" s="94"/>
      <c r="I462" s="95">
        <f>I463</f>
        <v>221.4</v>
      </c>
      <c r="J462" s="344"/>
      <c r="K462" s="345"/>
      <c r="L462" s="569"/>
      <c r="M462" s="629"/>
      <c r="N462" s="629"/>
    </row>
    <row r="463" spans="1:14" s="86" customFormat="1" ht="14.25">
      <c r="A463" s="379" t="s">
        <v>183</v>
      </c>
      <c r="B463" s="112">
        <v>705</v>
      </c>
      <c r="C463" s="94" t="s">
        <v>21</v>
      </c>
      <c r="D463" s="94" t="s">
        <v>21</v>
      </c>
      <c r="E463" s="466" t="s">
        <v>414</v>
      </c>
      <c r="F463" s="467" t="s">
        <v>472</v>
      </c>
      <c r="G463" s="94" t="s">
        <v>184</v>
      </c>
      <c r="H463" s="94"/>
      <c r="I463" s="103">
        <f>442.8/2</f>
        <v>221.4</v>
      </c>
      <c r="J463" s="344"/>
      <c r="K463" s="345"/>
      <c r="L463" s="569"/>
      <c r="M463" s="629"/>
      <c r="N463" s="629"/>
    </row>
    <row r="464" spans="1:14" s="86" customFormat="1" ht="27">
      <c r="A464" s="368" t="s">
        <v>546</v>
      </c>
      <c r="B464" s="234">
        <v>705</v>
      </c>
      <c r="C464" s="93" t="s">
        <v>21</v>
      </c>
      <c r="D464" s="93" t="s">
        <v>21</v>
      </c>
      <c r="E464" s="464" t="s">
        <v>414</v>
      </c>
      <c r="F464" s="465" t="s">
        <v>476</v>
      </c>
      <c r="G464" s="93"/>
      <c r="H464" s="93"/>
      <c r="I464" s="95">
        <f>I465</f>
        <v>160.2</v>
      </c>
      <c r="J464" s="344"/>
      <c r="K464" s="345"/>
      <c r="L464" s="569"/>
      <c r="M464" s="629"/>
      <c r="N464" s="629"/>
    </row>
    <row r="465" spans="1:14" s="86" customFormat="1" ht="25.5">
      <c r="A465" s="379" t="s">
        <v>128</v>
      </c>
      <c r="B465" s="112">
        <v>705</v>
      </c>
      <c r="C465" s="94" t="s">
        <v>21</v>
      </c>
      <c r="D465" s="94" t="s">
        <v>21</v>
      </c>
      <c r="E465" s="466" t="s">
        <v>414</v>
      </c>
      <c r="F465" s="467" t="s">
        <v>476</v>
      </c>
      <c r="G465" s="94" t="s">
        <v>129</v>
      </c>
      <c r="H465" s="94"/>
      <c r="I465" s="103">
        <f>105+(110.4/2)</f>
        <v>160.2</v>
      </c>
      <c r="J465" s="344"/>
      <c r="K465" s="345"/>
      <c r="L465" s="569"/>
      <c r="M465" s="629"/>
      <c r="N465" s="629"/>
    </row>
    <row r="466" spans="1:14" s="492" customFormat="1" ht="42" customHeight="1">
      <c r="A466" s="525" t="s">
        <v>388</v>
      </c>
      <c r="B466" s="234">
        <v>705</v>
      </c>
      <c r="C466" s="93" t="s">
        <v>21</v>
      </c>
      <c r="D466" s="93" t="s">
        <v>21</v>
      </c>
      <c r="E466" s="464" t="s">
        <v>387</v>
      </c>
      <c r="F466" s="465" t="s">
        <v>95</v>
      </c>
      <c r="G466" s="94"/>
      <c r="H466" s="94"/>
      <c r="I466" s="95">
        <f>I467</f>
        <v>5</v>
      </c>
      <c r="J466" s="491"/>
      <c r="K466" s="497"/>
      <c r="L466" s="569"/>
      <c r="M466" s="168"/>
      <c r="N466" s="168"/>
    </row>
    <row r="467" spans="1:14" s="761" customFormat="1" ht="27">
      <c r="A467" s="368" t="s">
        <v>547</v>
      </c>
      <c r="B467" s="234">
        <v>705</v>
      </c>
      <c r="C467" s="93" t="s">
        <v>21</v>
      </c>
      <c r="D467" s="93" t="s">
        <v>21</v>
      </c>
      <c r="E467" s="464" t="s">
        <v>387</v>
      </c>
      <c r="F467" s="465" t="s">
        <v>476</v>
      </c>
      <c r="G467" s="93"/>
      <c r="H467" s="93"/>
      <c r="I467" s="95">
        <f>I468</f>
        <v>5</v>
      </c>
      <c r="J467" s="495"/>
      <c r="K467" s="496"/>
      <c r="L467" s="569"/>
      <c r="M467" s="629"/>
      <c r="N467" s="629"/>
    </row>
    <row r="468" spans="1:14" s="492" customFormat="1" ht="25.5">
      <c r="A468" s="379" t="s">
        <v>128</v>
      </c>
      <c r="B468" s="112">
        <v>705</v>
      </c>
      <c r="C468" s="94" t="s">
        <v>21</v>
      </c>
      <c r="D468" s="94" t="s">
        <v>21</v>
      </c>
      <c r="E468" s="466" t="s">
        <v>387</v>
      </c>
      <c r="F468" s="467" t="s">
        <v>476</v>
      </c>
      <c r="G468" s="94" t="s">
        <v>129</v>
      </c>
      <c r="H468" s="94"/>
      <c r="I468" s="103">
        <v>5</v>
      </c>
      <c r="J468" s="491"/>
      <c r="K468" s="497"/>
      <c r="L468" s="569"/>
      <c r="M468" s="168"/>
      <c r="N468" s="168"/>
    </row>
    <row r="469" spans="1:14" s="107" customFormat="1" ht="40.5">
      <c r="A469" s="525" t="s">
        <v>301</v>
      </c>
      <c r="B469" s="234">
        <v>705</v>
      </c>
      <c r="C469" s="93" t="s">
        <v>21</v>
      </c>
      <c r="D469" s="93" t="s">
        <v>21</v>
      </c>
      <c r="E469" s="464" t="s">
        <v>302</v>
      </c>
      <c r="F469" s="465" t="s">
        <v>536</v>
      </c>
      <c r="G469" s="94"/>
      <c r="H469" s="94"/>
      <c r="I469" s="95">
        <f>I470</f>
        <v>20</v>
      </c>
      <c r="J469" s="340"/>
      <c r="K469" s="341"/>
      <c r="L469" s="569"/>
      <c r="M469" s="630"/>
      <c r="N469" s="570"/>
    </row>
    <row r="470" spans="1:14" s="236" customFormat="1" ht="13.5">
      <c r="A470" s="393" t="s">
        <v>148</v>
      </c>
      <c r="B470" s="112">
        <v>705</v>
      </c>
      <c r="C470" s="94" t="s">
        <v>21</v>
      </c>
      <c r="D470" s="94" t="s">
        <v>21</v>
      </c>
      <c r="E470" s="466" t="s">
        <v>302</v>
      </c>
      <c r="F470" s="467" t="s">
        <v>536</v>
      </c>
      <c r="G470" s="94" t="s">
        <v>149</v>
      </c>
      <c r="H470" s="94"/>
      <c r="I470" s="103">
        <v>20</v>
      </c>
      <c r="J470" s="235"/>
      <c r="K470" s="235"/>
      <c r="L470" s="549"/>
      <c r="M470" s="631"/>
      <c r="N470" s="631"/>
    </row>
    <row r="471" spans="1:14" s="3" customFormat="1" ht="25.5">
      <c r="A471" s="399" t="s">
        <v>179</v>
      </c>
      <c r="B471" s="342">
        <v>705</v>
      </c>
      <c r="C471" s="225" t="s">
        <v>21</v>
      </c>
      <c r="D471" s="225" t="s">
        <v>21</v>
      </c>
      <c r="E471" s="459" t="s">
        <v>95</v>
      </c>
      <c r="F471" s="460" t="s">
        <v>178</v>
      </c>
      <c r="G471" s="225"/>
      <c r="H471" s="225"/>
      <c r="I471" s="327">
        <f>I472+I476+I478+I480+I474</f>
        <v>1003.3</v>
      </c>
      <c r="J471" s="237"/>
      <c r="K471" s="237"/>
      <c r="L471" s="549">
        <f>I471+I578</f>
        <v>1110</v>
      </c>
      <c r="M471" s="127"/>
      <c r="N471" s="127"/>
    </row>
    <row r="472" spans="1:14" s="86" customFormat="1" ht="27">
      <c r="A472" s="400" t="s">
        <v>190</v>
      </c>
      <c r="B472" s="93" t="s">
        <v>143</v>
      </c>
      <c r="C472" s="93" t="s">
        <v>21</v>
      </c>
      <c r="D472" s="93" t="s">
        <v>21</v>
      </c>
      <c r="E472" s="461" t="s">
        <v>176</v>
      </c>
      <c r="F472" s="462" t="s">
        <v>178</v>
      </c>
      <c r="G472" s="280"/>
      <c r="H472" s="48"/>
      <c r="I472" s="45">
        <f>I473</f>
        <v>140</v>
      </c>
      <c r="J472" s="295"/>
      <c r="K472" s="618"/>
      <c r="L472" s="569"/>
      <c r="M472" s="629"/>
      <c r="N472" s="629"/>
    </row>
    <row r="473" spans="1:14" s="86" customFormat="1" ht="25.5">
      <c r="A473" s="379" t="s">
        <v>128</v>
      </c>
      <c r="B473" s="94" t="s">
        <v>143</v>
      </c>
      <c r="C473" s="94" t="s">
        <v>21</v>
      </c>
      <c r="D473" s="94" t="s">
        <v>21</v>
      </c>
      <c r="E473" s="466" t="s">
        <v>176</v>
      </c>
      <c r="F473" s="467" t="s">
        <v>178</v>
      </c>
      <c r="G473" s="115">
        <v>240</v>
      </c>
      <c r="H473" s="49"/>
      <c r="I473" s="46">
        <v>140</v>
      </c>
      <c r="J473" s="295"/>
      <c r="K473" s="618"/>
      <c r="L473" s="569"/>
      <c r="M473" s="629"/>
      <c r="N473" s="629"/>
    </row>
    <row r="474" spans="1:14" s="101" customFormat="1" ht="27">
      <c r="A474" s="347" t="s">
        <v>365</v>
      </c>
      <c r="B474" s="93" t="s">
        <v>143</v>
      </c>
      <c r="C474" s="93" t="s">
        <v>21</v>
      </c>
      <c r="D474" s="93" t="s">
        <v>21</v>
      </c>
      <c r="E474" s="461" t="s">
        <v>216</v>
      </c>
      <c r="F474" s="462" t="s">
        <v>178</v>
      </c>
      <c r="G474" s="93"/>
      <c r="H474" s="93"/>
      <c r="I474" s="95">
        <f>I475</f>
        <v>70</v>
      </c>
      <c r="J474" s="230"/>
      <c r="K474" s="615"/>
      <c r="L474" s="569"/>
      <c r="M474" s="629"/>
      <c r="N474" s="629"/>
    </row>
    <row r="475" spans="1:14" s="101" customFormat="1" ht="25.5">
      <c r="A475" s="369" t="s">
        <v>128</v>
      </c>
      <c r="B475" s="94" t="s">
        <v>143</v>
      </c>
      <c r="C475" s="94" t="s">
        <v>21</v>
      </c>
      <c r="D475" s="94" t="s">
        <v>21</v>
      </c>
      <c r="E475" s="466" t="s">
        <v>216</v>
      </c>
      <c r="F475" s="467" t="s">
        <v>178</v>
      </c>
      <c r="G475" s="94" t="s">
        <v>129</v>
      </c>
      <c r="H475" s="94"/>
      <c r="I475" s="103">
        <v>70</v>
      </c>
      <c r="J475" s="230"/>
      <c r="K475" s="615"/>
      <c r="L475" s="569"/>
      <c r="M475" s="629"/>
      <c r="N475" s="629"/>
    </row>
    <row r="476" spans="1:14" s="101" customFormat="1" ht="40.5">
      <c r="A476" s="347" t="s">
        <v>197</v>
      </c>
      <c r="B476" s="93" t="s">
        <v>143</v>
      </c>
      <c r="C476" s="93" t="s">
        <v>21</v>
      </c>
      <c r="D476" s="93" t="s">
        <v>21</v>
      </c>
      <c r="E476" s="461" t="s">
        <v>193</v>
      </c>
      <c r="F476" s="462" t="s">
        <v>178</v>
      </c>
      <c r="G476" s="93"/>
      <c r="H476" s="93"/>
      <c r="I476" s="95">
        <f>I477</f>
        <v>220</v>
      </c>
      <c r="J476" s="230"/>
      <c r="K476" s="615"/>
      <c r="L476" s="569"/>
      <c r="M476" s="629"/>
      <c r="N476" s="629"/>
    </row>
    <row r="477" spans="1:14" s="108" customFormat="1" ht="25.5">
      <c r="A477" s="379" t="s">
        <v>128</v>
      </c>
      <c r="B477" s="94" t="s">
        <v>143</v>
      </c>
      <c r="C477" s="94" t="s">
        <v>21</v>
      </c>
      <c r="D477" s="94" t="s">
        <v>21</v>
      </c>
      <c r="E477" s="466" t="s">
        <v>193</v>
      </c>
      <c r="F477" s="467" t="s">
        <v>178</v>
      </c>
      <c r="G477" s="94" t="s">
        <v>129</v>
      </c>
      <c r="H477" s="93"/>
      <c r="I477" s="103">
        <v>220</v>
      </c>
      <c r="J477" s="231"/>
      <c r="K477" s="616"/>
      <c r="L477" s="569"/>
      <c r="M477" s="168"/>
      <c r="N477" s="168"/>
    </row>
    <row r="478" spans="1:14" s="101" customFormat="1" ht="35.25" customHeight="1">
      <c r="A478" s="347" t="s">
        <v>180</v>
      </c>
      <c r="B478" s="93" t="s">
        <v>143</v>
      </c>
      <c r="C478" s="93" t="s">
        <v>21</v>
      </c>
      <c r="D478" s="93" t="s">
        <v>21</v>
      </c>
      <c r="E478" s="461" t="s">
        <v>166</v>
      </c>
      <c r="F478" s="462" t="s">
        <v>178</v>
      </c>
      <c r="G478" s="93"/>
      <c r="H478" s="93"/>
      <c r="I478" s="95">
        <f>I479</f>
        <v>333.3</v>
      </c>
      <c r="J478" s="230"/>
      <c r="K478" s="615"/>
      <c r="L478" s="569"/>
      <c r="M478" s="629"/>
      <c r="N478" s="629"/>
    </row>
    <row r="479" spans="1:14" s="108" customFormat="1" ht="13.5">
      <c r="A479" s="393" t="s">
        <v>148</v>
      </c>
      <c r="B479" s="94" t="s">
        <v>143</v>
      </c>
      <c r="C479" s="94" t="s">
        <v>21</v>
      </c>
      <c r="D479" s="94" t="s">
        <v>21</v>
      </c>
      <c r="E479" s="466" t="s">
        <v>166</v>
      </c>
      <c r="F479" s="467" t="s">
        <v>178</v>
      </c>
      <c r="G479" s="94" t="s">
        <v>149</v>
      </c>
      <c r="H479" s="94"/>
      <c r="I479" s="103">
        <v>333.3</v>
      </c>
      <c r="J479" s="231"/>
      <c r="K479" s="616"/>
      <c r="L479" s="569"/>
      <c r="M479" s="168"/>
      <c r="N479" s="168"/>
    </row>
    <row r="480" spans="1:14" s="108" customFormat="1" ht="31.5" customHeight="1">
      <c r="A480" s="347" t="s">
        <v>250</v>
      </c>
      <c r="B480" s="234">
        <v>705</v>
      </c>
      <c r="C480" s="93" t="s">
        <v>21</v>
      </c>
      <c r="D480" s="93" t="s">
        <v>21</v>
      </c>
      <c r="E480" s="461" t="s">
        <v>141</v>
      </c>
      <c r="F480" s="462" t="s">
        <v>178</v>
      </c>
      <c r="G480" s="93"/>
      <c r="H480" s="93"/>
      <c r="I480" s="95">
        <f>I481</f>
        <v>240</v>
      </c>
      <c r="J480" s="231"/>
      <c r="K480" s="616"/>
      <c r="L480" s="569"/>
      <c r="M480" s="168"/>
      <c r="N480" s="168"/>
    </row>
    <row r="481" spans="1:14" s="108" customFormat="1" ht="19.5" customHeight="1">
      <c r="A481" s="393" t="s">
        <v>148</v>
      </c>
      <c r="B481" s="112">
        <v>705</v>
      </c>
      <c r="C481" s="94" t="s">
        <v>21</v>
      </c>
      <c r="D481" s="94" t="s">
        <v>21</v>
      </c>
      <c r="E481" s="466" t="s">
        <v>141</v>
      </c>
      <c r="F481" s="467" t="s">
        <v>178</v>
      </c>
      <c r="G481" s="94" t="s">
        <v>149</v>
      </c>
      <c r="H481" s="94"/>
      <c r="I481" s="103">
        <v>240</v>
      </c>
      <c r="J481" s="231"/>
      <c r="K481" s="616"/>
      <c r="L481" s="569"/>
      <c r="M481" s="168"/>
      <c r="N481" s="168"/>
    </row>
    <row r="482" spans="1:14" s="90" customFormat="1" ht="13.5">
      <c r="A482" s="392" t="s">
        <v>25</v>
      </c>
      <c r="B482" s="232">
        <v>705</v>
      </c>
      <c r="C482" s="81" t="s">
        <v>21</v>
      </c>
      <c r="D482" s="81" t="s">
        <v>45</v>
      </c>
      <c r="E482" s="802"/>
      <c r="F482" s="803"/>
      <c r="G482" s="81"/>
      <c r="H482" s="81" t="s">
        <v>38</v>
      </c>
      <c r="I482" s="79">
        <f>I484</f>
        <v>100</v>
      </c>
      <c r="J482" s="116"/>
      <c r="K482" s="596"/>
      <c r="L482" s="624"/>
      <c r="M482" s="537"/>
      <c r="N482" s="168"/>
    </row>
    <row r="483" spans="1:14" s="86" customFormat="1" ht="27">
      <c r="A483" s="347" t="s">
        <v>198</v>
      </c>
      <c r="B483" s="115">
        <v>705</v>
      </c>
      <c r="C483" s="49" t="s">
        <v>21</v>
      </c>
      <c r="D483" s="49" t="s">
        <v>45</v>
      </c>
      <c r="E483" s="466" t="s">
        <v>182</v>
      </c>
      <c r="F483" s="467" t="s">
        <v>548</v>
      </c>
      <c r="G483" s="225"/>
      <c r="H483" s="225"/>
      <c r="I483" s="327">
        <f>I484</f>
        <v>100</v>
      </c>
      <c r="J483" s="295"/>
      <c r="K483" s="618"/>
      <c r="L483" s="569"/>
      <c r="M483" s="629"/>
      <c r="N483" s="629"/>
    </row>
    <row r="484" spans="1:14" s="86" customFormat="1" ht="25.5">
      <c r="A484" s="369" t="s">
        <v>324</v>
      </c>
      <c r="B484" s="115">
        <v>705</v>
      </c>
      <c r="C484" s="49" t="s">
        <v>21</v>
      </c>
      <c r="D484" s="49" t="s">
        <v>45</v>
      </c>
      <c r="E484" s="466" t="s">
        <v>182</v>
      </c>
      <c r="F484" s="467" t="s">
        <v>548</v>
      </c>
      <c r="G484" s="49" t="s">
        <v>131</v>
      </c>
      <c r="H484" s="49"/>
      <c r="I484" s="46">
        <v>100</v>
      </c>
      <c r="J484" s="295"/>
      <c r="K484" s="618"/>
      <c r="L484" s="569"/>
      <c r="M484" s="629"/>
      <c r="N484" s="629"/>
    </row>
    <row r="485" spans="1:14" s="86" customFormat="1" ht="14.25">
      <c r="A485" s="376" t="s">
        <v>59</v>
      </c>
      <c r="B485" s="213" t="s">
        <v>143</v>
      </c>
      <c r="C485" s="210" t="s">
        <v>44</v>
      </c>
      <c r="D485" s="210"/>
      <c r="E485" s="804"/>
      <c r="F485" s="805"/>
      <c r="G485" s="67"/>
      <c r="H485" s="67"/>
      <c r="I485" s="68">
        <f>I486+I528</f>
        <v>24250.86</v>
      </c>
      <c r="J485" s="295"/>
      <c r="K485" s="618"/>
      <c r="L485" s="569"/>
      <c r="M485" s="629"/>
      <c r="N485" s="629"/>
    </row>
    <row r="486" spans="1:14" s="86" customFormat="1" ht="14.25">
      <c r="A486" s="401" t="s">
        <v>26</v>
      </c>
      <c r="B486" s="298" t="s">
        <v>143</v>
      </c>
      <c r="C486" s="299" t="s">
        <v>44</v>
      </c>
      <c r="D486" s="343" t="s">
        <v>39</v>
      </c>
      <c r="E486" s="802"/>
      <c r="F486" s="803"/>
      <c r="G486" s="299"/>
      <c r="H486" s="299" t="s">
        <v>38</v>
      </c>
      <c r="I486" s="346">
        <f>I487+I494+I500+I507+I509+I519+I521</f>
        <v>24150.86</v>
      </c>
      <c r="J486" s="295"/>
      <c r="K486" s="618"/>
      <c r="L486" s="569"/>
      <c r="M486" s="629"/>
      <c r="N486" s="629"/>
    </row>
    <row r="487" spans="1:14" s="83" customFormat="1" ht="14.25">
      <c r="A487" s="399" t="s">
        <v>221</v>
      </c>
      <c r="B487" s="539" t="s">
        <v>143</v>
      </c>
      <c r="C487" s="225" t="s">
        <v>44</v>
      </c>
      <c r="D487" s="225" t="s">
        <v>39</v>
      </c>
      <c r="E487" s="459" t="s">
        <v>220</v>
      </c>
      <c r="F487" s="460" t="s">
        <v>95</v>
      </c>
      <c r="G487" s="225"/>
      <c r="H487" s="225"/>
      <c r="I487" s="327">
        <f>I488+I490</f>
        <v>9410.02</v>
      </c>
      <c r="J487" s="295"/>
      <c r="K487" s="618"/>
      <c r="L487" s="205"/>
      <c r="M487" s="447"/>
      <c r="N487" s="447"/>
    </row>
    <row r="488" spans="1:14" s="86" customFormat="1" ht="27">
      <c r="A488" s="368" t="s">
        <v>549</v>
      </c>
      <c r="B488" s="212" t="s">
        <v>143</v>
      </c>
      <c r="C488" s="93" t="s">
        <v>44</v>
      </c>
      <c r="D488" s="93" t="s">
        <v>39</v>
      </c>
      <c r="E488" s="461" t="s">
        <v>220</v>
      </c>
      <c r="F488" s="462" t="s">
        <v>472</v>
      </c>
      <c r="G488" s="93"/>
      <c r="H488" s="93"/>
      <c r="I488" s="95">
        <f>I489</f>
        <v>5920</v>
      </c>
      <c r="J488" s="294"/>
      <c r="K488" s="619"/>
      <c r="L488" s="569"/>
      <c r="M488" s="629"/>
      <c r="N488" s="629"/>
    </row>
    <row r="489" spans="1:14" s="86" customFormat="1" ht="14.25">
      <c r="A489" s="379" t="s">
        <v>183</v>
      </c>
      <c r="B489" s="94" t="s">
        <v>143</v>
      </c>
      <c r="C489" s="94" t="s">
        <v>44</v>
      </c>
      <c r="D489" s="94" t="s">
        <v>39</v>
      </c>
      <c r="E489" s="466" t="s">
        <v>220</v>
      </c>
      <c r="F489" s="467" t="s">
        <v>472</v>
      </c>
      <c r="G489" s="94" t="s">
        <v>184</v>
      </c>
      <c r="H489" s="110"/>
      <c r="I489" s="103">
        <f>5000+1510/2+200-35</f>
        <v>5920</v>
      </c>
      <c r="J489" s="295"/>
      <c r="K489" s="618"/>
      <c r="L489" s="569"/>
      <c r="M489" s="629"/>
      <c r="N489" s="629"/>
    </row>
    <row r="490" spans="1:14" s="86" customFormat="1" ht="27">
      <c r="A490" s="368" t="s">
        <v>550</v>
      </c>
      <c r="B490" s="93" t="s">
        <v>143</v>
      </c>
      <c r="C490" s="93" t="s">
        <v>44</v>
      </c>
      <c r="D490" s="93" t="s">
        <v>39</v>
      </c>
      <c r="E490" s="464" t="s">
        <v>220</v>
      </c>
      <c r="F490" s="465" t="s">
        <v>476</v>
      </c>
      <c r="G490" s="93"/>
      <c r="H490" s="93"/>
      <c r="I490" s="95">
        <f>SUM(I491:I493)</f>
        <v>3490.02</v>
      </c>
      <c r="J490" s="294"/>
      <c r="K490" s="619"/>
      <c r="L490" s="569"/>
      <c r="M490" s="629"/>
      <c r="N490" s="629"/>
    </row>
    <row r="491" spans="1:14" s="86" customFormat="1" ht="25.5">
      <c r="A491" s="369" t="s">
        <v>128</v>
      </c>
      <c r="B491" s="94" t="s">
        <v>143</v>
      </c>
      <c r="C491" s="94" t="s">
        <v>44</v>
      </c>
      <c r="D491" s="94" t="s">
        <v>39</v>
      </c>
      <c r="E491" s="466" t="s">
        <v>220</v>
      </c>
      <c r="F491" s="467" t="s">
        <v>476</v>
      </c>
      <c r="G491" s="94" t="s">
        <v>129</v>
      </c>
      <c r="H491" s="94"/>
      <c r="I491" s="103">
        <f>(2815.02)+600-50</f>
        <v>3365.02</v>
      </c>
      <c r="J491" s="295"/>
      <c r="K491" s="618"/>
      <c r="L491" s="569"/>
      <c r="M491" s="629"/>
      <c r="N491" s="629"/>
    </row>
    <row r="492" spans="1:14" s="86" customFormat="1" ht="25.5">
      <c r="A492" s="369" t="s">
        <v>130</v>
      </c>
      <c r="B492" s="94" t="s">
        <v>143</v>
      </c>
      <c r="C492" s="94" t="s">
        <v>44</v>
      </c>
      <c r="D492" s="94" t="s">
        <v>39</v>
      </c>
      <c r="E492" s="466" t="s">
        <v>220</v>
      </c>
      <c r="F492" s="467" t="s">
        <v>476</v>
      </c>
      <c r="G492" s="94" t="s">
        <v>131</v>
      </c>
      <c r="H492" s="94"/>
      <c r="I492" s="103">
        <v>50</v>
      </c>
      <c r="J492" s="295"/>
      <c r="K492" s="618"/>
      <c r="L492" s="569"/>
      <c r="M492" s="629"/>
      <c r="N492" s="629"/>
    </row>
    <row r="493" spans="1:14" s="86" customFormat="1" ht="14.25">
      <c r="A493" s="369" t="s">
        <v>76</v>
      </c>
      <c r="B493" s="94" t="s">
        <v>143</v>
      </c>
      <c r="C493" s="94" t="s">
        <v>44</v>
      </c>
      <c r="D493" s="94" t="s">
        <v>39</v>
      </c>
      <c r="E493" s="466" t="s">
        <v>220</v>
      </c>
      <c r="F493" s="467" t="s">
        <v>476</v>
      </c>
      <c r="G493" s="94" t="s">
        <v>77</v>
      </c>
      <c r="H493" s="94"/>
      <c r="I493" s="103">
        <v>75</v>
      </c>
      <c r="J493" s="295"/>
      <c r="K493" s="618"/>
      <c r="L493" s="569"/>
      <c r="M493" s="629"/>
      <c r="N493" s="629"/>
    </row>
    <row r="494" spans="1:14" s="83" customFormat="1" ht="14.25">
      <c r="A494" s="754" t="s">
        <v>212</v>
      </c>
      <c r="B494" s="225" t="s">
        <v>143</v>
      </c>
      <c r="C494" s="225" t="s">
        <v>44</v>
      </c>
      <c r="D494" s="225" t="s">
        <v>39</v>
      </c>
      <c r="E494" s="459" t="s">
        <v>213</v>
      </c>
      <c r="F494" s="460" t="s">
        <v>95</v>
      </c>
      <c r="G494" s="225"/>
      <c r="H494" s="225"/>
      <c r="I494" s="327">
        <f>I495+I497</f>
        <v>5141.53</v>
      </c>
      <c r="J494" s="295"/>
      <c r="K494" s="618"/>
      <c r="L494" s="205"/>
      <c r="M494" s="447"/>
      <c r="N494" s="447"/>
    </row>
    <row r="495" spans="1:14" s="86" customFormat="1" ht="15">
      <c r="A495" s="368" t="s">
        <v>551</v>
      </c>
      <c r="B495" s="93" t="s">
        <v>143</v>
      </c>
      <c r="C495" s="93" t="s">
        <v>44</v>
      </c>
      <c r="D495" s="93" t="s">
        <v>39</v>
      </c>
      <c r="E495" s="461" t="s">
        <v>213</v>
      </c>
      <c r="F495" s="462" t="s">
        <v>472</v>
      </c>
      <c r="G495" s="93"/>
      <c r="H495" s="93"/>
      <c r="I495" s="95">
        <f>I496</f>
        <v>2974</v>
      </c>
      <c r="J495" s="294"/>
      <c r="K495" s="619"/>
      <c r="L495" s="569"/>
      <c r="M495" s="629"/>
      <c r="N495" s="629"/>
    </row>
    <row r="496" spans="1:14" s="86" customFormat="1" ht="14.25">
      <c r="A496" s="379" t="s">
        <v>183</v>
      </c>
      <c r="B496" s="94" t="s">
        <v>143</v>
      </c>
      <c r="C496" s="94" t="s">
        <v>44</v>
      </c>
      <c r="D496" s="94" t="s">
        <v>39</v>
      </c>
      <c r="E496" s="466" t="s">
        <v>213</v>
      </c>
      <c r="F496" s="467" t="s">
        <v>472</v>
      </c>
      <c r="G496" s="94" t="s">
        <v>184</v>
      </c>
      <c r="H496" s="94"/>
      <c r="I496" s="103">
        <f>2000+604+400-30</f>
        <v>2974</v>
      </c>
      <c r="J496" s="295"/>
      <c r="K496" s="618"/>
      <c r="L496" s="569"/>
      <c r="M496" s="629"/>
      <c r="N496" s="629"/>
    </row>
    <row r="497" spans="1:14" s="86" customFormat="1" ht="14.25">
      <c r="A497" s="368" t="s">
        <v>552</v>
      </c>
      <c r="B497" s="93" t="s">
        <v>143</v>
      </c>
      <c r="C497" s="93" t="s">
        <v>44</v>
      </c>
      <c r="D497" s="93" t="s">
        <v>39</v>
      </c>
      <c r="E497" s="461" t="s">
        <v>213</v>
      </c>
      <c r="F497" s="462" t="s">
        <v>476</v>
      </c>
      <c r="G497" s="94"/>
      <c r="H497" s="94"/>
      <c r="I497" s="95">
        <f>SUM(I498:I499)</f>
        <v>2167.5299999999997</v>
      </c>
      <c r="J497" s="295"/>
      <c r="K497" s="618"/>
      <c r="L497" s="569"/>
      <c r="M497" s="629"/>
      <c r="N497" s="629"/>
    </row>
    <row r="498" spans="1:14" s="86" customFormat="1" ht="25.5">
      <c r="A498" s="369" t="s">
        <v>128</v>
      </c>
      <c r="B498" s="94" t="s">
        <v>143</v>
      </c>
      <c r="C498" s="94" t="s">
        <v>44</v>
      </c>
      <c r="D498" s="94" t="s">
        <v>39</v>
      </c>
      <c r="E498" s="466" t="s">
        <v>213</v>
      </c>
      <c r="F498" s="467" t="s">
        <v>476</v>
      </c>
      <c r="G498" s="94" t="s">
        <v>129</v>
      </c>
      <c r="H498" s="94"/>
      <c r="I498" s="103">
        <f>(1827.53)+290</f>
        <v>2117.5299999999997</v>
      </c>
      <c r="J498" s="295"/>
      <c r="K498" s="618"/>
      <c r="L498" s="569"/>
      <c r="M498" s="629"/>
      <c r="N498" s="629"/>
    </row>
    <row r="499" spans="1:14" s="86" customFormat="1" ht="14.25">
      <c r="A499" s="369" t="s">
        <v>76</v>
      </c>
      <c r="B499" s="94" t="s">
        <v>143</v>
      </c>
      <c r="C499" s="94" t="s">
        <v>44</v>
      </c>
      <c r="D499" s="94" t="s">
        <v>39</v>
      </c>
      <c r="E499" s="466" t="s">
        <v>213</v>
      </c>
      <c r="F499" s="467" t="s">
        <v>476</v>
      </c>
      <c r="G499" s="94" t="s">
        <v>77</v>
      </c>
      <c r="H499" s="94"/>
      <c r="I499" s="103">
        <v>50</v>
      </c>
      <c r="J499" s="295"/>
      <c r="K499" s="618"/>
      <c r="L499" s="569"/>
      <c r="M499" s="629"/>
      <c r="N499" s="629"/>
    </row>
    <row r="500" spans="1:14" s="83" customFormat="1" ht="14.25">
      <c r="A500" s="744" t="s">
        <v>206</v>
      </c>
      <c r="B500" s="186" t="s">
        <v>143</v>
      </c>
      <c r="C500" s="186" t="s">
        <v>44</v>
      </c>
      <c r="D500" s="186" t="s">
        <v>39</v>
      </c>
      <c r="E500" s="459" t="s">
        <v>205</v>
      </c>
      <c r="F500" s="460" t="s">
        <v>95</v>
      </c>
      <c r="G500" s="186"/>
      <c r="H500" s="186" t="s">
        <v>38</v>
      </c>
      <c r="I500" s="327">
        <f>I501+I503</f>
        <v>8605.210000000001</v>
      </c>
      <c r="J500" s="295"/>
      <c r="K500" s="618"/>
      <c r="L500" s="205"/>
      <c r="M500" s="447"/>
      <c r="N500" s="447"/>
    </row>
    <row r="501" spans="1:14" s="83" customFormat="1" ht="14.25">
      <c r="A501" s="368" t="s">
        <v>553</v>
      </c>
      <c r="B501" s="61" t="s">
        <v>143</v>
      </c>
      <c r="C501" s="61" t="s">
        <v>44</v>
      </c>
      <c r="D501" s="61" t="s">
        <v>39</v>
      </c>
      <c r="E501" s="461" t="s">
        <v>205</v>
      </c>
      <c r="F501" s="462" t="s">
        <v>472</v>
      </c>
      <c r="G501" s="61"/>
      <c r="H501" s="61"/>
      <c r="I501" s="95">
        <f>I502</f>
        <v>6695.13</v>
      </c>
      <c r="J501" s="295"/>
      <c r="K501" s="618"/>
      <c r="L501" s="205"/>
      <c r="M501" s="447"/>
      <c r="N501" s="447"/>
    </row>
    <row r="502" spans="1:14" s="86" customFormat="1" ht="14.25">
      <c r="A502" s="379" t="s">
        <v>183</v>
      </c>
      <c r="B502" s="61" t="s">
        <v>143</v>
      </c>
      <c r="C502" s="94" t="s">
        <v>44</v>
      </c>
      <c r="D502" s="94" t="s">
        <v>39</v>
      </c>
      <c r="E502" s="466" t="s">
        <v>205</v>
      </c>
      <c r="F502" s="467" t="s">
        <v>472</v>
      </c>
      <c r="G502" s="94" t="s">
        <v>184</v>
      </c>
      <c r="H502" s="94"/>
      <c r="I502" s="103">
        <f>5630+1700.26/2+250-35</f>
        <v>6695.13</v>
      </c>
      <c r="J502" s="295"/>
      <c r="K502" s="618"/>
      <c r="L502" s="569"/>
      <c r="M502" s="629"/>
      <c r="N502" s="629"/>
    </row>
    <row r="503" spans="1:14" s="86" customFormat="1" ht="14.25">
      <c r="A503" s="368" t="s">
        <v>554</v>
      </c>
      <c r="B503" s="61" t="s">
        <v>143</v>
      </c>
      <c r="C503" s="61" t="s">
        <v>44</v>
      </c>
      <c r="D503" s="61" t="s">
        <v>39</v>
      </c>
      <c r="E503" s="461" t="s">
        <v>205</v>
      </c>
      <c r="F503" s="462" t="s">
        <v>476</v>
      </c>
      <c r="G503" s="93"/>
      <c r="H503" s="93"/>
      <c r="I503" s="95">
        <f>SUM(I504:I506)</f>
        <v>1910.0800000000002</v>
      </c>
      <c r="J503" s="295"/>
      <c r="K503" s="618"/>
      <c r="L503" s="569"/>
      <c r="M503" s="629"/>
      <c r="N503" s="629"/>
    </row>
    <row r="504" spans="1:14" s="86" customFormat="1" ht="25.5">
      <c r="A504" s="369" t="s">
        <v>128</v>
      </c>
      <c r="B504" s="64" t="s">
        <v>143</v>
      </c>
      <c r="C504" s="94" t="s">
        <v>44</v>
      </c>
      <c r="D504" s="94" t="s">
        <v>39</v>
      </c>
      <c r="E504" s="466" t="s">
        <v>205</v>
      </c>
      <c r="F504" s="467" t="s">
        <v>476</v>
      </c>
      <c r="G504" s="94" t="s">
        <v>129</v>
      </c>
      <c r="H504" s="94"/>
      <c r="I504" s="103">
        <f>(1527.88)+282.2-35.9</f>
        <v>1774.18</v>
      </c>
      <c r="J504" s="295"/>
      <c r="K504" s="618"/>
      <c r="L504" s="569"/>
      <c r="M504" s="629"/>
      <c r="N504" s="629"/>
    </row>
    <row r="505" spans="1:14" s="86" customFormat="1" ht="14.25">
      <c r="A505" s="369" t="s">
        <v>130</v>
      </c>
      <c r="B505" s="64" t="s">
        <v>143</v>
      </c>
      <c r="C505" s="94" t="s">
        <v>44</v>
      </c>
      <c r="D505" s="94" t="s">
        <v>39</v>
      </c>
      <c r="E505" s="466" t="s">
        <v>205</v>
      </c>
      <c r="F505" s="467" t="s">
        <v>476</v>
      </c>
      <c r="G505" s="94" t="s">
        <v>131</v>
      </c>
      <c r="H505" s="94"/>
      <c r="I505" s="103">
        <v>35.9</v>
      </c>
      <c r="J505" s="295"/>
      <c r="K505" s="618"/>
      <c r="L505" s="569"/>
      <c r="M505" s="629"/>
      <c r="N505" s="629"/>
    </row>
    <row r="506" spans="1:14" s="86" customFormat="1" ht="14.25">
      <c r="A506" s="369" t="s">
        <v>76</v>
      </c>
      <c r="B506" s="61" t="s">
        <v>143</v>
      </c>
      <c r="C506" s="94" t="s">
        <v>44</v>
      </c>
      <c r="D506" s="94" t="s">
        <v>39</v>
      </c>
      <c r="E506" s="466" t="s">
        <v>205</v>
      </c>
      <c r="F506" s="467" t="s">
        <v>476</v>
      </c>
      <c r="G506" s="94" t="s">
        <v>77</v>
      </c>
      <c r="H506" s="94"/>
      <c r="I506" s="103">
        <f>150-50</f>
        <v>100</v>
      </c>
      <c r="J506" s="295"/>
      <c r="K506" s="618"/>
      <c r="L506" s="569"/>
      <c r="M506" s="629"/>
      <c r="N506" s="629"/>
    </row>
    <row r="507" spans="1:14" s="86" customFormat="1" ht="40.5">
      <c r="A507" s="347" t="s">
        <v>305</v>
      </c>
      <c r="B507" s="212" t="s">
        <v>143</v>
      </c>
      <c r="C507" s="93" t="s">
        <v>44</v>
      </c>
      <c r="D507" s="93" t="s">
        <v>39</v>
      </c>
      <c r="E507" s="461" t="s">
        <v>225</v>
      </c>
      <c r="F507" s="462" t="s">
        <v>304</v>
      </c>
      <c r="G507" s="93"/>
      <c r="H507" s="93" t="s">
        <v>38</v>
      </c>
      <c r="I507" s="95">
        <f>I508</f>
        <v>34</v>
      </c>
      <c r="J507" s="295"/>
      <c r="K507" s="618"/>
      <c r="L507" s="569"/>
      <c r="M507" s="629"/>
      <c r="N507" s="629"/>
    </row>
    <row r="508" spans="1:14" s="86" customFormat="1" ht="25.5">
      <c r="A508" s="369" t="s">
        <v>128</v>
      </c>
      <c r="B508" s="211" t="s">
        <v>143</v>
      </c>
      <c r="C508" s="94" t="s">
        <v>44</v>
      </c>
      <c r="D508" s="94" t="s">
        <v>39</v>
      </c>
      <c r="E508" s="466" t="s">
        <v>225</v>
      </c>
      <c r="F508" s="467" t="s">
        <v>304</v>
      </c>
      <c r="G508" s="94" t="s">
        <v>129</v>
      </c>
      <c r="H508" s="94" t="s">
        <v>38</v>
      </c>
      <c r="I508" s="103">
        <f>84-50</f>
        <v>34</v>
      </c>
      <c r="J508" s="295"/>
      <c r="K508" s="618"/>
      <c r="L508" s="569"/>
      <c r="M508" s="629"/>
      <c r="N508" s="629"/>
    </row>
    <row r="509" spans="1:14" s="86" customFormat="1" ht="25.5">
      <c r="A509" s="399" t="s">
        <v>345</v>
      </c>
      <c r="B509" s="539" t="s">
        <v>143</v>
      </c>
      <c r="C509" s="225" t="s">
        <v>44</v>
      </c>
      <c r="D509" s="225" t="s">
        <v>39</v>
      </c>
      <c r="E509" s="463" t="s">
        <v>354</v>
      </c>
      <c r="F509" s="203" t="s">
        <v>95</v>
      </c>
      <c r="G509" s="203"/>
      <c r="H509" s="225"/>
      <c r="I509" s="327">
        <f>I510+I513+I516</f>
        <v>300</v>
      </c>
      <c r="J509" s="295"/>
      <c r="K509" s="618"/>
      <c r="L509" s="569"/>
      <c r="M509" s="629"/>
      <c r="N509" s="629"/>
    </row>
    <row r="510" spans="1:14" s="86" customFormat="1" ht="25.5">
      <c r="A510" s="399" t="s">
        <v>346</v>
      </c>
      <c r="B510" s="539" t="s">
        <v>143</v>
      </c>
      <c r="C510" s="225" t="s">
        <v>44</v>
      </c>
      <c r="D510" s="225" t="s">
        <v>39</v>
      </c>
      <c r="E510" s="463" t="s">
        <v>355</v>
      </c>
      <c r="F510" s="203" t="s">
        <v>95</v>
      </c>
      <c r="G510" s="225"/>
      <c r="H510" s="225"/>
      <c r="I510" s="327">
        <f>I511</f>
        <v>270</v>
      </c>
      <c r="J510" s="295"/>
      <c r="K510" s="618"/>
      <c r="L510" s="569"/>
      <c r="M510" s="629"/>
      <c r="N510" s="629"/>
    </row>
    <row r="511" spans="1:14" s="86" customFormat="1" ht="27">
      <c r="A511" s="347" t="s">
        <v>347</v>
      </c>
      <c r="B511" s="212" t="s">
        <v>143</v>
      </c>
      <c r="C511" s="93" t="s">
        <v>44</v>
      </c>
      <c r="D511" s="93" t="s">
        <v>39</v>
      </c>
      <c r="E511" s="464" t="s">
        <v>356</v>
      </c>
      <c r="F511" s="465" t="s">
        <v>555</v>
      </c>
      <c r="G511" s="93"/>
      <c r="H511" s="93"/>
      <c r="I511" s="95">
        <f>I512</f>
        <v>270</v>
      </c>
      <c r="J511" s="295"/>
      <c r="K511" s="618"/>
      <c r="L511" s="569"/>
      <c r="M511" s="629"/>
      <c r="N511" s="629"/>
    </row>
    <row r="512" spans="1:14" s="86" customFormat="1" ht="25.5">
      <c r="A512" s="369" t="s">
        <v>128</v>
      </c>
      <c r="B512" s="211" t="s">
        <v>143</v>
      </c>
      <c r="C512" s="94" t="s">
        <v>44</v>
      </c>
      <c r="D512" s="94" t="s">
        <v>39</v>
      </c>
      <c r="E512" s="466" t="s">
        <v>356</v>
      </c>
      <c r="F512" s="499" t="s">
        <v>555</v>
      </c>
      <c r="G512" s="94" t="s">
        <v>129</v>
      </c>
      <c r="H512" s="94"/>
      <c r="I512" s="103">
        <v>270</v>
      </c>
      <c r="J512" s="295"/>
      <c r="K512" s="618"/>
      <c r="L512" s="569"/>
      <c r="M512" s="629"/>
      <c r="N512" s="629"/>
    </row>
    <row r="513" spans="1:14" s="86" customFormat="1" ht="25.5">
      <c r="A513" s="399" t="s">
        <v>348</v>
      </c>
      <c r="B513" s="539" t="s">
        <v>143</v>
      </c>
      <c r="C513" s="225" t="s">
        <v>44</v>
      </c>
      <c r="D513" s="225" t="s">
        <v>39</v>
      </c>
      <c r="E513" s="463" t="s">
        <v>357</v>
      </c>
      <c r="F513" s="203" t="s">
        <v>95</v>
      </c>
      <c r="G513" s="225"/>
      <c r="H513" s="225"/>
      <c r="I513" s="327">
        <f>I514</f>
        <v>5</v>
      </c>
      <c r="J513" s="295"/>
      <c r="K513" s="618"/>
      <c r="L513" s="569"/>
      <c r="M513" s="629"/>
      <c r="N513" s="629"/>
    </row>
    <row r="514" spans="1:14" s="86" customFormat="1" ht="40.5">
      <c r="A514" s="347" t="s">
        <v>349</v>
      </c>
      <c r="B514" s="212" t="s">
        <v>143</v>
      </c>
      <c r="C514" s="93" t="s">
        <v>44</v>
      </c>
      <c r="D514" s="93" t="s">
        <v>39</v>
      </c>
      <c r="E514" s="464" t="s">
        <v>358</v>
      </c>
      <c r="F514" s="465" t="s">
        <v>489</v>
      </c>
      <c r="G514" s="93"/>
      <c r="H514" s="93"/>
      <c r="I514" s="95">
        <f>I515</f>
        <v>5</v>
      </c>
      <c r="J514" s="295"/>
      <c r="K514" s="618"/>
      <c r="L514" s="569"/>
      <c r="M514" s="629"/>
      <c r="N514" s="629"/>
    </row>
    <row r="515" spans="1:14" s="86" customFormat="1" ht="25.5">
      <c r="A515" s="369" t="s">
        <v>128</v>
      </c>
      <c r="B515" s="211" t="s">
        <v>143</v>
      </c>
      <c r="C515" s="94" t="s">
        <v>44</v>
      </c>
      <c r="D515" s="94" t="s">
        <v>39</v>
      </c>
      <c r="E515" s="466" t="s">
        <v>358</v>
      </c>
      <c r="F515" s="499" t="s">
        <v>489</v>
      </c>
      <c r="G515" s="94" t="s">
        <v>129</v>
      </c>
      <c r="H515" s="94"/>
      <c r="I515" s="103">
        <v>5</v>
      </c>
      <c r="J515" s="294"/>
      <c r="K515" s="619"/>
      <c r="L515" s="569"/>
      <c r="M515" s="629"/>
      <c r="N515" s="629"/>
    </row>
    <row r="516" spans="1:14" s="86" customFormat="1" ht="25.5">
      <c r="A516" s="399" t="s">
        <v>350</v>
      </c>
      <c r="B516" s="539" t="s">
        <v>143</v>
      </c>
      <c r="C516" s="225" t="s">
        <v>44</v>
      </c>
      <c r="D516" s="225" t="s">
        <v>39</v>
      </c>
      <c r="E516" s="463" t="s">
        <v>359</v>
      </c>
      <c r="F516" s="203" t="s">
        <v>95</v>
      </c>
      <c r="G516" s="225"/>
      <c r="H516" s="225"/>
      <c r="I516" s="327">
        <f>I517</f>
        <v>25</v>
      </c>
      <c r="J516" s="295"/>
      <c r="K516" s="618"/>
      <c r="L516" s="569"/>
      <c r="M516" s="629"/>
      <c r="N516" s="629"/>
    </row>
    <row r="517" spans="1:14" s="240" customFormat="1" ht="27">
      <c r="A517" s="347" t="s">
        <v>351</v>
      </c>
      <c r="B517" s="212" t="s">
        <v>143</v>
      </c>
      <c r="C517" s="93" t="s">
        <v>44</v>
      </c>
      <c r="D517" s="93" t="s">
        <v>39</v>
      </c>
      <c r="E517" s="464" t="s">
        <v>360</v>
      </c>
      <c r="F517" s="465" t="s">
        <v>520</v>
      </c>
      <c r="G517" s="93"/>
      <c r="H517" s="93"/>
      <c r="I517" s="95">
        <f>I518</f>
        <v>25</v>
      </c>
      <c r="J517" s="296"/>
      <c r="K517" s="620"/>
      <c r="L517" s="632"/>
      <c r="M517" s="633"/>
      <c r="N517" s="633"/>
    </row>
    <row r="518" spans="1:14" s="86" customFormat="1" ht="25.5">
      <c r="A518" s="369" t="s">
        <v>128</v>
      </c>
      <c r="B518" s="211" t="s">
        <v>143</v>
      </c>
      <c r="C518" s="94" t="s">
        <v>44</v>
      </c>
      <c r="D518" s="94" t="s">
        <v>39</v>
      </c>
      <c r="E518" s="466" t="s">
        <v>360</v>
      </c>
      <c r="F518" s="499" t="s">
        <v>520</v>
      </c>
      <c r="G518" s="94" t="s">
        <v>129</v>
      </c>
      <c r="H518" s="94"/>
      <c r="I518" s="103">
        <v>25</v>
      </c>
      <c r="J518" s="295"/>
      <c r="K518" s="618"/>
      <c r="L518" s="569"/>
      <c r="M518" s="629"/>
      <c r="N518" s="629"/>
    </row>
    <row r="519" spans="1:14" s="86" customFormat="1" ht="14.25">
      <c r="A519" s="387" t="s">
        <v>209</v>
      </c>
      <c r="B519" s="93" t="s">
        <v>143</v>
      </c>
      <c r="C519" s="93" t="s">
        <v>44</v>
      </c>
      <c r="D519" s="93" t="s">
        <v>39</v>
      </c>
      <c r="E519" s="461" t="s">
        <v>205</v>
      </c>
      <c r="F519" s="462" t="s">
        <v>208</v>
      </c>
      <c r="G519" s="93"/>
      <c r="H519" s="93"/>
      <c r="I519" s="95">
        <f>I520</f>
        <v>76</v>
      </c>
      <c r="J519" s="295"/>
      <c r="K519" s="618"/>
      <c r="L519" s="569"/>
      <c r="M519" s="629"/>
      <c r="N519" s="629"/>
    </row>
    <row r="520" spans="1:14" s="86" customFormat="1" ht="25.5">
      <c r="A520" s="369" t="s">
        <v>128</v>
      </c>
      <c r="B520" s="94" t="s">
        <v>143</v>
      </c>
      <c r="C520" s="94" t="s">
        <v>44</v>
      </c>
      <c r="D520" s="94" t="s">
        <v>39</v>
      </c>
      <c r="E520" s="466" t="s">
        <v>205</v>
      </c>
      <c r="F520" s="467" t="s">
        <v>208</v>
      </c>
      <c r="G520" s="94" t="s">
        <v>129</v>
      </c>
      <c r="H520" s="94"/>
      <c r="I520" s="103">
        <v>76</v>
      </c>
      <c r="J520" s="295"/>
      <c r="K520" s="618"/>
      <c r="L520" s="569"/>
      <c r="M520" s="629"/>
      <c r="N520" s="629"/>
    </row>
    <row r="521" spans="1:14" s="86" customFormat="1" ht="51">
      <c r="A521" s="396" t="s">
        <v>90</v>
      </c>
      <c r="B521" s="225" t="s">
        <v>143</v>
      </c>
      <c r="C521" s="225" t="s">
        <v>44</v>
      </c>
      <c r="D521" s="225" t="s">
        <v>39</v>
      </c>
      <c r="E521" s="463" t="s">
        <v>95</v>
      </c>
      <c r="F521" s="203" t="s">
        <v>159</v>
      </c>
      <c r="G521" s="225"/>
      <c r="H521" s="225"/>
      <c r="I521" s="327">
        <f>I522+I524+I526</f>
        <v>584.1</v>
      </c>
      <c r="J521" s="295"/>
      <c r="K521" s="618"/>
      <c r="L521" s="569"/>
      <c r="M521" s="629"/>
      <c r="N521" s="629"/>
    </row>
    <row r="522" spans="1:14" s="86" customFormat="1" ht="27">
      <c r="A522" s="391" t="s">
        <v>207</v>
      </c>
      <c r="B522" s="225" t="s">
        <v>143</v>
      </c>
      <c r="C522" s="93" t="s">
        <v>44</v>
      </c>
      <c r="D522" s="93" t="s">
        <v>39</v>
      </c>
      <c r="E522" s="464" t="s">
        <v>205</v>
      </c>
      <c r="F522" s="465" t="s">
        <v>159</v>
      </c>
      <c r="G522" s="93"/>
      <c r="H522" s="93"/>
      <c r="I522" s="95">
        <f>I523</f>
        <v>212.1</v>
      </c>
      <c r="J522" s="295"/>
      <c r="K522" s="618"/>
      <c r="L522" s="569"/>
      <c r="M522" s="629"/>
      <c r="N522" s="629"/>
    </row>
    <row r="523" spans="1:14" s="86" customFormat="1" ht="14.25">
      <c r="A523" s="379" t="s">
        <v>183</v>
      </c>
      <c r="B523" s="94" t="s">
        <v>143</v>
      </c>
      <c r="C523" s="94" t="s">
        <v>44</v>
      </c>
      <c r="D523" s="94" t="s">
        <v>39</v>
      </c>
      <c r="E523" s="466" t="s">
        <v>205</v>
      </c>
      <c r="F523" s="467" t="s">
        <v>159</v>
      </c>
      <c r="G523" s="94" t="s">
        <v>184</v>
      </c>
      <c r="H523" s="94"/>
      <c r="I523" s="103">
        <v>212.1</v>
      </c>
      <c r="J523" s="295"/>
      <c r="K523" s="618"/>
      <c r="L523" s="569"/>
      <c r="M523" s="629"/>
      <c r="N523" s="629"/>
    </row>
    <row r="524" spans="1:14" s="90" customFormat="1" ht="17.25" customHeight="1">
      <c r="A524" s="391" t="s">
        <v>222</v>
      </c>
      <c r="B524" s="93" t="s">
        <v>143</v>
      </c>
      <c r="C524" s="93" t="s">
        <v>44</v>
      </c>
      <c r="D524" s="93" t="s">
        <v>39</v>
      </c>
      <c r="E524" s="480" t="s">
        <v>220</v>
      </c>
      <c r="F524" s="465" t="s">
        <v>159</v>
      </c>
      <c r="G524" s="93"/>
      <c r="H524" s="93"/>
      <c r="I524" s="95">
        <f>SUM(I525:I525)</f>
        <v>160</v>
      </c>
      <c r="J524" s="116"/>
      <c r="K524" s="596"/>
      <c r="L524" s="569"/>
      <c r="M524" s="168"/>
      <c r="N524" s="168"/>
    </row>
    <row r="525" spans="1:14" s="90" customFormat="1" ht="17.25" customHeight="1">
      <c r="A525" s="379" t="s">
        <v>183</v>
      </c>
      <c r="B525" s="94" t="s">
        <v>143</v>
      </c>
      <c r="C525" s="94" t="s">
        <v>44</v>
      </c>
      <c r="D525" s="94" t="s">
        <v>39</v>
      </c>
      <c r="E525" s="482" t="s">
        <v>220</v>
      </c>
      <c r="F525" s="467" t="s">
        <v>159</v>
      </c>
      <c r="G525" s="94" t="s">
        <v>184</v>
      </c>
      <c r="H525" s="94"/>
      <c r="I525" s="103">
        <v>160</v>
      </c>
      <c r="J525" s="116"/>
      <c r="K525" s="596"/>
      <c r="L525" s="569"/>
      <c r="M525" s="168"/>
      <c r="N525" s="168"/>
    </row>
    <row r="526" spans="1:14" s="90" customFormat="1" ht="27">
      <c r="A526" s="391" t="s">
        <v>214</v>
      </c>
      <c r="B526" s="93" t="s">
        <v>143</v>
      </c>
      <c r="C526" s="93" t="s">
        <v>44</v>
      </c>
      <c r="D526" s="93" t="s">
        <v>39</v>
      </c>
      <c r="E526" s="480" t="s">
        <v>213</v>
      </c>
      <c r="F526" s="465" t="s">
        <v>159</v>
      </c>
      <c r="G526" s="93"/>
      <c r="H526" s="93"/>
      <c r="I526" s="95">
        <f>I527</f>
        <v>212</v>
      </c>
      <c r="J526" s="116"/>
      <c r="K526" s="596"/>
      <c r="L526" s="569"/>
      <c r="M526" s="168"/>
      <c r="N526" s="168"/>
    </row>
    <row r="527" spans="1:14" s="90" customFormat="1" ht="17.25" customHeight="1">
      <c r="A527" s="379" t="s">
        <v>183</v>
      </c>
      <c r="B527" s="94" t="s">
        <v>143</v>
      </c>
      <c r="C527" s="94" t="s">
        <v>44</v>
      </c>
      <c r="D527" s="94" t="s">
        <v>39</v>
      </c>
      <c r="E527" s="482" t="s">
        <v>213</v>
      </c>
      <c r="F527" s="467" t="s">
        <v>159</v>
      </c>
      <c r="G527" s="94" t="s">
        <v>184</v>
      </c>
      <c r="H527" s="94"/>
      <c r="I527" s="103">
        <v>212</v>
      </c>
      <c r="J527" s="116"/>
      <c r="K527" s="596"/>
      <c r="L527" s="569"/>
      <c r="M527" s="168"/>
      <c r="N527" s="168"/>
    </row>
    <row r="528" spans="1:14" s="90" customFormat="1" ht="17.25" customHeight="1">
      <c r="A528" s="648" t="s">
        <v>251</v>
      </c>
      <c r="B528" s="298" t="s">
        <v>143</v>
      </c>
      <c r="C528" s="299" t="s">
        <v>44</v>
      </c>
      <c r="D528" s="343" t="s">
        <v>12</v>
      </c>
      <c r="E528" s="817"/>
      <c r="F528" s="818"/>
      <c r="G528" s="299"/>
      <c r="H528" s="299" t="s">
        <v>38</v>
      </c>
      <c r="I528" s="346">
        <f>SUM(I529)</f>
        <v>100</v>
      </c>
      <c r="J528" s="116"/>
      <c r="K528" s="596"/>
      <c r="L528" s="624"/>
      <c r="M528" s="168"/>
      <c r="N528" s="168"/>
    </row>
    <row r="529" spans="1:14" s="90" customFormat="1" ht="17.25" customHeight="1">
      <c r="A529" s="347" t="s">
        <v>181</v>
      </c>
      <c r="B529" s="61" t="s">
        <v>143</v>
      </c>
      <c r="C529" s="93" t="s">
        <v>44</v>
      </c>
      <c r="D529" s="93" t="s">
        <v>12</v>
      </c>
      <c r="E529" s="461" t="s">
        <v>182</v>
      </c>
      <c r="F529" s="462" t="s">
        <v>556</v>
      </c>
      <c r="G529" s="61"/>
      <c r="H529" s="61" t="s">
        <v>38</v>
      </c>
      <c r="I529" s="84">
        <f>I530</f>
        <v>100</v>
      </c>
      <c r="J529" s="116"/>
      <c r="K529" s="596"/>
      <c r="L529" s="569"/>
      <c r="M529" s="168"/>
      <c r="N529" s="168"/>
    </row>
    <row r="530" spans="1:14" s="90" customFormat="1" ht="17.25" customHeight="1">
      <c r="A530" s="369" t="s">
        <v>324</v>
      </c>
      <c r="B530" s="115">
        <v>705</v>
      </c>
      <c r="C530" s="49" t="s">
        <v>44</v>
      </c>
      <c r="D530" s="49" t="s">
        <v>12</v>
      </c>
      <c r="E530" s="466" t="s">
        <v>182</v>
      </c>
      <c r="F530" s="15" t="s">
        <v>556</v>
      </c>
      <c r="G530" s="49" t="s">
        <v>131</v>
      </c>
      <c r="H530" s="49"/>
      <c r="I530" s="46">
        <v>100</v>
      </c>
      <c r="J530" s="116"/>
      <c r="K530" s="596"/>
      <c r="L530" s="569"/>
      <c r="M530" s="168"/>
      <c r="N530" s="168"/>
    </row>
    <row r="531" spans="1:14" s="90" customFormat="1" ht="17.25" customHeight="1">
      <c r="A531" s="66" t="s">
        <v>28</v>
      </c>
      <c r="B531" s="67" t="s">
        <v>143</v>
      </c>
      <c r="C531" s="67" t="s">
        <v>47</v>
      </c>
      <c r="D531" s="67"/>
      <c r="E531" s="804"/>
      <c r="F531" s="805"/>
      <c r="G531" s="67"/>
      <c r="H531" s="67"/>
      <c r="I531" s="325">
        <f>I532</f>
        <v>14206.89</v>
      </c>
      <c r="J531" s="116"/>
      <c r="K531" s="596"/>
      <c r="L531" s="569"/>
      <c r="M531" s="168"/>
      <c r="N531" s="168"/>
    </row>
    <row r="532" spans="1:14" s="90" customFormat="1" ht="17.25" customHeight="1">
      <c r="A532" s="380" t="s">
        <v>31</v>
      </c>
      <c r="B532" s="81" t="s">
        <v>143</v>
      </c>
      <c r="C532" s="81" t="s">
        <v>47</v>
      </c>
      <c r="D532" s="81" t="s">
        <v>43</v>
      </c>
      <c r="E532" s="802"/>
      <c r="F532" s="803"/>
      <c r="G532" s="81"/>
      <c r="H532" s="81"/>
      <c r="I532" s="79">
        <f>I533+I539+I558+I546+I561+I553+I555</f>
        <v>14206.89</v>
      </c>
      <c r="J532" s="116"/>
      <c r="K532" s="596"/>
      <c r="L532" s="569"/>
      <c r="M532" s="168"/>
      <c r="N532" s="168"/>
    </row>
    <row r="533" spans="1:14" s="90" customFormat="1" ht="17.25" customHeight="1">
      <c r="A533" s="754" t="s">
        <v>122</v>
      </c>
      <c r="B533" s="171" t="s">
        <v>143</v>
      </c>
      <c r="C533" s="186" t="s">
        <v>47</v>
      </c>
      <c r="D533" s="186" t="s">
        <v>43</v>
      </c>
      <c r="E533" s="459" t="s">
        <v>98</v>
      </c>
      <c r="F533" s="460" t="s">
        <v>95</v>
      </c>
      <c r="G533" s="186"/>
      <c r="H533" s="186"/>
      <c r="I533" s="113">
        <f>I534+I536</f>
        <v>8115.59</v>
      </c>
      <c r="J533" s="116"/>
      <c r="K533" s="596"/>
      <c r="L533" s="205"/>
      <c r="M533" s="168"/>
      <c r="N533" s="168"/>
    </row>
    <row r="534" spans="1:14" s="90" customFormat="1" ht="17.25" customHeight="1">
      <c r="A534" s="368" t="s">
        <v>473</v>
      </c>
      <c r="B534" s="48" t="s">
        <v>143</v>
      </c>
      <c r="C534" s="61" t="s">
        <v>47</v>
      </c>
      <c r="D534" s="61" t="s">
        <v>43</v>
      </c>
      <c r="E534" s="461" t="s">
        <v>98</v>
      </c>
      <c r="F534" s="462" t="s">
        <v>472</v>
      </c>
      <c r="G534" s="61"/>
      <c r="H534" s="61"/>
      <c r="I534" s="84">
        <f>I535</f>
        <v>7685.59</v>
      </c>
      <c r="J534" s="116"/>
      <c r="K534" s="596"/>
      <c r="L534" s="569"/>
      <c r="M534" s="168"/>
      <c r="N534" s="168"/>
    </row>
    <row r="535" spans="1:14" s="90" customFormat="1" ht="17.25" customHeight="1">
      <c r="A535" s="369" t="s">
        <v>126</v>
      </c>
      <c r="B535" s="49" t="s">
        <v>143</v>
      </c>
      <c r="C535" s="64" t="s">
        <v>47</v>
      </c>
      <c r="D535" s="64" t="s">
        <v>43</v>
      </c>
      <c r="E535" s="466" t="s">
        <v>98</v>
      </c>
      <c r="F535" s="467" t="s">
        <v>472</v>
      </c>
      <c r="G535" s="36" t="s">
        <v>127</v>
      </c>
      <c r="H535" s="64"/>
      <c r="I535" s="103">
        <f>(6547+1977.19/2+280-130)-0.005</f>
        <v>7685.59</v>
      </c>
      <c r="J535" s="116"/>
      <c r="K535" s="596"/>
      <c r="L535" s="569"/>
      <c r="M535" s="168"/>
      <c r="N535" s="168"/>
    </row>
    <row r="536" spans="1:14" s="90" customFormat="1" ht="17.25" customHeight="1">
      <c r="A536" s="368" t="s">
        <v>475</v>
      </c>
      <c r="B536" s="48" t="s">
        <v>143</v>
      </c>
      <c r="C536" s="61" t="s">
        <v>47</v>
      </c>
      <c r="D536" s="61" t="s">
        <v>43</v>
      </c>
      <c r="E536" s="461" t="s">
        <v>98</v>
      </c>
      <c r="F536" s="462" t="s">
        <v>476</v>
      </c>
      <c r="G536" s="36"/>
      <c r="H536" s="64"/>
      <c r="I536" s="95">
        <f>SUM(I537:I538)</f>
        <v>430</v>
      </c>
      <c r="J536" s="116"/>
      <c r="K536" s="596"/>
      <c r="L536" s="569"/>
      <c r="M536" s="168"/>
      <c r="N536" s="168"/>
    </row>
    <row r="537" spans="1:14" s="90" customFormat="1" ht="30.75" customHeight="1">
      <c r="A537" s="367" t="s">
        <v>128</v>
      </c>
      <c r="B537" s="49" t="s">
        <v>143</v>
      </c>
      <c r="C537" s="64" t="s">
        <v>47</v>
      </c>
      <c r="D537" s="64" t="s">
        <v>43</v>
      </c>
      <c r="E537" s="466" t="s">
        <v>98</v>
      </c>
      <c r="F537" s="467" t="s">
        <v>476</v>
      </c>
      <c r="G537" s="36" t="s">
        <v>129</v>
      </c>
      <c r="H537" s="64"/>
      <c r="I537" s="103">
        <v>300</v>
      </c>
      <c r="J537" s="116"/>
      <c r="K537" s="596"/>
      <c r="L537" s="569"/>
      <c r="M537" s="168"/>
      <c r="N537" s="168"/>
    </row>
    <row r="538" spans="1:14" s="90" customFormat="1" ht="13.5">
      <c r="A538" s="369" t="s">
        <v>76</v>
      </c>
      <c r="B538" s="49" t="s">
        <v>143</v>
      </c>
      <c r="C538" s="64" t="s">
        <v>47</v>
      </c>
      <c r="D538" s="64" t="s">
        <v>43</v>
      </c>
      <c r="E538" s="466" t="s">
        <v>98</v>
      </c>
      <c r="F538" s="467" t="s">
        <v>476</v>
      </c>
      <c r="G538" s="36" t="s">
        <v>77</v>
      </c>
      <c r="H538" s="64"/>
      <c r="I538" s="103">
        <v>130</v>
      </c>
      <c r="J538" s="116"/>
      <c r="K538" s="596"/>
      <c r="L538" s="569"/>
      <c r="M538" s="168"/>
      <c r="N538" s="168"/>
    </row>
    <row r="539" spans="1:14" s="108" customFormat="1" ht="13.5">
      <c r="A539" s="368" t="s">
        <v>223</v>
      </c>
      <c r="B539" s="280">
        <v>705</v>
      </c>
      <c r="C539" s="48" t="s">
        <v>47</v>
      </c>
      <c r="D539" s="48" t="s">
        <v>43</v>
      </c>
      <c r="E539" s="461" t="s">
        <v>224</v>
      </c>
      <c r="F539" s="462" t="s">
        <v>95</v>
      </c>
      <c r="G539" s="48"/>
      <c r="H539" s="48"/>
      <c r="I539" s="45">
        <f>I540+I542</f>
        <v>3323.6499999999996</v>
      </c>
      <c r="J539" s="116"/>
      <c r="K539" s="596"/>
      <c r="L539" s="569"/>
      <c r="M539" s="168"/>
      <c r="N539" s="168"/>
    </row>
    <row r="540" spans="1:14" s="108" customFormat="1" ht="27">
      <c r="A540" s="368" t="s">
        <v>477</v>
      </c>
      <c r="B540" s="280">
        <v>705</v>
      </c>
      <c r="C540" s="48" t="s">
        <v>47</v>
      </c>
      <c r="D540" s="48" t="s">
        <v>43</v>
      </c>
      <c r="E540" s="461" t="s">
        <v>224</v>
      </c>
      <c r="F540" s="462" t="s">
        <v>472</v>
      </c>
      <c r="G540" s="48"/>
      <c r="H540" s="48"/>
      <c r="I540" s="45">
        <f>I541</f>
        <v>1884.05</v>
      </c>
      <c r="J540" s="116"/>
      <c r="K540" s="596"/>
      <c r="L540" s="569"/>
      <c r="M540" s="168"/>
      <c r="N540" s="168"/>
    </row>
    <row r="541" spans="1:14" s="108" customFormat="1" ht="30" customHeight="1">
      <c r="A541" s="369" t="s">
        <v>126</v>
      </c>
      <c r="B541" s="115">
        <v>705</v>
      </c>
      <c r="C541" s="49" t="s">
        <v>47</v>
      </c>
      <c r="D541" s="49" t="s">
        <v>43</v>
      </c>
      <c r="E541" s="466" t="s">
        <v>224</v>
      </c>
      <c r="F541" s="467" t="s">
        <v>472</v>
      </c>
      <c r="G541" s="49" t="s">
        <v>127</v>
      </c>
      <c r="H541" s="49"/>
      <c r="I541" s="46">
        <f>(1550+468.1/2)+100</f>
        <v>1884.05</v>
      </c>
      <c r="J541" s="238"/>
      <c r="K541" s="204"/>
      <c r="L541" s="569" t="s">
        <v>423</v>
      </c>
      <c r="M541" s="168"/>
      <c r="N541" s="168"/>
    </row>
    <row r="542" spans="1:14" s="108" customFormat="1" ht="30" customHeight="1">
      <c r="A542" s="368" t="s">
        <v>478</v>
      </c>
      <c r="B542" s="280">
        <v>705</v>
      </c>
      <c r="C542" s="48" t="s">
        <v>47</v>
      </c>
      <c r="D542" s="48" t="s">
        <v>43</v>
      </c>
      <c r="E542" s="461" t="s">
        <v>224</v>
      </c>
      <c r="F542" s="462" t="s">
        <v>476</v>
      </c>
      <c r="G542" s="49"/>
      <c r="H542" s="49"/>
      <c r="I542" s="45">
        <f>SUM(I543:I545)</f>
        <v>1439.6</v>
      </c>
      <c r="J542" s="238"/>
      <c r="K542" s="204"/>
      <c r="L542" s="569"/>
      <c r="M542" s="168"/>
      <c r="N542" s="168"/>
    </row>
    <row r="543" spans="1:14" s="108" customFormat="1" ht="17.25" customHeight="1">
      <c r="A543" s="369" t="s">
        <v>128</v>
      </c>
      <c r="B543" s="115">
        <v>705</v>
      </c>
      <c r="C543" s="49" t="s">
        <v>47</v>
      </c>
      <c r="D543" s="49" t="s">
        <v>43</v>
      </c>
      <c r="E543" s="466" t="s">
        <v>224</v>
      </c>
      <c r="F543" s="467" t="s">
        <v>476</v>
      </c>
      <c r="G543" s="49" t="s">
        <v>129</v>
      </c>
      <c r="H543" s="49"/>
      <c r="I543" s="46">
        <f>200+(759.6)</f>
        <v>959.6</v>
      </c>
      <c r="J543" s="238"/>
      <c r="K543" s="204"/>
      <c r="L543" s="569"/>
      <c r="M543" s="168"/>
      <c r="N543" s="168"/>
    </row>
    <row r="544" spans="1:14" s="108" customFormat="1" ht="34.5" customHeight="1">
      <c r="A544" s="369" t="s">
        <v>324</v>
      </c>
      <c r="B544" s="115">
        <v>705</v>
      </c>
      <c r="C544" s="49" t="s">
        <v>47</v>
      </c>
      <c r="D544" s="49" t="s">
        <v>43</v>
      </c>
      <c r="E544" s="466" t="s">
        <v>224</v>
      </c>
      <c r="F544" s="467" t="s">
        <v>476</v>
      </c>
      <c r="G544" s="49" t="s">
        <v>131</v>
      </c>
      <c r="H544" s="49"/>
      <c r="I544" s="46">
        <f>110+140+180</f>
        <v>430</v>
      </c>
      <c r="J544" s="238"/>
      <c r="K544" s="204"/>
      <c r="L544" s="569" t="s">
        <v>424</v>
      </c>
      <c r="M544" s="168"/>
      <c r="N544" s="168"/>
    </row>
    <row r="545" spans="1:14" s="108" customFormat="1" ht="17.25" customHeight="1">
      <c r="A545" s="369" t="s">
        <v>76</v>
      </c>
      <c r="B545" s="49" t="s">
        <v>143</v>
      </c>
      <c r="C545" s="64" t="s">
        <v>47</v>
      </c>
      <c r="D545" s="64" t="s">
        <v>43</v>
      </c>
      <c r="E545" s="466" t="s">
        <v>224</v>
      </c>
      <c r="F545" s="467" t="s">
        <v>476</v>
      </c>
      <c r="G545" s="36" t="s">
        <v>77</v>
      </c>
      <c r="H545" s="64"/>
      <c r="I545" s="72">
        <v>50</v>
      </c>
      <c r="J545" s="238"/>
      <c r="K545" s="204"/>
      <c r="L545" s="569"/>
      <c r="M545" s="168"/>
      <c r="N545" s="168"/>
    </row>
    <row r="546" spans="1:14" s="86" customFormat="1" ht="27">
      <c r="A546" s="387" t="s">
        <v>268</v>
      </c>
      <c r="B546" s="342">
        <v>705</v>
      </c>
      <c r="C546" s="225" t="s">
        <v>47</v>
      </c>
      <c r="D546" s="225" t="s">
        <v>43</v>
      </c>
      <c r="E546" s="459" t="s">
        <v>307</v>
      </c>
      <c r="F546" s="460" t="s">
        <v>95</v>
      </c>
      <c r="G546" s="225"/>
      <c r="H546" s="225"/>
      <c r="I546" s="95">
        <f>I547+I549+I551</f>
        <v>108.75</v>
      </c>
      <c r="J546" s="116"/>
      <c r="K546" s="596"/>
      <c r="L546" s="569"/>
      <c r="M546" s="629"/>
      <c r="N546" s="629"/>
    </row>
    <row r="547" spans="1:14" s="86" customFormat="1" ht="27">
      <c r="A547" s="394" t="s">
        <v>439</v>
      </c>
      <c r="B547" s="228">
        <v>705</v>
      </c>
      <c r="C547" s="93" t="s">
        <v>47</v>
      </c>
      <c r="D547" s="93" t="s">
        <v>43</v>
      </c>
      <c r="E547" s="461" t="s">
        <v>440</v>
      </c>
      <c r="F547" s="462" t="s">
        <v>489</v>
      </c>
      <c r="G547" s="93"/>
      <c r="H547" s="225"/>
      <c r="I547" s="95">
        <f>I548</f>
        <v>25.75</v>
      </c>
      <c r="J547" s="116"/>
      <c r="K547" s="596"/>
      <c r="L547" s="569"/>
      <c r="M547" s="629"/>
      <c r="N547" s="629"/>
    </row>
    <row r="548" spans="1:14" s="86" customFormat="1" ht="25.5">
      <c r="A548" s="369" t="s">
        <v>128</v>
      </c>
      <c r="B548" s="229">
        <v>705</v>
      </c>
      <c r="C548" s="94" t="s">
        <v>47</v>
      </c>
      <c r="D548" s="94" t="s">
        <v>43</v>
      </c>
      <c r="E548" s="466" t="s">
        <v>440</v>
      </c>
      <c r="F548" s="467" t="s">
        <v>489</v>
      </c>
      <c r="G548" s="94" t="s">
        <v>129</v>
      </c>
      <c r="H548" s="225"/>
      <c r="I548" s="103">
        <f>51.5/2</f>
        <v>25.75</v>
      </c>
      <c r="J548" s="116"/>
      <c r="K548" s="596"/>
      <c r="L548" s="569"/>
      <c r="M548" s="629"/>
      <c r="N548" s="629"/>
    </row>
    <row r="549" spans="1:14" s="90" customFormat="1" ht="27">
      <c r="A549" s="394" t="s">
        <v>438</v>
      </c>
      <c r="B549" s="228">
        <v>705</v>
      </c>
      <c r="C549" s="93" t="s">
        <v>47</v>
      </c>
      <c r="D549" s="93" t="s">
        <v>43</v>
      </c>
      <c r="E549" s="461" t="s">
        <v>437</v>
      </c>
      <c r="F549" s="462" t="s">
        <v>489</v>
      </c>
      <c r="G549" s="94"/>
      <c r="H549" s="93"/>
      <c r="I549" s="95">
        <f>I550</f>
        <v>20</v>
      </c>
      <c r="J549" s="116"/>
      <c r="K549" s="596"/>
      <c r="L549" s="569"/>
      <c r="M549" s="168"/>
      <c r="N549" s="168"/>
    </row>
    <row r="550" spans="1:14" s="90" customFormat="1" ht="25.5">
      <c r="A550" s="369" t="s">
        <v>128</v>
      </c>
      <c r="B550" s="229">
        <v>705</v>
      </c>
      <c r="C550" s="94" t="s">
        <v>47</v>
      </c>
      <c r="D550" s="94" t="s">
        <v>43</v>
      </c>
      <c r="E550" s="466" t="s">
        <v>437</v>
      </c>
      <c r="F550" s="467" t="s">
        <v>489</v>
      </c>
      <c r="G550" s="94" t="s">
        <v>129</v>
      </c>
      <c r="H550" s="93"/>
      <c r="I550" s="103">
        <v>20</v>
      </c>
      <c r="J550" s="116"/>
      <c r="K550" s="596"/>
      <c r="L550" s="569"/>
      <c r="M550" s="168"/>
      <c r="N550" s="168"/>
    </row>
    <row r="551" spans="1:14" s="86" customFormat="1" ht="30.75" customHeight="1">
      <c r="A551" s="394" t="s">
        <v>272</v>
      </c>
      <c r="B551" s="228">
        <v>705</v>
      </c>
      <c r="C551" s="93" t="s">
        <v>47</v>
      </c>
      <c r="D551" s="93" t="s">
        <v>43</v>
      </c>
      <c r="E551" s="461" t="s">
        <v>237</v>
      </c>
      <c r="F551" s="462" t="s">
        <v>489</v>
      </c>
      <c r="G551" s="93"/>
      <c r="H551" s="93"/>
      <c r="I551" s="95">
        <f>I552</f>
        <v>63</v>
      </c>
      <c r="J551" s="116"/>
      <c r="K551" s="596"/>
      <c r="L551" s="569"/>
      <c r="M551" s="629"/>
      <c r="N551" s="629"/>
    </row>
    <row r="552" spans="1:14" s="90" customFormat="1" ht="13.5">
      <c r="A552" s="369" t="s">
        <v>412</v>
      </c>
      <c r="B552" s="229">
        <v>705</v>
      </c>
      <c r="C552" s="94" t="s">
        <v>47</v>
      </c>
      <c r="D552" s="94" t="s">
        <v>43</v>
      </c>
      <c r="E552" s="466" t="s">
        <v>237</v>
      </c>
      <c r="F552" s="467" t="s">
        <v>489</v>
      </c>
      <c r="G552" s="94" t="s">
        <v>411</v>
      </c>
      <c r="H552" s="93"/>
      <c r="I552" s="103">
        <v>63</v>
      </c>
      <c r="J552" s="226"/>
      <c r="K552" s="617"/>
      <c r="L552" s="569"/>
      <c r="M552" s="168"/>
      <c r="N552" s="168"/>
    </row>
    <row r="553" spans="1:14" s="83" customFormat="1" ht="40.5">
      <c r="A553" s="372" t="s">
        <v>413</v>
      </c>
      <c r="B553" s="228">
        <v>705</v>
      </c>
      <c r="C553" s="93" t="s">
        <v>47</v>
      </c>
      <c r="D553" s="93" t="s">
        <v>43</v>
      </c>
      <c r="E553" s="461" t="s">
        <v>298</v>
      </c>
      <c r="F553" s="462" t="s">
        <v>489</v>
      </c>
      <c r="G553" s="93"/>
      <c r="H553" s="93"/>
      <c r="I553" s="95">
        <f>I554</f>
        <v>5</v>
      </c>
      <c r="J553" s="9"/>
      <c r="K553" s="9"/>
      <c r="L553" s="568"/>
      <c r="M553" s="447"/>
      <c r="N553" s="447"/>
    </row>
    <row r="554" spans="1:14" ht="37.5" customHeight="1">
      <c r="A554" s="369" t="s">
        <v>128</v>
      </c>
      <c r="B554" s="229">
        <v>705</v>
      </c>
      <c r="C554" s="94" t="s">
        <v>47</v>
      </c>
      <c r="D554" s="94" t="s">
        <v>43</v>
      </c>
      <c r="E554" s="466" t="s">
        <v>298</v>
      </c>
      <c r="F554" s="467" t="s">
        <v>489</v>
      </c>
      <c r="G554" s="94" t="s">
        <v>129</v>
      </c>
      <c r="H554" s="93"/>
      <c r="I554" s="103">
        <v>5</v>
      </c>
      <c r="J554" s="130"/>
      <c r="K554" s="130"/>
      <c r="M554" s="127"/>
      <c r="N554" s="127"/>
    </row>
    <row r="555" spans="1:14" s="83" customFormat="1" ht="76.5">
      <c r="A555" s="373" t="s">
        <v>170</v>
      </c>
      <c r="B555" s="225" t="s">
        <v>143</v>
      </c>
      <c r="C555" s="225" t="s">
        <v>47</v>
      </c>
      <c r="D555" s="225" t="s">
        <v>43</v>
      </c>
      <c r="E555" s="459" t="s">
        <v>95</v>
      </c>
      <c r="F555" s="460" t="s">
        <v>155</v>
      </c>
      <c r="G555" s="225"/>
      <c r="H555" s="225"/>
      <c r="I555" s="327">
        <f>I556</f>
        <v>40.9</v>
      </c>
      <c r="J555" s="118"/>
      <c r="K555" s="119"/>
      <c r="L555" s="538"/>
      <c r="M555" s="447"/>
      <c r="N555" s="447"/>
    </row>
    <row r="556" spans="1:14" s="83" customFormat="1" ht="40.5">
      <c r="A556" s="387" t="s">
        <v>83</v>
      </c>
      <c r="B556" s="228">
        <v>705</v>
      </c>
      <c r="C556" s="93" t="s">
        <v>47</v>
      </c>
      <c r="D556" s="93" t="s">
        <v>43</v>
      </c>
      <c r="E556" s="461" t="s">
        <v>224</v>
      </c>
      <c r="F556" s="462" t="s">
        <v>155</v>
      </c>
      <c r="G556" s="93"/>
      <c r="H556" s="93"/>
      <c r="I556" s="95">
        <f>I557</f>
        <v>40.9</v>
      </c>
      <c r="J556" s="118"/>
      <c r="K556" s="119"/>
      <c r="L556" s="538"/>
      <c r="M556" s="447"/>
      <c r="N556" s="447"/>
    </row>
    <row r="557" spans="1:14" s="83" customFormat="1" ht="13.5">
      <c r="A557" s="381" t="s">
        <v>126</v>
      </c>
      <c r="B557" s="224">
        <v>705</v>
      </c>
      <c r="C557" s="94" t="s">
        <v>47</v>
      </c>
      <c r="D557" s="94" t="s">
        <v>43</v>
      </c>
      <c r="E557" s="466" t="s">
        <v>224</v>
      </c>
      <c r="F557" s="467" t="s">
        <v>155</v>
      </c>
      <c r="G557" s="64" t="s">
        <v>127</v>
      </c>
      <c r="H557" s="64"/>
      <c r="I557" s="72">
        <f>31.4+9.5</f>
        <v>40.9</v>
      </c>
      <c r="J557" s="118"/>
      <c r="K557" s="119"/>
      <c r="L557" s="538"/>
      <c r="M557" s="447"/>
      <c r="N557" s="447"/>
    </row>
    <row r="558" spans="1:14" s="108" customFormat="1" ht="27">
      <c r="A558" s="366" t="s">
        <v>145</v>
      </c>
      <c r="B558" s="48" t="s">
        <v>143</v>
      </c>
      <c r="C558" s="61" t="s">
        <v>47</v>
      </c>
      <c r="D558" s="61" t="s">
        <v>43</v>
      </c>
      <c r="E558" s="461" t="s">
        <v>146</v>
      </c>
      <c r="F558" s="462" t="s">
        <v>147</v>
      </c>
      <c r="G558" s="61"/>
      <c r="H558" s="61"/>
      <c r="I558" s="84">
        <f>SUM(I559:I560)</f>
        <v>2463</v>
      </c>
      <c r="J558" s="238"/>
      <c r="K558" s="204"/>
      <c r="L558" s="569"/>
      <c r="M558" s="168"/>
      <c r="N558" s="168"/>
    </row>
    <row r="559" spans="1:14" s="108" customFormat="1" ht="17.25" customHeight="1">
      <c r="A559" s="367" t="s">
        <v>126</v>
      </c>
      <c r="B559" s="49" t="s">
        <v>143</v>
      </c>
      <c r="C559" s="64" t="s">
        <v>47</v>
      </c>
      <c r="D559" s="64" t="s">
        <v>43</v>
      </c>
      <c r="E559" s="466" t="s">
        <v>146</v>
      </c>
      <c r="F559" s="467" t="s">
        <v>147</v>
      </c>
      <c r="G559" s="36" t="s">
        <v>127</v>
      </c>
      <c r="H559" s="64"/>
      <c r="I559" s="72">
        <v>2000</v>
      </c>
      <c r="J559" s="238"/>
      <c r="K559" s="204"/>
      <c r="L559" s="569"/>
      <c r="M559" s="168"/>
      <c r="N559" s="168"/>
    </row>
    <row r="560" spans="1:14" s="90" customFormat="1" ht="26.25" thickBot="1">
      <c r="A560" s="367" t="s">
        <v>128</v>
      </c>
      <c r="B560" s="49" t="s">
        <v>143</v>
      </c>
      <c r="C560" s="64" t="s">
        <v>47</v>
      </c>
      <c r="D560" s="64" t="s">
        <v>43</v>
      </c>
      <c r="E560" s="466" t="s">
        <v>146</v>
      </c>
      <c r="F560" s="467" t="s">
        <v>147</v>
      </c>
      <c r="G560" s="36" t="s">
        <v>129</v>
      </c>
      <c r="H560" s="64"/>
      <c r="I560" s="72">
        <v>463</v>
      </c>
      <c r="J560" s="238"/>
      <c r="K560" s="204"/>
      <c r="L560" s="569"/>
      <c r="M560" s="168"/>
      <c r="N560" s="168"/>
    </row>
    <row r="561" spans="1:14" s="83" customFormat="1" ht="51.75" thickBot="1">
      <c r="A561" s="396" t="s">
        <v>90</v>
      </c>
      <c r="B561" s="225" t="s">
        <v>143</v>
      </c>
      <c r="C561" s="225" t="s">
        <v>47</v>
      </c>
      <c r="D561" s="225" t="s">
        <v>43</v>
      </c>
      <c r="E561" s="463" t="s">
        <v>95</v>
      </c>
      <c r="F561" s="203" t="s">
        <v>159</v>
      </c>
      <c r="G561" s="225"/>
      <c r="H561" s="225"/>
      <c r="I561" s="327">
        <f>I562</f>
        <v>150</v>
      </c>
      <c r="J561" s="297"/>
      <c r="K561" s="121"/>
      <c r="L561" s="549"/>
      <c r="M561" s="447"/>
      <c r="N561" s="447"/>
    </row>
    <row r="562" spans="1:14" ht="27">
      <c r="A562" s="391" t="s">
        <v>243</v>
      </c>
      <c r="B562" s="228">
        <v>705</v>
      </c>
      <c r="C562" s="93" t="s">
        <v>47</v>
      </c>
      <c r="D562" s="93" t="s">
        <v>43</v>
      </c>
      <c r="E562" s="464" t="s">
        <v>224</v>
      </c>
      <c r="F562" s="465" t="s">
        <v>159</v>
      </c>
      <c r="G562" s="93"/>
      <c r="H562" s="93"/>
      <c r="I562" s="95">
        <f>I563</f>
        <v>150</v>
      </c>
      <c r="L562" s="549"/>
      <c r="M562" s="127"/>
      <c r="N562" s="123"/>
    </row>
    <row r="563" spans="1:14" ht="13.5">
      <c r="A563" s="381" t="s">
        <v>126</v>
      </c>
      <c r="B563" s="229">
        <v>705</v>
      </c>
      <c r="C563" s="94" t="s">
        <v>47</v>
      </c>
      <c r="D563" s="94" t="s">
        <v>43</v>
      </c>
      <c r="E563" s="466" t="s">
        <v>224</v>
      </c>
      <c r="F563" s="467" t="s">
        <v>159</v>
      </c>
      <c r="G563" s="94" t="s">
        <v>127</v>
      </c>
      <c r="H563" s="94"/>
      <c r="I563" s="103">
        <v>150</v>
      </c>
      <c r="L563" s="549"/>
      <c r="M563" s="127"/>
      <c r="N563" s="127"/>
    </row>
    <row r="564" spans="1:14" s="492" customFormat="1" ht="31.5">
      <c r="A564" s="417" t="s">
        <v>267</v>
      </c>
      <c r="B564" s="418" t="s">
        <v>191</v>
      </c>
      <c r="C564" s="419"/>
      <c r="D564" s="419"/>
      <c r="E564" s="824"/>
      <c r="F564" s="825"/>
      <c r="G564" s="419"/>
      <c r="H564" s="420"/>
      <c r="I564" s="421">
        <f>I565+I580</f>
        <v>17214.379999999997</v>
      </c>
      <c r="J564" s="495"/>
      <c r="K564" s="496"/>
      <c r="L564" s="569"/>
      <c r="M564" s="168"/>
      <c r="N564" s="168"/>
    </row>
    <row r="565" spans="1:14" s="492" customFormat="1" ht="32.25" customHeight="1">
      <c r="A565" s="66" t="s">
        <v>20</v>
      </c>
      <c r="B565" s="67" t="s">
        <v>191</v>
      </c>
      <c r="C565" s="67" t="s">
        <v>21</v>
      </c>
      <c r="D565" s="67"/>
      <c r="E565" s="804"/>
      <c r="F565" s="805"/>
      <c r="G565" s="67"/>
      <c r="H565" s="67"/>
      <c r="I565" s="68">
        <f>I566+I569</f>
        <v>489</v>
      </c>
      <c r="J565" s="495"/>
      <c r="K565" s="496"/>
      <c r="L565" s="569"/>
      <c r="M565" s="168"/>
      <c r="N565" s="537"/>
    </row>
    <row r="566" spans="1:14" ht="21" customHeight="1">
      <c r="A566" s="380" t="s">
        <v>564</v>
      </c>
      <c r="B566" s="81" t="s">
        <v>191</v>
      </c>
      <c r="C566" s="81" t="s">
        <v>21</v>
      </c>
      <c r="D566" s="81" t="s">
        <v>40</v>
      </c>
      <c r="E566" s="474"/>
      <c r="F566" s="75"/>
      <c r="G566" s="348"/>
      <c r="H566" s="348"/>
      <c r="I566" s="79">
        <f>I567</f>
        <v>249.2</v>
      </c>
      <c r="J566" s="491"/>
      <c r="K566" s="497"/>
      <c r="L566" s="569"/>
      <c r="M566" s="127"/>
      <c r="N566" s="127"/>
    </row>
    <row r="567" spans="1:14" ht="27">
      <c r="A567" s="391" t="s">
        <v>201</v>
      </c>
      <c r="B567" s="93" t="s">
        <v>191</v>
      </c>
      <c r="C567" s="93" t="s">
        <v>21</v>
      </c>
      <c r="D567" s="93" t="s">
        <v>40</v>
      </c>
      <c r="E567" s="480" t="s">
        <v>199</v>
      </c>
      <c r="F567" s="481" t="s">
        <v>159</v>
      </c>
      <c r="G567" s="110"/>
      <c r="H567" s="110"/>
      <c r="I567" s="95">
        <f>I568</f>
        <v>249.2</v>
      </c>
      <c r="L567" s="549"/>
      <c r="M567" s="127"/>
      <c r="N567" s="127"/>
    </row>
    <row r="568" spans="1:14" s="90" customFormat="1" ht="13.5">
      <c r="A568" s="379" t="s">
        <v>183</v>
      </c>
      <c r="B568" s="94" t="s">
        <v>191</v>
      </c>
      <c r="C568" s="94" t="s">
        <v>21</v>
      </c>
      <c r="D568" s="94" t="s">
        <v>40</v>
      </c>
      <c r="E568" s="482" t="s">
        <v>199</v>
      </c>
      <c r="F568" s="483" t="s">
        <v>159</v>
      </c>
      <c r="G568" s="94" t="s">
        <v>184</v>
      </c>
      <c r="H568" s="94"/>
      <c r="I568" s="103">
        <v>249.2</v>
      </c>
      <c r="J568" s="133"/>
      <c r="K568" s="133"/>
      <c r="L568" s="549"/>
      <c r="M568" s="168"/>
      <c r="N568" s="168"/>
    </row>
    <row r="569" spans="1:14" s="90" customFormat="1" ht="22.5" customHeight="1">
      <c r="A569" s="380" t="s">
        <v>24</v>
      </c>
      <c r="B569" s="81" t="s">
        <v>191</v>
      </c>
      <c r="C569" s="81" t="s">
        <v>21</v>
      </c>
      <c r="D569" s="81" t="s">
        <v>21</v>
      </c>
      <c r="E569" s="802"/>
      <c r="F569" s="803"/>
      <c r="G569" s="81"/>
      <c r="H569" s="81"/>
      <c r="I569" s="79">
        <f>I570+I576+I578</f>
        <v>239.8</v>
      </c>
      <c r="J569" s="272"/>
      <c r="K569" s="606"/>
      <c r="L569" s="569"/>
      <c r="M569" s="168"/>
      <c r="N569" s="168"/>
    </row>
    <row r="570" spans="1:14" s="90" customFormat="1" ht="25.5">
      <c r="A570" s="373" t="s">
        <v>273</v>
      </c>
      <c r="B570" s="342">
        <v>707</v>
      </c>
      <c r="C570" s="225" t="s">
        <v>21</v>
      </c>
      <c r="D570" s="225" t="s">
        <v>21</v>
      </c>
      <c r="E570" s="461" t="s">
        <v>106</v>
      </c>
      <c r="F570" s="462" t="s">
        <v>299</v>
      </c>
      <c r="G570" s="225"/>
      <c r="H570" s="225"/>
      <c r="I570" s="327">
        <f>I571+I573</f>
        <v>111.1</v>
      </c>
      <c r="J570" s="272"/>
      <c r="K570" s="606"/>
      <c r="L570" s="569"/>
      <c r="M570" s="168"/>
      <c r="N570" s="168"/>
    </row>
    <row r="571" spans="1:14" s="90" customFormat="1" ht="40.5">
      <c r="A571" s="347" t="s">
        <v>391</v>
      </c>
      <c r="B571" s="93" t="s">
        <v>191</v>
      </c>
      <c r="C571" s="93" t="s">
        <v>21</v>
      </c>
      <c r="D571" s="93" t="s">
        <v>21</v>
      </c>
      <c r="E571" s="461" t="s">
        <v>240</v>
      </c>
      <c r="F571" s="465" t="s">
        <v>299</v>
      </c>
      <c r="G571" s="526"/>
      <c r="H571" s="526"/>
      <c r="I571" s="320">
        <f>I572</f>
        <v>111.1</v>
      </c>
      <c r="J571" s="272"/>
      <c r="K571" s="606"/>
      <c r="L571" s="569"/>
      <c r="M571" s="168"/>
      <c r="N571" s="168"/>
    </row>
    <row r="572" spans="1:14" s="90" customFormat="1" ht="25.5">
      <c r="A572" s="369" t="s">
        <v>128</v>
      </c>
      <c r="B572" s="94" t="s">
        <v>191</v>
      </c>
      <c r="C572" s="94" t="s">
        <v>21</v>
      </c>
      <c r="D572" s="94" t="s">
        <v>21</v>
      </c>
      <c r="E572" s="466" t="s">
        <v>240</v>
      </c>
      <c r="F572" s="467" t="s">
        <v>299</v>
      </c>
      <c r="G572" s="527" t="s">
        <v>129</v>
      </c>
      <c r="H572" s="527"/>
      <c r="I572" s="321">
        <v>111.1</v>
      </c>
      <c r="J572" s="272"/>
      <c r="K572" s="606"/>
      <c r="L572" s="569"/>
      <c r="M572" s="168"/>
      <c r="N572" s="168"/>
    </row>
    <row r="573" spans="1:14" s="82" customFormat="1" ht="40.5" hidden="1">
      <c r="A573" s="347" t="s">
        <v>401</v>
      </c>
      <c r="B573" s="93" t="s">
        <v>191</v>
      </c>
      <c r="C573" s="93" t="s">
        <v>21</v>
      </c>
      <c r="D573" s="93" t="s">
        <v>21</v>
      </c>
      <c r="E573" s="461" t="s">
        <v>372</v>
      </c>
      <c r="F573" s="465" t="s">
        <v>299</v>
      </c>
      <c r="G573" s="526"/>
      <c r="H573" s="526"/>
      <c r="I573" s="320">
        <f>I574</f>
        <v>0</v>
      </c>
      <c r="J573" s="272"/>
      <c r="K573" s="606"/>
      <c r="L573" s="569"/>
      <c r="M573" s="168"/>
      <c r="N573" s="168"/>
    </row>
    <row r="574" spans="1:14" s="82" customFormat="1" ht="25.5" hidden="1">
      <c r="A574" s="369" t="s">
        <v>128</v>
      </c>
      <c r="B574" s="94" t="s">
        <v>191</v>
      </c>
      <c r="C574" s="94" t="s">
        <v>21</v>
      </c>
      <c r="D574" s="94" t="s">
        <v>21</v>
      </c>
      <c r="E574" s="466" t="s">
        <v>372</v>
      </c>
      <c r="F574" s="467" t="s">
        <v>299</v>
      </c>
      <c r="G574" s="527" t="s">
        <v>129</v>
      </c>
      <c r="H574" s="527"/>
      <c r="I574" s="321">
        <v>0</v>
      </c>
      <c r="J574" s="118"/>
      <c r="K574" s="119"/>
      <c r="L574" s="569"/>
      <c r="M574" s="168"/>
      <c r="N574" s="168"/>
    </row>
    <row r="575" spans="1:14" s="82" customFormat="1" ht="27">
      <c r="A575" s="347" t="s">
        <v>303</v>
      </c>
      <c r="B575" s="234">
        <v>707</v>
      </c>
      <c r="C575" s="93" t="s">
        <v>21</v>
      </c>
      <c r="D575" s="93" t="s">
        <v>21</v>
      </c>
      <c r="E575" s="464" t="s">
        <v>308</v>
      </c>
      <c r="F575" s="465" t="s">
        <v>95</v>
      </c>
      <c r="G575" s="526"/>
      <c r="H575" s="526"/>
      <c r="I575" s="320">
        <f>I576</f>
        <v>22</v>
      </c>
      <c r="J575" s="118"/>
      <c r="K575" s="119"/>
      <c r="L575" s="569"/>
      <c r="M575" s="168"/>
      <c r="N575" s="168"/>
    </row>
    <row r="576" spans="1:14" s="82" customFormat="1" ht="27">
      <c r="A576" s="347" t="s">
        <v>318</v>
      </c>
      <c r="B576" s="93" t="s">
        <v>191</v>
      </c>
      <c r="C576" s="93" t="s">
        <v>21</v>
      </c>
      <c r="D576" s="93" t="s">
        <v>21</v>
      </c>
      <c r="E576" s="464" t="s">
        <v>300</v>
      </c>
      <c r="F576" s="465" t="s">
        <v>476</v>
      </c>
      <c r="G576" s="527"/>
      <c r="H576" s="527"/>
      <c r="I576" s="321">
        <f>I577</f>
        <v>22</v>
      </c>
      <c r="J576" s="118"/>
      <c r="K576" s="119"/>
      <c r="L576" s="569"/>
      <c r="M576" s="821"/>
      <c r="N576" s="821"/>
    </row>
    <row r="577" spans="1:14" s="82" customFormat="1" ht="25.5">
      <c r="A577" s="369" t="s">
        <v>128</v>
      </c>
      <c r="B577" s="94" t="s">
        <v>191</v>
      </c>
      <c r="C577" s="94" t="s">
        <v>21</v>
      </c>
      <c r="D577" s="94" t="s">
        <v>21</v>
      </c>
      <c r="E577" s="466" t="s">
        <v>300</v>
      </c>
      <c r="F577" s="467" t="s">
        <v>476</v>
      </c>
      <c r="G577" s="527" t="s">
        <v>129</v>
      </c>
      <c r="H577" s="527"/>
      <c r="I577" s="321">
        <v>22</v>
      </c>
      <c r="J577" s="118"/>
      <c r="K577" s="119"/>
      <c r="L577" s="569"/>
      <c r="M577" s="168"/>
      <c r="N577" s="168"/>
    </row>
    <row r="578" spans="1:14" s="175" customFormat="1" ht="27">
      <c r="A578" s="347" t="s">
        <v>202</v>
      </c>
      <c r="B578" s="93" t="s">
        <v>191</v>
      </c>
      <c r="C578" s="93" t="s">
        <v>21</v>
      </c>
      <c r="D578" s="93" t="s">
        <v>21</v>
      </c>
      <c r="E578" s="461" t="s">
        <v>199</v>
      </c>
      <c r="F578" s="462" t="s">
        <v>178</v>
      </c>
      <c r="G578" s="526"/>
      <c r="H578" s="526"/>
      <c r="I578" s="320">
        <f>I579</f>
        <v>106.7</v>
      </c>
      <c r="J578" s="118"/>
      <c r="K578" s="119"/>
      <c r="L578" s="569"/>
      <c r="M578" s="570"/>
      <c r="N578" s="570"/>
    </row>
    <row r="579" spans="1:12" s="82" customFormat="1" ht="25.5">
      <c r="A579" s="369" t="s">
        <v>128</v>
      </c>
      <c r="B579" s="94" t="s">
        <v>191</v>
      </c>
      <c r="C579" s="94" t="s">
        <v>21</v>
      </c>
      <c r="D579" s="94" t="s">
        <v>21</v>
      </c>
      <c r="E579" s="466" t="s">
        <v>199</v>
      </c>
      <c r="F579" s="467" t="s">
        <v>178</v>
      </c>
      <c r="G579" s="94" t="s">
        <v>129</v>
      </c>
      <c r="H579" s="94"/>
      <c r="I579" s="103">
        <v>106.7</v>
      </c>
      <c r="J579" s="422"/>
      <c r="K579" s="423"/>
      <c r="L579" s="569"/>
    </row>
    <row r="580" spans="1:12" s="82" customFormat="1" ht="14.25">
      <c r="A580" s="66" t="s">
        <v>57</v>
      </c>
      <c r="B580" s="67" t="s">
        <v>191</v>
      </c>
      <c r="C580" s="67" t="s">
        <v>46</v>
      </c>
      <c r="D580" s="67"/>
      <c r="E580" s="804"/>
      <c r="F580" s="805"/>
      <c r="G580" s="301"/>
      <c r="H580" s="301"/>
      <c r="I580" s="68">
        <f>I581</f>
        <v>16725.379999999997</v>
      </c>
      <c r="J580" s="118"/>
      <c r="K580" s="119"/>
      <c r="L580" s="538"/>
    </row>
    <row r="581" spans="1:12" s="82" customFormat="1" ht="14.25">
      <c r="A581" s="380" t="s">
        <v>58</v>
      </c>
      <c r="B581" s="81" t="s">
        <v>191</v>
      </c>
      <c r="C581" s="81" t="s">
        <v>46</v>
      </c>
      <c r="D581" s="81" t="s">
        <v>39</v>
      </c>
      <c r="E581" s="802"/>
      <c r="F581" s="803"/>
      <c r="G581" s="81"/>
      <c r="H581" s="81" t="s">
        <v>38</v>
      </c>
      <c r="I581" s="79">
        <f>I582+I588+I590+I592</f>
        <v>16725.379999999997</v>
      </c>
      <c r="J581" s="118"/>
      <c r="K581" s="119"/>
      <c r="L581" s="538"/>
    </row>
    <row r="582" spans="1:12" s="82" customFormat="1" ht="12.75">
      <c r="A582" s="764" t="s">
        <v>200</v>
      </c>
      <c r="B582" s="765">
        <v>707</v>
      </c>
      <c r="C582" s="186" t="s">
        <v>46</v>
      </c>
      <c r="D582" s="186" t="s">
        <v>39</v>
      </c>
      <c r="E582" s="459" t="s">
        <v>199</v>
      </c>
      <c r="F582" s="460" t="s">
        <v>95</v>
      </c>
      <c r="G582" s="186"/>
      <c r="H582" s="186" t="s">
        <v>38</v>
      </c>
      <c r="I582" s="327">
        <f>I583+I585</f>
        <v>15914.38</v>
      </c>
      <c r="J582" s="118"/>
      <c r="K582" s="119"/>
      <c r="L582" s="766"/>
    </row>
    <row r="583" spans="1:12" s="82" customFormat="1" ht="13.5">
      <c r="A583" s="368" t="s">
        <v>558</v>
      </c>
      <c r="B583" s="223">
        <v>707</v>
      </c>
      <c r="C583" s="61" t="s">
        <v>46</v>
      </c>
      <c r="D583" s="61" t="s">
        <v>39</v>
      </c>
      <c r="E583" s="461" t="s">
        <v>199</v>
      </c>
      <c r="F583" s="462" t="s">
        <v>472</v>
      </c>
      <c r="G583" s="61"/>
      <c r="H583" s="61"/>
      <c r="I583" s="95">
        <f>I584</f>
        <v>8477.859999999999</v>
      </c>
      <c r="J583" s="118"/>
      <c r="K583" s="119"/>
      <c r="L583" s="538"/>
    </row>
    <row r="584" spans="1:12" s="82" customFormat="1" ht="13.5">
      <c r="A584" s="379" t="s">
        <v>183</v>
      </c>
      <c r="B584" s="110" t="s">
        <v>191</v>
      </c>
      <c r="C584" s="110" t="s">
        <v>46</v>
      </c>
      <c r="D584" s="110" t="s">
        <v>39</v>
      </c>
      <c r="E584" s="466" t="s">
        <v>199</v>
      </c>
      <c r="F584" s="467" t="s">
        <v>472</v>
      </c>
      <c r="G584" s="94" t="s">
        <v>184</v>
      </c>
      <c r="H584" s="110"/>
      <c r="I584" s="103">
        <f>7105+2145.71/2+300+0.005</f>
        <v>8477.859999999999</v>
      </c>
      <c r="J584" s="118"/>
      <c r="K584" s="119"/>
      <c r="L584" s="538"/>
    </row>
    <row r="585" spans="1:12" s="82" customFormat="1" ht="13.5">
      <c r="A585" s="368" t="s">
        <v>559</v>
      </c>
      <c r="B585" s="223">
        <v>707</v>
      </c>
      <c r="C585" s="61" t="s">
        <v>46</v>
      </c>
      <c r="D585" s="61" t="s">
        <v>39</v>
      </c>
      <c r="E585" s="461" t="s">
        <v>199</v>
      </c>
      <c r="F585" s="462" t="s">
        <v>476</v>
      </c>
      <c r="G585" s="94"/>
      <c r="H585" s="110"/>
      <c r="I585" s="95">
        <f>SUM(I586:I587)</f>
        <v>7436.52</v>
      </c>
      <c r="J585" s="118"/>
      <c r="K585" s="119"/>
      <c r="L585" s="538"/>
    </row>
    <row r="586" spans="1:12" s="82" customFormat="1" ht="25.5">
      <c r="A586" s="369" t="s">
        <v>128</v>
      </c>
      <c r="B586" s="110" t="s">
        <v>191</v>
      </c>
      <c r="C586" s="110" t="s">
        <v>46</v>
      </c>
      <c r="D586" s="110" t="s">
        <v>39</v>
      </c>
      <c r="E586" s="466" t="s">
        <v>199</v>
      </c>
      <c r="F586" s="467" t="s">
        <v>476</v>
      </c>
      <c r="G586" s="94" t="s">
        <v>129</v>
      </c>
      <c r="H586" s="110"/>
      <c r="I586" s="103">
        <f>(3948.02)+3300</f>
        <v>7248.02</v>
      </c>
      <c r="J586" s="118"/>
      <c r="K586" s="119"/>
      <c r="L586" s="538"/>
    </row>
    <row r="587" spans="1:12" s="82" customFormat="1" ht="13.5">
      <c r="A587" s="369" t="s">
        <v>76</v>
      </c>
      <c r="B587" s="110" t="s">
        <v>191</v>
      </c>
      <c r="C587" s="110" t="s">
        <v>46</v>
      </c>
      <c r="D587" s="110" t="s">
        <v>39</v>
      </c>
      <c r="E587" s="466" t="s">
        <v>199</v>
      </c>
      <c r="F587" s="467" t="s">
        <v>476</v>
      </c>
      <c r="G587" s="94" t="s">
        <v>77</v>
      </c>
      <c r="H587" s="110"/>
      <c r="I587" s="103">
        <v>188.5</v>
      </c>
      <c r="J587" s="118"/>
      <c r="K587" s="119"/>
      <c r="L587" s="538"/>
    </row>
    <row r="588" spans="1:12" s="82" customFormat="1" ht="27">
      <c r="A588" s="347" t="s">
        <v>204</v>
      </c>
      <c r="B588" s="234">
        <v>707</v>
      </c>
      <c r="C588" s="93" t="s">
        <v>46</v>
      </c>
      <c r="D588" s="93" t="s">
        <v>39</v>
      </c>
      <c r="E588" s="461" t="s">
        <v>199</v>
      </c>
      <c r="F588" s="462" t="s">
        <v>153</v>
      </c>
      <c r="G588" s="93"/>
      <c r="H588" s="93"/>
      <c r="I588" s="95">
        <f>I589</f>
        <v>95</v>
      </c>
      <c r="J588" s="118"/>
      <c r="K588" s="119"/>
      <c r="L588" s="538"/>
    </row>
    <row r="589" spans="1:12" ht="13.5">
      <c r="A589" s="379" t="s">
        <v>183</v>
      </c>
      <c r="B589" s="110" t="s">
        <v>191</v>
      </c>
      <c r="C589" s="110" t="s">
        <v>46</v>
      </c>
      <c r="D589" s="110" t="s">
        <v>39</v>
      </c>
      <c r="E589" s="466" t="s">
        <v>199</v>
      </c>
      <c r="F589" s="467" t="s">
        <v>153</v>
      </c>
      <c r="G589" s="94" t="s">
        <v>184</v>
      </c>
      <c r="H589" s="110"/>
      <c r="I589" s="103">
        <f>73+22</f>
        <v>95</v>
      </c>
      <c r="J589" s="118"/>
      <c r="K589" s="119"/>
      <c r="L589" s="538"/>
    </row>
    <row r="590" spans="1:9" ht="40.5">
      <c r="A590" s="387" t="s">
        <v>203</v>
      </c>
      <c r="B590" s="93" t="s">
        <v>191</v>
      </c>
      <c r="C590" s="93" t="s">
        <v>46</v>
      </c>
      <c r="D590" s="93" t="s">
        <v>39</v>
      </c>
      <c r="E590" s="461" t="s">
        <v>199</v>
      </c>
      <c r="F590" s="462" t="s">
        <v>155</v>
      </c>
      <c r="G590" s="93"/>
      <c r="H590" s="93"/>
      <c r="I590" s="95">
        <f>I591</f>
        <v>266</v>
      </c>
    </row>
    <row r="591" spans="1:9" ht="13.5">
      <c r="A591" s="379" t="s">
        <v>183</v>
      </c>
      <c r="B591" s="110" t="s">
        <v>191</v>
      </c>
      <c r="C591" s="94" t="s">
        <v>46</v>
      </c>
      <c r="D591" s="94" t="s">
        <v>39</v>
      </c>
      <c r="E591" s="466" t="s">
        <v>199</v>
      </c>
      <c r="F591" s="467" t="s">
        <v>155</v>
      </c>
      <c r="G591" s="94" t="s">
        <v>184</v>
      </c>
      <c r="H591" s="94"/>
      <c r="I591" s="103">
        <f>204.3+61.7</f>
        <v>266</v>
      </c>
    </row>
    <row r="592" spans="1:11" ht="25.5">
      <c r="A592" s="399" t="s">
        <v>335</v>
      </c>
      <c r="B592" s="93" t="s">
        <v>191</v>
      </c>
      <c r="C592" s="225" t="s">
        <v>46</v>
      </c>
      <c r="D592" s="225" t="s">
        <v>39</v>
      </c>
      <c r="E592" s="463" t="s">
        <v>336</v>
      </c>
      <c r="F592" s="203" t="s">
        <v>95</v>
      </c>
      <c r="G592" s="225"/>
      <c r="H592" s="225"/>
      <c r="I592" s="327">
        <f>I593</f>
        <v>450</v>
      </c>
      <c r="J592" s="9"/>
      <c r="K592" s="9"/>
    </row>
    <row r="593" spans="1:12" s="771" customFormat="1" ht="40.5">
      <c r="A593" s="347" t="s">
        <v>561</v>
      </c>
      <c r="B593" s="93" t="s">
        <v>191</v>
      </c>
      <c r="C593" s="93" t="s">
        <v>46</v>
      </c>
      <c r="D593" s="93" t="s">
        <v>39</v>
      </c>
      <c r="E593" s="464" t="s">
        <v>336</v>
      </c>
      <c r="F593" s="465" t="s">
        <v>560</v>
      </c>
      <c r="G593" s="93"/>
      <c r="H593" s="93"/>
      <c r="I593" s="95">
        <f>SUM(I594:I595)</f>
        <v>450</v>
      </c>
      <c r="L593" s="548"/>
    </row>
    <row r="594" spans="1:11" ht="25.5">
      <c r="A594" s="379" t="s">
        <v>406</v>
      </c>
      <c r="B594" s="94" t="s">
        <v>191</v>
      </c>
      <c r="C594" s="94" t="s">
        <v>46</v>
      </c>
      <c r="D594" s="94" t="s">
        <v>39</v>
      </c>
      <c r="E594" s="466" t="s">
        <v>336</v>
      </c>
      <c r="F594" s="467" t="s">
        <v>560</v>
      </c>
      <c r="G594" s="94" t="s">
        <v>184</v>
      </c>
      <c r="H594" s="94"/>
      <c r="I594" s="103">
        <v>350</v>
      </c>
      <c r="J594" s="9"/>
      <c r="K594" s="9"/>
    </row>
    <row r="595" spans="1:11" ht="25.5">
      <c r="A595" s="369" t="s">
        <v>128</v>
      </c>
      <c r="B595" s="94" t="s">
        <v>191</v>
      </c>
      <c r="C595" s="94" t="s">
        <v>46</v>
      </c>
      <c r="D595" s="94" t="s">
        <v>39</v>
      </c>
      <c r="E595" s="466" t="s">
        <v>336</v>
      </c>
      <c r="F595" s="467" t="s">
        <v>560</v>
      </c>
      <c r="G595" s="94" t="s">
        <v>129</v>
      </c>
      <c r="H595" s="94"/>
      <c r="I595" s="103">
        <v>100</v>
      </c>
      <c r="J595" s="9"/>
      <c r="K595" s="9"/>
    </row>
    <row r="596" spans="1:14" ht="28.5" customHeight="1">
      <c r="A596" s="638" t="s">
        <v>252</v>
      </c>
      <c r="B596" s="639" t="s">
        <v>557</v>
      </c>
      <c r="C596" s="639"/>
      <c r="D596" s="639"/>
      <c r="E596" s="819"/>
      <c r="F596" s="820"/>
      <c r="G596" s="639"/>
      <c r="H596" s="639"/>
      <c r="I596" s="640">
        <f>I597</f>
        <v>5831.08</v>
      </c>
      <c r="L596" s="549"/>
      <c r="M596" s="127"/>
      <c r="N596" s="127"/>
    </row>
    <row r="597" spans="1:14" ht="14.25">
      <c r="A597" s="66" t="s">
        <v>56</v>
      </c>
      <c r="B597" s="67" t="s">
        <v>557</v>
      </c>
      <c r="C597" s="67" t="s">
        <v>48</v>
      </c>
      <c r="D597" s="67"/>
      <c r="E597" s="804"/>
      <c r="F597" s="805"/>
      <c r="G597" s="67"/>
      <c r="H597" s="67"/>
      <c r="I597" s="68">
        <f>I598</f>
        <v>5831.08</v>
      </c>
      <c r="L597" s="549"/>
      <c r="M597" s="127"/>
      <c r="N597" s="123"/>
    </row>
    <row r="598" spans="1:14" ht="13.5">
      <c r="A598" s="392" t="s">
        <v>27</v>
      </c>
      <c r="B598" s="81" t="s">
        <v>557</v>
      </c>
      <c r="C598" s="81" t="s">
        <v>48</v>
      </c>
      <c r="D598" s="81" t="s">
        <v>42</v>
      </c>
      <c r="E598" s="817"/>
      <c r="F598" s="818"/>
      <c r="G598" s="81"/>
      <c r="H598" s="81" t="s">
        <v>38</v>
      </c>
      <c r="I598" s="79">
        <f>I599</f>
        <v>5831.08</v>
      </c>
      <c r="L598" s="549"/>
      <c r="M598" s="127"/>
      <c r="N598" s="123"/>
    </row>
    <row r="599" spans="1:14" s="90" customFormat="1" ht="12.75">
      <c r="A599" s="764" t="s">
        <v>241</v>
      </c>
      <c r="B599" s="225" t="s">
        <v>557</v>
      </c>
      <c r="C599" s="225" t="s">
        <v>48</v>
      </c>
      <c r="D599" s="463" t="s">
        <v>42</v>
      </c>
      <c r="E599" s="463" t="s">
        <v>242</v>
      </c>
      <c r="F599" s="203" t="s">
        <v>95</v>
      </c>
      <c r="G599" s="203"/>
      <c r="H599" s="225"/>
      <c r="I599" s="327">
        <f>I600+I602</f>
        <v>5831.08</v>
      </c>
      <c r="J599" s="133"/>
      <c r="K599" s="133"/>
      <c r="L599" s="770"/>
      <c r="M599" s="168"/>
      <c r="N599" s="168"/>
    </row>
    <row r="600" spans="1:14" s="90" customFormat="1" ht="27">
      <c r="A600" s="368" t="s">
        <v>562</v>
      </c>
      <c r="B600" s="225" t="s">
        <v>557</v>
      </c>
      <c r="C600" s="225" t="s">
        <v>48</v>
      </c>
      <c r="D600" s="463" t="s">
        <v>42</v>
      </c>
      <c r="E600" s="464" t="s">
        <v>242</v>
      </c>
      <c r="F600" s="465" t="s">
        <v>472</v>
      </c>
      <c r="G600" s="203"/>
      <c r="H600" s="225"/>
      <c r="I600" s="95">
        <f>I601</f>
        <v>4351.81</v>
      </c>
      <c r="J600" s="133"/>
      <c r="K600" s="133"/>
      <c r="L600" s="549"/>
      <c r="M600" s="168"/>
      <c r="N600" s="168"/>
    </row>
    <row r="601" spans="1:14" s="492" customFormat="1" ht="13.5">
      <c r="A601" s="379" t="s">
        <v>183</v>
      </c>
      <c r="B601" s="94" t="s">
        <v>557</v>
      </c>
      <c r="C601" s="94" t="s">
        <v>48</v>
      </c>
      <c r="D601" s="94" t="s">
        <v>42</v>
      </c>
      <c r="E601" s="466" t="s">
        <v>242</v>
      </c>
      <c r="F601" s="467" t="s">
        <v>472</v>
      </c>
      <c r="G601" s="94" t="s">
        <v>184</v>
      </c>
      <c r="H601" s="64"/>
      <c r="I601" s="103">
        <f>3672.3+1109.03/2+125-0.005</f>
        <v>4351.81</v>
      </c>
      <c r="J601" s="272"/>
      <c r="K601" s="606"/>
      <c r="L601" s="569"/>
      <c r="M601" s="168"/>
      <c r="N601" s="168"/>
    </row>
    <row r="602" spans="1:14" s="492" customFormat="1" ht="27">
      <c r="A602" s="368" t="s">
        <v>563</v>
      </c>
      <c r="B602" s="225" t="s">
        <v>557</v>
      </c>
      <c r="C602" s="225" t="s">
        <v>48</v>
      </c>
      <c r="D602" s="463" t="s">
        <v>42</v>
      </c>
      <c r="E602" s="464" t="s">
        <v>242</v>
      </c>
      <c r="F602" s="465" t="s">
        <v>476</v>
      </c>
      <c r="G602" s="94"/>
      <c r="H602" s="64"/>
      <c r="I602" s="95">
        <f>SUM(I603:I604)</f>
        <v>1479.27</v>
      </c>
      <c r="J602" s="769"/>
      <c r="K602" s="668"/>
      <c r="L602" s="569"/>
      <c r="M602" s="168"/>
      <c r="N602" s="168"/>
    </row>
    <row r="603" spans="1:14" s="492" customFormat="1" ht="25.5">
      <c r="A603" s="369" t="s">
        <v>128</v>
      </c>
      <c r="B603" s="94" t="s">
        <v>557</v>
      </c>
      <c r="C603" s="94" t="s">
        <v>48</v>
      </c>
      <c r="D603" s="94" t="s">
        <v>42</v>
      </c>
      <c r="E603" s="466" t="s">
        <v>242</v>
      </c>
      <c r="F603" s="467" t="s">
        <v>476</v>
      </c>
      <c r="G603" s="94" t="s">
        <v>129</v>
      </c>
      <c r="H603" s="64"/>
      <c r="I603" s="103">
        <f>(429.27)+1000</f>
        <v>1429.27</v>
      </c>
      <c r="J603" s="495"/>
      <c r="K603" s="496"/>
      <c r="L603" s="569"/>
      <c r="M603" s="168"/>
      <c r="N603" s="168"/>
    </row>
    <row r="604" spans="1:14" s="492" customFormat="1" ht="13.5">
      <c r="A604" s="369" t="s">
        <v>76</v>
      </c>
      <c r="B604" s="94" t="s">
        <v>557</v>
      </c>
      <c r="C604" s="94" t="s">
        <v>48</v>
      </c>
      <c r="D604" s="466" t="s">
        <v>42</v>
      </c>
      <c r="E604" s="466" t="s">
        <v>242</v>
      </c>
      <c r="F604" s="467" t="s">
        <v>476</v>
      </c>
      <c r="G604" s="467" t="s">
        <v>77</v>
      </c>
      <c r="H604" s="64"/>
      <c r="I604" s="103">
        <v>50</v>
      </c>
      <c r="J604" s="495"/>
      <c r="K604" s="496"/>
      <c r="L604" s="569"/>
      <c r="M604" s="168"/>
      <c r="N604" s="168"/>
    </row>
    <row r="605" spans="1:9" ht="14.25">
      <c r="A605" s="402" t="s">
        <v>32</v>
      </c>
      <c r="B605" s="302"/>
      <c r="C605" s="303"/>
      <c r="D605" s="303"/>
      <c r="E605" s="822"/>
      <c r="F605" s="823"/>
      <c r="G605" s="304"/>
      <c r="H605" s="303"/>
      <c r="I605" s="305">
        <f>I598+I581+I569+I566+I532+I528+I486+I482+I438+I342+I299+I293+I278+I264+I245+I236+I227+I221+I206+I200+I194+I187+I178+I172+I159+I155+I146+I142+I137+I123+I119+I112+I106+I100+I90+I85+I44+I40+I33+I20+I16+I405</f>
        <v>365220.2699999998</v>
      </c>
    </row>
    <row r="606" spans="1:9" ht="13.5">
      <c r="A606" s="127"/>
      <c r="B606" s="128"/>
      <c r="C606" s="129"/>
      <c r="D606" s="129"/>
      <c r="E606" s="128"/>
      <c r="F606" s="128"/>
      <c r="G606" s="127"/>
      <c r="H606" s="129"/>
      <c r="I606" s="329"/>
    </row>
    <row r="607" spans="1:9" ht="18.75">
      <c r="A607" s="122"/>
      <c r="B607" s="131"/>
      <c r="C607" s="132"/>
      <c r="D607" s="132"/>
      <c r="E607" s="131"/>
      <c r="F607" s="131"/>
      <c r="G607" s="122"/>
      <c r="H607" s="132"/>
      <c r="I607" s="330"/>
    </row>
    <row r="608" spans="1:9" ht="49.5" customHeight="1">
      <c r="A608" s="124"/>
      <c r="B608" s="134"/>
      <c r="C608" s="124"/>
      <c r="D608" s="135"/>
      <c r="E608" s="484"/>
      <c r="F608" s="484"/>
      <c r="G608" s="484"/>
      <c r="H608" s="484"/>
      <c r="I608" s="484"/>
    </row>
    <row r="609" spans="1:9" ht="15">
      <c r="A609" s="126"/>
      <c r="B609" s="136"/>
      <c r="C609" s="126"/>
      <c r="D609" s="137"/>
      <c r="E609" s="136"/>
      <c r="F609" s="136"/>
      <c r="G609" s="126"/>
      <c r="H609" s="126"/>
      <c r="I609" s="331"/>
    </row>
  </sheetData>
  <sheetProtection/>
  <mergeCells count="87">
    <mergeCell ref="A1:I1"/>
    <mergeCell ref="B2:I2"/>
    <mergeCell ref="J2:K2"/>
    <mergeCell ref="B3:I3"/>
    <mergeCell ref="B4:I4"/>
    <mergeCell ref="B5:I5"/>
    <mergeCell ref="A7:I7"/>
    <mergeCell ref="A8:I8"/>
    <mergeCell ref="A10:A11"/>
    <mergeCell ref="B10:H10"/>
    <mergeCell ref="I10:I11"/>
    <mergeCell ref="J10:J11"/>
    <mergeCell ref="K10:K11"/>
    <mergeCell ref="E11:F11"/>
    <mergeCell ref="E12:F12"/>
    <mergeCell ref="E13:F13"/>
    <mergeCell ref="E14:F14"/>
    <mergeCell ref="E15:F15"/>
    <mergeCell ref="E16:F16"/>
    <mergeCell ref="E20:F20"/>
    <mergeCell ref="E33:F33"/>
    <mergeCell ref="E40:F40"/>
    <mergeCell ref="E44:F44"/>
    <mergeCell ref="E84:F84"/>
    <mergeCell ref="E85:F85"/>
    <mergeCell ref="E89:F89"/>
    <mergeCell ref="E90:F90"/>
    <mergeCell ref="E105:F105"/>
    <mergeCell ref="E106:F106"/>
    <mergeCell ref="E112:F112"/>
    <mergeCell ref="E119:F119"/>
    <mergeCell ref="E123:F123"/>
    <mergeCell ref="E136:F136"/>
    <mergeCell ref="E137:F137"/>
    <mergeCell ref="E141:F141"/>
    <mergeCell ref="E146:F146"/>
    <mergeCell ref="E142:F142"/>
    <mergeCell ref="E178:F178"/>
    <mergeCell ref="E185:F185"/>
    <mergeCell ref="E186:F186"/>
    <mergeCell ref="E187:F187"/>
    <mergeCell ref="E154:F154"/>
    <mergeCell ref="E155:F155"/>
    <mergeCell ref="E159:F159"/>
    <mergeCell ref="E172:F172"/>
    <mergeCell ref="E176:F176"/>
    <mergeCell ref="E177:F177"/>
    <mergeCell ref="E194:F194"/>
    <mergeCell ref="E199:F199"/>
    <mergeCell ref="E200:F200"/>
    <mergeCell ref="E204:F204"/>
    <mergeCell ref="E205:F205"/>
    <mergeCell ref="E206:F206"/>
    <mergeCell ref="E220:F220"/>
    <mergeCell ref="E221:F221"/>
    <mergeCell ref="E226:F226"/>
    <mergeCell ref="E227:F227"/>
    <mergeCell ref="E236:F236"/>
    <mergeCell ref="E245:F245"/>
    <mergeCell ref="E264:F264"/>
    <mergeCell ref="E291:F291"/>
    <mergeCell ref="E292:F292"/>
    <mergeCell ref="E293:F293"/>
    <mergeCell ref="E298:F298"/>
    <mergeCell ref="E299:F299"/>
    <mergeCell ref="E278:F278"/>
    <mergeCell ref="E277:F277"/>
    <mergeCell ref="M576:N576"/>
    <mergeCell ref="E605:F605"/>
    <mergeCell ref="E100:F100"/>
    <mergeCell ref="E564:F564"/>
    <mergeCell ref="E565:F565"/>
    <mergeCell ref="E569:F569"/>
    <mergeCell ref="E342:F342"/>
    <mergeCell ref="E438:F438"/>
    <mergeCell ref="E485:F485"/>
    <mergeCell ref="E486:F486"/>
    <mergeCell ref="E405:F405"/>
    <mergeCell ref="E596:F596"/>
    <mergeCell ref="E597:F597"/>
    <mergeCell ref="E598:F598"/>
    <mergeCell ref="E580:F580"/>
    <mergeCell ref="E581:F581"/>
    <mergeCell ref="E531:F531"/>
    <mergeCell ref="E532:F532"/>
    <mergeCell ref="E482:F482"/>
    <mergeCell ref="E528:F528"/>
  </mergeCells>
  <printOptions horizontalCentered="1"/>
  <pageMargins left="0.2362204724409449" right="0.11811023622047245" top="0.15748031496062992" bottom="0.15748031496062992" header="0.15748031496062992" footer="0"/>
  <pageSetup firstPageNumber="25" useFirstPageNumber="1" fitToHeight="15" horizontalDpi="600" verticalDpi="600" orientation="portrait" paperSize="9" scale="74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2017-01-10T08:34:22Z</cp:lastPrinted>
  <dcterms:created xsi:type="dcterms:W3CDTF">1996-10-08T23:32:33Z</dcterms:created>
  <dcterms:modified xsi:type="dcterms:W3CDTF">2017-01-13T06:29:11Z</dcterms:modified>
  <cp:category/>
  <cp:version/>
  <cp:contentType/>
  <cp:contentStatus/>
</cp:coreProperties>
</file>