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160" activeTab="0"/>
  </bookViews>
  <sheets>
    <sheet name="Форма по МДС 81-35.2004" sheetId="1" r:id="rId1"/>
    <sheet name="Ресурсы" sheetId="2" r:id="rId2"/>
    <sheet name="Базовые цены за единицу" sheetId="3" r:id="rId3"/>
    <sheet name="Текущие цены за единицу" sheetId="4" r:id="rId4"/>
    <sheet name="Базовые цены с учетом расхода" sheetId="5" r:id="rId5"/>
    <sheet name="Текущие цены с учетом расхода" sheetId="6" r:id="rId6"/>
    <sheet name="Начисления" sheetId="7" r:id="rId7"/>
    <sheet name="Определители" sheetId="8" r:id="rId8"/>
    <sheet name="Базовые концовки" sheetId="9" r:id="rId9"/>
    <sheet name="Текущие концовки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<sst xmlns="http://schemas.openxmlformats.org/spreadsheetml/2006/main" count="2277" uniqueCount="555">
  <si>
    <t>&lt; 74 * 1 * 1 &gt;</t>
  </si>
  <si>
    <t>Документ составлен в ПК РИК (вер.1.3.180710) тел./факс (495) 347-33-01</t>
  </si>
  <si>
    <t>Форма по МДС 81-35.2004</t>
  </si>
  <si>
    <t>Шаблон</t>
  </si>
  <si>
    <t>ЛОКАЛЬНАЯ СМЕТА № 1</t>
  </si>
  <si>
    <t>(Локальный сметный расчет)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</si>
  <si>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</si>
  <si>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</si>
  <si>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</si>
  <si>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</si>
  <si>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</si>
  <si>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поз</t>
  </si>
  <si>
    <t>Шифр, номер норматива, код ресурса</t>
  </si>
  <si>
    <t>Наименование работ и затрат, характеристика оборудования, масса</t>
  </si>
  <si>
    <t>Единица измерения</t>
  </si>
  <si>
    <t>Количество</t>
  </si>
  <si>
    <t>Сметная стоимость в текущих ценах</t>
  </si>
  <si>
    <t>Кол-во механиза-торов</t>
  </si>
  <si>
    <t>на единицу измерения</t>
  </si>
  <si>
    <t>по проектным данным</t>
  </si>
  <si>
    <t>общая</t>
  </si>
  <si>
    <t>1.</t>
  </si>
  <si>
    <t>Э01-02-001-01;</t>
  </si>
  <si>
    <t>Механизированная очистка покрытий комбинированными дорожными машинами мощностью от 210 до 270 л.с. без увлажнения</t>
  </si>
  <si>
    <t>10000 м2</t>
  </si>
  <si>
    <t>sum</t>
  </si>
  <si>
    <t>1. 1.</t>
  </si>
  <si>
    <t>З1000-0001</t>
  </si>
  <si>
    <t>Затраты труда машинистов</t>
  </si>
  <si>
    <t>чел.-ч</t>
  </si>
  <si>
    <t>Ж</t>
  </si>
  <si>
    <t>1. 2.</t>
  </si>
  <si>
    <t>маш.-ч</t>
  </si>
  <si>
    <t>s</t>
  </si>
  <si>
    <t>IsMash</t>
  </si>
  <si>
    <t>mWithZTM</t>
  </si>
  <si>
    <t>mWithZPM</t>
  </si>
  <si>
    <t>Зарплата рабочих</t>
  </si>
  <si>
    <t>Эксплуатация машин</t>
  </si>
  <si>
    <t>в т.ч. зарплата машинистов</t>
  </si>
  <si>
    <t>Материалы</t>
  </si>
  <si>
    <t>в т.ч. Вспомогательные материалы от стоимости материалов</t>
  </si>
  <si>
    <t>в т.ч. Вспомогательные ненормируемые материалы</t>
  </si>
  <si>
    <t>NenormMatOtZPR</t>
  </si>
  <si>
    <t>IsMater</t>
  </si>
  <si>
    <t>в т.ч. Ненормированная з.п. рабочих</t>
  </si>
  <si>
    <t>в т.ч. Ненормированная стоимость эксплуатации машин</t>
  </si>
  <si>
    <t>в т.ч. Ненормированная оплата механизаторов</t>
  </si>
  <si>
    <t>Накладные расходы</t>
  </si>
  <si>
    <t>Nakl</t>
  </si>
  <si>
    <t>НР от ЗПР</t>
  </si>
  <si>
    <t>Nakl_ZPR</t>
  </si>
  <si>
    <t>НР от ЗПМ</t>
  </si>
  <si>
    <t>Nakl_ZPM</t>
  </si>
  <si>
    <t>Плановые накопления / Сметная прибыль</t>
  </si>
  <si>
    <t>Plan</t>
  </si>
  <si>
    <t>СП от ЗПР</t>
  </si>
  <si>
    <t>Plan_ZPR</t>
  </si>
  <si>
    <t>СП от ЗПМ</t>
  </si>
  <si>
    <t>Plan_ZPM</t>
  </si>
  <si>
    <t>2.</t>
  </si>
  <si>
    <t>Е27-09-016-01</t>
  </si>
  <si>
    <t>Разметка проезжей части краской сплошной линией шириной 0,1 м  Прил.27.3 п. 3.1 Кзтр=1,2 Кэм=1,2</t>
  </si>
  <si>
    <t>1 км линии</t>
  </si>
  <si>
    <t xml:space="preserve">   Начисления: Н3= 1.5, Н4= 1.5, Н5= 1.38</t>
  </si>
  <si>
    <t>2. 1.</t>
  </si>
  <si>
    <t>Г</t>
  </si>
  <si>
    <t>2. 2.</t>
  </si>
  <si>
    <t>2. 3.</t>
  </si>
  <si>
    <t>2. 4.</t>
  </si>
  <si>
    <t>2. 5.</t>
  </si>
  <si>
    <t>т</t>
  </si>
  <si>
    <t>2. 6.</t>
  </si>
  <si>
    <t>2. 7.</t>
  </si>
  <si>
    <t>Всего с НР и СП</t>
  </si>
  <si>
    <t>3.</t>
  </si>
  <si>
    <t>Е27-09-016-05</t>
  </si>
  <si>
    <t>Разметка проезжей части краской прерывистой линией шириной 0,1 м при соотношении штриха и промежутка 1:3  Прил.27.3 п. 3.1 Кзтр=1,2 Кэм=1,2</t>
  </si>
  <si>
    <t>3. 1.</t>
  </si>
  <si>
    <t>3. 2.</t>
  </si>
  <si>
    <t>3. 3.</t>
  </si>
  <si>
    <t>3. 4.</t>
  </si>
  <si>
    <t>3. 5.</t>
  </si>
  <si>
    <t>3. 6.</t>
  </si>
  <si>
    <t>3. 7.</t>
  </si>
  <si>
    <t>4.</t>
  </si>
  <si>
    <t>Е27-09-016-06</t>
  </si>
  <si>
    <t>Разметка проезжей части краской прерывистой линией шириной 0,1 м при соотношении штриха и промежутка 3:1  Прил.27.3 п. 3.1 Кзтр=1,2 Кэм=1,2</t>
  </si>
  <si>
    <t>4. 1.</t>
  </si>
  <si>
    <t>4. 2.</t>
  </si>
  <si>
    <t>4. 3.</t>
  </si>
  <si>
    <t>4. 4.</t>
  </si>
  <si>
    <t>4. 5.</t>
  </si>
  <si>
    <t>4. 6.</t>
  </si>
  <si>
    <t>4. 7.</t>
  </si>
  <si>
    <t>5.</t>
  </si>
  <si>
    <t>Е27-09-016-04</t>
  </si>
  <si>
    <t>Разметка проезжей части краской прерывистой линией шириной 0,1 м при соотношении штриха и промежутка 1:1  Прил.27.3 п. 3.1 Кзтр=1,2 Кэм=1,2</t>
  </si>
  <si>
    <t>5. 1.</t>
  </si>
  <si>
    <t>5. 2.</t>
  </si>
  <si>
    <t>5. 3.</t>
  </si>
  <si>
    <t>5. 4.</t>
  </si>
  <si>
    <t>5. 5.</t>
  </si>
  <si>
    <t>5. 6.</t>
  </si>
  <si>
    <t>5. 7.</t>
  </si>
  <si>
    <t>6.</t>
  </si>
  <si>
    <t>Э01-06-003-08;</t>
  </si>
  <si>
    <t>Нанесение прерывистых линий краской маркировочной машиной на покрытие без поверхностной обработки с предварительной разметкой шнуром, разметка 1.8, ширина 0,2 м</t>
  </si>
  <si>
    <t>км разметки</t>
  </si>
  <si>
    <t>6. 1.</t>
  </si>
  <si>
    <t>6. 2.</t>
  </si>
  <si>
    <t>6. 3.</t>
  </si>
  <si>
    <t>6. 4.</t>
  </si>
  <si>
    <t>6. 5.</t>
  </si>
  <si>
    <t>6. 6.</t>
  </si>
  <si>
    <t>6. 7.</t>
  </si>
  <si>
    <t>6. 8.</t>
  </si>
  <si>
    <t>7.</t>
  </si>
  <si>
    <t>Э01-06-003-14;</t>
  </si>
  <si>
    <t>Нанесение прерывистых линий краской маркировочной машиной на покрытие без поверхностной обработки с предварительной разметкой шнуром, разметка 1.11, ширина 0,1 м</t>
  </si>
  <si>
    <t>7. 1.</t>
  </si>
  <si>
    <t>7. 2.</t>
  </si>
  <si>
    <t>7. 3.</t>
  </si>
  <si>
    <t>7. 4.</t>
  </si>
  <si>
    <t>7. 5.</t>
  </si>
  <si>
    <t>7. 6.</t>
  </si>
  <si>
    <t>7. 7.</t>
  </si>
  <si>
    <t>7. 8.</t>
  </si>
  <si>
    <t>8.</t>
  </si>
  <si>
    <t>Э01-06-016-02;</t>
  </si>
  <si>
    <t>Нанесение линий дорожной разметки на покрытие без поверхностной обработки вручную, разметка 1.13</t>
  </si>
  <si>
    <t>100 м разметки</t>
  </si>
  <si>
    <t>8. 1.</t>
  </si>
  <si>
    <t>8. 2.</t>
  </si>
  <si>
    <t>8. 3.</t>
  </si>
  <si>
    <t>8. 4.</t>
  </si>
  <si>
    <t>8. 5.</t>
  </si>
  <si>
    <t>8. 6.</t>
  </si>
  <si>
    <t>9.</t>
  </si>
  <si>
    <t>Э01-06-016-03;</t>
  </si>
  <si>
    <t>Нанесение линий дорожной разметки на покрытие без поверхностной обработки вручную, разметка 1.14.1 (белая полоса), длина полосы 4 м</t>
  </si>
  <si>
    <t>9. 1.</t>
  </si>
  <si>
    <t>9. 2.</t>
  </si>
  <si>
    <t>9. 3.</t>
  </si>
  <si>
    <t>9. 4.</t>
  </si>
  <si>
    <t>9. 5.</t>
  </si>
  <si>
    <t>9. 6.</t>
  </si>
  <si>
    <t>10.</t>
  </si>
  <si>
    <t>Нанесение линий дорожной разметки на покрытие без поверхностной обработки вручную, разметка 1.14.1 (желтая полоса), длина полосы 4 м</t>
  </si>
  <si>
    <t>10. 1.</t>
  </si>
  <si>
    <t>10. 2.</t>
  </si>
  <si>
    <t>10. 3.</t>
  </si>
  <si>
    <t>10. 4.</t>
  </si>
  <si>
    <t>10. 5.</t>
  </si>
  <si>
    <t>10. 6.</t>
  </si>
  <si>
    <t>11.</t>
  </si>
  <si>
    <t>Э01-06-014-01;</t>
  </si>
  <si>
    <t>Нанесение островков 1.16.1-1.16.3 на покрытие без поверхностной обработки пистолетом-распылителем</t>
  </si>
  <si>
    <t>100 м2</t>
  </si>
  <si>
    <t>11. 1.</t>
  </si>
  <si>
    <t>11. 2.</t>
  </si>
  <si>
    <t>11. 3.</t>
  </si>
  <si>
    <t>11. 4.</t>
  </si>
  <si>
    <t>11. 5.</t>
  </si>
  <si>
    <t>11. 6.</t>
  </si>
  <si>
    <t>11. 7.</t>
  </si>
  <si>
    <t>12.</t>
  </si>
  <si>
    <t>Э01-06-016-07;</t>
  </si>
  <si>
    <t>Нанесение линий дорожной разметки на покрытие без поверхностной обработки вручную, разметка 1.17</t>
  </si>
  <si>
    <t>12. 1.</t>
  </si>
  <si>
    <t>12. 2.</t>
  </si>
  <si>
    <t>12. 3.</t>
  </si>
  <si>
    <t>12. 4.</t>
  </si>
  <si>
    <t>12. 5.</t>
  </si>
  <si>
    <t>12. 6.</t>
  </si>
  <si>
    <t>13.</t>
  </si>
  <si>
    <t>Э01-06-013-01;</t>
  </si>
  <si>
    <t>Нанесение стрел на покрытие с поверхностной обработкой пистолетом-распылителем, расчетная скорость до 60 км/ч, разметка 1.18.1</t>
  </si>
  <si>
    <t>разметка</t>
  </si>
  <si>
    <t>13. 1.</t>
  </si>
  <si>
    <t>13. 2.</t>
  </si>
  <si>
    <t>13. 3.</t>
  </si>
  <si>
    <t>13. 4.</t>
  </si>
  <si>
    <t>13. 5.</t>
  </si>
  <si>
    <t>13. 6.</t>
  </si>
  <si>
    <t>13. 7.</t>
  </si>
  <si>
    <t>14.</t>
  </si>
  <si>
    <t>Э01-06-013-02;</t>
  </si>
  <si>
    <t>Нанесение стрел на покрытие с поверхностной обработкой пистолетом-распылителем, расчетная скорость до 60 км/ч, разметка 1.18.2</t>
  </si>
  <si>
    <t>14. 1.</t>
  </si>
  <si>
    <t>14. 2.</t>
  </si>
  <si>
    <t>14. 3.</t>
  </si>
  <si>
    <t>14. 4.</t>
  </si>
  <si>
    <t>14. 5.</t>
  </si>
  <si>
    <t>14. 6.</t>
  </si>
  <si>
    <t>14. 7.</t>
  </si>
  <si>
    <t>15.</t>
  </si>
  <si>
    <t>Э01-06-013-03;</t>
  </si>
  <si>
    <t>Нанесение стрел на покрытие с поверхностной обработкой пистолетом-распылителем, расчетная скорость до 60 км/ч, разметка 1.18.3</t>
  </si>
  <si>
    <t>15. 1.</t>
  </si>
  <si>
    <t>15. 2.</t>
  </si>
  <si>
    <t>15. 3.</t>
  </si>
  <si>
    <t>15. 4.</t>
  </si>
  <si>
    <t>15. 5.</t>
  </si>
  <si>
    <t>15. 6.</t>
  </si>
  <si>
    <t>15. 7.</t>
  </si>
  <si>
    <t>16.</t>
  </si>
  <si>
    <t>Э01-06-013-15;</t>
  </si>
  <si>
    <t>Нанесение стрел на покрытие с поверхностной обработкой пистолетом-распылителем, расчетная скорость свыше 60 км/ч, разметка 1.19</t>
  </si>
  <si>
    <t>16. 1.</t>
  </si>
  <si>
    <t>16. 2.</t>
  </si>
  <si>
    <t>16. 3.</t>
  </si>
  <si>
    <t>16. 4.</t>
  </si>
  <si>
    <t>16. 5.</t>
  </si>
  <si>
    <t>16. 6.</t>
  </si>
  <si>
    <t>16. 7.</t>
  </si>
  <si>
    <t>17.</t>
  </si>
  <si>
    <t>Э01-06-015-02;</t>
  </si>
  <si>
    <t>Нанесение букв, цифр и символов, дублирующих дорожные знаки, на покрытие с поверхностной обработкой пистолетом-распылителем, разметка 1.22 при расчетной скорости до 60 км/ч, 1.21, 1.23, 1.24.1-1.24.3</t>
  </si>
  <si>
    <t>17. 1.</t>
  </si>
  <si>
    <t>17. 2.</t>
  </si>
  <si>
    <t>17. 3.</t>
  </si>
  <si>
    <t>17. 4.</t>
  </si>
  <si>
    <t>17. 5.</t>
  </si>
  <si>
    <t>17. 6.</t>
  </si>
  <si>
    <t>17. 7.</t>
  </si>
  <si>
    <t>18.</t>
  </si>
  <si>
    <t>Э01-06-010-13;</t>
  </si>
  <si>
    <t>Нанесение линий дорожной разметки на покрытие без поверхностной обработки пистолетом-распылителем, разметка 1.15, 1.25</t>
  </si>
  <si>
    <t>18. 1.</t>
  </si>
  <si>
    <t>18. 2.</t>
  </si>
  <si>
    <t>18. 3.</t>
  </si>
  <si>
    <t>18. 4.</t>
  </si>
  <si>
    <t>18. 5.</t>
  </si>
  <si>
    <t>18. 6.</t>
  </si>
  <si>
    <t>18. 7.</t>
  </si>
  <si>
    <t>19.</t>
  </si>
  <si>
    <t>Э01-06-001-07;</t>
  </si>
  <si>
    <t>Нанесение сплошных линий краской маркировочной машиной на покрытие без поверхностной обработки с предварительной разметкой шнуром, разметка 1.12</t>
  </si>
  <si>
    <t>19. 1.</t>
  </si>
  <si>
    <t>19. 2.</t>
  </si>
  <si>
    <t>19. 3.</t>
  </si>
  <si>
    <t>19. 4.</t>
  </si>
  <si>
    <t>19. 5.</t>
  </si>
  <si>
    <t>19. 6.</t>
  </si>
  <si>
    <t>19. 7.</t>
  </si>
  <si>
    <t>19. 8.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</si>
  <si>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</si>
  <si>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</si>
  <si>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</si>
  <si>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</si>
  <si>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</si>
  <si>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</si>
  <si>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</si>
  <si>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</si>
  <si>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</si>
  <si>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</si>
  <si>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</si>
  <si>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</si>
  <si>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</si>
  <si>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</si>
  <si>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</si>
  <si>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МАТЕРИАЛЬНЫЕ 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</si>
  <si>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</si>
  <si>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</si>
  <si>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</si>
  <si>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</si>
  <si>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</si>
  <si>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</si>
  <si>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</si>
  <si>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</si>
  <si>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</si>
  <si>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</si>
  <si>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</si>
  <si>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</si>
  <si>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</si>
  <si>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</si>
  <si>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</si>
  <si>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</si>
  <si>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РЕСТАВРАЦИОННЫХ РАБОТ -</t>
  </si>
  <si>
    <t>ВСЕГО, СТОИМОСТЬ РЕСТАВРАЦИОННЫХ РАБОТ -</t>
  </si>
  <si>
    <t>СТОИМОСТЬ ПЕРЕВОЗКИ ГРУЗОВ -</t>
  </si>
  <si>
    <t>.   В Т.Ч. НАКЛАДНЫЕ РАСХОДЫ -</t>
  </si>
  <si>
    <t>.   В Т.Ч. СМЕТНАЯ ПРИБЫЛЬ -</t>
  </si>
  <si>
    <t>ВСЕГО, СТОИМОСТЬ ПЕРЕВОЗКИ ГРУЗОВ -</t>
  </si>
  <si>
    <t>СТОИМОСТЬ ПУСКОНАЛАДОЧНЫХ РАБОТ -</t>
  </si>
  <si>
    <t>ВСЕГО, СТОИМОСТЬ ПУСКОНАЛАДОЧНЫХ РАБОТ -</t>
  </si>
  <si>
    <t>СТОИМОСТЬ ПРОЧИХ РАБОТ (с НР и СП) -</t>
  </si>
  <si>
    <t>ВСЕГО, СТОИМОСТЬ ПРОЧИХ РАБОТ (с НР и СП) -</t>
  </si>
  <si>
    <t>ВСЕГО, СТОИМОСТЬ ПРОЧИХ РАБОТ (без НР и СП)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</si>
  <si>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</si>
  <si>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</si>
  <si>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</si>
  <si>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</si>
  <si>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в т.ч. Вспомогательные материалы от ОЗП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</si>
  <si>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</si>
  <si>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</si>
  <si>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</si>
  <si>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</si>
  <si>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</si>
  <si>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</si>
  <si>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Накладные расходы с коэф. 0,94</t>
  </si>
  <si>
    <t>Сметная прибыль с коэф. 0,9</t>
  </si>
  <si>
    <t>Итого с индексом цен производителей</t>
  </si>
  <si>
    <t>возмещение затрат при уплате НДС для организаций с УСН</t>
  </si>
  <si>
    <t>Всего с учетом УСН</t>
  </si>
  <si>
    <t>Составил:</t>
  </si>
  <si>
    <t>(должность, подпись, Ф.И.О)</t>
  </si>
  <si>
    <t>Проверил:</t>
  </si>
  <si>
    <t>Шифр</t>
  </si>
  <si>
    <t>Наименование</t>
  </si>
  <si>
    <t>Цена за единицу</t>
  </si>
  <si>
    <t>В том числе</t>
  </si>
  <si>
    <t>Кол-во механизаторов</t>
  </si>
  <si>
    <t>Tag</t>
  </si>
  <si>
    <t>базовая</t>
  </si>
  <si>
    <t>текущая</t>
  </si>
  <si>
    <t>З0-4002</t>
  </si>
  <si>
    <t>Дорожный рабочий 2 разряда</t>
  </si>
  <si>
    <t>0</t>
  </si>
  <si>
    <t>З0-4003</t>
  </si>
  <si>
    <t>Дорожный рабочий 3 разряда</t>
  </si>
  <si>
    <t>З0-4004</t>
  </si>
  <si>
    <t>Дорожный рабочий 4 разряда</t>
  </si>
  <si>
    <t>З1-1018</t>
  </si>
  <si>
    <t>Рабочий строитель среднего разряда 1,8</t>
  </si>
  <si>
    <t>С101-1682</t>
  </si>
  <si>
    <t>Шнур полиамидный крученый, диаметром 2 мм</t>
  </si>
  <si>
    <t>С101-2775</t>
  </si>
  <si>
    <t>Микросферы стеклянные для дорожной разметки</t>
  </si>
  <si>
    <t>С101-3505</t>
  </si>
  <si>
    <t>Краска разметочная дорожная ИНДПОЛ, желтая</t>
  </si>
  <si>
    <t>С101-5889</t>
  </si>
  <si>
    <t>Краска разметочная дорожная ИНДПОЛ, белая</t>
  </si>
  <si>
    <t>Х05-0101</t>
  </si>
  <si>
    <t>Компрессоры передвижные с двигателем внутреннего сгорания давлением до 686 кПа (7 ат), производительность 2,2 м3/мин</t>
  </si>
  <si>
    <t>Х12-1342</t>
  </si>
  <si>
    <t>Машины дорожные комбинированные, мощностью от 210 до 270 л.с.</t>
  </si>
  <si>
    <t>Х12-1400</t>
  </si>
  <si>
    <t>Машины маркировочные</t>
  </si>
  <si>
    <t>Х12-1550</t>
  </si>
  <si>
    <t>Машины дорожной службы (машина дорожного мастера)</t>
  </si>
  <si>
    <t>Х12-1601</t>
  </si>
  <si>
    <t>Машины поливомоечные 6000 л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</si>
  <si>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</si>
  <si>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</si>
  <si>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</si>
  <si>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</si>
  <si>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</si>
  <si>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</si>
  <si>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</si>
  <si>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</si>
  <si>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</si>
  <si>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</si>
  <si>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</si>
  <si>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</si>
  <si>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</si>
  <si>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</si>
  <si>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</si>
  <si>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</si>
  <si>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</si>
  <si>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</si>
  <si>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</si>
  <si>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</si>
  <si>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</si>
  <si>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</si>
  <si>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</si>
  <si>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</si>
  <si>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</si>
  <si>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</si>
  <si>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</si>
  <si>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</si>
  <si>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MR_BY_ZPR_VSPOMOG</t>
  </si>
  <si>
    <t>NAKL_INC</t>
  </si>
  <si>
    <t>PLAN_INC</t>
  </si>
  <si>
    <t>RN14</t>
  </si>
  <si>
    <t>RN15</t>
  </si>
  <si>
    <t>RN16</t>
  </si>
  <si>
    <t>OBORUD</t>
  </si>
  <si>
    <t>N = &lt; 74 * 1 * 1 &gt;</t>
  </si>
  <si>
    <t xml:space="preserve">          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</si>
  <si>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</si>
  <si>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</si>
  <si>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</si>
  <si>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</si>
  <si>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</si>
  <si>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</si>
  <si>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</si>
  <si>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</si>
  <si>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</si>
  <si>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</si>
  <si>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</si>
  <si>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</si>
  <si>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</si>
  <si>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</si>
  <si>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</si>
  <si>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</si>
  <si>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</si>
  <si>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</si>
  <si>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</si>
  <si>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</si>
  <si>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</si>
  <si>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</si>
  <si>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</si>
  <si>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</si>
  <si>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</si>
  <si>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</si>
  <si>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</si>
  <si>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</si>
  <si>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</si>
  <si>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</si>
  <si>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</si>
  <si>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</si>
  <si>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</si>
  <si>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</si>
  <si>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</si>
  <si>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</si>
  <si>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</si>
  <si>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</si>
  <si>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</si>
  <si>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</si>
  <si>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</si>
  <si>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</si>
  <si>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</si>
  <si>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</si>
  <si>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</si>
  <si>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</si>
  <si>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Н47</t>
  </si>
  <si>
    <t>Н48</t>
  </si>
  <si>
    <t>Н49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</si>
  <si>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</si>
  <si>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</si>
  <si>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</si>
  <si>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</si>
  <si>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</si>
  <si>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</si>
  <si>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</si>
  <si>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</si>
  <si>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</si>
  <si>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</si>
  <si>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</si>
  <si>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2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</si>
  <si>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</si>
  <si>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</si>
  <si>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</si>
  <si>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</si>
  <si>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</si>
  <si>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</si>
  <si>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</si>
  <si>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</si>
  <si>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</si>
  <si>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</si>
  <si>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</si>
  <si>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</si>
  <si>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</si>
  <si>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3</t>
  </si>
  <si>
    <t>4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</si>
  <si>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</si>
  <si>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</si>
  <si>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</si>
  <si>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</si>
  <si>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</si>
  <si>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</si>
  <si>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</si>
  <si>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</si>
  <si>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</si>
  <si>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</si>
  <si>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</si>
  <si>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</si>
  <si>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</si>
  <si>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</si>
  <si>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</si>
  <si>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</si>
  <si>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</si>
  <si>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</si>
  <si>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</si>
  <si>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</si>
  <si>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</si>
  <si>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</si>
  <si>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</si>
  <si>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</si>
  <si>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</si>
  <si>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</si>
  <si>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</si>
  <si>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</si>
  <si>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</si>
  <si>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</si>
  <si>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</si>
  <si>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</si>
  <si>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</si>
  <si>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</si>
  <si>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</si>
  <si>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</si>
  <si>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</si>
  <si>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</si>
  <si>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</si>
  <si>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</si>
  <si>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</si>
  <si>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</si>
  <si>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</si>
  <si>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</si>
  <si>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</si>
  <si>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</si>
  <si>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</si>
  <si>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</si>
  <si>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</si>
  <si>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</si>
  <si>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</si>
  <si>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</si>
  <si>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</si>
  <si>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</si>
  <si>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</si>
  <si>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</si>
  <si>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</si>
  <si>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</si>
  <si>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</si>
  <si>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</si>
  <si>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</si>
  <si>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</si>
  <si>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</si>
  <si>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</si>
  <si>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</si>
  <si>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</si>
  <si>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</si>
  <si>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</si>
  <si>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</si>
  <si>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</si>
  <si>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</si>
  <si>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</si>
  <si>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</si>
  <si>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</si>
  <si>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</si>
  <si>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</si>
  <si>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h</t>
  </si>
  <si>
    <t>80</t>
  </si>
  <si>
    <t>81</t>
  </si>
  <si>
    <t>82</t>
  </si>
  <si>
    <t>83</t>
  </si>
  <si>
    <t>84</t>
  </si>
  <si>
    <t>85</t>
  </si>
  <si>
    <t>86</t>
  </si>
  <si>
    <t>87</t>
  </si>
  <si>
    <t>k</t>
  </si>
  <si>
    <t>88</t>
  </si>
  <si>
    <t>89</t>
  </si>
  <si>
    <t>%</t>
  </si>
  <si>
    <t>90</t>
  </si>
  <si>
    <t>n</t>
  </si>
  <si>
    <t>91</t>
  </si>
  <si>
    <t>92</t>
  </si>
  <si>
    <t>Составлена в текущих ценах на 03.2017 г. по НБ: "ТСНБ-2001 Республики Коми (эталон) в ред.2014г. (по приказу Минстроя России № 937/пр)".</t>
  </si>
  <si>
    <t>Итого с индексом цен производителей на 2020 г.</t>
  </si>
  <si>
    <t xml:space="preserve">ЛОКАЛЬНАЯ СМЕТА </t>
  </si>
  <si>
    <t>Работы по нанесению дорожной разметки на объектах улично-дорожной сети и автомобильных дорогах общего пользования местного значения</t>
  </si>
  <si>
    <t>Приложение №2  к муниципальному контракту от 19.06.2020  № 01073000221200000680001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</si>
</sst>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General;\-General;"/>
    <numFmt numFmtId="165" formatCode="#\ ###\ ##0.#0"/>
    <numFmt numFmtId="166" formatCode="##0"/>
    <numFmt numFmtId="167" formatCode="#,##0.00;\-#,##0.00;"/>
    <numFmt numFmtId="168" formatCode="#,##0;\-#,##0;"/>
    <numFmt numFmtId="169" formatCode="#,##0.000;\-#,##0.000;"/>
    <numFmt numFmtId="170" formatCode="#,##0.00######################"/>
    <numFmt numFmtId="171" formatCode="#,##0.00000000;\-#,##0.00000000;"/>
  </numFmts>
  <fonts count="40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2"/>
    </font>
    <font>
      <sz val="8"/>
      <color indexed="9"/>
      <name val="Verdana"/>
      <family val="2"/>
    </font>
    <font>
      <sz val="1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Alignment="1" applyProtection="1">
      <alignment/>
      <protection/>
    </xf>
    <xf numFmtId="164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7" fontId="2" fillId="0" borderId="0" xfId="0" applyNumberFormat="1" applyFont="1" applyAlignment="1">
      <alignment horizontal="right" vertical="top" wrapText="1"/>
    </xf>
    <xf numFmtId="168" fontId="2" fillId="0" borderId="0" xfId="0" applyNumberFormat="1" applyFont="1" applyAlignment="1">
      <alignment horizontal="right" vertical="top" wrapText="1"/>
    </xf>
    <xf numFmtId="169" fontId="0" fillId="0" borderId="0" xfId="0" applyNumberFormat="1" applyFont="1" applyAlignment="1">
      <alignment horizontal="right" vertical="top" wrapText="1"/>
    </xf>
    <xf numFmtId="168" fontId="0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right" vertical="top" wrapText="1"/>
    </xf>
    <xf numFmtId="167" fontId="3" fillId="0" borderId="0" xfId="0" applyNumberFormat="1" applyFont="1" applyAlignment="1">
      <alignment horizontal="right" vertical="top" wrapText="1"/>
    </xf>
    <xf numFmtId="168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2" fillId="0" borderId="12" xfId="0" applyNumberFormat="1" applyFont="1" applyBorder="1" applyAlignment="1">
      <alignment horizontal="right" vertical="top" wrapText="1"/>
    </xf>
    <xf numFmtId="167" fontId="2" fillId="0" borderId="12" xfId="0" applyNumberFormat="1" applyFont="1" applyBorder="1" applyAlignment="1">
      <alignment horizontal="right" vertical="top" wrapText="1"/>
    </xf>
    <xf numFmtId="168" fontId="2" fillId="0" borderId="12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 horizontal="left" vertical="top"/>
    </xf>
    <xf numFmtId="168" fontId="2" fillId="0" borderId="0" xfId="0" applyNumberFormat="1" applyFont="1" applyAlignment="1">
      <alignment horizontal="right" vertical="top"/>
    </xf>
    <xf numFmtId="167" fontId="2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164" fontId="0" fillId="0" borderId="10" xfId="0" applyNumberFormat="1" applyFont="1" applyBorder="1" applyAlignment="1">
      <alignment horizontal="right" vertical="top"/>
    </xf>
    <xf numFmtId="169" fontId="0" fillId="0" borderId="0" xfId="0" applyNumberFormat="1" applyFont="1" applyAlignment="1">
      <alignment horizontal="right" vertical="top"/>
    </xf>
    <xf numFmtId="167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0" fillId="33" borderId="0" xfId="0" applyNumberFormat="1" applyFont="1" applyFill="1" applyBorder="1" applyAlignment="1">
      <alignment horizontal="right" vertical="top"/>
    </xf>
    <xf numFmtId="168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4" fontId="0" fillId="33" borderId="0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 horizontal="right" vertical="top"/>
    </xf>
    <xf numFmtId="171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horizontal="right" vertical="top"/>
    </xf>
    <xf numFmtId="49" fontId="0" fillId="0" borderId="13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left" vertical="top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right" vertical="top"/>
    </xf>
    <xf numFmtId="164" fontId="0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right" vertical="top"/>
    </xf>
    <xf numFmtId="167" fontId="0" fillId="0" borderId="0" xfId="0" applyNumberFormat="1" applyFont="1" applyAlignment="1">
      <alignment horizontal="right" vertical="top"/>
    </xf>
    <xf numFmtId="49" fontId="2" fillId="33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right" vertical="top"/>
    </xf>
    <xf numFmtId="170" fontId="0" fillId="0" borderId="0" xfId="0" applyNumberFormat="1" applyFont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836D~1\AppData\Local\Temp\&#1045;&#1076;&#1080;&#1085;&#1080;&#1095;&#1082;&#1080;%202%20&#1074;&#1072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о МДС 81-35.2004"/>
      <sheetName val="Ресурсы"/>
      <sheetName val="Базовые цены за единицу"/>
      <sheetName val="Текущие цены за единицу"/>
      <sheetName val="Базовые цены с учетом расхода"/>
      <sheetName val="Текущие цены с учетом расхода"/>
      <sheetName val="Начисления"/>
      <sheetName val="Определители"/>
      <sheetName val="Базовые концовки"/>
      <sheetName val="Текущие концов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601"/>
  <sheetViews>
    <sheetView tabSelected="1" zoomScalePageLayoutView="0" workbookViewId="0" topLeftCell="A1">
      <selection activeCell="S40" sqref="S40"/>
    </sheetView>
  </sheetViews>
  <sheetFormatPr defaultColWidth="9.140625" defaultRowHeight="10.5"/>
  <cols>
    <col min="1" max="1" width="7.8515625" style="1" customWidth="1"/>
    <col min="2" max="2" width="13.140625" style="1" customWidth="1"/>
    <col min="3" max="3" width="66.421875" style="1" customWidth="1"/>
    <col min="4" max="4" width="10.57421875" style="1" customWidth="1"/>
    <col min="5" max="7" width="11.28125" style="1" customWidth="1"/>
    <col min="8" max="8" width="15.00390625" style="1" customWidth="1"/>
    <col min="9" max="14" width="9.140625" style="1" hidden="1" customWidth="1"/>
    <col min="15" max="20" width="9.140625" style="1" customWidth="1"/>
    <col min="21" max="21" width="70.7109375" style="1" hidden="1" customWidth="1"/>
    <col min="22" max="22" width="9.140625" style="1" customWidth="1"/>
    <col min="23" max="23" width="80.7109375" style="1" hidden="1" customWidth="1"/>
    <col min="24" max="16384" width="9.140625" style="1" customWidth="1"/>
  </cols>
  <sheetData>
    <row r="1" spans="1:8" ht="10.5">
      <c r="A1" s="2" t="s">
        <v>0</v>
      </c>
      <c r="C1" s="2" t="s">
        <v>1</v>
      </c>
      <c r="H1" s="3" t="s">
        <v>2</v>
      </c>
    </row>
    <row r="3" spans="1:9" ht="45" customHeight="1">
      <c r="A3" s="59"/>
      <c r="B3" s="59"/>
      <c r="C3" s="59"/>
      <c r="D3" s="59"/>
      <c r="F3" s="64" t="s">
        <v>554</v>
      </c>
      <c r="G3" s="64"/>
      <c r="H3" s="64"/>
      <c r="I3" s="49"/>
    </row>
    <row r="4" spans="1:9" ht="10.5">
      <c r="A4" s="61"/>
      <c r="B4" s="61"/>
      <c r="C4" s="61"/>
      <c r="D4" s="61"/>
      <c r="F4" s="50"/>
      <c r="G4" s="51"/>
      <c r="H4" s="51"/>
      <c r="I4" s="51"/>
    </row>
    <row r="7" spans="2:21" ht="10.5">
      <c r="B7" s="7"/>
      <c r="C7" s="65"/>
      <c r="D7" s="59"/>
      <c r="E7" s="59"/>
      <c r="F7" s="59"/>
      <c r="G7" s="59"/>
      <c r="H7" s="59"/>
      <c r="U7" s="5" t="s">
        <v>3</v>
      </c>
    </row>
    <row r="8" spans="1:23" ht="10.5">
      <c r="A8" s="62" t="s">
        <v>552</v>
      </c>
      <c r="B8" s="62"/>
      <c r="C8" s="62"/>
      <c r="D8" s="62"/>
      <c r="E8" s="62"/>
      <c r="F8" s="62"/>
      <c r="G8" s="62"/>
      <c r="H8" s="62"/>
      <c r="W8" s="5" t="s">
        <v>4</v>
      </c>
    </row>
    <row r="9" spans="1:23" ht="10.5">
      <c r="A9" s="63" t="s">
        <v>5</v>
      </c>
      <c r="B9" s="63"/>
      <c r="C9" s="63"/>
      <c r="D9" s="63"/>
      <c r="E9" s="63"/>
      <c r="F9" s="63"/>
      <c r="G9" s="63"/>
      <c r="H9" s="63"/>
      <c r="W9" s="5" t="s">
        <v>5</v>
      </c>
    </row>
    <row r="10" spans="1:23" ht="26.25" customHeight="1">
      <c r="A10" s="64" t="s">
        <v>553</v>
      </c>
      <c r="B10" s="63"/>
      <c r="C10" s="63"/>
      <c r="D10" s="63"/>
      <c r="E10" s="63"/>
      <c r="F10" s="63"/>
      <c r="G10" s="63"/>
      <c r="H10" s="63"/>
      <c r="W10" s="5"/>
    </row>
    <row r="11" spans="5:8" ht="10.5" hidden="1">
      <c r="E11" s="7" t="s">
        <v>6</v>
      </c>
      <c r="F11" s="52" t="str">
        <f>TEXT((H578)/1000,"# ##0"&amp;GetSeparator()&amp;"000")</f>
        <v> 335,674</v>
      </c>
      <c r="G11" s="52"/>
      <c r="H11" s="9" t="s">
        <v>7</v>
      </c>
    </row>
    <row r="12" spans="5:8" ht="10.5" hidden="1">
      <c r="E12" s="7" t="s">
        <v>8</v>
      </c>
      <c r="F12" s="52" t="str">
        <f>TEXT((H589)/1000,"# ##0"&amp;GetSeparator()&amp;"000")</f>
        <v> 0,285</v>
      </c>
      <c r="G12" s="52"/>
      <c r="H12" s="9" t="s">
        <v>9</v>
      </c>
    </row>
    <row r="13" spans="5:8" ht="10.5" hidden="1">
      <c r="E13" s="7" t="s">
        <v>10</v>
      </c>
      <c r="F13" s="52" t="str">
        <f>TEXT((H586)/1000,"# ##0"&amp;GetSeparator()&amp;"000")</f>
        <v> 62,411</v>
      </c>
      <c r="G13" s="52"/>
      <c r="H13" s="9" t="s">
        <v>7</v>
      </c>
    </row>
    <row r="14" spans="1:8" ht="10.5">
      <c r="A14" s="55" t="s">
        <v>550</v>
      </c>
      <c r="B14" s="56"/>
      <c r="C14" s="56"/>
      <c r="D14" s="56"/>
      <c r="E14" s="56"/>
      <c r="F14" s="56"/>
      <c r="G14" s="56"/>
      <c r="H14" s="56"/>
    </row>
    <row r="15" ht="4.5" customHeight="1"/>
    <row r="16" spans="1:8" ht="21.75" customHeight="1">
      <c r="A16" s="57" t="s">
        <v>11</v>
      </c>
      <c r="B16" s="57" t="s">
        <v>12</v>
      </c>
      <c r="C16" s="57" t="s">
        <v>13</v>
      </c>
      <c r="D16" s="11" t="s">
        <v>14</v>
      </c>
      <c r="E16" s="66" t="s">
        <v>15</v>
      </c>
      <c r="F16" s="67"/>
      <c r="G16" s="66" t="s">
        <v>16</v>
      </c>
      <c r="H16" s="67"/>
    </row>
    <row r="17" spans="1:8" ht="21.75" customHeight="1">
      <c r="A17" s="58"/>
      <c r="B17" s="58"/>
      <c r="C17" s="58"/>
      <c r="D17" s="11" t="s">
        <v>17</v>
      </c>
      <c r="E17" s="11" t="s">
        <v>18</v>
      </c>
      <c r="F17" s="11" t="s">
        <v>19</v>
      </c>
      <c r="G17" s="11" t="s">
        <v>18</v>
      </c>
      <c r="H17" s="11" t="s">
        <v>20</v>
      </c>
    </row>
    <row r="18" spans="1:8" ht="10.5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</row>
    <row r="19" spans="1:14" ht="31.5" hidden="1">
      <c r="A19" s="13" t="s">
        <v>21</v>
      </c>
      <c r="B19" s="13" t="s">
        <v>22</v>
      </c>
      <c r="C19" s="13" t="s">
        <v>23</v>
      </c>
      <c r="D19" s="14" t="s">
        <v>24</v>
      </c>
      <c r="F19" s="15"/>
      <c r="G19" s="16">
        <f>ROUND(СУММПРОИЗВЕСЛИ(1,I19:I22,"s",E19:E22,G19:G22,0),2)</f>
        <v>702.75</v>
      </c>
      <c r="H19" s="17">
        <f>ROUND(СУММПРОИЗВЕСЛИ(F19,I19:I22,"s",E19:E22,G19:G22,0),0)</f>
        <v>0</v>
      </c>
      <c r="I19" s="1" t="s">
        <v>25</v>
      </c>
      <c r="M19" s="16">
        <f>ROUND(СУММПРОИЗВЕСЛИ(1,I19:I22,"s",E19:E22,M19:M22,0),2)</f>
        <v>78.1</v>
      </c>
      <c r="N19" s="16">
        <f>ROUND(СУММПРОИЗВЕСЛИ(F19,I19:I22,"s",E19:E22,M19:M22,0),2)</f>
        <v>0</v>
      </c>
    </row>
    <row r="20" spans="1:14" ht="10.5" hidden="1">
      <c r="A20" s="4" t="s">
        <v>26</v>
      </c>
      <c r="B20" s="4" t="s">
        <v>27</v>
      </c>
      <c r="C20" s="4" t="s">
        <v>28</v>
      </c>
      <c r="D20" s="5" t="s">
        <v>29</v>
      </c>
      <c r="E20" s="1">
        <f>ОКРУГЛВСЕ(СУММПРОИЗВЕСЛИ(1,K19:K22,"mWithZTM",D19:D22,E19:E22,-1)+СУММКОЭФПРОЦЕНТЕСЛИ(1,1,K19:K22,"mWithZTM_Proch",E19:E22,-1),11)</f>
        <v>0.42</v>
      </c>
      <c r="F20" s="1">
        <f>ОКРУГЛВСЕ(СУММПРОИЗВЕСЛИ(1,K19:K22,"mWithZTM",D19:D22,F19:F22,-1)+СУММКОЭФПРОЦЕНТЕСЛИ(1,1,K19:K22,"mWithZTM_Proch",F19:F22,-1),11)</f>
        <v>0</v>
      </c>
      <c r="G20" s="18">
        <f>IF(F20=0,0,ROUND(H20/F20,3))</f>
        <v>0</v>
      </c>
      <c r="H20" s="19">
        <f>ROUND(СУММЕСЛИДА1НЕ1(L19:L22,"mWithZPM",D19:D22,0,H19:H22),0)</f>
        <v>0</v>
      </c>
      <c r="J20" s="1" t="s">
        <v>30</v>
      </c>
      <c r="M20" s="18">
        <f>IF(F20=0,0,ROUND(N20/F20,3))</f>
        <v>0</v>
      </c>
      <c r="N20" s="20">
        <f>ROUND(СУММЕСЛИДА1НЕ1(L19:L22,"mWithZPM",D19:D22,0,N19:N22),2)</f>
        <v>0</v>
      </c>
    </row>
    <row r="21" spans="1:14" ht="10.5" hidden="1">
      <c r="A21" s="59" t="s">
        <v>31</v>
      </c>
      <c r="B21" s="60" t="str">
        <f>ПОЛУЧШИФР(Ресурсы!A13,0)</f>
        <v>х12-1342</v>
      </c>
      <c r="C21" s="59" t="str">
        <f>Ресурсы!B13</f>
        <v>Машины дорожные комбинированные, мощностью от 210 до 270 л.с.</v>
      </c>
      <c r="D21" s="21" t="s">
        <v>32</v>
      </c>
      <c r="E21" s="61">
        <v>0.42</v>
      </c>
      <c r="F21" s="61">
        <f>ОКРУГЛВСЕ(IF(E21="",0,E21)*IF(F19="",0,F19),11)</f>
        <v>0</v>
      </c>
      <c r="G21" s="22">
        <f>Ресурсы!D13</f>
        <v>1673.21</v>
      </c>
      <c r="H21" s="23">
        <f>ROUND(IF(F21="",0,F21)*IF(G21="",0,G21),0)</f>
        <v>0</v>
      </c>
      <c r="I21" s="1" t="s">
        <v>33</v>
      </c>
      <c r="J21" s="1" t="s">
        <v>34</v>
      </c>
      <c r="M21" s="22">
        <f>Ресурсы!C13</f>
        <v>185.95</v>
      </c>
      <c r="N21" s="22">
        <f>ROUND(IF(F21="",0,F21)*IF(M21="",0,M21),2)</f>
        <v>0</v>
      </c>
    </row>
    <row r="22" spans="1:14" ht="21" hidden="1">
      <c r="A22" s="59"/>
      <c r="B22" s="60"/>
      <c r="C22" s="59"/>
      <c r="D22" s="1">
        <f>Ресурсы!G13</f>
        <v>1</v>
      </c>
      <c r="E22" s="61"/>
      <c r="F22" s="61"/>
      <c r="G22" s="20">
        <f>Ресурсы!F13</f>
        <v>277.49</v>
      </c>
      <c r="H22" s="19">
        <f>ROUND(IF(F21="",0,F21)*IF(G22="",0,G22),0)</f>
        <v>0</v>
      </c>
      <c r="K22" s="1" t="s">
        <v>35</v>
      </c>
      <c r="L22" s="1" t="s">
        <v>36</v>
      </c>
      <c r="M22" s="20">
        <f>Ресурсы!E13</f>
        <v>13.5</v>
      </c>
      <c r="N22" s="20">
        <f>ROUND(IF(F21="",0,F21)*IF(M22="",0,M22),2)</f>
        <v>0</v>
      </c>
    </row>
    <row r="23" ht="10.5" hidden="1">
      <c r="C23" s="24" t="s">
        <v>37</v>
      </c>
    </row>
    <row r="24" spans="3:14" ht="10.5" hidden="1">
      <c r="C24" s="24" t="s">
        <v>38</v>
      </c>
      <c r="N24" s="1">
        <v>0.01</v>
      </c>
    </row>
    <row r="25" ht="10.5" hidden="1">
      <c r="C25" s="24" t="s">
        <v>39</v>
      </c>
    </row>
    <row r="26" ht="10.5" hidden="1">
      <c r="C26" s="24" t="s">
        <v>40</v>
      </c>
    </row>
    <row r="27" ht="10.5" hidden="1">
      <c r="C27" s="24" t="s">
        <v>41</v>
      </c>
    </row>
    <row r="28" spans="3:13" ht="21" hidden="1">
      <c r="C28" s="24" t="s">
        <v>42</v>
      </c>
      <c r="G28" s="25"/>
      <c r="I28" s="1" t="s">
        <v>43</v>
      </c>
      <c r="J28" s="1" t="s">
        <v>44</v>
      </c>
      <c r="M28" s="25"/>
    </row>
    <row r="29" ht="10.5" hidden="1">
      <c r="C29" s="24" t="s">
        <v>45</v>
      </c>
    </row>
    <row r="30" ht="10.5" hidden="1">
      <c r="C30" s="24" t="s">
        <v>46</v>
      </c>
    </row>
    <row r="31" ht="10.5" hidden="1">
      <c r="C31" s="24" t="s">
        <v>47</v>
      </c>
    </row>
    <row r="32" spans="3:14" ht="10.5" hidden="1">
      <c r="C32" s="24" t="s">
        <v>48</v>
      </c>
      <c r="H32" s="19">
        <f>IF('Текущие цены с учетом расхода'!N6&gt;0,'Текущие цены с учетом расхода'!N6,IF('Текущие цены с учетом расхода'!N6&lt;0,'Текущие цены с учетом расхода'!N6,""))</f>
      </c>
      <c r="J32" s="4" t="s">
        <v>49</v>
      </c>
      <c r="N32" s="20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</c>
    </row>
    <row r="33" spans="3:14" ht="10.5" hidden="1">
      <c r="C33" s="24" t="s">
        <v>50</v>
      </c>
      <c r="H33" s="19">
        <f>IF('Текущие цены с учетом расхода'!P6&gt;0,'Текущие цены с учетом расхода'!P6,IF('Текущие цены с учетом расхода'!P6&lt;0,'Текущие цены с учетом расхода'!P6,""))</f>
      </c>
      <c r="J33" s="4" t="s">
        <v>51</v>
      </c>
      <c r="N33" s="20">
        <f>IF('Базовые цены с учетом расхода'!P6&gt;0,'Базовые цены с учетом расхода'!P6,IF('Базовые цены с учетом расхода'!P6&lt;0,'Базовые цены с учетом расхода'!P6,""))</f>
      </c>
    </row>
    <row r="34" spans="3:14" ht="10.5" hidden="1">
      <c r="C34" s="24" t="s">
        <v>52</v>
      </c>
      <c r="H34" s="19">
        <f>IF('Текущие цены с учетом расхода'!Q6&gt;0,'Текущие цены с учетом расхода'!Q6,IF('Текущие цены с учетом расхода'!Q6&lt;0,'Текущие цены с учетом расхода'!Q6,""))</f>
      </c>
      <c r="J34" s="4" t="s">
        <v>53</v>
      </c>
      <c r="N34" s="20">
        <f>IF('Базовые цены с учетом расхода'!Q6&gt;0,'Базовые цены с учетом расхода'!Q6,IF('Базовые цены с учетом расхода'!Q6&lt;0,'Базовые цены с учетом расхода'!Q6,""))</f>
      </c>
    </row>
    <row r="35" spans="3:14" ht="10.5" hidden="1">
      <c r="C35" s="24" t="s">
        <v>54</v>
      </c>
      <c r="H35" s="19">
        <f>IF('Текущие цены с учетом расхода'!O6&gt;0,'Текущие цены с учетом расхода'!O6,IF('Текущие цены с учетом расхода'!O6&lt;0,'Текущие цены с учетом расхода'!O6,""))</f>
      </c>
      <c r="J35" s="4" t="s">
        <v>55</v>
      </c>
      <c r="N35" s="20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</c>
    </row>
    <row r="36" spans="3:14" ht="10.5" hidden="1">
      <c r="C36" s="24" t="s">
        <v>56</v>
      </c>
      <c r="H36" s="19">
        <f>IF('Текущие цены с учетом расхода'!R6&gt;0,'Текущие цены с учетом расхода'!R6,IF('Текущие цены с учетом расхода'!R6&lt;0,'Текущие цены с учетом расхода'!R6,""))</f>
      </c>
      <c r="J36" s="4" t="s">
        <v>57</v>
      </c>
      <c r="N36" s="20">
        <f>IF('Базовые цены с учетом расхода'!R6&gt;0,'Базовые цены с учетом расхода'!R6,IF('Базовые цены с учетом расхода'!R6&lt;0,'Базовые цены с учетом расхода'!R6,""))</f>
      </c>
    </row>
    <row r="37" spans="3:14" ht="10.5" hidden="1">
      <c r="C37" s="24" t="s">
        <v>58</v>
      </c>
      <c r="H37" s="19">
        <f>IF('Текущие цены с учетом расхода'!S6&gt;0,'Текущие цены с учетом расхода'!S6,IF('Текущие цены с учетом расхода'!S6&lt;0,'Текущие цены с учетом расхода'!S6,""))</f>
      </c>
      <c r="J37" s="4" t="s">
        <v>59</v>
      </c>
      <c r="N37" s="20">
        <f>IF('Базовые цены с учетом расхода'!S6&gt;0,'Базовые цены с учетом расхода'!S6,IF('Базовые цены с учетом расхода'!S6&lt;0,'Базовые цены с учетом расхода'!S6,""))</f>
      </c>
    </row>
    <row r="38" spans="1:14" ht="21">
      <c r="A38" s="26" t="s">
        <v>60</v>
      </c>
      <c r="B38" s="26" t="s">
        <v>61</v>
      </c>
      <c r="C38" s="26" t="s">
        <v>62</v>
      </c>
      <c r="D38" s="27" t="s">
        <v>63</v>
      </c>
      <c r="E38" s="28"/>
      <c r="F38" s="29">
        <v>6.214</v>
      </c>
      <c r="G38" s="30">
        <f>ROUND(СУММПРОИЗВЕСЛИ(1,I38:I48,"s",E38:E48,G38:G48,0),2)</f>
        <v>12000.03</v>
      </c>
      <c r="H38" s="31">
        <f>ROUND(СУММПРОИЗВЕСЛИ(F38,I38:I48,"s",E38:E48,G38:G48,0),0)</f>
        <v>74568</v>
      </c>
      <c r="I38" s="1" t="s">
        <v>25</v>
      </c>
      <c r="M38" s="16">
        <f>ROUND(СУММПРОИЗВЕСЛИ(1,I38:I48,"s",E38:E48,M38:M48,0),2)</f>
        <v>1310.9</v>
      </c>
      <c r="N38" s="16">
        <f>ROUND(СУММПРОИЗВЕСЛИ(F38,I38:I48,"s",E38:E48,M38:M48,0),2)</f>
        <v>8145.91</v>
      </c>
    </row>
    <row r="39" ht="10.5">
      <c r="C39" s="32" t="s">
        <v>64</v>
      </c>
    </row>
    <row r="40" spans="1:14" ht="10.5">
      <c r="A40" s="4" t="s">
        <v>65</v>
      </c>
      <c r="B40" s="6" t="str">
        <f>ПОЛУЧШИФР(Ресурсы!A6,1)</f>
        <v>З1-1018</v>
      </c>
      <c r="C40" s="4" t="str">
        <f>Ресурсы!B6</f>
        <v>Рабочий строитель среднего разряда 1,8</v>
      </c>
      <c r="D40" s="5" t="s">
        <v>29</v>
      </c>
      <c r="E40" s="1">
        <v>5.0508</v>
      </c>
      <c r="F40" s="1">
        <f>ОКРУГЛВСЕ(IF(E40="",0,E40)*IF(F38="",0,F38),11)</f>
        <v>31.3856712</v>
      </c>
      <c r="G40" s="18">
        <f>Ресурсы!D6</f>
        <v>193.04</v>
      </c>
      <c r="H40" s="19">
        <f>ROUND(IF(F40="",0,F40)*IF(G40="",0,G40),0)</f>
        <v>6059</v>
      </c>
      <c r="I40" s="1" t="s">
        <v>33</v>
      </c>
      <c r="J40" s="1" t="s">
        <v>66</v>
      </c>
      <c r="M40" s="18">
        <f>Ресурсы!C6</f>
        <v>8.21</v>
      </c>
      <c r="N40" s="20">
        <f>ROUND(IF(F40="",0,F40)*IF(M40="",0,M40),2)</f>
        <v>257.68</v>
      </c>
    </row>
    <row r="41" spans="1:14" ht="10.5">
      <c r="A41" s="4" t="s">
        <v>67</v>
      </c>
      <c r="B41" s="4" t="s">
        <v>27</v>
      </c>
      <c r="C41" s="4" t="s">
        <v>28</v>
      </c>
      <c r="D41" s="5" t="s">
        <v>29</v>
      </c>
      <c r="E41" s="1">
        <f>ОКРУГЛВСЕ(СУММПРОИЗВЕСЛИ(1,K38:K48,"mWithZTM",D38:D48,E38:E48,-1)+СУММКОЭФПРОЦЕНТЕСЛИ(1,1,K38:K48,"mWithZTM_Proch",E38:E48,-1),11)</f>
        <v>3.06</v>
      </c>
      <c r="F41" s="1">
        <f>ОКРУГЛВСЕ(СУММПРОИЗВЕСЛИ(1,K38:K48,"mWithZTM",D38:D48,F38:F48,-1)+СУММКОЭФПРОЦЕНТЕСЛИ(1,1,K38:K48,"mWithZTM_Proch",F38:F48,-1),11)</f>
        <v>19.01484</v>
      </c>
      <c r="G41" s="18">
        <f>IF(F41=0,0,ROUND(H41/F41,3))</f>
        <v>277.467</v>
      </c>
      <c r="H41" s="19">
        <f>ROUND(СУММЕСЛИДА1НЕ1(L38:L48,"mWithZPM",D38:D48,0,H38:H48),0)</f>
        <v>5276</v>
      </c>
      <c r="J41" s="1" t="s">
        <v>30</v>
      </c>
      <c r="M41" s="18">
        <f>IF(F41=0,0,ROUND(N41/F41,3))</f>
        <v>12.83</v>
      </c>
      <c r="N41" s="20">
        <f>ROUND(СУММЕСЛИДА1НЕ1(L38:L48,"mWithZPM",D38:D48,0,N38:N48),2)</f>
        <v>243.96</v>
      </c>
    </row>
    <row r="42" spans="1:14" ht="10.5">
      <c r="A42" s="59" t="s">
        <v>68</v>
      </c>
      <c r="B42" s="60" t="str">
        <f>ПОЛУЧШИФР(Ресурсы!A14,1)</f>
        <v>Х12-1400</v>
      </c>
      <c r="C42" s="59" t="str">
        <f>Ресурсы!B14</f>
        <v>Машины маркировочные</v>
      </c>
      <c r="D42" s="21" t="s">
        <v>32</v>
      </c>
      <c r="E42" s="61">
        <v>1.515</v>
      </c>
      <c r="F42" s="61">
        <f>ОКРУГЛВСЕ(IF(E42="",0,E42)*IF(F38="",0,F38),11)</f>
        <v>9.41421</v>
      </c>
      <c r="G42" s="22">
        <f>Ресурсы!D14</f>
        <v>861.73</v>
      </c>
      <c r="H42" s="23">
        <f>ROUND(IF(F42="",0,F42)*IF(G42="",0,G42),0)</f>
        <v>8113</v>
      </c>
      <c r="I42" s="1" t="s">
        <v>33</v>
      </c>
      <c r="J42" s="1" t="s">
        <v>34</v>
      </c>
      <c r="M42" s="22">
        <f>Ресурсы!C14</f>
        <v>71.94</v>
      </c>
      <c r="N42" s="22">
        <f>ROUND(IF(F42="",0,F42)*IF(M42="",0,M42),2)</f>
        <v>677.26</v>
      </c>
    </row>
    <row r="43" spans="1:14" ht="21">
      <c r="A43" s="59"/>
      <c r="B43" s="60"/>
      <c r="C43" s="59"/>
      <c r="D43" s="1">
        <f>Ресурсы!G14</f>
        <v>1</v>
      </c>
      <c r="E43" s="61"/>
      <c r="F43" s="61"/>
      <c r="G43" s="20">
        <f>Ресурсы!F14</f>
        <v>277.49</v>
      </c>
      <c r="H43" s="19">
        <f>ROUND(IF(F42="",0,F42)*IF(G43="",0,G43),0)</f>
        <v>2612</v>
      </c>
      <c r="K43" s="1" t="s">
        <v>35</v>
      </c>
      <c r="L43" s="1" t="s">
        <v>36</v>
      </c>
      <c r="M43" s="20">
        <f>Ресурсы!E14</f>
        <v>13.82</v>
      </c>
      <c r="N43" s="20">
        <f>ROUND(IF(F42="",0,F42)*IF(M43="",0,M43),2)</f>
        <v>130.1</v>
      </c>
    </row>
    <row r="44" spans="1:14" ht="10.5">
      <c r="A44" s="59" t="s">
        <v>69</v>
      </c>
      <c r="B44" s="60" t="str">
        <f>ПОЛУЧШИФР(Ресурсы!A16,1)</f>
        <v>Х12-1601</v>
      </c>
      <c r="C44" s="59" t="str">
        <f>Ресурсы!B16</f>
        <v>Машины поливомоечные 6000 л</v>
      </c>
      <c r="D44" s="21" t="s">
        <v>32</v>
      </c>
      <c r="E44" s="61">
        <v>1.545</v>
      </c>
      <c r="F44" s="61">
        <f>ОКРУГЛВСЕ(IF(E44="",0,E44)*IF(F38="",0,F38),11)</f>
        <v>9.60063</v>
      </c>
      <c r="G44" s="22">
        <f>Ресурсы!D16</f>
        <v>1404.4</v>
      </c>
      <c r="H44" s="23">
        <f>ROUND(IF(F44="",0,F44)*IF(G44="",0,G44),0)</f>
        <v>13483</v>
      </c>
      <c r="I44" s="1" t="s">
        <v>33</v>
      </c>
      <c r="J44" s="1" t="s">
        <v>34</v>
      </c>
      <c r="M44" s="22">
        <f>Ресурсы!C16</f>
        <v>159.97</v>
      </c>
      <c r="N44" s="22">
        <f>ROUND(IF(F44="",0,F44)*IF(M44="",0,M44),2)</f>
        <v>1535.81</v>
      </c>
    </row>
    <row r="45" spans="1:14" ht="21">
      <c r="A45" s="59"/>
      <c r="B45" s="60"/>
      <c r="C45" s="59"/>
      <c r="D45" s="1">
        <f>Ресурсы!G16</f>
        <v>1</v>
      </c>
      <c r="E45" s="61"/>
      <c r="F45" s="61"/>
      <c r="G45" s="20">
        <f>Ресурсы!F16</f>
        <v>277.49</v>
      </c>
      <c r="H45" s="19">
        <f>ROUND(IF(F44="",0,F44)*IF(G45="",0,G45),0)</f>
        <v>2664</v>
      </c>
      <c r="K45" s="1" t="s">
        <v>35</v>
      </c>
      <c r="L45" s="1" t="s">
        <v>36</v>
      </c>
      <c r="M45" s="20">
        <f>Ресурсы!E16</f>
        <v>11.86</v>
      </c>
      <c r="N45" s="20">
        <f>ROUND(IF(F44="",0,F44)*IF(M45="",0,M45),2)</f>
        <v>113.86</v>
      </c>
    </row>
    <row r="46" spans="1:14" ht="10.5">
      <c r="A46" s="4" t="s">
        <v>70</v>
      </c>
      <c r="B46" s="6" t="str">
        <f>ПОЛУЧШИФР(Ресурсы!A8,1)</f>
        <v>С101-1682</v>
      </c>
      <c r="C46" s="4" t="str">
        <f>Ресурсы!B8</f>
        <v>Шнур полиамидный крученый, диаметром 2 мм</v>
      </c>
      <c r="D46" s="5" t="s">
        <v>71</v>
      </c>
      <c r="E46" s="1">
        <v>0.0008</v>
      </c>
      <c r="F46" s="1">
        <f>ОКРУГЛВСЕ(IF(E46="",0,E46)*IF(F38="",0,F38),11)</f>
        <v>0.0049712</v>
      </c>
      <c r="G46" s="20">
        <f>ROUND(Ресурсы!D8*Начисления!AV7,2)</f>
        <v>256038.04</v>
      </c>
      <c r="H46" s="19">
        <f>ROUND(IF(F46="",0,F46)*IF(G46="",0,G46),0)</f>
        <v>1273</v>
      </c>
      <c r="I46" s="1" t="s">
        <v>33</v>
      </c>
      <c r="J46" s="1" t="s">
        <v>44</v>
      </c>
      <c r="M46" s="20">
        <f>ROUND(Ресурсы!C8*Начисления!AV7,2)</f>
        <v>42189</v>
      </c>
      <c r="N46" s="20">
        <f>ROUND(IF(F46="",0,F46)*IF(M46="",0,M46),2)</f>
        <v>209.73</v>
      </c>
    </row>
    <row r="47" spans="1:14" ht="10.5">
      <c r="A47" s="4" t="s">
        <v>72</v>
      </c>
      <c r="B47" s="6" t="str">
        <f>ПОЛУЧШИФР(Ресурсы!A9,1)</f>
        <v>С101-2775</v>
      </c>
      <c r="C47" s="4" t="str">
        <f>Ресурсы!B9</f>
        <v>Микросферы стеклянные для дорожной разметки</v>
      </c>
      <c r="D47" s="5" t="s">
        <v>71</v>
      </c>
      <c r="E47" s="1">
        <v>0.025</v>
      </c>
      <c r="F47" s="1">
        <f>ОКРУГЛВСЕ(IF(E47="",0,E47)*IF(F38="",0,F38),11)</f>
        <v>0.15535</v>
      </c>
      <c r="G47" s="20">
        <f>ROUND(Ресурсы!D9*Начисления!AV7,2)</f>
        <v>52294.91</v>
      </c>
      <c r="H47" s="19">
        <f>ROUND(IF(F47="",0,F47)*IF(G47="",0,G47),0)</f>
        <v>8124</v>
      </c>
      <c r="I47" s="1" t="s">
        <v>33</v>
      </c>
      <c r="J47" s="1" t="s">
        <v>44</v>
      </c>
      <c r="M47" s="20">
        <f>ROUND(Ресурсы!C9*Начисления!AV7,2)</f>
        <v>751.43</v>
      </c>
      <c r="N47" s="20">
        <f>ROUND(IF(F47="",0,F47)*IF(M47="",0,M47),2)</f>
        <v>116.73</v>
      </c>
    </row>
    <row r="48" spans="1:14" ht="10.5">
      <c r="A48" s="4" t="s">
        <v>73</v>
      </c>
      <c r="B48" s="6" t="str">
        <f>ПОЛУЧШИФР(Ресурсы!A11,0)</f>
        <v>с101-5889</v>
      </c>
      <c r="C48" s="4" t="str">
        <f>Ресурсы!B11</f>
        <v>Краска разметочная дорожная ИНДПОЛ, белая</v>
      </c>
      <c r="D48" s="5" t="s">
        <v>71</v>
      </c>
      <c r="E48" s="1">
        <v>0.042</v>
      </c>
      <c r="F48" s="1">
        <f>ОКРУГЛВСЕ(IF(E48="",0,E48)*IF(F38="",0,F38),11)</f>
        <v>0.260988</v>
      </c>
      <c r="G48" s="20">
        <f>ROUND(Ресурсы!D11*Начисления!AV7,2)</f>
        <v>143750</v>
      </c>
      <c r="H48" s="19">
        <f>ROUND(IF(F48="",0,F48)*IF(G48="",0,G48),0)</f>
        <v>37517</v>
      </c>
      <c r="I48" s="1" t="s">
        <v>33</v>
      </c>
      <c r="J48" s="1" t="s">
        <v>44</v>
      </c>
      <c r="M48" s="20">
        <f>ROUND(Ресурсы!C11*Начисления!AV7,2)</f>
        <v>20494.04</v>
      </c>
      <c r="N48" s="20">
        <f>ROUND(IF(F48="",0,F48)*IF(M48="",0,M48),2)</f>
        <v>5348.7</v>
      </c>
    </row>
    <row r="49" spans="3:14" ht="10.5" hidden="1">
      <c r="C49" s="24" t="s">
        <v>37</v>
      </c>
      <c r="H49" s="1">
        <v>975</v>
      </c>
      <c r="N49" s="1">
        <v>41.47</v>
      </c>
    </row>
    <row r="50" spans="3:14" ht="10.5" hidden="1">
      <c r="C50" s="24" t="s">
        <v>38</v>
      </c>
      <c r="H50" s="1">
        <v>3475</v>
      </c>
      <c r="N50" s="1">
        <v>356.14</v>
      </c>
    </row>
    <row r="51" spans="3:14" ht="10.5" hidden="1">
      <c r="C51" s="24" t="s">
        <v>39</v>
      </c>
      <c r="H51" s="1">
        <v>849</v>
      </c>
      <c r="N51" s="1">
        <v>39.26</v>
      </c>
    </row>
    <row r="52" spans="3:14" ht="10.5" hidden="1">
      <c r="C52" s="24" t="s">
        <v>40</v>
      </c>
      <c r="H52" s="1">
        <v>7550</v>
      </c>
      <c r="N52" s="1">
        <v>913.29</v>
      </c>
    </row>
    <row r="53" ht="10.5" hidden="1">
      <c r="C53" s="24" t="s">
        <v>41</v>
      </c>
    </row>
    <row r="54" spans="3:13" ht="21" hidden="1">
      <c r="C54" s="24" t="s">
        <v>42</v>
      </c>
      <c r="G54" s="25"/>
      <c r="I54" s="1" t="s">
        <v>43</v>
      </c>
      <c r="J54" s="1" t="s">
        <v>44</v>
      </c>
      <c r="M54" s="25"/>
    </row>
    <row r="55" ht="10.5" hidden="1">
      <c r="C55" s="24" t="s">
        <v>45</v>
      </c>
    </row>
    <row r="56" ht="10.5" hidden="1">
      <c r="C56" s="24" t="s">
        <v>46</v>
      </c>
    </row>
    <row r="57" ht="10.5" hidden="1">
      <c r="C57" s="24" t="s">
        <v>47</v>
      </c>
    </row>
    <row r="58" spans="3:14" ht="10.5">
      <c r="C58" s="24" t="s">
        <v>48</v>
      </c>
      <c r="G58" s="1">
        <v>127</v>
      </c>
      <c r="H58" s="19">
        <f>IF('Текущие цены с учетом расхода'!N7&gt;0,'Текущие цены с учетом расхода'!N7,IF('Текущие цены с учетом расхода'!N7&lt;0,'Текущие цены с учетом расхода'!N7,""))</f>
        <v>14395</v>
      </c>
      <c r="J58" s="4" t="s">
        <v>49</v>
      </c>
      <c r="M58" s="1">
        <v>149</v>
      </c>
      <c r="N58" s="20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747.44</v>
      </c>
    </row>
    <row r="59" spans="3:14" ht="10.5" hidden="1">
      <c r="C59" s="24" t="s">
        <v>50</v>
      </c>
      <c r="G59" s="1">
        <v>127</v>
      </c>
      <c r="H59" s="19">
        <f>IF('Текущие цены с учетом расхода'!P7&gt;0,'Текущие цены с учетом расхода'!P7,IF('Текущие цены с учетом расхода'!P7&lt;0,'Текущие цены с учетом расхода'!P7,""))</f>
        <v>7695</v>
      </c>
      <c r="J59" s="4" t="s">
        <v>51</v>
      </c>
      <c r="M59" s="1">
        <v>149</v>
      </c>
      <c r="N59" s="20">
        <f>IF('Базовые цены с учетом расхода'!P7&gt;0,'Базовые цены с учетом расхода'!P7,IF('Базовые цены с учетом расхода'!P7&lt;0,'Базовые цены с учетом расхода'!P7,""))</f>
        <v>383.96</v>
      </c>
    </row>
    <row r="60" spans="3:14" ht="10.5" hidden="1">
      <c r="C60" s="24" t="s">
        <v>52</v>
      </c>
      <c r="G60" s="1">
        <v>127</v>
      </c>
      <c r="H60" s="19">
        <f>IF('Текущие цены с учетом расхода'!Q7&gt;0,'Текущие цены с учетом расхода'!Q7,IF('Текущие цены с учетом расхода'!Q7&lt;0,'Текущие цены с учетом расхода'!Q7,""))</f>
        <v>6701</v>
      </c>
      <c r="J60" s="4" t="s">
        <v>53</v>
      </c>
      <c r="M60" s="1">
        <v>149</v>
      </c>
      <c r="N60" s="20">
        <f>IF('Базовые цены с учетом расхода'!Q7&gt;0,'Базовые цены с учетом расхода'!Q7,IF('Базовые цены с учетом расхода'!Q7&lt;0,'Базовые цены с учетом расхода'!Q7,""))</f>
        <v>363.5</v>
      </c>
    </row>
    <row r="61" spans="3:14" ht="10.5">
      <c r="C61" s="24" t="s">
        <v>54</v>
      </c>
      <c r="G61" s="1">
        <v>65</v>
      </c>
      <c r="H61" s="19">
        <f>IF('Текущие цены с учетом расхода'!O7&gt;0,'Текущие цены с учетом расхода'!O7,IF('Текущие цены с учетом расхода'!O7&lt;0,'Текущие цены с учетом расхода'!O7,""))</f>
        <v>7368</v>
      </c>
      <c r="J61" s="4" t="s">
        <v>55</v>
      </c>
      <c r="M61" s="1">
        <v>81</v>
      </c>
      <c r="N61" s="20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406.33</v>
      </c>
    </row>
    <row r="62" spans="3:14" ht="10.5" hidden="1">
      <c r="C62" s="24" t="s">
        <v>56</v>
      </c>
      <c r="G62" s="1">
        <v>65</v>
      </c>
      <c r="H62" s="19">
        <f>IF('Текущие цены с учетом расхода'!R7&gt;0,'Текущие цены с учетом расхода'!R7,IF('Текущие цены с учетом расхода'!R7&lt;0,'Текущие цены с учетом расхода'!R7,""))</f>
        <v>3938</v>
      </c>
      <c r="J62" s="4" t="s">
        <v>57</v>
      </c>
      <c r="M62" s="1">
        <v>81</v>
      </c>
      <c r="N62" s="20">
        <f>IF('Базовые цены с учетом расхода'!R7&gt;0,'Базовые цены с учетом расхода'!R7,IF('Базовые цены с учетом расхода'!R7&lt;0,'Базовые цены с учетом расхода'!R7,""))</f>
        <v>208.73</v>
      </c>
    </row>
    <row r="63" spans="3:14" ht="10.5" hidden="1">
      <c r="C63" s="24" t="s">
        <v>58</v>
      </c>
      <c r="G63" s="1">
        <v>65</v>
      </c>
      <c r="H63" s="19">
        <f>IF('Текущие цены с учетом расхода'!S7&gt;0,'Текущие цены с учетом расхода'!S7,IF('Текущие цены с учетом расхода'!S7&lt;0,'Текущие цены с учетом расхода'!S7,""))</f>
        <v>3430</v>
      </c>
      <c r="J63" s="4" t="s">
        <v>59</v>
      </c>
      <c r="M63" s="1">
        <v>81</v>
      </c>
      <c r="N63" s="20">
        <f>IF('Базовые цены с учетом расхода'!S7&gt;0,'Базовые цены с учетом расхода'!S7,IF('Базовые цены с учетом расхода'!S7&lt;0,'Базовые цены с учетом расхода'!S7,""))</f>
        <v>197.61</v>
      </c>
    </row>
    <row r="64" spans="3:14" ht="10.5">
      <c r="C64" s="24" t="s">
        <v>74</v>
      </c>
      <c r="H64" s="19">
        <f>ROUND(IF(H38="",0,H38)+IF(H58="",0,H58)+IF(H61="",0,H61),0)</f>
        <v>96331</v>
      </c>
      <c r="N64" s="20">
        <f>ROUND(IF(N38="",0,N38)+IF(N58="",0,N58)+IF(N61="",0,N61),2)</f>
        <v>9299.68</v>
      </c>
    </row>
    <row r="65" spans="1:14" ht="31.5" hidden="1">
      <c r="A65" s="26" t="s">
        <v>75</v>
      </c>
      <c r="B65" s="26" t="s">
        <v>76</v>
      </c>
      <c r="C65" s="26" t="s">
        <v>77</v>
      </c>
      <c r="D65" s="27" t="s">
        <v>63</v>
      </c>
      <c r="E65" s="28"/>
      <c r="F65" s="29"/>
      <c r="G65" s="30">
        <f>ROUND(СУММПРОИЗВЕСЛИ(1,I65:I75,"s",E65:E75,G65:G75,0),2)</f>
        <v>6490.85</v>
      </c>
      <c r="H65" s="31">
        <f>ROUND(СУММПРОИЗВЕСЛИ(F65,I65:I75,"s",E65:E75,G65:G75,0),0)</f>
        <v>0</v>
      </c>
      <c r="I65" s="1" t="s">
        <v>25</v>
      </c>
      <c r="M65" s="16">
        <f>ROUND(СУММПРОИЗВЕСЛИ(1,I65:I75,"s",E65:E75,M65:M75,0),2)</f>
        <v>651.24</v>
      </c>
      <c r="N65" s="16">
        <f>ROUND(СУММПРОИЗВЕСЛИ(F65,I65:I75,"s",E65:E75,M65:M75,0),2)</f>
        <v>0</v>
      </c>
    </row>
    <row r="66" ht="10.5" hidden="1">
      <c r="C66" s="32" t="s">
        <v>64</v>
      </c>
    </row>
    <row r="67" spans="1:14" ht="10.5" hidden="1">
      <c r="A67" s="4" t="s">
        <v>78</v>
      </c>
      <c r="B67" s="6" t="str">
        <f>ПОЛУЧШИФР(Ресурсы!A6,1)</f>
        <v>З1-1018</v>
      </c>
      <c r="C67" s="4" t="str">
        <f>Ресурсы!B6</f>
        <v>Рабочий строитель среднего разряда 1,8</v>
      </c>
      <c r="D67" s="5" t="s">
        <v>29</v>
      </c>
      <c r="E67" s="1">
        <v>5.0508</v>
      </c>
      <c r="F67" s="1">
        <f>ОКРУГЛВСЕ(IF(E67="",0,E67)*IF(F65="",0,F65),11)</f>
        <v>0</v>
      </c>
      <c r="G67" s="18">
        <f>Ресурсы!D6</f>
        <v>193.04</v>
      </c>
      <c r="H67" s="19">
        <f>ROUND(IF(F67="",0,F67)*IF(G67="",0,G67),0)</f>
        <v>0</v>
      </c>
      <c r="I67" s="1" t="s">
        <v>33</v>
      </c>
      <c r="J67" s="1" t="s">
        <v>66</v>
      </c>
      <c r="M67" s="18">
        <f>Ресурсы!C6</f>
        <v>8.21</v>
      </c>
      <c r="N67" s="20">
        <f>ROUND(IF(F67="",0,F67)*IF(M67="",0,M67),2)</f>
        <v>0</v>
      </c>
    </row>
    <row r="68" spans="1:14" ht="10.5" hidden="1">
      <c r="A68" s="4" t="s">
        <v>79</v>
      </c>
      <c r="B68" s="4" t="s">
        <v>27</v>
      </c>
      <c r="C68" s="4" t="s">
        <v>28</v>
      </c>
      <c r="D68" s="5" t="s">
        <v>29</v>
      </c>
      <c r="E68" s="1">
        <f>ОКРУГЛВСЕ(СУММПРОИЗВЕСЛИ(1,K65:K75,"mWithZTM",D65:D75,E65:E75,-1)+СУММКОЭФПРОЦЕНТЕСЛИ(1,1,K65:K75,"mWithZTM_Proch",E65:E75,-1),11)</f>
        <v>3.06</v>
      </c>
      <c r="F68" s="1">
        <f>ОКРУГЛВСЕ(СУММПРОИЗВЕСЛИ(1,K65:K75,"mWithZTM",D65:D75,F65:F75,-1)+СУММКОЭФПРОЦЕНТЕСЛИ(1,1,K65:K75,"mWithZTM_Proch",F65:F75,-1),11)</f>
        <v>0</v>
      </c>
      <c r="G68" s="18">
        <f>IF(F68=0,0,ROUND(H68/F68,3))</f>
        <v>0</v>
      </c>
      <c r="H68" s="19">
        <f>ROUND(СУММЕСЛИДА1НЕ1(L65:L75,"mWithZPM",D65:D75,0,H65:H75),0)</f>
        <v>0</v>
      </c>
      <c r="J68" s="1" t="s">
        <v>30</v>
      </c>
      <c r="M68" s="18">
        <f>IF(F68=0,0,ROUND(N68/F68,3))</f>
        <v>0</v>
      </c>
      <c r="N68" s="20">
        <f>ROUND(СУММЕСЛИДА1НЕ1(L65:L75,"mWithZPM",D65:D75,0,N65:N75),2)</f>
        <v>0</v>
      </c>
    </row>
    <row r="69" spans="1:14" ht="10.5" hidden="1">
      <c r="A69" s="59" t="s">
        <v>80</v>
      </c>
      <c r="B69" s="60" t="str">
        <f>ПОЛУЧШИФР(Ресурсы!A14,1)</f>
        <v>Х12-1400</v>
      </c>
      <c r="C69" s="59" t="str">
        <f>Ресурсы!B14</f>
        <v>Машины маркировочные</v>
      </c>
      <c r="D69" s="21" t="s">
        <v>32</v>
      </c>
      <c r="E69" s="61">
        <v>1.515</v>
      </c>
      <c r="F69" s="61">
        <f>ОКРУГЛВСЕ(IF(E69="",0,E69)*IF(F65="",0,F65),11)</f>
        <v>0</v>
      </c>
      <c r="G69" s="22">
        <f>Ресурсы!D14</f>
        <v>861.73</v>
      </c>
      <c r="H69" s="23">
        <f>ROUND(IF(F69="",0,F69)*IF(G69="",0,G69),0)</f>
        <v>0</v>
      </c>
      <c r="I69" s="1" t="s">
        <v>33</v>
      </c>
      <c r="J69" s="1" t="s">
        <v>34</v>
      </c>
      <c r="M69" s="22">
        <f>Ресурсы!C14</f>
        <v>71.94</v>
      </c>
      <c r="N69" s="22">
        <f>ROUND(IF(F69="",0,F69)*IF(M69="",0,M69),2)</f>
        <v>0</v>
      </c>
    </row>
    <row r="70" spans="1:14" ht="21" hidden="1">
      <c r="A70" s="59"/>
      <c r="B70" s="60"/>
      <c r="C70" s="59"/>
      <c r="D70" s="1">
        <f>Ресурсы!G14</f>
        <v>1</v>
      </c>
      <c r="E70" s="61"/>
      <c r="F70" s="61"/>
      <c r="G70" s="20">
        <f>Ресурсы!F14</f>
        <v>277.49</v>
      </c>
      <c r="H70" s="19">
        <f>ROUND(IF(F69="",0,F69)*IF(G70="",0,G70),0)</f>
        <v>0</v>
      </c>
      <c r="K70" s="1" t="s">
        <v>35</v>
      </c>
      <c r="L70" s="1" t="s">
        <v>36</v>
      </c>
      <c r="M70" s="20">
        <f>Ресурсы!E14</f>
        <v>13.82</v>
      </c>
      <c r="N70" s="20">
        <f>ROUND(IF(F69="",0,F69)*IF(M70="",0,M70),2)</f>
        <v>0</v>
      </c>
    </row>
    <row r="71" spans="1:14" ht="10.5" hidden="1">
      <c r="A71" s="59" t="s">
        <v>81</v>
      </c>
      <c r="B71" s="60" t="str">
        <f>ПОЛУЧШИФР(Ресурсы!A16,1)</f>
        <v>Х12-1601</v>
      </c>
      <c r="C71" s="59" t="str">
        <f>Ресурсы!B16</f>
        <v>Машины поливомоечные 6000 л</v>
      </c>
      <c r="D71" s="21" t="s">
        <v>32</v>
      </c>
      <c r="E71" s="61">
        <v>1.545</v>
      </c>
      <c r="F71" s="61">
        <f>ОКРУГЛВСЕ(IF(E71="",0,E71)*IF(F65="",0,F65),11)</f>
        <v>0</v>
      </c>
      <c r="G71" s="22">
        <f>Ресурсы!D16</f>
        <v>1404.4</v>
      </c>
      <c r="H71" s="23">
        <f>ROUND(IF(F71="",0,F71)*IF(G71="",0,G71),0)</f>
        <v>0</v>
      </c>
      <c r="I71" s="1" t="s">
        <v>33</v>
      </c>
      <c r="J71" s="1" t="s">
        <v>34</v>
      </c>
      <c r="M71" s="22">
        <f>Ресурсы!C16</f>
        <v>159.97</v>
      </c>
      <c r="N71" s="22">
        <f>ROUND(IF(F71="",0,F71)*IF(M71="",0,M71),2)</f>
        <v>0</v>
      </c>
    </row>
    <row r="72" spans="1:14" ht="21" hidden="1">
      <c r="A72" s="59"/>
      <c r="B72" s="60"/>
      <c r="C72" s="59"/>
      <c r="D72" s="1">
        <f>Ресурсы!G16</f>
        <v>1</v>
      </c>
      <c r="E72" s="61"/>
      <c r="F72" s="61"/>
      <c r="G72" s="20">
        <f>Ресурсы!F16</f>
        <v>277.49</v>
      </c>
      <c r="H72" s="19">
        <f>ROUND(IF(F71="",0,F71)*IF(G72="",0,G72),0)</f>
        <v>0</v>
      </c>
      <c r="K72" s="1" t="s">
        <v>35</v>
      </c>
      <c r="L72" s="1" t="s">
        <v>36</v>
      </c>
      <c r="M72" s="20">
        <f>Ресурсы!E16</f>
        <v>11.86</v>
      </c>
      <c r="N72" s="20">
        <f>ROUND(IF(F71="",0,F71)*IF(M72="",0,M72),2)</f>
        <v>0</v>
      </c>
    </row>
    <row r="73" spans="1:14" ht="10.5" hidden="1">
      <c r="A73" s="4" t="s">
        <v>82</v>
      </c>
      <c r="B73" s="6" t="str">
        <f>ПОЛУЧШИФР(Ресурсы!A8,1)</f>
        <v>С101-1682</v>
      </c>
      <c r="C73" s="4" t="str">
        <f>Ресурсы!B8</f>
        <v>Шнур полиамидный крученый, диаметром 2 мм</v>
      </c>
      <c r="D73" s="5" t="s">
        <v>71</v>
      </c>
      <c r="E73" s="1">
        <v>0.0008</v>
      </c>
      <c r="F73" s="1">
        <f>ОКРУГЛВСЕ(IF(E73="",0,E73)*IF(F65="",0,F65),11)</f>
        <v>0</v>
      </c>
      <c r="G73" s="20">
        <f>ROUND(Ресурсы!D8*Начисления!AV8,2)</f>
        <v>256038.04</v>
      </c>
      <c r="H73" s="19">
        <f>ROUND(IF(F73="",0,F73)*IF(G73="",0,G73),0)</f>
        <v>0</v>
      </c>
      <c r="I73" s="1" t="s">
        <v>33</v>
      </c>
      <c r="J73" s="1" t="s">
        <v>44</v>
      </c>
      <c r="M73" s="20">
        <f>ROUND(Ресурсы!C8*Начисления!AV8,2)</f>
        <v>42189</v>
      </c>
      <c r="N73" s="20">
        <f>ROUND(IF(F73="",0,F73)*IF(M73="",0,M73),2)</f>
        <v>0</v>
      </c>
    </row>
    <row r="74" spans="1:14" ht="10.5" hidden="1">
      <c r="A74" s="4" t="s">
        <v>83</v>
      </c>
      <c r="B74" s="6" t="str">
        <f>ПОЛУЧШИФР(Ресурсы!A9,1)</f>
        <v>С101-2775</v>
      </c>
      <c r="C74" s="4" t="str">
        <f>Ресурсы!B9</f>
        <v>Микросферы стеклянные для дорожной разметки</v>
      </c>
      <c r="D74" s="5" t="s">
        <v>71</v>
      </c>
      <c r="E74" s="1">
        <v>0.00624</v>
      </c>
      <c r="F74" s="1">
        <f>ОКРУГЛВСЕ(IF(E74="",0,E74)*IF(F65="",0,F65),11)</f>
        <v>0</v>
      </c>
      <c r="G74" s="20">
        <f>ROUND(Ресурсы!D9*Начисления!AV8,2)</f>
        <v>52294.91</v>
      </c>
      <c r="H74" s="19">
        <f>ROUND(IF(F74="",0,F74)*IF(G74="",0,G74),0)</f>
        <v>0</v>
      </c>
      <c r="I74" s="1" t="s">
        <v>33</v>
      </c>
      <c r="J74" s="1" t="s">
        <v>44</v>
      </c>
      <c r="M74" s="20">
        <f>ROUND(Ресурсы!C9*Начисления!AV8,2)</f>
        <v>751.43</v>
      </c>
      <c r="N74" s="20">
        <f>ROUND(IF(F74="",0,F74)*IF(M74="",0,M74),2)</f>
        <v>0</v>
      </c>
    </row>
    <row r="75" spans="1:14" ht="10.5" hidden="1">
      <c r="A75" s="4" t="s">
        <v>84</v>
      </c>
      <c r="B75" s="6" t="str">
        <f>ПОЛУЧШИФР(Ресурсы!A11,0)</f>
        <v>с101-5889</v>
      </c>
      <c r="C75" s="4" t="str">
        <f>Ресурсы!B11</f>
        <v>Краска разметочная дорожная ИНДПОЛ, белая</v>
      </c>
      <c r="D75" s="5" t="s">
        <v>71</v>
      </c>
      <c r="E75" s="1">
        <v>0.0105</v>
      </c>
      <c r="F75" s="1">
        <f>ОКРУГЛВСЕ(IF(E75="",0,E75)*IF(F65="",0,F65),11)</f>
        <v>0</v>
      </c>
      <c r="G75" s="20">
        <f>ROUND(Ресурсы!D11*Начисления!AV8,2)</f>
        <v>143750</v>
      </c>
      <c r="H75" s="19">
        <f>ROUND(IF(F75="",0,F75)*IF(G75="",0,G75),0)</f>
        <v>0</v>
      </c>
      <c r="I75" s="1" t="s">
        <v>33</v>
      </c>
      <c r="J75" s="1" t="s">
        <v>44</v>
      </c>
      <c r="M75" s="20">
        <f>ROUND(Ресурсы!C11*Начисления!AV8,2)</f>
        <v>20494.04</v>
      </c>
      <c r="N75" s="20">
        <f>ROUND(IF(F75="",0,F75)*IF(M75="",0,M75),2)</f>
        <v>0</v>
      </c>
    </row>
    <row r="76" spans="3:14" ht="10.5" hidden="1">
      <c r="C76" s="24" t="s">
        <v>37</v>
      </c>
      <c r="H76" s="1">
        <v>975</v>
      </c>
      <c r="N76" s="1">
        <v>41.47</v>
      </c>
    </row>
    <row r="77" spans="3:14" ht="10.5" hidden="1">
      <c r="C77" s="24" t="s">
        <v>38</v>
      </c>
      <c r="H77" s="1">
        <v>3475</v>
      </c>
      <c r="N77" s="1">
        <v>356.14</v>
      </c>
    </row>
    <row r="78" spans="3:14" ht="10.5" hidden="1">
      <c r="C78" s="24" t="s">
        <v>39</v>
      </c>
      <c r="H78" s="1">
        <v>849</v>
      </c>
      <c r="N78" s="1">
        <v>39.26</v>
      </c>
    </row>
    <row r="79" spans="3:14" ht="10.5" hidden="1">
      <c r="C79" s="24" t="s">
        <v>40</v>
      </c>
      <c r="H79" s="1">
        <v>2041</v>
      </c>
      <c r="N79" s="1">
        <v>253.63</v>
      </c>
    </row>
    <row r="80" ht="10.5" hidden="1">
      <c r="C80" s="24" t="s">
        <v>41</v>
      </c>
    </row>
    <row r="81" spans="3:13" ht="21" hidden="1">
      <c r="C81" s="24" t="s">
        <v>42</v>
      </c>
      <c r="G81" s="25"/>
      <c r="I81" s="1" t="s">
        <v>43</v>
      </c>
      <c r="J81" s="1" t="s">
        <v>44</v>
      </c>
      <c r="M81" s="25"/>
    </row>
    <row r="82" ht="10.5" hidden="1">
      <c r="C82" s="24" t="s">
        <v>45</v>
      </c>
    </row>
    <row r="83" ht="10.5" hidden="1">
      <c r="C83" s="24" t="s">
        <v>46</v>
      </c>
    </row>
    <row r="84" ht="10.5" hidden="1">
      <c r="C84" s="24" t="s">
        <v>47</v>
      </c>
    </row>
    <row r="85" spans="3:14" ht="10.5" hidden="1">
      <c r="C85" s="24" t="s">
        <v>48</v>
      </c>
      <c r="G85" s="1">
        <v>127</v>
      </c>
      <c r="H85" s="19">
        <f>IF('Текущие цены с учетом расхода'!N8&gt;0,'Текущие цены с учетом расхода'!N8,IF('Текущие цены с учетом расхода'!N8&lt;0,'Текущие цены с учетом расхода'!N8,""))</f>
      </c>
      <c r="J85" s="4" t="s">
        <v>49</v>
      </c>
      <c r="M85" s="1">
        <v>149</v>
      </c>
      <c r="N85" s="20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</c>
    </row>
    <row r="86" spans="3:14" ht="10.5" hidden="1">
      <c r="C86" s="24" t="s">
        <v>50</v>
      </c>
      <c r="G86" s="1">
        <v>127</v>
      </c>
      <c r="H86" s="19">
        <f>IF('Текущие цены с учетом расхода'!P8&gt;0,'Текущие цены с учетом расхода'!P8,IF('Текущие цены с учетом расхода'!P8&lt;0,'Текущие цены с учетом расхода'!P8,""))</f>
      </c>
      <c r="J86" s="4" t="s">
        <v>51</v>
      </c>
      <c r="M86" s="1">
        <v>149</v>
      </c>
      <c r="N86" s="20">
        <f>IF('Базовые цены с учетом расхода'!P8&gt;0,'Базовые цены с учетом расхода'!P8,IF('Базовые цены с учетом расхода'!P8&lt;0,'Базовые цены с учетом расхода'!P8,""))</f>
      </c>
    </row>
    <row r="87" spans="3:14" ht="10.5" hidden="1">
      <c r="C87" s="24" t="s">
        <v>52</v>
      </c>
      <c r="G87" s="1">
        <v>127</v>
      </c>
      <c r="H87" s="19">
        <f>IF('Текущие цены с учетом расхода'!Q8&gt;0,'Текущие цены с учетом расхода'!Q8,IF('Текущие цены с учетом расхода'!Q8&lt;0,'Текущие цены с учетом расхода'!Q8,""))</f>
      </c>
      <c r="J87" s="4" t="s">
        <v>53</v>
      </c>
      <c r="M87" s="1">
        <v>149</v>
      </c>
      <c r="N87" s="20">
        <f>IF('Базовые цены с учетом расхода'!Q8&gt;0,'Базовые цены с учетом расхода'!Q8,IF('Базовые цены с учетом расхода'!Q8&lt;0,'Базовые цены с учетом расхода'!Q8,""))</f>
      </c>
    </row>
    <row r="88" spans="3:14" ht="10.5" hidden="1">
      <c r="C88" s="24" t="s">
        <v>54</v>
      </c>
      <c r="G88" s="1">
        <v>65</v>
      </c>
      <c r="H88" s="19">
        <f>IF('Текущие цены с учетом расхода'!O8&gt;0,'Текущие цены с учетом расхода'!O8,IF('Текущие цены с учетом расхода'!O8&lt;0,'Текущие цены с учетом расхода'!O8,""))</f>
      </c>
      <c r="J88" s="4" t="s">
        <v>55</v>
      </c>
      <c r="M88" s="1">
        <v>81</v>
      </c>
      <c r="N88" s="20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</c>
    </row>
    <row r="89" spans="3:14" ht="10.5" hidden="1">
      <c r="C89" s="24" t="s">
        <v>56</v>
      </c>
      <c r="G89" s="1">
        <v>65</v>
      </c>
      <c r="H89" s="19">
        <f>IF('Текущие цены с учетом расхода'!R8&gt;0,'Текущие цены с учетом расхода'!R8,IF('Текущие цены с учетом расхода'!R8&lt;0,'Текущие цены с учетом расхода'!R8,""))</f>
      </c>
      <c r="J89" s="4" t="s">
        <v>57</v>
      </c>
      <c r="M89" s="1">
        <v>81</v>
      </c>
      <c r="N89" s="20">
        <f>IF('Базовые цены с учетом расхода'!R8&gt;0,'Базовые цены с учетом расхода'!R8,IF('Базовые цены с учетом расхода'!R8&lt;0,'Базовые цены с учетом расхода'!R8,""))</f>
      </c>
    </row>
    <row r="90" spans="3:14" ht="10.5" hidden="1">
      <c r="C90" s="24" t="s">
        <v>58</v>
      </c>
      <c r="G90" s="1">
        <v>65</v>
      </c>
      <c r="H90" s="19">
        <f>IF('Текущие цены с учетом расхода'!S8&gt;0,'Текущие цены с учетом расхода'!S8,IF('Текущие цены с учетом расхода'!S8&lt;0,'Текущие цены с учетом расхода'!S8,""))</f>
      </c>
      <c r="J90" s="4" t="s">
        <v>59</v>
      </c>
      <c r="M90" s="1">
        <v>81</v>
      </c>
      <c r="N90" s="20">
        <f>IF('Базовые цены с учетом расхода'!S8&gt;0,'Базовые цены с учетом расхода'!S8,IF('Базовые цены с учетом расхода'!S8&lt;0,'Базовые цены с учетом расхода'!S8,""))</f>
      </c>
    </row>
    <row r="91" spans="3:14" ht="10.5" hidden="1">
      <c r="C91" s="24" t="s">
        <v>74</v>
      </c>
      <c r="H91" s="19">
        <f>ROUND(IF(H65="",0,H65)+IF(H85="",0,H85)+IF(H88="",0,H88),0)</f>
        <v>0</v>
      </c>
      <c r="N91" s="20">
        <f>ROUND(IF(N65="",0,N65)+IF(N85="",0,N85)+IF(N88="",0,N88),2)</f>
        <v>0</v>
      </c>
    </row>
    <row r="92" spans="1:14" ht="31.5">
      <c r="A92" s="26" t="s">
        <v>85</v>
      </c>
      <c r="B92" s="26" t="s">
        <v>86</v>
      </c>
      <c r="C92" s="26" t="s">
        <v>87</v>
      </c>
      <c r="D92" s="27" t="s">
        <v>63</v>
      </c>
      <c r="E92" s="28"/>
      <c r="F92" s="29">
        <v>0.899</v>
      </c>
      <c r="G92" s="30">
        <f>ROUND(СУММПРОИЗВЕСЛИ(1,I92:I102,"s",E92:E102,G92:G102,0),2)</f>
        <v>10161.2</v>
      </c>
      <c r="H92" s="31">
        <f>ROUND(СУММПРОИЗВЕСЛИ(F92,I92:I102,"s",E92:E102,G92:G102,0),0)</f>
        <v>9135</v>
      </c>
      <c r="I92" s="1" t="s">
        <v>25</v>
      </c>
      <c r="M92" s="16">
        <f>ROUND(СУММПРОИЗВЕСЛИ(1,I92:I102,"s",E92:E102,M92:M102,0),2)</f>
        <v>1090.98</v>
      </c>
      <c r="N92" s="16">
        <f>ROUND(СУММПРОИЗВЕСЛИ(F92,I92:I102,"s",E92:E102,M92:M102,0),2)</f>
        <v>980.79</v>
      </c>
    </row>
    <row r="93" ht="10.5">
      <c r="C93" s="32" t="s">
        <v>64</v>
      </c>
    </row>
    <row r="94" spans="1:14" ht="10.5">
      <c r="A94" s="4" t="s">
        <v>88</v>
      </c>
      <c r="B94" s="6" t="str">
        <f>ПОЛУЧШИФР(Ресурсы!A6,1)</f>
        <v>З1-1018</v>
      </c>
      <c r="C94" s="4" t="str">
        <f>Ресурсы!B6</f>
        <v>Рабочий строитель среднего разряда 1,8</v>
      </c>
      <c r="D94" s="5" t="s">
        <v>29</v>
      </c>
      <c r="E94" s="1">
        <v>5.0508</v>
      </c>
      <c r="F94" s="1">
        <f>ОКРУГЛВСЕ(IF(E94="",0,E94)*IF(F92="",0,F92),11)</f>
        <v>4.5406692</v>
      </c>
      <c r="G94" s="18">
        <f>Ресурсы!D6</f>
        <v>193.04</v>
      </c>
      <c r="H94" s="19">
        <f>ROUND(IF(F94="",0,F94)*IF(G94="",0,G94),0)</f>
        <v>877</v>
      </c>
      <c r="I94" s="1" t="s">
        <v>33</v>
      </c>
      <c r="J94" s="1" t="s">
        <v>66</v>
      </c>
      <c r="M94" s="18">
        <f>Ресурсы!C6</f>
        <v>8.21</v>
      </c>
      <c r="N94" s="20">
        <f>ROUND(IF(F94="",0,F94)*IF(M94="",0,M94),2)</f>
        <v>37.28</v>
      </c>
    </row>
    <row r="95" spans="1:14" ht="10.5">
      <c r="A95" s="4" t="s">
        <v>89</v>
      </c>
      <c r="B95" s="4" t="s">
        <v>27</v>
      </c>
      <c r="C95" s="4" t="s">
        <v>28</v>
      </c>
      <c r="D95" s="5" t="s">
        <v>29</v>
      </c>
      <c r="E95" s="1">
        <f>ОКРУГЛВСЕ(СУММПРОИЗВЕСЛИ(1,K92:K102,"mWithZTM",D92:D102,E92:E102,-1)+СУММКОЭФПРОЦЕНТЕСЛИ(1,1,K92:K102,"mWithZTM_Proch",E92:E102,-1),11)</f>
        <v>3.06</v>
      </c>
      <c r="F95" s="1">
        <f>ОКРУГЛВСЕ(СУММПРОИЗВЕСЛИ(1,K92:K102,"mWithZTM",D92:D102,F92:F102,-1)+СУММКОЭФПРОЦЕНТЕСЛИ(1,1,K92:K102,"mWithZTM_Proch",F92:F102,-1),11)</f>
        <v>2.75094</v>
      </c>
      <c r="G95" s="18">
        <f>IF(F95=0,0,ROUND(H95/F95,3))</f>
        <v>277.36</v>
      </c>
      <c r="H95" s="19">
        <f>ROUND(СУММЕСЛИДА1НЕ1(L92:L102,"mWithZPM",D92:D102,0,H92:H102),0)</f>
        <v>763</v>
      </c>
      <c r="J95" s="1" t="s">
        <v>30</v>
      </c>
      <c r="M95" s="18">
        <f>IF(F95=0,0,ROUND(N95/F95,3))</f>
        <v>12.828</v>
      </c>
      <c r="N95" s="20">
        <f>ROUND(СУММЕСЛИДА1НЕ1(L92:L102,"mWithZPM",D92:D102,0,N92:N102),2)</f>
        <v>35.29</v>
      </c>
    </row>
    <row r="96" spans="1:14" ht="10.5">
      <c r="A96" s="59" t="s">
        <v>90</v>
      </c>
      <c r="B96" s="60" t="str">
        <f>ПОЛУЧШИФР(Ресурсы!A14,1)</f>
        <v>Х12-1400</v>
      </c>
      <c r="C96" s="59" t="str">
        <f>Ресурсы!B14</f>
        <v>Машины маркировочные</v>
      </c>
      <c r="D96" s="21" t="s">
        <v>32</v>
      </c>
      <c r="E96" s="61">
        <v>1.515</v>
      </c>
      <c r="F96" s="61">
        <f>ОКРУГЛВСЕ(IF(E96="",0,E96)*IF(F92="",0,F92),11)</f>
        <v>1.361985</v>
      </c>
      <c r="G96" s="22">
        <f>Ресурсы!D14</f>
        <v>861.73</v>
      </c>
      <c r="H96" s="23">
        <f>ROUND(IF(F96="",0,F96)*IF(G96="",0,G96),0)</f>
        <v>1174</v>
      </c>
      <c r="I96" s="1" t="s">
        <v>33</v>
      </c>
      <c r="J96" s="1" t="s">
        <v>34</v>
      </c>
      <c r="M96" s="22">
        <f>Ресурсы!C14</f>
        <v>71.94</v>
      </c>
      <c r="N96" s="22">
        <f>ROUND(IF(F96="",0,F96)*IF(M96="",0,M96),2)</f>
        <v>97.98</v>
      </c>
    </row>
    <row r="97" spans="1:14" ht="21">
      <c r="A97" s="59"/>
      <c r="B97" s="60"/>
      <c r="C97" s="59"/>
      <c r="D97" s="1">
        <f>Ресурсы!G14</f>
        <v>1</v>
      </c>
      <c r="E97" s="61"/>
      <c r="F97" s="61"/>
      <c r="G97" s="20">
        <f>Ресурсы!F14</f>
        <v>277.49</v>
      </c>
      <c r="H97" s="19">
        <f>ROUND(IF(F96="",0,F96)*IF(G97="",0,G97),0)</f>
        <v>378</v>
      </c>
      <c r="K97" s="1" t="s">
        <v>35</v>
      </c>
      <c r="L97" s="1" t="s">
        <v>36</v>
      </c>
      <c r="M97" s="20">
        <f>Ресурсы!E14</f>
        <v>13.82</v>
      </c>
      <c r="N97" s="20">
        <f>ROUND(IF(F96="",0,F96)*IF(M97="",0,M97),2)</f>
        <v>18.82</v>
      </c>
    </row>
    <row r="98" spans="1:14" ht="10.5">
      <c r="A98" s="59" t="s">
        <v>91</v>
      </c>
      <c r="B98" s="60" t="str">
        <f>ПОЛУЧШИФР(Ресурсы!A16,1)</f>
        <v>Х12-1601</v>
      </c>
      <c r="C98" s="59" t="str">
        <f>Ресурсы!B16</f>
        <v>Машины поливомоечные 6000 л</v>
      </c>
      <c r="D98" s="21" t="s">
        <v>32</v>
      </c>
      <c r="E98" s="61">
        <v>1.545</v>
      </c>
      <c r="F98" s="61">
        <f>ОКРУГЛВСЕ(IF(E98="",0,E98)*IF(F92="",0,F92),11)</f>
        <v>1.388955</v>
      </c>
      <c r="G98" s="22">
        <f>Ресурсы!D16</f>
        <v>1404.4</v>
      </c>
      <c r="H98" s="23">
        <f>ROUND(IF(F98="",0,F98)*IF(G98="",0,G98),0)</f>
        <v>1951</v>
      </c>
      <c r="I98" s="1" t="s">
        <v>33</v>
      </c>
      <c r="J98" s="1" t="s">
        <v>34</v>
      </c>
      <c r="M98" s="22">
        <f>Ресурсы!C16</f>
        <v>159.97</v>
      </c>
      <c r="N98" s="22">
        <f>ROUND(IF(F98="",0,F98)*IF(M98="",0,M98),2)</f>
        <v>222.19</v>
      </c>
    </row>
    <row r="99" spans="1:14" ht="21">
      <c r="A99" s="59"/>
      <c r="B99" s="60"/>
      <c r="C99" s="59"/>
      <c r="D99" s="1">
        <f>Ресурсы!G16</f>
        <v>1</v>
      </c>
      <c r="E99" s="61"/>
      <c r="F99" s="61"/>
      <c r="G99" s="20">
        <f>Ресурсы!F16</f>
        <v>277.49</v>
      </c>
      <c r="H99" s="19">
        <f>ROUND(IF(F98="",0,F98)*IF(G99="",0,G99),0)</f>
        <v>385</v>
      </c>
      <c r="K99" s="1" t="s">
        <v>35</v>
      </c>
      <c r="L99" s="1" t="s">
        <v>36</v>
      </c>
      <c r="M99" s="20">
        <f>Ресурсы!E16</f>
        <v>11.86</v>
      </c>
      <c r="N99" s="20">
        <f>ROUND(IF(F98="",0,F98)*IF(M99="",0,M99),2)</f>
        <v>16.47</v>
      </c>
    </row>
    <row r="100" spans="1:14" ht="10.5">
      <c r="A100" s="4" t="s">
        <v>92</v>
      </c>
      <c r="B100" s="6" t="str">
        <f>ПОЛУЧШИФР(Ресурсы!A8,1)</f>
        <v>С101-1682</v>
      </c>
      <c r="C100" s="4" t="str">
        <f>Ресурсы!B8</f>
        <v>Шнур полиамидный крученый, диаметром 2 мм</v>
      </c>
      <c r="D100" s="5" t="s">
        <v>71</v>
      </c>
      <c r="E100" s="1">
        <v>0.0008</v>
      </c>
      <c r="F100" s="1">
        <f>ОКРУГЛВСЕ(IF(E100="",0,E100)*IF(F92="",0,F92),11)</f>
        <v>0.0007192</v>
      </c>
      <c r="G100" s="20">
        <f>ROUND(Ресурсы!D8*Начисления!AV9,2)</f>
        <v>256038.04</v>
      </c>
      <c r="H100" s="19">
        <f>ROUND(IF(F100="",0,F100)*IF(G100="",0,G100),0)</f>
        <v>184</v>
      </c>
      <c r="I100" s="1" t="s">
        <v>33</v>
      </c>
      <c r="J100" s="1" t="s">
        <v>44</v>
      </c>
      <c r="M100" s="20">
        <f>ROUND(Ресурсы!C8*Начисления!AV9,2)</f>
        <v>42189</v>
      </c>
      <c r="N100" s="20">
        <f>ROUND(IF(F100="",0,F100)*IF(M100="",0,M100),2)</f>
        <v>30.34</v>
      </c>
    </row>
    <row r="101" spans="1:14" ht="10.5">
      <c r="A101" s="4" t="s">
        <v>93</v>
      </c>
      <c r="B101" s="6" t="str">
        <f>ПОЛУЧШИФР(Ресурсы!A9,1)</f>
        <v>С101-2775</v>
      </c>
      <c r="C101" s="4" t="str">
        <f>Ресурсы!B9</f>
        <v>Микросферы стеклянные для дорожной разметки</v>
      </c>
      <c r="D101" s="5" t="s">
        <v>71</v>
      </c>
      <c r="E101" s="1">
        <v>0.0187</v>
      </c>
      <c r="F101" s="1">
        <f>ОКРУГЛВСЕ(IF(E101="",0,E101)*IF(F92="",0,F92),11)</f>
        <v>0.0168113</v>
      </c>
      <c r="G101" s="20">
        <f>ROUND(Ресурсы!D9*Начисления!AV9,2)</f>
        <v>52294.91</v>
      </c>
      <c r="H101" s="19">
        <f>ROUND(IF(F101="",0,F101)*IF(G101="",0,G101),0)</f>
        <v>879</v>
      </c>
      <c r="I101" s="1" t="s">
        <v>33</v>
      </c>
      <c r="J101" s="1" t="s">
        <v>44</v>
      </c>
      <c r="M101" s="20">
        <f>ROUND(Ресурсы!C9*Начисления!AV9,2)</f>
        <v>751.43</v>
      </c>
      <c r="N101" s="20">
        <f>ROUND(IF(F101="",0,F101)*IF(M101="",0,M101),2)</f>
        <v>12.63</v>
      </c>
    </row>
    <row r="102" spans="1:14" ht="10.5">
      <c r="A102" s="4" t="s">
        <v>94</v>
      </c>
      <c r="B102" s="6" t="str">
        <f>ПОЛУЧШИФР(Ресурсы!A11,1)</f>
        <v>С101-5889</v>
      </c>
      <c r="C102" s="4" t="str">
        <f>Ресурсы!B11</f>
        <v>Краска разметочная дорожная ИНДПОЛ, белая</v>
      </c>
      <c r="D102" s="5" t="s">
        <v>71</v>
      </c>
      <c r="E102" s="1">
        <v>0.0315</v>
      </c>
      <c r="F102" s="1">
        <f>ОКРУГЛВСЕ(IF(E102="",0,E102)*IF(F92="",0,F92),11)</f>
        <v>0.0283185</v>
      </c>
      <c r="G102" s="20">
        <f>ROUND(Ресурсы!D11*Начисления!AV9,2)</f>
        <v>143750</v>
      </c>
      <c r="H102" s="19">
        <f>ROUND(IF(F102="",0,F102)*IF(G102="",0,G102),0)</f>
        <v>4071</v>
      </c>
      <c r="I102" s="1" t="s">
        <v>33</v>
      </c>
      <c r="J102" s="1" t="s">
        <v>44</v>
      </c>
      <c r="M102" s="20">
        <f>ROUND(Ресурсы!C11*Начисления!AV9,2)</f>
        <v>20494.04</v>
      </c>
      <c r="N102" s="20">
        <f>ROUND(IF(F102="",0,F102)*IF(M102="",0,M102),2)</f>
        <v>580.36</v>
      </c>
    </row>
    <row r="103" spans="3:14" ht="10.5" hidden="1">
      <c r="C103" s="24" t="s">
        <v>37</v>
      </c>
      <c r="H103" s="1">
        <v>975</v>
      </c>
      <c r="N103" s="1">
        <v>41.47</v>
      </c>
    </row>
    <row r="104" spans="3:14" ht="10.5" hidden="1">
      <c r="C104" s="24" t="s">
        <v>38</v>
      </c>
      <c r="H104" s="1">
        <v>3475</v>
      </c>
      <c r="N104" s="1">
        <v>356.14</v>
      </c>
    </row>
    <row r="105" spans="3:14" ht="10.5" hidden="1">
      <c r="C105" s="24" t="s">
        <v>39</v>
      </c>
      <c r="H105" s="1">
        <v>849</v>
      </c>
      <c r="N105" s="1">
        <v>39.26</v>
      </c>
    </row>
    <row r="106" spans="3:14" ht="10.5" hidden="1">
      <c r="C106" s="24" t="s">
        <v>40</v>
      </c>
      <c r="H106" s="1">
        <v>5711</v>
      </c>
      <c r="N106" s="1">
        <v>693.37</v>
      </c>
    </row>
    <row r="107" ht="10.5" hidden="1">
      <c r="C107" s="24" t="s">
        <v>41</v>
      </c>
    </row>
    <row r="108" spans="3:13" ht="21" hidden="1">
      <c r="C108" s="24" t="s">
        <v>42</v>
      </c>
      <c r="G108" s="25"/>
      <c r="I108" s="1" t="s">
        <v>43</v>
      </c>
      <c r="J108" s="1" t="s">
        <v>44</v>
      </c>
      <c r="M108" s="25"/>
    </row>
    <row r="109" ht="10.5" hidden="1">
      <c r="C109" s="24" t="s">
        <v>45</v>
      </c>
    </row>
    <row r="110" ht="10.5" hidden="1">
      <c r="C110" s="24" t="s">
        <v>46</v>
      </c>
    </row>
    <row r="111" ht="10.5" hidden="1">
      <c r="C111" s="24" t="s">
        <v>47</v>
      </c>
    </row>
    <row r="112" spans="3:14" ht="10.5">
      <c r="C112" s="24" t="s">
        <v>48</v>
      </c>
      <c r="G112" s="1">
        <v>127</v>
      </c>
      <c r="H112" s="19">
        <f>IF('Текущие цены с учетом расхода'!N9&gt;0,'Текущие цены с учетом расхода'!N9,IF('Текущие цены с учетом расхода'!N9&lt;0,'Текущие цены с учетом расхода'!N9,""))</f>
        <v>2083</v>
      </c>
      <c r="J112" s="4" t="s">
        <v>49</v>
      </c>
      <c r="M112" s="1">
        <v>149</v>
      </c>
      <c r="N112" s="20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108.13</v>
      </c>
    </row>
    <row r="113" spans="3:14" ht="10.5" hidden="1">
      <c r="C113" s="24" t="s">
        <v>50</v>
      </c>
      <c r="G113" s="1">
        <v>127</v>
      </c>
      <c r="H113" s="19">
        <f>IF('Текущие цены с учетом расхода'!P9&gt;0,'Текущие цены с учетом расхода'!P9,IF('Текущие цены с учетом расхода'!P9&lt;0,'Текущие цены с учетом расхода'!P9,""))</f>
        <v>1113</v>
      </c>
      <c r="J113" s="4" t="s">
        <v>51</v>
      </c>
      <c r="M113" s="1">
        <v>149</v>
      </c>
      <c r="N113" s="20">
        <f>IF('Базовые цены с учетом расхода'!P9&gt;0,'Базовые цены с учетом расхода'!P9,IF('Базовые цены с учетом расхода'!P9&lt;0,'Базовые цены с учетом расхода'!P9,""))</f>
        <v>55.55</v>
      </c>
    </row>
    <row r="114" spans="3:14" ht="10.5" hidden="1">
      <c r="C114" s="24" t="s">
        <v>52</v>
      </c>
      <c r="G114" s="1">
        <v>127</v>
      </c>
      <c r="H114" s="19">
        <f>IF('Текущие цены с учетом расхода'!Q9&gt;0,'Текущие цены с учетом расхода'!Q9,IF('Текущие цены с учетом расхода'!Q9&lt;0,'Текущие цены с учетом расхода'!Q9,""))</f>
        <v>969</v>
      </c>
      <c r="J114" s="4" t="s">
        <v>53</v>
      </c>
      <c r="M114" s="1">
        <v>149</v>
      </c>
      <c r="N114" s="20">
        <f>IF('Базовые цены с учетом расхода'!Q9&gt;0,'Базовые цены с учетом расхода'!Q9,IF('Базовые цены с учетом расхода'!Q9&lt;0,'Базовые цены с учетом расхода'!Q9,""))</f>
        <v>52.59</v>
      </c>
    </row>
    <row r="115" spans="3:14" ht="10.5">
      <c r="C115" s="24" t="s">
        <v>54</v>
      </c>
      <c r="G115" s="1">
        <v>65</v>
      </c>
      <c r="H115" s="19">
        <f>IF('Текущие цены с учетом расхода'!O9&gt;0,'Текущие цены с учетом расхода'!O9,IF('Текущие цены с учетом расхода'!O9&lt;0,'Текущие цены с учетом расхода'!O9,""))</f>
        <v>1066</v>
      </c>
      <c r="J115" s="4" t="s">
        <v>55</v>
      </c>
      <c r="M115" s="1">
        <v>81</v>
      </c>
      <c r="N115" s="20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58.78</v>
      </c>
    </row>
    <row r="116" spans="3:14" ht="10.5" hidden="1">
      <c r="C116" s="24" t="s">
        <v>56</v>
      </c>
      <c r="G116" s="1">
        <v>65</v>
      </c>
      <c r="H116" s="19">
        <f>IF('Текущие цены с учетом расхода'!R9&gt;0,'Текущие цены с учетом расхода'!R9,IF('Текущие цены с учетом расхода'!R9&lt;0,'Текущие цены с учетом расхода'!R9,""))</f>
        <v>570</v>
      </c>
      <c r="J116" s="4" t="s">
        <v>57</v>
      </c>
      <c r="M116" s="1">
        <v>81</v>
      </c>
      <c r="N116" s="20">
        <f>IF('Базовые цены с учетом расхода'!R9&gt;0,'Базовые цены с учетом расхода'!R9,IF('Базовые цены с учетом расхода'!R9&lt;0,'Базовые цены с учетом расхода'!R9,""))</f>
        <v>30.2</v>
      </c>
    </row>
    <row r="117" spans="3:14" ht="10.5" hidden="1">
      <c r="C117" s="24" t="s">
        <v>58</v>
      </c>
      <c r="G117" s="1">
        <v>65</v>
      </c>
      <c r="H117" s="19">
        <f>IF('Текущие цены с учетом расхода'!S9&gt;0,'Текущие цены с учетом расхода'!S9,IF('Текущие цены с учетом расхода'!S9&lt;0,'Текущие цены с учетом расхода'!S9,""))</f>
        <v>496</v>
      </c>
      <c r="J117" s="4" t="s">
        <v>59</v>
      </c>
      <c r="M117" s="1">
        <v>81</v>
      </c>
      <c r="N117" s="20">
        <f>IF('Базовые цены с учетом расхода'!S9&gt;0,'Базовые цены с учетом расхода'!S9,IF('Базовые цены с учетом расхода'!S9&lt;0,'Базовые цены с учетом расхода'!S9,""))</f>
        <v>28.59</v>
      </c>
    </row>
    <row r="118" spans="3:14" ht="10.5">
      <c r="C118" s="24" t="s">
        <v>74</v>
      </c>
      <c r="H118" s="19">
        <f>ROUND(IF(H92="",0,H92)+IF(H112="",0,H112)+IF(H115="",0,H115),0)</f>
        <v>12284</v>
      </c>
      <c r="N118" s="20">
        <f>ROUND(IF(N92="",0,N92)+IF(N112="",0,N112)+IF(N115="",0,N115),2)</f>
        <v>1147.7</v>
      </c>
    </row>
    <row r="119" spans="1:14" ht="31.5">
      <c r="A119" s="26" t="s">
        <v>95</v>
      </c>
      <c r="B119" s="26" t="s">
        <v>96</v>
      </c>
      <c r="C119" s="26" t="s">
        <v>97</v>
      </c>
      <c r="D119" s="27" t="s">
        <v>63</v>
      </c>
      <c r="E119" s="28"/>
      <c r="F119" s="29">
        <v>0.685</v>
      </c>
      <c r="G119" s="30">
        <f>ROUND(СУММПРОИЗВЕСЛИ(1,I119:I129,"s",E119:E129,G119:G129,0),2)</f>
        <v>8327.59</v>
      </c>
      <c r="H119" s="31">
        <f>ROUND(СУММПРОИЗВЕСЛИ(F119,I119:I129,"s",E119:E129,G119:G129,0),0)</f>
        <v>5704</v>
      </c>
      <c r="I119" s="1" t="s">
        <v>25</v>
      </c>
      <c r="M119" s="16">
        <f>ROUND(СУММПРОИЗВЕСЛИ(1,I119:I129,"s",E119:E129,M119:M129,0),2)</f>
        <v>871.13</v>
      </c>
      <c r="N119" s="16">
        <f>ROUND(СУММПРОИЗВЕСЛИ(F119,I119:I129,"s",E119:E129,M119:M129,0),2)</f>
        <v>596.72</v>
      </c>
    </row>
    <row r="120" ht="10.5">
      <c r="C120" s="32" t="s">
        <v>64</v>
      </c>
    </row>
    <row r="121" spans="1:14" ht="10.5">
      <c r="A121" s="4" t="s">
        <v>98</v>
      </c>
      <c r="B121" s="6" t="str">
        <f>ПОЛУЧШИФР(Ресурсы!A6,1)</f>
        <v>З1-1018</v>
      </c>
      <c r="C121" s="4" t="str">
        <f>Ресурсы!B6</f>
        <v>Рабочий строитель среднего разряда 1,8</v>
      </c>
      <c r="D121" s="5" t="s">
        <v>29</v>
      </c>
      <c r="E121" s="1">
        <v>5.0508</v>
      </c>
      <c r="F121" s="1">
        <f>ОКРУГЛВСЕ(IF(E121="",0,E121)*IF(F119="",0,F119),11)</f>
        <v>3.459798</v>
      </c>
      <c r="G121" s="18">
        <f>Ресурсы!D6</f>
        <v>193.04</v>
      </c>
      <c r="H121" s="19">
        <f>ROUND(IF(F121="",0,F121)*IF(G121="",0,G121),0)</f>
        <v>668</v>
      </c>
      <c r="I121" s="1" t="s">
        <v>33</v>
      </c>
      <c r="J121" s="1" t="s">
        <v>66</v>
      </c>
      <c r="M121" s="18">
        <f>Ресурсы!C6</f>
        <v>8.21</v>
      </c>
      <c r="N121" s="20">
        <f>ROUND(IF(F121="",0,F121)*IF(M121="",0,M121),2)</f>
        <v>28.4</v>
      </c>
    </row>
    <row r="122" spans="1:14" ht="10.5">
      <c r="A122" s="4" t="s">
        <v>99</v>
      </c>
      <c r="B122" s="4" t="s">
        <v>27</v>
      </c>
      <c r="C122" s="4" t="s">
        <v>28</v>
      </c>
      <c r="D122" s="5" t="s">
        <v>29</v>
      </c>
      <c r="E122" s="1">
        <f>ОКРУГЛВСЕ(СУММПРОИЗВЕСЛИ(1,K119:K129,"mWithZTM",D119:D129,E119:E129,-1)+СУММКОЭФПРОЦЕНТЕСЛИ(1,1,K119:K129,"mWithZTM_Proch",E119:E129,-1),11)</f>
        <v>3.06</v>
      </c>
      <c r="F122" s="1">
        <f>ОКРУГЛВСЕ(СУММПРОИЗВЕСЛИ(1,K119:K129,"mWithZTM",D119:D129,F119:F129,-1)+СУММКОЭФПРОЦЕНТЕСЛИ(1,1,K119:K129,"mWithZTM_Proch",F119:F129,-1),11)</f>
        <v>2.0961</v>
      </c>
      <c r="G122" s="18">
        <f>IF(F122=0,0,ROUND(H122/F122,3))</f>
        <v>277.659</v>
      </c>
      <c r="H122" s="19">
        <f>ROUND(СУММЕСЛИДА1НЕ1(L119:L129,"mWithZPM",D119:D129,0,H119:H129),0)</f>
        <v>582</v>
      </c>
      <c r="J122" s="1" t="s">
        <v>30</v>
      </c>
      <c r="M122" s="18">
        <f>IF(F122=0,0,ROUND(N122/F122,3))</f>
        <v>12.829</v>
      </c>
      <c r="N122" s="20">
        <f>ROUND(СУММЕСЛИДА1НЕ1(L119:L129,"mWithZPM",D119:D129,0,N119:N129),2)</f>
        <v>26.89</v>
      </c>
    </row>
    <row r="123" spans="1:14" ht="10.5">
      <c r="A123" s="59" t="s">
        <v>100</v>
      </c>
      <c r="B123" s="60" t="str">
        <f>ПОЛУЧШИФР(Ресурсы!A14,1)</f>
        <v>Х12-1400</v>
      </c>
      <c r="C123" s="59" t="str">
        <f>Ресурсы!B14</f>
        <v>Машины маркировочные</v>
      </c>
      <c r="D123" s="21" t="s">
        <v>32</v>
      </c>
      <c r="E123" s="61">
        <v>1.515</v>
      </c>
      <c r="F123" s="61">
        <f>ОКРУГЛВСЕ(IF(E123="",0,E123)*IF(F119="",0,F119),11)</f>
        <v>1.037775</v>
      </c>
      <c r="G123" s="22">
        <f>Ресурсы!D14</f>
        <v>861.73</v>
      </c>
      <c r="H123" s="23">
        <f>ROUND(IF(F123="",0,F123)*IF(G123="",0,G123),0)</f>
        <v>894</v>
      </c>
      <c r="I123" s="1" t="s">
        <v>33</v>
      </c>
      <c r="J123" s="1" t="s">
        <v>34</v>
      </c>
      <c r="M123" s="22">
        <f>Ресурсы!C14</f>
        <v>71.94</v>
      </c>
      <c r="N123" s="22">
        <f>ROUND(IF(F123="",0,F123)*IF(M123="",0,M123),2)</f>
        <v>74.66</v>
      </c>
    </row>
    <row r="124" spans="1:14" ht="21">
      <c r="A124" s="59"/>
      <c r="B124" s="60"/>
      <c r="C124" s="59"/>
      <c r="D124" s="1">
        <f>Ресурсы!G14</f>
        <v>1</v>
      </c>
      <c r="E124" s="61"/>
      <c r="F124" s="61"/>
      <c r="G124" s="20">
        <f>Ресурсы!F14</f>
        <v>277.49</v>
      </c>
      <c r="H124" s="19">
        <f>ROUND(IF(F123="",0,F123)*IF(G124="",0,G124),0)</f>
        <v>288</v>
      </c>
      <c r="K124" s="1" t="s">
        <v>35</v>
      </c>
      <c r="L124" s="1" t="s">
        <v>36</v>
      </c>
      <c r="M124" s="20">
        <f>Ресурсы!E14</f>
        <v>13.82</v>
      </c>
      <c r="N124" s="20">
        <f>ROUND(IF(F123="",0,F123)*IF(M124="",0,M124),2)</f>
        <v>14.34</v>
      </c>
    </row>
    <row r="125" spans="1:14" ht="10.5">
      <c r="A125" s="59" t="s">
        <v>101</v>
      </c>
      <c r="B125" s="60" t="str">
        <f>ПОЛУЧШИФР(Ресурсы!A16,1)</f>
        <v>Х12-1601</v>
      </c>
      <c r="C125" s="59" t="str">
        <f>Ресурсы!B16</f>
        <v>Машины поливомоечные 6000 л</v>
      </c>
      <c r="D125" s="21" t="s">
        <v>32</v>
      </c>
      <c r="E125" s="61">
        <v>1.545</v>
      </c>
      <c r="F125" s="61">
        <f>ОКРУГЛВСЕ(IF(E125="",0,E125)*IF(F119="",0,F119),11)</f>
        <v>1.058325</v>
      </c>
      <c r="G125" s="22">
        <f>Ресурсы!D16</f>
        <v>1404.4</v>
      </c>
      <c r="H125" s="23">
        <f>ROUND(IF(F125="",0,F125)*IF(G125="",0,G125),0)</f>
        <v>1486</v>
      </c>
      <c r="I125" s="1" t="s">
        <v>33</v>
      </c>
      <c r="J125" s="1" t="s">
        <v>34</v>
      </c>
      <c r="M125" s="22">
        <f>Ресурсы!C16</f>
        <v>159.97</v>
      </c>
      <c r="N125" s="22">
        <f>ROUND(IF(F125="",0,F125)*IF(M125="",0,M125),2)</f>
        <v>169.3</v>
      </c>
    </row>
    <row r="126" spans="1:14" ht="21">
      <c r="A126" s="59"/>
      <c r="B126" s="60"/>
      <c r="C126" s="59"/>
      <c r="D126" s="1">
        <f>Ресурсы!G16</f>
        <v>1</v>
      </c>
      <c r="E126" s="61"/>
      <c r="F126" s="61"/>
      <c r="G126" s="20">
        <f>Ресурсы!F16</f>
        <v>277.49</v>
      </c>
      <c r="H126" s="19">
        <f>ROUND(IF(F125="",0,F125)*IF(G126="",0,G126),0)</f>
        <v>294</v>
      </c>
      <c r="K126" s="1" t="s">
        <v>35</v>
      </c>
      <c r="L126" s="1" t="s">
        <v>36</v>
      </c>
      <c r="M126" s="20">
        <f>Ресурсы!E16</f>
        <v>11.86</v>
      </c>
      <c r="N126" s="20">
        <f>ROUND(IF(F125="",0,F125)*IF(M126="",0,M126),2)</f>
        <v>12.55</v>
      </c>
    </row>
    <row r="127" spans="1:14" ht="10.5">
      <c r="A127" s="4" t="s">
        <v>102</v>
      </c>
      <c r="B127" s="6" t="str">
        <f>ПОЛУЧШИФР(Ресурсы!A8,1)</f>
        <v>С101-1682</v>
      </c>
      <c r="C127" s="4" t="str">
        <f>Ресурсы!B8</f>
        <v>Шнур полиамидный крученый, диаметром 2 мм</v>
      </c>
      <c r="D127" s="5" t="s">
        <v>71</v>
      </c>
      <c r="E127" s="1">
        <v>0.0008</v>
      </c>
      <c r="F127" s="1">
        <f>ОКРУГЛВСЕ(IF(E127="",0,E127)*IF(F119="",0,F119),11)</f>
        <v>0.000548</v>
      </c>
      <c r="G127" s="20">
        <f>ROUND(Ресурсы!D8*Начисления!AV10,2)</f>
        <v>256038.04</v>
      </c>
      <c r="H127" s="19">
        <f>ROUND(IF(F127="",0,F127)*IF(G127="",0,G127),0)</f>
        <v>140</v>
      </c>
      <c r="I127" s="1" t="s">
        <v>33</v>
      </c>
      <c r="J127" s="1" t="s">
        <v>44</v>
      </c>
      <c r="M127" s="20">
        <f>ROUND(Ресурсы!C8*Начисления!AV10,2)</f>
        <v>42189</v>
      </c>
      <c r="N127" s="20">
        <f>ROUND(IF(F127="",0,F127)*IF(M127="",0,M127),2)</f>
        <v>23.12</v>
      </c>
    </row>
    <row r="128" spans="1:14" ht="10.5">
      <c r="A128" s="4" t="s">
        <v>103</v>
      </c>
      <c r="B128" s="6" t="str">
        <f>ПОЛУЧШИФР(Ресурсы!A9,1)</f>
        <v>С101-2775</v>
      </c>
      <c r="C128" s="4" t="str">
        <f>Ресурсы!B9</f>
        <v>Микросферы стеклянные для дорожной разметки</v>
      </c>
      <c r="D128" s="5" t="s">
        <v>71</v>
      </c>
      <c r="E128" s="1">
        <v>0.0125</v>
      </c>
      <c r="F128" s="1">
        <f>ОКРУГЛВСЕ(IF(E128="",0,E128)*IF(F119="",0,F119),11)</f>
        <v>0.0085625</v>
      </c>
      <c r="G128" s="20">
        <f>ROUND(Ресурсы!D9*Начисления!AV10,2)</f>
        <v>52294.91</v>
      </c>
      <c r="H128" s="19">
        <f>ROUND(IF(F128="",0,F128)*IF(G128="",0,G128),0)</f>
        <v>448</v>
      </c>
      <c r="I128" s="1" t="s">
        <v>33</v>
      </c>
      <c r="J128" s="1" t="s">
        <v>44</v>
      </c>
      <c r="M128" s="20">
        <f>ROUND(Ресурсы!C9*Начисления!AV10,2)</f>
        <v>751.43</v>
      </c>
      <c r="N128" s="20">
        <f>ROUND(IF(F128="",0,F128)*IF(M128="",0,M128),2)</f>
        <v>6.43</v>
      </c>
    </row>
    <row r="129" spans="1:14" ht="10.5">
      <c r="A129" s="4" t="s">
        <v>104</v>
      </c>
      <c r="B129" s="6" t="str">
        <f>ПОЛУЧШИФР(Ресурсы!A11,0)</f>
        <v>с101-5889</v>
      </c>
      <c r="C129" s="4" t="str">
        <f>Ресурсы!B11</f>
        <v>Краска разметочная дорожная ИНДПОЛ, белая</v>
      </c>
      <c r="D129" s="5" t="s">
        <v>71</v>
      </c>
      <c r="E129" s="1">
        <v>0.021</v>
      </c>
      <c r="F129" s="1">
        <f>ОКРУГЛВСЕ(IF(E129="",0,E129)*IF(F119="",0,F119),11)</f>
        <v>0.014385</v>
      </c>
      <c r="G129" s="20">
        <f>ROUND(Ресурсы!D11*Начисления!AV10,2)</f>
        <v>143750</v>
      </c>
      <c r="H129" s="19">
        <f>ROUND(IF(F129="",0,F129)*IF(G129="",0,G129),0)</f>
        <v>2068</v>
      </c>
      <c r="I129" s="1" t="s">
        <v>33</v>
      </c>
      <c r="J129" s="1" t="s">
        <v>44</v>
      </c>
      <c r="M129" s="20">
        <f>ROUND(Ресурсы!C11*Начисления!AV10,2)</f>
        <v>20494.04</v>
      </c>
      <c r="N129" s="20">
        <f>ROUND(IF(F129="",0,F129)*IF(M129="",0,M129),2)</f>
        <v>294.81</v>
      </c>
    </row>
    <row r="130" spans="3:14" ht="10.5" hidden="1">
      <c r="C130" s="24" t="s">
        <v>37</v>
      </c>
      <c r="H130" s="1">
        <v>975</v>
      </c>
      <c r="N130" s="1">
        <v>41.47</v>
      </c>
    </row>
    <row r="131" spans="3:14" ht="10.5" hidden="1">
      <c r="C131" s="24" t="s">
        <v>38</v>
      </c>
      <c r="H131" s="1">
        <v>3475</v>
      </c>
      <c r="N131" s="1">
        <v>356.14</v>
      </c>
    </row>
    <row r="132" spans="3:14" ht="10.5" hidden="1">
      <c r="C132" s="24" t="s">
        <v>39</v>
      </c>
      <c r="H132" s="1">
        <v>849</v>
      </c>
      <c r="N132" s="1">
        <v>39.26</v>
      </c>
    </row>
    <row r="133" spans="3:14" ht="10.5" hidden="1">
      <c r="C133" s="24" t="s">
        <v>40</v>
      </c>
      <c r="H133" s="1">
        <v>3877</v>
      </c>
      <c r="N133" s="1">
        <v>473.52</v>
      </c>
    </row>
    <row r="134" ht="10.5" hidden="1">
      <c r="C134" s="24" t="s">
        <v>41</v>
      </c>
    </row>
    <row r="135" spans="3:13" ht="21" hidden="1">
      <c r="C135" s="24" t="s">
        <v>42</v>
      </c>
      <c r="G135" s="25"/>
      <c r="I135" s="1" t="s">
        <v>43</v>
      </c>
      <c r="J135" s="1" t="s">
        <v>44</v>
      </c>
      <c r="M135" s="25"/>
    </row>
    <row r="136" ht="10.5" hidden="1">
      <c r="C136" s="24" t="s">
        <v>45</v>
      </c>
    </row>
    <row r="137" ht="10.5" hidden="1">
      <c r="C137" s="24" t="s">
        <v>46</v>
      </c>
    </row>
    <row r="138" ht="10.5" hidden="1">
      <c r="C138" s="24" t="s">
        <v>47</v>
      </c>
    </row>
    <row r="139" spans="3:14" ht="10.5">
      <c r="C139" s="24" t="s">
        <v>48</v>
      </c>
      <c r="G139" s="1">
        <v>127</v>
      </c>
      <c r="H139" s="19">
        <f>IF('Текущие цены с учетом расхода'!N10&gt;0,'Текущие цены с учетом расхода'!N10,IF('Текущие цены с учетом расхода'!N10&lt;0,'Текущие цены с учетом расхода'!N10,""))</f>
        <v>1588</v>
      </c>
      <c r="J139" s="4" t="s">
        <v>49</v>
      </c>
      <c r="M139" s="1">
        <v>149</v>
      </c>
      <c r="N139" s="20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82.38</v>
      </c>
    </row>
    <row r="140" spans="3:14" ht="10.5" hidden="1">
      <c r="C140" s="24" t="s">
        <v>50</v>
      </c>
      <c r="G140" s="1">
        <v>127</v>
      </c>
      <c r="H140" s="19">
        <f>IF('Текущие цены с учетом расхода'!P10&gt;0,'Текущие цены с учетом расхода'!P10,IF('Текущие цены с учетом расхода'!P10&lt;0,'Текущие цены с учетом расхода'!P10,""))</f>
        <v>848</v>
      </c>
      <c r="J140" s="4" t="s">
        <v>51</v>
      </c>
      <c r="M140" s="1">
        <v>149</v>
      </c>
      <c r="N140" s="20">
        <f>IF('Базовые цены с учетом расхода'!P10&gt;0,'Базовые цены с учетом расхода'!P10,IF('Базовые цены с учетом расхода'!P10&lt;0,'Базовые цены с учетом расхода'!P10,""))</f>
        <v>42.33</v>
      </c>
    </row>
    <row r="141" spans="3:14" ht="10.5" hidden="1">
      <c r="C141" s="24" t="s">
        <v>52</v>
      </c>
      <c r="G141" s="1">
        <v>127</v>
      </c>
      <c r="H141" s="19">
        <f>IF('Текущие цены с учетом расхода'!Q10&gt;0,'Текущие цены с учетом расхода'!Q10,IF('Текущие цены с учетом расхода'!Q10&lt;0,'Текущие цены с учетом расхода'!Q10,""))</f>
        <v>739</v>
      </c>
      <c r="J141" s="4" t="s">
        <v>53</v>
      </c>
      <c r="M141" s="1">
        <v>149</v>
      </c>
      <c r="N141" s="20">
        <f>IF('Базовые цены с учетом расхода'!Q10&gt;0,'Базовые цены с учетом расхода'!Q10,IF('Базовые цены с учетом расхода'!Q10&lt;0,'Базовые цены с учетом расхода'!Q10,""))</f>
        <v>40.07</v>
      </c>
    </row>
    <row r="142" spans="3:14" ht="10.5">
      <c r="C142" s="24" t="s">
        <v>54</v>
      </c>
      <c r="G142" s="1">
        <v>65</v>
      </c>
      <c r="H142" s="19">
        <f>IF('Текущие цены с учетом расхода'!O10&gt;0,'Текущие цены с учетом расхода'!O10,IF('Текущие цены с учетом расхода'!O10&lt;0,'Текущие цены с учетом расхода'!O10,""))</f>
        <v>813</v>
      </c>
      <c r="J142" s="4" t="s">
        <v>55</v>
      </c>
      <c r="M142" s="1">
        <v>81</v>
      </c>
      <c r="N142" s="20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44.78</v>
      </c>
    </row>
    <row r="143" spans="3:14" ht="10.5" hidden="1">
      <c r="C143" s="24" t="s">
        <v>56</v>
      </c>
      <c r="G143" s="1">
        <v>65</v>
      </c>
      <c r="H143" s="19">
        <f>IF('Текущие цены с учетом расхода'!R10&gt;0,'Текущие цены с учетом расхода'!R10,IF('Текущие цены с учетом расхода'!R10&lt;0,'Текущие цены с учетом расхода'!R10,""))</f>
        <v>434</v>
      </c>
      <c r="J143" s="4" t="s">
        <v>57</v>
      </c>
      <c r="M143" s="1">
        <v>81</v>
      </c>
      <c r="N143" s="20">
        <f>IF('Базовые цены с учетом расхода'!R10&gt;0,'Базовые цены с учетом расхода'!R10,IF('Базовые цены с учетом расхода'!R10&lt;0,'Базовые цены с учетом расхода'!R10,""))</f>
        <v>23.01</v>
      </c>
    </row>
    <row r="144" spans="3:14" ht="10.5" hidden="1">
      <c r="C144" s="24" t="s">
        <v>58</v>
      </c>
      <c r="G144" s="1">
        <v>65</v>
      </c>
      <c r="H144" s="19">
        <f>IF('Текущие цены с учетом расхода'!S10&gt;0,'Текущие цены с учетом расхода'!S10,IF('Текущие цены с учетом расхода'!S10&lt;0,'Текущие цены с учетом расхода'!S10,""))</f>
        <v>378</v>
      </c>
      <c r="J144" s="4" t="s">
        <v>59</v>
      </c>
      <c r="M144" s="1">
        <v>81</v>
      </c>
      <c r="N144" s="20">
        <f>IF('Базовые цены с учетом расхода'!S10&gt;0,'Базовые цены с учетом расхода'!S10,IF('Базовые цены с учетом расхода'!S10&lt;0,'Базовые цены с учетом расхода'!S10,""))</f>
        <v>21.78</v>
      </c>
    </row>
    <row r="145" spans="3:14" ht="10.5">
      <c r="C145" s="24" t="s">
        <v>74</v>
      </c>
      <c r="H145" s="19">
        <f>ROUND(IF(H119="",0,H119)+IF(H139="",0,H139)+IF(H142="",0,H142),0)</f>
        <v>8105</v>
      </c>
      <c r="N145" s="20">
        <f>ROUND(IF(N119="",0,N119)+IF(N139="",0,N139)+IF(N142="",0,N142),2)</f>
        <v>723.88</v>
      </c>
    </row>
    <row r="146" spans="1:14" ht="31.5" hidden="1">
      <c r="A146" s="26" t="s">
        <v>105</v>
      </c>
      <c r="B146" s="26" t="s">
        <v>106</v>
      </c>
      <c r="C146" s="26" t="s">
        <v>107</v>
      </c>
      <c r="D146" s="27" t="s">
        <v>108</v>
      </c>
      <c r="E146" s="28"/>
      <c r="F146" s="29"/>
      <c r="G146" s="30">
        <f>ROUND(СУММПРОИЗВЕСЛИ(1,I146:I155,"s",E146:E155,G146:G155,0),2)</f>
        <v>7229.27</v>
      </c>
      <c r="H146" s="31">
        <f>ROUND(СУММПРОИЗВЕСЛИ(F146,I146:I155,"s",E146:E155,G146:G155,0),0)</f>
        <v>0</v>
      </c>
      <c r="I146" s="1" t="s">
        <v>25</v>
      </c>
      <c r="M146" s="16">
        <f>ROUND(СУММПРОИЗВЕСЛИ(1,I146:I155,"s",E146:E155,M146:M155,0),2)</f>
        <v>836.94</v>
      </c>
      <c r="N146" s="16">
        <f>ROUND(СУММПРОИЗВЕСЛИ(F146,I146:I155,"s",E146:E155,M146:M155,0),2)</f>
        <v>0</v>
      </c>
    </row>
    <row r="147" spans="1:14" ht="10.5" hidden="1">
      <c r="A147" s="4" t="s">
        <v>109</v>
      </c>
      <c r="B147" s="4" t="s">
        <v>27</v>
      </c>
      <c r="C147" s="4" t="s">
        <v>28</v>
      </c>
      <c r="D147" s="5" t="s">
        <v>29</v>
      </c>
      <c r="E147" s="1">
        <f>ОКРУГЛВСЕ(СУММПРОИЗВЕСЛИ(1,K146:K155,"mWithZTM",D146:D155,E146:E155,-1)+СУММКОЭФПРОЦЕНТЕСЛИ(1,1,K146:K155,"mWithZTM_Proch",E146:E155,-1),11)</f>
        <v>0.97</v>
      </c>
      <c r="F147" s="1">
        <f>ОКРУГЛВСЕ(СУММПРОИЗВЕСЛИ(1,K146:K155,"mWithZTM",D146:D155,F146:F155,-1)+СУММКОЭФПРОЦЕНТЕСЛИ(1,1,K146:K155,"mWithZTM_Proch",F146:F155,-1),11)</f>
        <v>0</v>
      </c>
      <c r="G147" s="18">
        <f>IF(F147=0,0,ROUND(H147/F147,3))</f>
        <v>0</v>
      </c>
      <c r="H147" s="19">
        <f>ROUND(СУММЕСЛИДА1НЕ1(L146:L155,"mWithZPM",D146:D155,0,H146:H155),0)</f>
        <v>0</v>
      </c>
      <c r="J147" s="1" t="s">
        <v>30</v>
      </c>
      <c r="M147" s="18">
        <f>IF(F147=0,0,ROUND(N147/F147,3))</f>
        <v>0</v>
      </c>
      <c r="N147" s="20">
        <f>ROUND(СУММЕСЛИДА1НЕ1(L146:L155,"mWithZPM",D146:D155,0,N146:N155),2)</f>
        <v>0</v>
      </c>
    </row>
    <row r="148" spans="1:14" ht="10.5" hidden="1">
      <c r="A148" s="4" t="s">
        <v>110</v>
      </c>
      <c r="B148" s="6" t="str">
        <f>ПОЛУЧШИФР(Ресурсы!A3,0)</f>
        <v>з0-4002</v>
      </c>
      <c r="C148" s="4" t="str">
        <f>Ресурсы!B3</f>
        <v>Дорожный рабочий 2 разряда</v>
      </c>
      <c r="D148" s="5" t="s">
        <v>29</v>
      </c>
      <c r="E148" s="1">
        <v>0.97</v>
      </c>
      <c r="F148" s="1">
        <f>ОКРУГЛВСЕ(IF(E148="",0,E148)*IF(F146="",0,F146),11)</f>
        <v>0</v>
      </c>
      <c r="G148" s="18">
        <f>Ресурсы!D3</f>
        <v>196</v>
      </c>
      <c r="H148" s="19">
        <f>ROUND(IF(F148="",0,F148)*IF(G148="",0,G148),0)</f>
        <v>0</v>
      </c>
      <c r="I148" s="1" t="s">
        <v>33</v>
      </c>
      <c r="J148" s="1" t="s">
        <v>66</v>
      </c>
      <c r="M148" s="18">
        <f>Ресурсы!C3</f>
        <v>7.8</v>
      </c>
      <c r="N148" s="20">
        <f>ROUND(IF(F148="",0,F148)*IF(M148="",0,M148),2)</f>
        <v>0</v>
      </c>
    </row>
    <row r="149" spans="1:14" ht="10.5" hidden="1">
      <c r="A149" s="4" t="s">
        <v>111</v>
      </c>
      <c r="B149" s="6" t="str">
        <f>ПОЛУЧШИФР(Ресурсы!A4,0)</f>
        <v>з0-4003</v>
      </c>
      <c r="C149" s="4" t="str">
        <f>Ресурсы!B4</f>
        <v>Дорожный рабочий 3 разряда</v>
      </c>
      <c r="D149" s="5" t="s">
        <v>29</v>
      </c>
      <c r="E149" s="1">
        <v>0.97</v>
      </c>
      <c r="F149" s="1">
        <f>ОКРУГЛВСЕ(IF(E149="",0,E149)*IF(F146="",0,F146),11)</f>
        <v>0</v>
      </c>
      <c r="G149" s="18">
        <f>Ресурсы!D4</f>
        <v>214.87</v>
      </c>
      <c r="H149" s="19">
        <f>ROUND(IF(F149="",0,F149)*IF(G149="",0,G149),0)</f>
        <v>0</v>
      </c>
      <c r="I149" s="1" t="s">
        <v>33</v>
      </c>
      <c r="J149" s="1" t="s">
        <v>66</v>
      </c>
      <c r="M149" s="18">
        <f>Ресурсы!C4</f>
        <v>8.53</v>
      </c>
      <c r="N149" s="20">
        <f>ROUND(IF(F149="",0,F149)*IF(M149="",0,M149),2)</f>
        <v>0</v>
      </c>
    </row>
    <row r="150" spans="1:14" ht="10.5" hidden="1">
      <c r="A150" s="4" t="s">
        <v>112</v>
      </c>
      <c r="B150" s="6" t="str">
        <f>ПОЛУЧШИФР(Ресурсы!A5,0)</f>
        <v>з0-4004</v>
      </c>
      <c r="C150" s="4" t="str">
        <f>Ресурсы!B5</f>
        <v>Дорожный рабочий 4 разряда</v>
      </c>
      <c r="D150" s="5" t="s">
        <v>29</v>
      </c>
      <c r="E150" s="1">
        <v>0.97</v>
      </c>
      <c r="F150" s="1">
        <f>ОКРУГЛВСЕ(IF(E150="",0,E150)*IF(F146="",0,F146),11)</f>
        <v>0</v>
      </c>
      <c r="G150" s="18">
        <f>Ресурсы!D5</f>
        <v>241.71</v>
      </c>
      <c r="H150" s="19">
        <f>ROUND(IF(F150="",0,F150)*IF(G150="",0,G150),0)</f>
        <v>0</v>
      </c>
      <c r="I150" s="1" t="s">
        <v>33</v>
      </c>
      <c r="J150" s="1" t="s">
        <v>66</v>
      </c>
      <c r="M150" s="18">
        <f>Ресурсы!C5</f>
        <v>9.62</v>
      </c>
      <c r="N150" s="20">
        <f>ROUND(IF(F150="",0,F150)*IF(M150="",0,M150),2)</f>
        <v>0</v>
      </c>
    </row>
    <row r="151" spans="1:14" ht="10.5" hidden="1">
      <c r="A151" s="59" t="s">
        <v>113</v>
      </c>
      <c r="B151" s="60" t="str">
        <f>ПОЛУЧШИФР(Ресурсы!A14,0)</f>
        <v>х12-1400</v>
      </c>
      <c r="C151" s="59" t="str">
        <f>Ресурсы!B14</f>
        <v>Машины маркировочные</v>
      </c>
      <c r="D151" s="21" t="s">
        <v>32</v>
      </c>
      <c r="E151" s="61">
        <v>0.97</v>
      </c>
      <c r="F151" s="61">
        <f>ОКРУГЛВСЕ(IF(E151="",0,E151)*IF(F146="",0,F146),11)</f>
        <v>0</v>
      </c>
      <c r="G151" s="22">
        <f>Ресурсы!D14</f>
        <v>861.73</v>
      </c>
      <c r="H151" s="23">
        <f>ROUND(IF(F151="",0,F151)*IF(G151="",0,G151),0)</f>
        <v>0</v>
      </c>
      <c r="I151" s="1" t="s">
        <v>33</v>
      </c>
      <c r="J151" s="1" t="s">
        <v>34</v>
      </c>
      <c r="M151" s="22">
        <f>Ресурсы!C14</f>
        <v>71.94</v>
      </c>
      <c r="N151" s="22">
        <f>ROUND(IF(F151="",0,F151)*IF(M151="",0,M151),2)</f>
        <v>0</v>
      </c>
    </row>
    <row r="152" spans="1:14" ht="21" hidden="1">
      <c r="A152" s="59"/>
      <c r="B152" s="60"/>
      <c r="C152" s="59"/>
      <c r="D152" s="1">
        <f>Ресурсы!G14</f>
        <v>1</v>
      </c>
      <c r="E152" s="61"/>
      <c r="F152" s="61"/>
      <c r="G152" s="20">
        <f>Ресурсы!F14</f>
        <v>277.49</v>
      </c>
      <c r="H152" s="19">
        <f>ROUND(IF(F151="",0,F151)*IF(G152="",0,G152),0)</f>
        <v>0</v>
      </c>
      <c r="K152" s="1" t="s">
        <v>35</v>
      </c>
      <c r="L152" s="1" t="s">
        <v>36</v>
      </c>
      <c r="M152" s="20">
        <f>Ресурсы!E14</f>
        <v>13.82</v>
      </c>
      <c r="N152" s="20">
        <f>ROUND(IF(F151="",0,F151)*IF(M152="",0,M152),2)</f>
        <v>0</v>
      </c>
    </row>
    <row r="153" spans="1:14" ht="10.5" hidden="1">
      <c r="A153" s="4" t="s">
        <v>114</v>
      </c>
      <c r="B153" s="6" t="str">
        <f>ПОЛУЧШИФР(Ресурсы!A8,0)</f>
        <v>с101-1682</v>
      </c>
      <c r="C153" s="4" t="str">
        <f>Ресурсы!B8</f>
        <v>Шнур полиамидный крученый, диаметром 2 мм</v>
      </c>
      <c r="D153" s="5" t="s">
        <v>71</v>
      </c>
      <c r="E153" s="1">
        <v>0.0008</v>
      </c>
      <c r="F153" s="1">
        <f>ОКРУГЛВСЕ(IF(E153="",0,E153)*IF(F146="",0,F146),11)</f>
        <v>0</v>
      </c>
      <c r="G153" s="20">
        <f>ROUND(Ресурсы!D8*Начисления!AV11,2)</f>
        <v>256038.04</v>
      </c>
      <c r="H153" s="19">
        <f>ROUND(IF(F153="",0,F153)*IF(G153="",0,G153),0)</f>
        <v>0</v>
      </c>
      <c r="I153" s="1" t="s">
        <v>33</v>
      </c>
      <c r="J153" s="1" t="s">
        <v>44</v>
      </c>
      <c r="M153" s="20">
        <f>ROUND(Ресурсы!C8*Начисления!AV11,2)</f>
        <v>42189</v>
      </c>
      <c r="N153" s="20">
        <f>ROUND(IF(F153="",0,F153)*IF(M153="",0,M153),2)</f>
        <v>0</v>
      </c>
    </row>
    <row r="154" spans="1:14" ht="10.5" hidden="1">
      <c r="A154" s="4" t="s">
        <v>115</v>
      </c>
      <c r="B154" s="6" t="str">
        <f>ПОЛУЧШИФР(Ресурсы!A9,0)</f>
        <v>с101-2775</v>
      </c>
      <c r="C154" s="4" t="str">
        <f>Ресурсы!B9</f>
        <v>Микросферы стеклянные для дорожной разметки</v>
      </c>
      <c r="D154" s="5" t="s">
        <v>71</v>
      </c>
      <c r="E154" s="1">
        <v>0.0125</v>
      </c>
      <c r="F154" s="1">
        <f>ОКРУГЛВСЕ(IF(E154="",0,E154)*IF(F146="",0,F146),11)</f>
        <v>0</v>
      </c>
      <c r="G154" s="20">
        <f>ROUND(Ресурсы!D9*Начисления!AV11,2)</f>
        <v>52294.91</v>
      </c>
      <c r="H154" s="19">
        <f>ROUND(IF(F154="",0,F154)*IF(G154="",0,G154),0)</f>
        <v>0</v>
      </c>
      <c r="I154" s="1" t="s">
        <v>33</v>
      </c>
      <c r="J154" s="1" t="s">
        <v>44</v>
      </c>
      <c r="M154" s="20">
        <f>ROUND(Ресурсы!C9*Начисления!AV11,2)</f>
        <v>751.43</v>
      </c>
      <c r="N154" s="20">
        <f>ROUND(IF(F154="",0,F154)*IF(M154="",0,M154),2)</f>
        <v>0</v>
      </c>
    </row>
    <row r="155" spans="1:14" ht="10.5" hidden="1">
      <c r="A155" s="4" t="s">
        <v>116</v>
      </c>
      <c r="B155" s="6" t="str">
        <f>ПОЛУЧШИФР(Ресурсы!A11,0)</f>
        <v>с101-5889</v>
      </c>
      <c r="C155" s="4" t="str">
        <f>Ресурсы!B11</f>
        <v>Краска разметочная дорожная ИНДПОЛ, белая</v>
      </c>
      <c r="D155" s="5" t="s">
        <v>71</v>
      </c>
      <c r="E155" s="1">
        <v>0.0341</v>
      </c>
      <c r="F155" s="1">
        <f>ОКРУГЛВСЕ(IF(E155="",0,E155)*IF(F146="",0,F146),11)</f>
        <v>0</v>
      </c>
      <c r="G155" s="20">
        <f>ROUND(Ресурсы!D11*Начисления!AV11,2)</f>
        <v>143750</v>
      </c>
      <c r="H155" s="19">
        <f>ROUND(IF(F155="",0,F155)*IF(G155="",0,G155),0)</f>
        <v>0</v>
      </c>
      <c r="I155" s="1" t="s">
        <v>33</v>
      </c>
      <c r="J155" s="1" t="s">
        <v>44</v>
      </c>
      <c r="M155" s="20">
        <f>ROUND(Ресурсы!C11*Начисления!AV11,2)</f>
        <v>20494.04</v>
      </c>
      <c r="N155" s="20">
        <f>ROUND(IF(F155="",0,F155)*IF(M155="",0,M155),2)</f>
        <v>0</v>
      </c>
    </row>
    <row r="156" spans="3:14" ht="10.5" hidden="1">
      <c r="C156" s="24" t="s">
        <v>37</v>
      </c>
      <c r="H156" s="1">
        <v>633</v>
      </c>
      <c r="N156" s="1">
        <v>25.17</v>
      </c>
    </row>
    <row r="157" spans="3:14" ht="10.5" hidden="1">
      <c r="C157" s="24" t="s">
        <v>38</v>
      </c>
      <c r="H157" s="1">
        <v>836</v>
      </c>
      <c r="N157" s="1">
        <v>69.78</v>
      </c>
    </row>
    <row r="158" spans="3:14" ht="10.5" hidden="1">
      <c r="C158" s="24" t="s">
        <v>39</v>
      </c>
      <c r="H158" s="1">
        <v>269</v>
      </c>
      <c r="N158" s="1">
        <v>13.41</v>
      </c>
    </row>
    <row r="159" spans="3:14" ht="10.5" hidden="1">
      <c r="C159" s="24" t="s">
        <v>40</v>
      </c>
      <c r="H159" s="1">
        <v>5760</v>
      </c>
      <c r="N159" s="1">
        <v>741.99</v>
      </c>
    </row>
    <row r="160" ht="10.5" hidden="1">
      <c r="C160" s="24" t="s">
        <v>41</v>
      </c>
    </row>
    <row r="161" spans="3:13" ht="21" hidden="1">
      <c r="C161" s="24" t="s">
        <v>42</v>
      </c>
      <c r="G161" s="25"/>
      <c r="I161" s="1" t="s">
        <v>43</v>
      </c>
      <c r="J161" s="1" t="s">
        <v>44</v>
      </c>
      <c r="M161" s="25"/>
    </row>
    <row r="162" ht="10.5" hidden="1">
      <c r="C162" s="24" t="s">
        <v>45</v>
      </c>
    </row>
    <row r="163" ht="10.5" hidden="1">
      <c r="C163" s="24" t="s">
        <v>46</v>
      </c>
    </row>
    <row r="164" ht="10.5" hidden="1">
      <c r="C164" s="24" t="s">
        <v>47</v>
      </c>
    </row>
    <row r="165" spans="3:14" ht="10.5" hidden="1">
      <c r="C165" s="24" t="s">
        <v>48</v>
      </c>
      <c r="G165" s="1">
        <v>99</v>
      </c>
      <c r="H165" s="19">
        <f>IF('Текущие цены с учетом расхода'!N11&gt;0,'Текущие цены с учетом расхода'!N11,IF('Текущие цены с учетом расхода'!N11&lt;0,'Текущие цены с учетом расхода'!N11,""))</f>
      </c>
      <c r="J165" s="4" t="s">
        <v>49</v>
      </c>
      <c r="M165" s="1">
        <v>116</v>
      </c>
      <c r="N165" s="20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</c>
    </row>
    <row r="166" spans="3:14" ht="10.5" hidden="1">
      <c r="C166" s="24" t="s">
        <v>50</v>
      </c>
      <c r="G166" s="1">
        <v>99</v>
      </c>
      <c r="H166" s="19">
        <f>IF('Текущие цены с учетом расхода'!P11&gt;0,'Текущие цены с учетом расхода'!P11,IF('Текущие цены с учетом расхода'!P11&lt;0,'Текущие цены с учетом расхода'!P11,""))</f>
      </c>
      <c r="J166" s="4" t="s">
        <v>51</v>
      </c>
      <c r="M166" s="1">
        <v>116</v>
      </c>
      <c r="N166" s="20">
        <f>IF('Базовые цены с учетом расхода'!P11&gt;0,'Базовые цены с учетом расхода'!P11,IF('Базовые цены с учетом расхода'!P11&lt;0,'Базовые цены с учетом расхода'!P11,""))</f>
      </c>
    </row>
    <row r="167" spans="3:14" ht="10.5" hidden="1">
      <c r="C167" s="24" t="s">
        <v>52</v>
      </c>
      <c r="G167" s="1">
        <v>99</v>
      </c>
      <c r="H167" s="19">
        <f>IF('Текущие цены с учетом расхода'!Q11&gt;0,'Текущие цены с учетом расхода'!Q11,IF('Текущие цены с учетом расхода'!Q11&lt;0,'Текущие цены с учетом расхода'!Q11,""))</f>
      </c>
      <c r="J167" s="4" t="s">
        <v>53</v>
      </c>
      <c r="M167" s="1">
        <v>116</v>
      </c>
      <c r="N167" s="20">
        <f>IF('Базовые цены с учетом расхода'!Q11&gt;0,'Базовые цены с учетом расхода'!Q11,IF('Базовые цены с учетом расхода'!Q11&lt;0,'Базовые цены с учетом расхода'!Q11,""))</f>
      </c>
    </row>
    <row r="168" spans="3:14" ht="10.5" hidden="1">
      <c r="C168" s="24" t="s">
        <v>54</v>
      </c>
      <c r="G168" s="1">
        <v>40</v>
      </c>
      <c r="H168" s="19">
        <f>IF('Текущие цены с учетом расхода'!O11&gt;0,'Текущие цены с учетом расхода'!O11,IF('Текущие цены с учетом расхода'!O11&lt;0,'Текущие цены с учетом расхода'!O11,""))</f>
      </c>
      <c r="J168" s="4" t="s">
        <v>55</v>
      </c>
      <c r="M168" s="1">
        <v>50</v>
      </c>
      <c r="N168" s="20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</c>
    </row>
    <row r="169" spans="3:14" ht="10.5" hidden="1">
      <c r="C169" s="24" t="s">
        <v>56</v>
      </c>
      <c r="G169" s="1">
        <v>40</v>
      </c>
      <c r="H169" s="19">
        <f>IF('Текущие цены с учетом расхода'!R11&gt;0,'Текущие цены с учетом расхода'!R11,IF('Текущие цены с учетом расхода'!R11&lt;0,'Текущие цены с учетом расхода'!R11,""))</f>
      </c>
      <c r="J169" s="4" t="s">
        <v>57</v>
      </c>
      <c r="M169" s="1">
        <v>50</v>
      </c>
      <c r="N169" s="20">
        <f>IF('Базовые цены с учетом расхода'!R11&gt;0,'Базовые цены с учетом расхода'!R11,IF('Базовые цены с учетом расхода'!R11&lt;0,'Базовые цены с учетом расхода'!R11,""))</f>
      </c>
    </row>
    <row r="170" spans="3:14" ht="10.5" hidden="1">
      <c r="C170" s="24" t="s">
        <v>58</v>
      </c>
      <c r="G170" s="1">
        <v>40</v>
      </c>
      <c r="H170" s="19">
        <f>IF('Текущие цены с учетом расхода'!S11&gt;0,'Текущие цены с учетом расхода'!S11,IF('Текущие цены с учетом расхода'!S11&lt;0,'Текущие цены с учетом расхода'!S11,""))</f>
      </c>
      <c r="J170" s="4" t="s">
        <v>59</v>
      </c>
      <c r="M170" s="1">
        <v>50</v>
      </c>
      <c r="N170" s="20">
        <f>IF('Базовые цены с учетом расхода'!S11&gt;0,'Базовые цены с учетом расхода'!S11,IF('Базовые цены с учетом расхода'!S11&lt;0,'Базовые цены с учетом расхода'!S11,""))</f>
      </c>
    </row>
    <row r="171" spans="3:14" ht="10.5" hidden="1">
      <c r="C171" s="24" t="s">
        <v>74</v>
      </c>
      <c r="H171" s="19">
        <f>ROUND(IF(H146="",0,H146)+IF(H165="",0,H165)+IF(H168="",0,H168),0)</f>
        <v>0</v>
      </c>
      <c r="N171" s="20">
        <f>ROUND(IF(N146="",0,N146)+IF(N165="",0,N165)+IF(N168="",0,N168),2)</f>
        <v>0</v>
      </c>
    </row>
    <row r="172" spans="1:14" ht="31.5" hidden="1">
      <c r="A172" s="26" t="s">
        <v>117</v>
      </c>
      <c r="B172" s="26" t="s">
        <v>118</v>
      </c>
      <c r="C172" s="26" t="s">
        <v>119</v>
      </c>
      <c r="D172" s="27" t="s">
        <v>108</v>
      </c>
      <c r="E172" s="28"/>
      <c r="F172" s="29"/>
      <c r="G172" s="30">
        <f>ROUND(СУММПРОИЗВЕСЛИ(1,I172:I181,"s",E172:E181,G172:G181,0),2)</f>
        <v>20298.62</v>
      </c>
      <c r="H172" s="31">
        <f>ROUND(СУММПРОИЗВЕСЛИ(F172,I172:I181,"s",E172:E181,G172:G181,0),0)</f>
        <v>0</v>
      </c>
      <c r="I172" s="1" t="s">
        <v>25</v>
      </c>
      <c r="M172" s="16">
        <f>ROUND(СУММПРОИЗВЕСЛИ(1,I172:I181,"s",E172:E181,M172:M181,0),2)</f>
        <v>2505.71</v>
      </c>
      <c r="N172" s="16">
        <f>ROUND(СУММПРОИЗВЕСЛИ(F172,I172:I181,"s",E172:E181,M172:M181,0),2)</f>
        <v>0</v>
      </c>
    </row>
    <row r="173" spans="1:14" ht="10.5" hidden="1">
      <c r="A173" s="4" t="s">
        <v>120</v>
      </c>
      <c r="B173" s="4" t="s">
        <v>27</v>
      </c>
      <c r="C173" s="4" t="s">
        <v>28</v>
      </c>
      <c r="D173" s="5" t="s">
        <v>29</v>
      </c>
      <c r="E173" s="1">
        <f>ОКРУГЛВСЕ(СУММПРОИЗВЕСЛИ(1,K172:K181,"mWithZTM",D172:D181,E172:E181,-1)+СУММКОЭФПРОЦЕНТЕСЛИ(1,1,K172:K181,"mWithZTM_Proch",E172:E181,-1),11)</f>
        <v>0.84</v>
      </c>
      <c r="F173" s="1">
        <f>ОКРУГЛВСЕ(СУММПРОИЗВЕСЛИ(1,K172:K181,"mWithZTM",D172:D181,F172:F181,-1)+СУММКОЭФПРОЦЕНТЕСЛИ(1,1,K172:K181,"mWithZTM_Proch",F172:F181,-1),11)</f>
        <v>0</v>
      </c>
      <c r="G173" s="18">
        <f>IF(F173=0,0,ROUND(H173/F173,3))</f>
        <v>0</v>
      </c>
      <c r="H173" s="19">
        <f>ROUND(СУММЕСЛИДА1НЕ1(L172:L181,"mWithZPM",D172:D181,0,H172:H181),0)</f>
        <v>0</v>
      </c>
      <c r="J173" s="1" t="s">
        <v>30</v>
      </c>
      <c r="M173" s="18">
        <f>IF(F173=0,0,ROUND(N173/F173,3))</f>
        <v>0</v>
      </c>
      <c r="N173" s="20">
        <f>ROUND(СУММЕСЛИДА1НЕ1(L172:L181,"mWithZPM",D172:D181,0,N172:N181),2)</f>
        <v>0</v>
      </c>
    </row>
    <row r="174" spans="1:14" ht="10.5" hidden="1">
      <c r="A174" s="4" t="s">
        <v>121</v>
      </c>
      <c r="B174" s="6" t="str">
        <f>ПОЛУЧШИФР(Ресурсы!A3,0)</f>
        <v>з0-4002</v>
      </c>
      <c r="C174" s="4" t="str">
        <f>Ресурсы!B3</f>
        <v>Дорожный рабочий 2 разряда</v>
      </c>
      <c r="D174" s="5" t="s">
        <v>29</v>
      </c>
      <c r="E174" s="1">
        <v>0.84</v>
      </c>
      <c r="F174" s="1">
        <f>ОКРУГЛВСЕ(IF(E174="",0,E174)*IF(F172="",0,F172),11)</f>
        <v>0</v>
      </c>
      <c r="G174" s="18">
        <f>Ресурсы!D3</f>
        <v>196</v>
      </c>
      <c r="H174" s="19">
        <f>ROUND(IF(F174="",0,F174)*IF(G174="",0,G174),0)</f>
        <v>0</v>
      </c>
      <c r="I174" s="1" t="s">
        <v>33</v>
      </c>
      <c r="J174" s="1" t="s">
        <v>66</v>
      </c>
      <c r="M174" s="18">
        <f>Ресурсы!C3</f>
        <v>7.8</v>
      </c>
      <c r="N174" s="20">
        <f>ROUND(IF(F174="",0,F174)*IF(M174="",0,M174),2)</f>
        <v>0</v>
      </c>
    </row>
    <row r="175" spans="1:14" ht="10.5" hidden="1">
      <c r="A175" s="4" t="s">
        <v>122</v>
      </c>
      <c r="B175" s="6" t="str">
        <f>ПОЛУЧШИФР(Ресурсы!A4,0)</f>
        <v>з0-4003</v>
      </c>
      <c r="C175" s="4" t="str">
        <f>Ресурсы!B4</f>
        <v>Дорожный рабочий 3 разряда</v>
      </c>
      <c r="D175" s="5" t="s">
        <v>29</v>
      </c>
      <c r="E175" s="1">
        <v>0.84</v>
      </c>
      <c r="F175" s="1">
        <f>ОКРУГЛВСЕ(IF(E175="",0,E175)*IF(F172="",0,F172),11)</f>
        <v>0</v>
      </c>
      <c r="G175" s="18">
        <f>Ресурсы!D4</f>
        <v>214.87</v>
      </c>
      <c r="H175" s="19">
        <f>ROUND(IF(F175="",0,F175)*IF(G175="",0,G175),0)</f>
        <v>0</v>
      </c>
      <c r="I175" s="1" t="s">
        <v>33</v>
      </c>
      <c r="J175" s="1" t="s">
        <v>66</v>
      </c>
      <c r="M175" s="18">
        <f>Ресурсы!C4</f>
        <v>8.53</v>
      </c>
      <c r="N175" s="20">
        <f>ROUND(IF(F175="",0,F175)*IF(M175="",0,M175),2)</f>
        <v>0</v>
      </c>
    </row>
    <row r="176" spans="1:14" ht="10.5" hidden="1">
      <c r="A176" s="4" t="s">
        <v>123</v>
      </c>
      <c r="B176" s="6" t="str">
        <f>ПОЛУЧШИФР(Ресурсы!A5,0)</f>
        <v>з0-4004</v>
      </c>
      <c r="C176" s="4" t="str">
        <f>Ресурсы!B5</f>
        <v>Дорожный рабочий 4 разряда</v>
      </c>
      <c r="D176" s="5" t="s">
        <v>29</v>
      </c>
      <c r="E176" s="1">
        <v>0.84</v>
      </c>
      <c r="F176" s="1">
        <f>ОКРУГЛВСЕ(IF(E176="",0,E176)*IF(F172="",0,F172),11)</f>
        <v>0</v>
      </c>
      <c r="G176" s="18">
        <f>Ресурсы!D5</f>
        <v>241.71</v>
      </c>
      <c r="H176" s="19">
        <f>ROUND(IF(F176="",0,F176)*IF(G176="",0,G176),0)</f>
        <v>0</v>
      </c>
      <c r="I176" s="1" t="s">
        <v>33</v>
      </c>
      <c r="J176" s="1" t="s">
        <v>66</v>
      </c>
      <c r="M176" s="18">
        <f>Ресурсы!C5</f>
        <v>9.62</v>
      </c>
      <c r="N176" s="20">
        <f>ROUND(IF(F176="",0,F176)*IF(M176="",0,M176),2)</f>
        <v>0</v>
      </c>
    </row>
    <row r="177" spans="1:14" ht="10.5" hidden="1">
      <c r="A177" s="59" t="s">
        <v>124</v>
      </c>
      <c r="B177" s="60" t="str">
        <f>ПОЛУЧШИФР(Ресурсы!A14,0)</f>
        <v>х12-1400</v>
      </c>
      <c r="C177" s="59" t="str">
        <f>Ресурсы!B14</f>
        <v>Машины маркировочные</v>
      </c>
      <c r="D177" s="21" t="s">
        <v>32</v>
      </c>
      <c r="E177" s="61">
        <v>0.84</v>
      </c>
      <c r="F177" s="61">
        <f>ОКРУГЛВСЕ(IF(E177="",0,E177)*IF(F172="",0,F172),11)</f>
        <v>0</v>
      </c>
      <c r="G177" s="22">
        <f>Ресурсы!D14</f>
        <v>861.73</v>
      </c>
      <c r="H177" s="23">
        <f>ROUND(IF(F177="",0,F177)*IF(G177="",0,G177),0)</f>
        <v>0</v>
      </c>
      <c r="I177" s="1" t="s">
        <v>33</v>
      </c>
      <c r="J177" s="1" t="s">
        <v>34</v>
      </c>
      <c r="M177" s="22">
        <f>Ресурсы!C14</f>
        <v>71.94</v>
      </c>
      <c r="N177" s="22">
        <f>ROUND(IF(F177="",0,F177)*IF(M177="",0,M177),2)</f>
        <v>0</v>
      </c>
    </row>
    <row r="178" spans="1:14" ht="21" hidden="1">
      <c r="A178" s="59"/>
      <c r="B178" s="60"/>
      <c r="C178" s="59"/>
      <c r="D178" s="1">
        <f>Ресурсы!G14</f>
        <v>1</v>
      </c>
      <c r="E178" s="61"/>
      <c r="F178" s="61"/>
      <c r="G178" s="20">
        <f>Ресурсы!F14</f>
        <v>277.49</v>
      </c>
      <c r="H178" s="19">
        <f>ROUND(IF(F177="",0,F177)*IF(G178="",0,G178),0)</f>
        <v>0</v>
      </c>
      <c r="K178" s="1" t="s">
        <v>35</v>
      </c>
      <c r="L178" s="1" t="s">
        <v>36</v>
      </c>
      <c r="M178" s="20">
        <f>Ресурсы!E14</f>
        <v>13.82</v>
      </c>
      <c r="N178" s="20">
        <f>ROUND(IF(F177="",0,F177)*IF(M178="",0,M178),2)</f>
        <v>0</v>
      </c>
    </row>
    <row r="179" spans="1:14" ht="10.5" hidden="1">
      <c r="A179" s="4" t="s">
        <v>125</v>
      </c>
      <c r="B179" s="6" t="str">
        <f>ПОЛУЧШИФР(Ресурсы!A8,0)</f>
        <v>с101-1682</v>
      </c>
      <c r="C179" s="4" t="str">
        <f>Ресурсы!B8</f>
        <v>Шнур полиамидный крученый, диаметром 2 мм</v>
      </c>
      <c r="D179" s="5" t="s">
        <v>71</v>
      </c>
      <c r="E179" s="1">
        <v>0.0008</v>
      </c>
      <c r="F179" s="1">
        <f>ОКРУГЛВСЕ(IF(E179="",0,E179)*IF(F172="",0,F172),11)</f>
        <v>0</v>
      </c>
      <c r="G179" s="20">
        <f>ROUND(Ресурсы!D8*Начисления!AV12,2)</f>
        <v>256038.04</v>
      </c>
      <c r="H179" s="19">
        <f>ROUND(IF(F179="",0,F179)*IF(G179="",0,G179),0)</f>
        <v>0</v>
      </c>
      <c r="I179" s="1" t="s">
        <v>33</v>
      </c>
      <c r="J179" s="1" t="s">
        <v>44</v>
      </c>
      <c r="M179" s="20">
        <f>ROUND(Ресурсы!C8*Начисления!AV12,2)</f>
        <v>42189</v>
      </c>
      <c r="N179" s="20">
        <f>ROUND(IF(F179="",0,F179)*IF(M179="",0,M179),2)</f>
        <v>0</v>
      </c>
    </row>
    <row r="180" spans="1:14" ht="10.5" hidden="1">
      <c r="A180" s="4" t="s">
        <v>126</v>
      </c>
      <c r="B180" s="6" t="str">
        <f>ПОЛУЧШИФР(Ресурсы!A9,0)</f>
        <v>с101-2775</v>
      </c>
      <c r="C180" s="4" t="str">
        <f>Ресурсы!B9</f>
        <v>Микросферы стеклянные для дорожной разметки</v>
      </c>
      <c r="D180" s="5" t="s">
        <v>71</v>
      </c>
      <c r="E180" s="1">
        <v>0.0438</v>
      </c>
      <c r="F180" s="1">
        <f>ОКРУГЛВСЕ(IF(E180="",0,E180)*IF(F172="",0,F172),11)</f>
        <v>0</v>
      </c>
      <c r="G180" s="20">
        <f>ROUND(Ресурсы!D9*Начисления!AV12,2)</f>
        <v>52294.91</v>
      </c>
      <c r="H180" s="19">
        <f>ROUND(IF(F180="",0,F180)*IF(G180="",0,G180),0)</f>
        <v>0</v>
      </c>
      <c r="I180" s="1" t="s">
        <v>33</v>
      </c>
      <c r="J180" s="1" t="s">
        <v>44</v>
      </c>
      <c r="M180" s="20">
        <f>ROUND(Ресурсы!C9*Начисления!AV12,2)</f>
        <v>751.43</v>
      </c>
      <c r="N180" s="20">
        <f>ROUND(IF(F180="",0,F180)*IF(M180="",0,M180),2)</f>
        <v>0</v>
      </c>
    </row>
    <row r="181" spans="1:14" ht="10.5" hidden="1">
      <c r="A181" s="4" t="s">
        <v>127</v>
      </c>
      <c r="B181" s="6" t="str">
        <f>ПОЛУЧШИФР(Ресурсы!A11,0)</f>
        <v>с101-5889</v>
      </c>
      <c r="C181" s="4" t="str">
        <f>Ресурсы!B11</f>
        <v>Краска разметочная дорожная ИНДПОЛ, белая</v>
      </c>
      <c r="D181" s="5" t="s">
        <v>71</v>
      </c>
      <c r="E181" s="1">
        <v>0.115</v>
      </c>
      <c r="F181" s="1">
        <f>ОКРУГЛВСЕ(IF(E181="",0,E181)*IF(F172="",0,F172),11)</f>
        <v>0</v>
      </c>
      <c r="G181" s="20">
        <f>ROUND(Ресурсы!D11*Начисления!AV12,2)</f>
        <v>143750</v>
      </c>
      <c r="H181" s="19">
        <f>ROUND(IF(F181="",0,F181)*IF(G181="",0,G181),0)</f>
        <v>0</v>
      </c>
      <c r="I181" s="1" t="s">
        <v>33</v>
      </c>
      <c r="J181" s="1" t="s">
        <v>44</v>
      </c>
      <c r="M181" s="20">
        <f>ROUND(Ресурсы!C11*Начисления!AV12,2)</f>
        <v>20494.04</v>
      </c>
      <c r="N181" s="20">
        <f>ROUND(IF(F181="",0,F181)*IF(M181="",0,M181),2)</f>
        <v>0</v>
      </c>
    </row>
    <row r="182" spans="3:14" ht="10.5" hidden="1">
      <c r="C182" s="24" t="s">
        <v>37</v>
      </c>
      <c r="H182" s="1">
        <v>548</v>
      </c>
      <c r="N182" s="1">
        <v>21.8</v>
      </c>
    </row>
    <row r="183" spans="3:14" ht="10.5" hidden="1">
      <c r="C183" s="24" t="s">
        <v>38</v>
      </c>
      <c r="H183" s="1">
        <v>724</v>
      </c>
      <c r="N183" s="1">
        <v>60.43</v>
      </c>
    </row>
    <row r="184" spans="3:14" ht="10.5" hidden="1">
      <c r="C184" s="24" t="s">
        <v>39</v>
      </c>
      <c r="H184" s="1">
        <v>233</v>
      </c>
      <c r="N184" s="1">
        <v>11.61</v>
      </c>
    </row>
    <row r="185" spans="3:14" ht="10.5" hidden="1">
      <c r="C185" s="24" t="s">
        <v>40</v>
      </c>
      <c r="H185" s="1">
        <v>19027</v>
      </c>
      <c r="N185" s="1">
        <v>2423.48</v>
      </c>
    </row>
    <row r="186" ht="10.5" hidden="1">
      <c r="C186" s="24" t="s">
        <v>41</v>
      </c>
    </row>
    <row r="187" spans="3:13" ht="21" hidden="1">
      <c r="C187" s="24" t="s">
        <v>42</v>
      </c>
      <c r="G187" s="25"/>
      <c r="I187" s="1" t="s">
        <v>43</v>
      </c>
      <c r="J187" s="1" t="s">
        <v>44</v>
      </c>
      <c r="M187" s="25"/>
    </row>
    <row r="188" ht="10.5" hidden="1">
      <c r="C188" s="24" t="s">
        <v>45</v>
      </c>
    </row>
    <row r="189" ht="10.5" hidden="1">
      <c r="C189" s="24" t="s">
        <v>46</v>
      </c>
    </row>
    <row r="190" ht="10.5" hidden="1">
      <c r="C190" s="24" t="s">
        <v>47</v>
      </c>
    </row>
    <row r="191" spans="3:14" ht="10.5" hidden="1">
      <c r="C191" s="24" t="s">
        <v>48</v>
      </c>
      <c r="G191" s="1">
        <v>99</v>
      </c>
      <c r="H191" s="19">
        <f>IF('Текущие цены с учетом расхода'!N12&gt;0,'Текущие цены с учетом расхода'!N12,IF('Текущие цены с учетом расхода'!N12&lt;0,'Текущие цены с учетом расхода'!N12,""))</f>
      </c>
      <c r="J191" s="4" t="s">
        <v>49</v>
      </c>
      <c r="M191" s="1">
        <v>116</v>
      </c>
      <c r="N191" s="20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</row>
    <row r="192" spans="3:14" ht="10.5" hidden="1">
      <c r="C192" s="24" t="s">
        <v>50</v>
      </c>
      <c r="G192" s="1">
        <v>99</v>
      </c>
      <c r="H192" s="19">
        <f>IF('Текущие цены с учетом расхода'!P12&gt;0,'Текущие цены с учетом расхода'!P12,IF('Текущие цены с учетом расхода'!P12&lt;0,'Текущие цены с учетом расхода'!P12,""))</f>
      </c>
      <c r="J192" s="4" t="s">
        <v>51</v>
      </c>
      <c r="M192" s="1">
        <v>116</v>
      </c>
      <c r="N192" s="20">
        <f>IF('Базовые цены с учетом расхода'!P12&gt;0,'Базовые цены с учетом расхода'!P12,IF('Базовые цены с учетом расхода'!P12&lt;0,'Базовые цены с учетом расхода'!P12,""))</f>
      </c>
    </row>
    <row r="193" spans="3:14" ht="10.5" hidden="1">
      <c r="C193" s="24" t="s">
        <v>52</v>
      </c>
      <c r="G193" s="1">
        <v>99</v>
      </c>
      <c r="H193" s="19">
        <f>IF('Текущие цены с учетом расхода'!Q12&gt;0,'Текущие цены с учетом расхода'!Q12,IF('Текущие цены с учетом расхода'!Q12&lt;0,'Текущие цены с учетом расхода'!Q12,""))</f>
      </c>
      <c r="J193" s="4" t="s">
        <v>53</v>
      </c>
      <c r="M193" s="1">
        <v>116</v>
      </c>
      <c r="N193" s="20">
        <f>IF('Базовые цены с учетом расхода'!Q12&gt;0,'Базовые цены с учетом расхода'!Q12,IF('Базовые цены с учетом расхода'!Q12&lt;0,'Базовые цены с учетом расхода'!Q12,""))</f>
      </c>
    </row>
    <row r="194" spans="3:14" ht="10.5" hidden="1">
      <c r="C194" s="24" t="s">
        <v>54</v>
      </c>
      <c r="G194" s="1">
        <v>40</v>
      </c>
      <c r="H194" s="19">
        <f>IF('Текущие цены с учетом расхода'!O12&gt;0,'Текущие цены с учетом расхода'!O12,IF('Текущие цены с учетом расхода'!O12&lt;0,'Текущие цены с учетом расхода'!O12,""))</f>
      </c>
      <c r="J194" s="4" t="s">
        <v>55</v>
      </c>
      <c r="M194" s="1">
        <v>50</v>
      </c>
      <c r="N194" s="20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</row>
    <row r="195" spans="3:14" ht="10.5" hidden="1">
      <c r="C195" s="24" t="s">
        <v>56</v>
      </c>
      <c r="G195" s="1">
        <v>40</v>
      </c>
      <c r="H195" s="19">
        <f>IF('Текущие цены с учетом расхода'!R12&gt;0,'Текущие цены с учетом расхода'!R12,IF('Текущие цены с учетом расхода'!R12&lt;0,'Текущие цены с учетом расхода'!R12,""))</f>
      </c>
      <c r="J195" s="4" t="s">
        <v>57</v>
      </c>
      <c r="M195" s="1">
        <v>50</v>
      </c>
      <c r="N195" s="20">
        <f>IF('Базовые цены с учетом расхода'!R12&gt;0,'Базовые цены с учетом расхода'!R12,IF('Базовые цены с учетом расхода'!R12&lt;0,'Базовые цены с учетом расхода'!R12,""))</f>
      </c>
    </row>
    <row r="196" spans="3:14" ht="10.5" hidden="1">
      <c r="C196" s="24" t="s">
        <v>58</v>
      </c>
      <c r="G196" s="1">
        <v>40</v>
      </c>
      <c r="H196" s="19">
        <f>IF('Текущие цены с учетом расхода'!S12&gt;0,'Текущие цены с учетом расхода'!S12,IF('Текущие цены с учетом расхода'!S12&lt;0,'Текущие цены с учетом расхода'!S12,""))</f>
      </c>
      <c r="J196" s="4" t="s">
        <v>59</v>
      </c>
      <c r="M196" s="1">
        <v>50</v>
      </c>
      <c r="N196" s="20">
        <f>IF('Базовые цены с учетом расхода'!S12&gt;0,'Базовые цены с учетом расхода'!S12,IF('Базовые цены с учетом расхода'!S12&lt;0,'Базовые цены с учетом расхода'!S12,""))</f>
      </c>
    </row>
    <row r="197" spans="3:14" ht="10.5" hidden="1">
      <c r="C197" s="24" t="s">
        <v>74</v>
      </c>
      <c r="H197" s="19">
        <f>ROUND(IF(H172="",0,H172)+IF(H191="",0,H191)+IF(H194="",0,H194),0)</f>
        <v>0</v>
      </c>
      <c r="N197" s="20">
        <f>ROUND(IF(N172="",0,N172)+IF(N191="",0,N191)+IF(N194="",0,N194),2)</f>
        <v>0</v>
      </c>
    </row>
    <row r="198" spans="1:14" ht="21" hidden="1">
      <c r="A198" s="26" t="s">
        <v>128</v>
      </c>
      <c r="B198" s="26" t="s">
        <v>129</v>
      </c>
      <c r="C198" s="26" t="s">
        <v>130</v>
      </c>
      <c r="D198" s="27" t="s">
        <v>131</v>
      </c>
      <c r="E198" s="28"/>
      <c r="F198" s="29"/>
      <c r="G198" s="30">
        <f>ROUND(СУММПРОИЗВЕСЛИ(1,I198:I205,"s",E198:E205,G198:G205,0),2)</f>
        <v>3266.44</v>
      </c>
      <c r="H198" s="31">
        <f>ROUND(СУММПРОИЗВЕСЛИ(F198,I198:I205,"s",E198:E205,G198:G205,0),0)</f>
        <v>0</v>
      </c>
      <c r="I198" s="1" t="s">
        <v>25</v>
      </c>
      <c r="M198" s="16">
        <f>ROUND(СУММПРОИЗВЕСЛИ(1,I198:I205,"s",E198:E205,M198:M205,0),2)</f>
        <v>330.7</v>
      </c>
      <c r="N198" s="16">
        <f>ROUND(СУММПРОИЗВЕСЛИ(F198,I198:I205,"s",E198:E205,M198:M205,0),2)</f>
        <v>0</v>
      </c>
    </row>
    <row r="199" spans="1:14" ht="10.5" hidden="1">
      <c r="A199" s="4" t="s">
        <v>132</v>
      </c>
      <c r="B199" s="4" t="s">
        <v>27</v>
      </c>
      <c r="C199" s="4" t="s">
        <v>28</v>
      </c>
      <c r="D199" s="5" t="s">
        <v>29</v>
      </c>
      <c r="E199" s="1">
        <f>ОКРУГЛВСЕ(СУММПРОИЗВЕСЛИ(1,K198:K205,"mWithZTM",D198:D205,E198:E205,-1)+СУММКОЭФПРОЦЕНТЕСЛИ(1,1,K198:K205,"mWithZTM_Proch",E198:E205,-1),11)</f>
        <v>1.15</v>
      </c>
      <c r="F199" s="1">
        <f>ОКРУГЛВСЕ(СУММПРОИЗВЕСЛИ(1,K198:K205,"mWithZTM",D198:D205,F198:F205,-1)+СУММКОЭФПРОЦЕНТЕСЛИ(1,1,K198:K205,"mWithZTM_Proch",F198:F205,-1),11)</f>
        <v>0</v>
      </c>
      <c r="G199" s="18">
        <f>IF(F199=0,0,ROUND(H199/F199,3))</f>
        <v>0</v>
      </c>
      <c r="H199" s="19">
        <f>ROUND(СУММЕСЛИДА1НЕ1(L198:L205,"mWithZPM",D198:D205,0,H198:H205),0)</f>
        <v>0</v>
      </c>
      <c r="J199" s="1" t="s">
        <v>30</v>
      </c>
      <c r="M199" s="18">
        <f>IF(F199=0,0,ROUND(N199/F199,3))</f>
        <v>0</v>
      </c>
      <c r="N199" s="20">
        <f>ROUND(СУММЕСЛИДА1НЕ1(L198:L205,"mWithZPM",D198:D205,0,N198:N205),2)</f>
        <v>0</v>
      </c>
    </row>
    <row r="200" spans="1:14" ht="10.5" hidden="1">
      <c r="A200" s="4" t="s">
        <v>133</v>
      </c>
      <c r="B200" s="6" t="str">
        <f>ПОЛУЧШИФР(Ресурсы!A3,0)</f>
        <v>з0-4002</v>
      </c>
      <c r="C200" s="4" t="str">
        <f>Ресурсы!B3</f>
        <v>Дорожный рабочий 2 разряда</v>
      </c>
      <c r="D200" s="5" t="s">
        <v>29</v>
      </c>
      <c r="E200" s="1">
        <v>1.15</v>
      </c>
      <c r="F200" s="1">
        <f>ОКРУГЛВСЕ(IF(E200="",0,E200)*IF(F198="",0,F198),11)</f>
        <v>0</v>
      </c>
      <c r="G200" s="18">
        <f>Ресурсы!D3</f>
        <v>196</v>
      </c>
      <c r="H200" s="19">
        <f>ROUND(IF(F200="",0,F200)*IF(G200="",0,G200),0)</f>
        <v>0</v>
      </c>
      <c r="I200" s="1" t="s">
        <v>33</v>
      </c>
      <c r="J200" s="1" t="s">
        <v>66</v>
      </c>
      <c r="M200" s="18">
        <f>Ресурсы!C3</f>
        <v>7.8</v>
      </c>
      <c r="N200" s="20">
        <f>ROUND(IF(F200="",0,F200)*IF(M200="",0,M200),2)</f>
        <v>0</v>
      </c>
    </row>
    <row r="201" spans="1:14" ht="10.5" hidden="1">
      <c r="A201" s="4" t="s">
        <v>134</v>
      </c>
      <c r="B201" s="6" t="str">
        <f>ПОЛУЧШИФР(Ресурсы!A4,0)</f>
        <v>з0-4003</v>
      </c>
      <c r="C201" s="4" t="str">
        <f>Ресурсы!B4</f>
        <v>Дорожный рабочий 3 разряда</v>
      </c>
      <c r="D201" s="5" t="s">
        <v>29</v>
      </c>
      <c r="E201" s="1">
        <v>2.3</v>
      </c>
      <c r="F201" s="1">
        <f>ОКРУГЛВСЕ(IF(E201="",0,E201)*IF(F198="",0,F198),11)</f>
        <v>0</v>
      </c>
      <c r="G201" s="18">
        <f>Ресурсы!D4</f>
        <v>214.87</v>
      </c>
      <c r="H201" s="19">
        <f>ROUND(IF(F201="",0,F201)*IF(G201="",0,G201),0)</f>
        <v>0</v>
      </c>
      <c r="I201" s="1" t="s">
        <v>33</v>
      </c>
      <c r="J201" s="1" t="s">
        <v>66</v>
      </c>
      <c r="M201" s="18">
        <f>Ресурсы!C4</f>
        <v>8.53</v>
      </c>
      <c r="N201" s="20">
        <f>ROUND(IF(F201="",0,F201)*IF(M201="",0,M201),2)</f>
        <v>0</v>
      </c>
    </row>
    <row r="202" spans="1:14" ht="10.5" hidden="1">
      <c r="A202" s="59" t="s">
        <v>135</v>
      </c>
      <c r="B202" s="60" t="str">
        <f>ПОЛУЧШИФР(Ресурсы!A15,0)</f>
        <v>х12-1550</v>
      </c>
      <c r="C202" s="59" t="str">
        <f>Ресурсы!B15</f>
        <v>Машины дорожной службы (машина дорожного мастера)</v>
      </c>
      <c r="D202" s="21" t="s">
        <v>32</v>
      </c>
      <c r="E202" s="61">
        <v>1.15</v>
      </c>
      <c r="F202" s="61">
        <f>ОКРУГЛВСЕ(IF(E202="",0,E202)*IF(F198="",0,F198),11)</f>
        <v>0</v>
      </c>
      <c r="G202" s="22">
        <f>Ресурсы!D15</f>
        <v>825.37</v>
      </c>
      <c r="H202" s="23">
        <f>ROUND(IF(F202="",0,F202)*IF(G202="",0,G202),0)</f>
        <v>0</v>
      </c>
      <c r="I202" s="1" t="s">
        <v>33</v>
      </c>
      <c r="J202" s="1" t="s">
        <v>34</v>
      </c>
      <c r="M202" s="22">
        <f>Ресурсы!C15</f>
        <v>86.5</v>
      </c>
      <c r="N202" s="22">
        <f>ROUND(IF(F202="",0,F202)*IF(M202="",0,M202),2)</f>
        <v>0</v>
      </c>
    </row>
    <row r="203" spans="1:14" ht="21" hidden="1">
      <c r="A203" s="59"/>
      <c r="B203" s="60"/>
      <c r="C203" s="59"/>
      <c r="D203" s="1">
        <f>Ресурсы!G15</f>
        <v>1</v>
      </c>
      <c r="E203" s="61"/>
      <c r="F203" s="61"/>
      <c r="G203" s="20">
        <f>Ресурсы!F15</f>
        <v>241.71</v>
      </c>
      <c r="H203" s="19">
        <f>ROUND(IF(F202="",0,F202)*IF(G203="",0,G203),0)</f>
        <v>0</v>
      </c>
      <c r="K203" s="1" t="s">
        <v>35</v>
      </c>
      <c r="L203" s="1" t="s">
        <v>36</v>
      </c>
      <c r="M203" s="20">
        <f>Ресурсы!E15</f>
        <v>11.6</v>
      </c>
      <c r="N203" s="20">
        <f>ROUND(IF(F202="",0,F202)*IF(M203="",0,M203),2)</f>
        <v>0</v>
      </c>
    </row>
    <row r="204" spans="1:14" ht="10.5" hidden="1">
      <c r="A204" s="4" t="s">
        <v>136</v>
      </c>
      <c r="B204" s="6" t="str">
        <f>ПОЛУЧШИФР(Ресурсы!A9,0)</f>
        <v>с101-2775</v>
      </c>
      <c r="C204" s="4" t="str">
        <f>Ресурсы!B9</f>
        <v>Микросферы стеклянные для дорожной разметки</v>
      </c>
      <c r="D204" s="5" t="s">
        <v>71</v>
      </c>
      <c r="E204" s="1">
        <v>0.00375</v>
      </c>
      <c r="F204" s="1">
        <f>ОКРУГЛВСЕ(IF(E204="",0,E204)*IF(F198="",0,F198),11)</f>
        <v>0</v>
      </c>
      <c r="G204" s="20">
        <f>ROUND(Ресурсы!D9*Начисления!AV13,2)</f>
        <v>52294.91</v>
      </c>
      <c r="H204" s="19">
        <f>ROUND(IF(F204="",0,F204)*IF(G204="",0,G204),0)</f>
        <v>0</v>
      </c>
      <c r="I204" s="1" t="s">
        <v>33</v>
      </c>
      <c r="J204" s="1" t="s">
        <v>44</v>
      </c>
      <c r="M204" s="20">
        <f>ROUND(Ресурсы!C9*Начисления!AV13,2)</f>
        <v>751.43</v>
      </c>
      <c r="N204" s="20">
        <f>ROUND(IF(F204="",0,F204)*IF(M204="",0,M204),2)</f>
        <v>0</v>
      </c>
    </row>
    <row r="205" spans="1:14" ht="10.5" hidden="1">
      <c r="A205" s="4" t="s">
        <v>137</v>
      </c>
      <c r="B205" s="6" t="str">
        <f>ПОЛУЧШИФР(Ресурсы!A11,0)</f>
        <v>с101-5889</v>
      </c>
      <c r="C205" s="4" t="str">
        <f>Ресурсы!B11</f>
        <v>Краска разметочная дорожная ИНДПОЛ, белая</v>
      </c>
      <c r="D205" s="5" t="s">
        <v>71</v>
      </c>
      <c r="E205" s="1">
        <v>0.00975</v>
      </c>
      <c r="F205" s="1">
        <f>ОКРУГЛВСЕ(IF(E205="",0,E205)*IF(F198="",0,F198),11)</f>
        <v>0</v>
      </c>
      <c r="G205" s="20">
        <f>ROUND(Ресурсы!D11*Начисления!AV13,2)</f>
        <v>143750</v>
      </c>
      <c r="H205" s="19">
        <f>ROUND(IF(F205="",0,F205)*IF(G205="",0,G205),0)</f>
        <v>0</v>
      </c>
      <c r="I205" s="1" t="s">
        <v>33</v>
      </c>
      <c r="J205" s="1" t="s">
        <v>44</v>
      </c>
      <c r="M205" s="20">
        <f>ROUND(Ресурсы!C11*Начисления!AV13,2)</f>
        <v>20494.04</v>
      </c>
      <c r="N205" s="20">
        <f>ROUND(IF(F205="",0,F205)*IF(M205="",0,M205),2)</f>
        <v>0</v>
      </c>
    </row>
    <row r="206" spans="3:14" ht="10.5" hidden="1">
      <c r="C206" s="24" t="s">
        <v>37</v>
      </c>
      <c r="H206" s="1">
        <v>7</v>
      </c>
      <c r="N206" s="1">
        <v>0.29</v>
      </c>
    </row>
    <row r="207" spans="3:14" ht="10.5" hidden="1">
      <c r="C207" s="24" t="s">
        <v>38</v>
      </c>
      <c r="H207" s="1">
        <v>9</v>
      </c>
      <c r="N207" s="1">
        <v>0.99</v>
      </c>
    </row>
    <row r="208" spans="3:14" ht="10.5" hidden="1">
      <c r="C208" s="24" t="s">
        <v>39</v>
      </c>
      <c r="H208" s="1">
        <v>3</v>
      </c>
      <c r="N208" s="1">
        <v>0.13</v>
      </c>
    </row>
    <row r="209" spans="3:14" ht="10.5" hidden="1">
      <c r="C209" s="24" t="s">
        <v>40</v>
      </c>
      <c r="H209" s="1">
        <v>16</v>
      </c>
      <c r="N209" s="1">
        <v>2.03</v>
      </c>
    </row>
    <row r="210" ht="10.5" hidden="1">
      <c r="C210" s="24" t="s">
        <v>41</v>
      </c>
    </row>
    <row r="211" spans="3:13" ht="21" hidden="1">
      <c r="C211" s="24" t="s">
        <v>42</v>
      </c>
      <c r="G211" s="25"/>
      <c r="I211" s="1" t="s">
        <v>43</v>
      </c>
      <c r="J211" s="1" t="s">
        <v>44</v>
      </c>
      <c r="M211" s="25"/>
    </row>
    <row r="212" ht="10.5" hidden="1">
      <c r="C212" s="24" t="s">
        <v>45</v>
      </c>
    </row>
    <row r="213" ht="10.5" hidden="1">
      <c r="C213" s="24" t="s">
        <v>46</v>
      </c>
    </row>
    <row r="214" ht="10.5" hidden="1">
      <c r="C214" s="24" t="s">
        <v>47</v>
      </c>
    </row>
    <row r="215" spans="3:14" ht="10.5" hidden="1">
      <c r="C215" s="24" t="s">
        <v>48</v>
      </c>
      <c r="G215" s="1">
        <v>99</v>
      </c>
      <c r="H215" s="19">
        <f>IF('Текущие цены с учетом расхода'!N13&gt;0,'Текущие цены с учетом расхода'!N13,IF('Текущие цены с учетом расхода'!N13&lt;0,'Текущие цены с учетом расхода'!N13,""))</f>
      </c>
      <c r="J215" s="4" t="s">
        <v>49</v>
      </c>
      <c r="M215" s="1">
        <v>116</v>
      </c>
      <c r="N215" s="20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</c>
    </row>
    <row r="216" spans="3:14" ht="10.5" hidden="1">
      <c r="C216" s="24" t="s">
        <v>50</v>
      </c>
      <c r="G216" s="1">
        <v>99</v>
      </c>
      <c r="H216" s="19">
        <f>IF('Текущие цены с учетом расхода'!P13&gt;0,'Текущие цены с учетом расхода'!P13,IF('Текущие цены с учетом расхода'!P13&lt;0,'Текущие цены с учетом расхода'!P13,""))</f>
      </c>
      <c r="J216" s="4" t="s">
        <v>51</v>
      </c>
      <c r="M216" s="1">
        <v>116</v>
      </c>
      <c r="N216" s="20">
        <f>IF('Базовые цены с учетом расхода'!P13&gt;0,'Базовые цены с учетом расхода'!P13,IF('Базовые цены с учетом расхода'!P13&lt;0,'Базовые цены с учетом расхода'!P13,""))</f>
      </c>
    </row>
    <row r="217" spans="3:14" ht="10.5" hidden="1">
      <c r="C217" s="24" t="s">
        <v>52</v>
      </c>
      <c r="G217" s="1">
        <v>99</v>
      </c>
      <c r="H217" s="19">
        <f>IF('Текущие цены с учетом расхода'!Q13&gt;0,'Текущие цены с учетом расхода'!Q13,IF('Текущие цены с учетом расхода'!Q13&lt;0,'Текущие цены с учетом расхода'!Q13,""))</f>
      </c>
      <c r="J217" s="4" t="s">
        <v>53</v>
      </c>
      <c r="M217" s="1">
        <v>116</v>
      </c>
      <c r="N217" s="20">
        <f>IF('Базовые цены с учетом расхода'!Q13&gt;0,'Базовые цены с учетом расхода'!Q13,IF('Базовые цены с учетом расхода'!Q13&lt;0,'Базовые цены с учетом расхода'!Q13,""))</f>
      </c>
    </row>
    <row r="218" spans="3:14" ht="10.5" hidden="1">
      <c r="C218" s="24" t="s">
        <v>54</v>
      </c>
      <c r="G218" s="1">
        <v>40</v>
      </c>
      <c r="H218" s="19">
        <f>IF('Текущие цены с учетом расхода'!O13&gt;0,'Текущие цены с учетом расхода'!O13,IF('Текущие цены с учетом расхода'!O13&lt;0,'Текущие цены с учетом расхода'!O13,""))</f>
      </c>
      <c r="J218" s="4" t="s">
        <v>55</v>
      </c>
      <c r="M218" s="1">
        <v>50</v>
      </c>
      <c r="N218" s="20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</c>
    </row>
    <row r="219" spans="3:14" ht="10.5" hidden="1">
      <c r="C219" s="24" t="s">
        <v>56</v>
      </c>
      <c r="G219" s="1">
        <v>40</v>
      </c>
      <c r="H219" s="19">
        <f>IF('Текущие цены с учетом расхода'!R13&gt;0,'Текущие цены с учетом расхода'!R13,IF('Текущие цены с учетом расхода'!R13&lt;0,'Текущие цены с учетом расхода'!R13,""))</f>
      </c>
      <c r="J219" s="4" t="s">
        <v>57</v>
      </c>
      <c r="M219" s="1">
        <v>50</v>
      </c>
      <c r="N219" s="20">
        <f>IF('Базовые цены с учетом расхода'!R13&gt;0,'Базовые цены с учетом расхода'!R13,IF('Базовые цены с учетом расхода'!R13&lt;0,'Базовые цены с учетом расхода'!R13,""))</f>
      </c>
    </row>
    <row r="220" spans="3:14" ht="10.5" hidden="1">
      <c r="C220" s="24" t="s">
        <v>58</v>
      </c>
      <c r="G220" s="1">
        <v>40</v>
      </c>
      <c r="H220" s="19">
        <f>IF('Текущие цены с учетом расхода'!S13&gt;0,'Текущие цены с учетом расхода'!S13,IF('Текущие цены с учетом расхода'!S13&lt;0,'Текущие цены с учетом расхода'!S13,""))</f>
      </c>
      <c r="J220" s="4" t="s">
        <v>59</v>
      </c>
      <c r="M220" s="1">
        <v>50</v>
      </c>
      <c r="N220" s="20">
        <f>IF('Базовые цены с учетом расхода'!S13&gt;0,'Базовые цены с учетом расхода'!S13,IF('Базовые цены с учетом расхода'!S13&lt;0,'Базовые цены с учетом расхода'!S13,""))</f>
      </c>
    </row>
    <row r="221" spans="3:14" ht="10.5" hidden="1">
      <c r="C221" s="24" t="s">
        <v>74</v>
      </c>
      <c r="H221" s="19">
        <f>ROUND(IF(H198="",0,H198)+IF(H215="",0,H215)+IF(H218="",0,H218),0)</f>
        <v>0</v>
      </c>
      <c r="N221" s="20">
        <f>ROUND(IF(N198="",0,N198)+IF(N215="",0,N215)+IF(N218="",0,N218),2)</f>
        <v>0</v>
      </c>
    </row>
    <row r="222" spans="1:14" ht="31.5">
      <c r="A222" s="26" t="s">
        <v>138</v>
      </c>
      <c r="B222" s="26" t="s">
        <v>139</v>
      </c>
      <c r="C222" s="26" t="s">
        <v>140</v>
      </c>
      <c r="D222" s="27" t="s">
        <v>131</v>
      </c>
      <c r="E222" s="28"/>
      <c r="F222" s="29">
        <v>1.68</v>
      </c>
      <c r="G222" s="30">
        <f>ROUND(СУММПРОИЗВЕСЛИ(1,I222:I229,"s",E222:E229,G222:G229,0),2)</f>
        <v>42740.95</v>
      </c>
      <c r="H222" s="31">
        <f>ROUND(СУММПРОИЗВЕСЛИ(F222,I222:I229,"s",E222:E229,G222:G229,0),0)</f>
        <v>71805</v>
      </c>
      <c r="I222" s="1" t="s">
        <v>25</v>
      </c>
      <c r="M222" s="16">
        <f>ROUND(СУММПРОИЗВЕСЛИ(1,I222:I229,"s",E222:E229,M222:M229,0),2)</f>
        <v>4133.62</v>
      </c>
      <c r="N222" s="16">
        <f>ROUND(СУММПРОИЗВЕСЛИ(F222,I222:I229,"s",E222:E229,M222:M229,0),2)</f>
        <v>6944.49</v>
      </c>
    </row>
    <row r="223" spans="1:14" ht="10.5">
      <c r="A223" s="4" t="s">
        <v>141</v>
      </c>
      <c r="B223" s="4" t="s">
        <v>27</v>
      </c>
      <c r="C223" s="4" t="s">
        <v>28</v>
      </c>
      <c r="D223" s="5" t="s">
        <v>29</v>
      </c>
      <c r="E223" s="1">
        <f>ОКРУГЛВСЕ(СУММПРОИЗВЕСЛИ(1,K222:K229,"mWithZTM",D222:D229,E222:E229,-1)+СУММКОЭФПРОЦЕНТЕСЛИ(1,1,K222:K229,"mWithZTM_Proch",E222:E229,-1),11)</f>
        <v>17.71</v>
      </c>
      <c r="F223" s="1">
        <f>ОКРУГЛВСЕ(СУММПРОИЗВЕСЛИ(1,K222:K229,"mWithZTM",D222:D229,F222:F229,-1)+СУММКОЭФПРОЦЕНТЕСЛИ(1,1,K222:K229,"mWithZTM_Proch",F222:F229,-1),11)</f>
        <v>29.7528</v>
      </c>
      <c r="G223" s="18">
        <f>IF(F223=0,0,ROUND(H223/F223,3))</f>
        <v>241.725</v>
      </c>
      <c r="H223" s="19">
        <f>ROUND(СУММЕСЛИДА1НЕ1(L222:L229,"mWithZPM",D222:D229,0,H222:H229),0)</f>
        <v>7192</v>
      </c>
      <c r="J223" s="1" t="s">
        <v>30</v>
      </c>
      <c r="M223" s="18">
        <f>IF(F223=0,0,ROUND(N223/F223,3))</f>
        <v>11.6</v>
      </c>
      <c r="N223" s="20">
        <f>ROUND(СУММЕСЛИДА1НЕ1(L222:L229,"mWithZPM",D222:D229,0,N222:N229),2)</f>
        <v>345.13</v>
      </c>
    </row>
    <row r="224" spans="1:14" ht="10.5">
      <c r="A224" s="4" t="s">
        <v>142</v>
      </c>
      <c r="B224" s="6" t="str">
        <f>ПОЛУЧШИФР(Ресурсы!A3,0)</f>
        <v>з0-4002</v>
      </c>
      <c r="C224" s="4" t="str">
        <f>Ресурсы!B3</f>
        <v>Дорожный рабочий 2 разряда</v>
      </c>
      <c r="D224" s="5" t="s">
        <v>29</v>
      </c>
      <c r="E224" s="1">
        <v>17.71</v>
      </c>
      <c r="F224" s="1">
        <f>ОКРУГЛВСЕ(IF(E224="",0,E224)*IF(F222="",0,F222),11)</f>
        <v>29.7528</v>
      </c>
      <c r="G224" s="18">
        <f>Ресурсы!D3</f>
        <v>196</v>
      </c>
      <c r="H224" s="19">
        <f>ROUND(IF(F224="",0,F224)*IF(G224="",0,G224),0)</f>
        <v>5832</v>
      </c>
      <c r="I224" s="1" t="s">
        <v>33</v>
      </c>
      <c r="J224" s="1" t="s">
        <v>66</v>
      </c>
      <c r="M224" s="18">
        <f>Ресурсы!C3</f>
        <v>7.8</v>
      </c>
      <c r="N224" s="20">
        <f>ROUND(IF(F224="",0,F224)*IF(M224="",0,M224),2)</f>
        <v>232.07</v>
      </c>
    </row>
    <row r="225" spans="1:14" ht="10.5">
      <c r="A225" s="4" t="s">
        <v>143</v>
      </c>
      <c r="B225" s="6" t="str">
        <f>ПОЛУЧШИФР(Ресурсы!A4,0)</f>
        <v>з0-4003</v>
      </c>
      <c r="C225" s="4" t="str">
        <f>Ресурсы!B4</f>
        <v>Дорожный рабочий 3 разряда</v>
      </c>
      <c r="D225" s="5" t="s">
        <v>29</v>
      </c>
      <c r="E225" s="1">
        <v>35.42</v>
      </c>
      <c r="F225" s="1">
        <f>ОКРУГЛВСЕ(IF(E225="",0,E225)*IF(F222="",0,F222),11)</f>
        <v>59.5056</v>
      </c>
      <c r="G225" s="18">
        <f>Ресурсы!D4</f>
        <v>214.87</v>
      </c>
      <c r="H225" s="19">
        <f>ROUND(IF(F225="",0,F225)*IF(G225="",0,G225),0)</f>
        <v>12786</v>
      </c>
      <c r="I225" s="1" t="s">
        <v>33</v>
      </c>
      <c r="J225" s="1" t="s">
        <v>66</v>
      </c>
      <c r="M225" s="18">
        <f>Ресурсы!C4</f>
        <v>8.53</v>
      </c>
      <c r="N225" s="20">
        <f>ROUND(IF(F225="",0,F225)*IF(M225="",0,M225),2)</f>
        <v>507.58</v>
      </c>
    </row>
    <row r="226" spans="1:14" ht="10.5">
      <c r="A226" s="59" t="s">
        <v>144</v>
      </c>
      <c r="B226" s="60" t="str">
        <f>ПОЛУЧШИФР(Ресурсы!A15,0)</f>
        <v>х12-1550</v>
      </c>
      <c r="C226" s="59" t="str">
        <f>Ресурсы!B15</f>
        <v>Машины дорожной службы (машина дорожного мастера)</v>
      </c>
      <c r="D226" s="21" t="s">
        <v>32</v>
      </c>
      <c r="E226" s="61">
        <v>17.71</v>
      </c>
      <c r="F226" s="61">
        <f>ОКРУГЛВСЕ(IF(E226="",0,E226)*IF(F222="",0,F222),11)</f>
        <v>29.7528</v>
      </c>
      <c r="G226" s="22">
        <f>Ресурсы!D15</f>
        <v>825.37</v>
      </c>
      <c r="H226" s="23">
        <f>ROUND(IF(F226="",0,F226)*IF(G226="",0,G226),0)</f>
        <v>24557</v>
      </c>
      <c r="I226" s="1" t="s">
        <v>33</v>
      </c>
      <c r="J226" s="1" t="s">
        <v>34</v>
      </c>
      <c r="M226" s="22">
        <f>Ресурсы!C15</f>
        <v>86.5</v>
      </c>
      <c r="N226" s="22">
        <f>ROUND(IF(F226="",0,F226)*IF(M226="",0,M226),2)</f>
        <v>2573.62</v>
      </c>
    </row>
    <row r="227" spans="1:14" ht="21">
      <c r="A227" s="59"/>
      <c r="B227" s="60"/>
      <c r="C227" s="59"/>
      <c r="D227" s="1">
        <f>Ресурсы!G15</f>
        <v>1</v>
      </c>
      <c r="E227" s="61"/>
      <c r="F227" s="61"/>
      <c r="G227" s="20">
        <f>Ресурсы!F15</f>
        <v>241.71</v>
      </c>
      <c r="H227" s="19">
        <f>ROUND(IF(F226="",0,F226)*IF(G227="",0,G227),0)</f>
        <v>7192</v>
      </c>
      <c r="K227" s="1" t="s">
        <v>35</v>
      </c>
      <c r="L227" s="1" t="s">
        <v>36</v>
      </c>
      <c r="M227" s="20">
        <f>Ресурсы!E15</f>
        <v>11.6</v>
      </c>
      <c r="N227" s="20">
        <f>ROUND(IF(F226="",0,F226)*IF(M227="",0,M227),2)</f>
        <v>345.13</v>
      </c>
    </row>
    <row r="228" spans="1:14" ht="10.5">
      <c r="A228" s="4" t="s">
        <v>145</v>
      </c>
      <c r="B228" s="6" t="str">
        <f>ПОЛУЧШИФР(Ресурсы!A9,0)</f>
        <v>с101-2775</v>
      </c>
      <c r="C228" s="4" t="str">
        <f>Ресурсы!B9</f>
        <v>Микросферы стеклянные для дорожной разметки</v>
      </c>
      <c r="D228" s="5" t="s">
        <v>71</v>
      </c>
      <c r="E228" s="1">
        <v>0.04</v>
      </c>
      <c r="F228" s="1">
        <f>ОКРУГЛВСЕ(IF(E228="",0,E228)*IF(F222="",0,F222),11)</f>
        <v>0.0672</v>
      </c>
      <c r="G228" s="20">
        <f>ROUND(Ресурсы!D9*Начисления!AV14,2)</f>
        <v>52294.91</v>
      </c>
      <c r="H228" s="19">
        <f>ROUND(IF(F228="",0,F228)*IF(G228="",0,G228),0)</f>
        <v>3514</v>
      </c>
      <c r="I228" s="1" t="s">
        <v>33</v>
      </c>
      <c r="J228" s="1" t="s">
        <v>44</v>
      </c>
      <c r="M228" s="20">
        <f>ROUND(Ресурсы!C9*Начисления!AV14,2)</f>
        <v>751.43</v>
      </c>
      <c r="N228" s="20">
        <f>ROUND(IF(F228="",0,F228)*IF(M228="",0,M228),2)</f>
        <v>50.5</v>
      </c>
    </row>
    <row r="229" spans="1:14" ht="10.5">
      <c r="A229" s="4" t="s">
        <v>146</v>
      </c>
      <c r="B229" s="6" t="str">
        <f>ПОЛУЧШИФР(Ресурсы!A11,0)</f>
        <v>с101-5889</v>
      </c>
      <c r="C229" s="4" t="str">
        <f>Ресурсы!B11</f>
        <v>Краска разметочная дорожная ИНДПОЛ, белая</v>
      </c>
      <c r="D229" s="5" t="s">
        <v>71</v>
      </c>
      <c r="E229" s="1">
        <v>0.104</v>
      </c>
      <c r="F229" s="1">
        <f>ОКРУГЛВСЕ(IF(E229="",0,E229)*IF(F222="",0,F222),11)</f>
        <v>0.17472</v>
      </c>
      <c r="G229" s="20">
        <f>ROUND(Ресурсы!D11*Начисления!AV14,2)</f>
        <v>143750</v>
      </c>
      <c r="H229" s="19">
        <f>ROUND(IF(F229="",0,F229)*IF(G229="",0,G229),0)</f>
        <v>25116</v>
      </c>
      <c r="I229" s="1" t="s">
        <v>33</v>
      </c>
      <c r="J229" s="1" t="s">
        <v>44</v>
      </c>
      <c r="M229" s="20">
        <f>ROUND(Ресурсы!C11*Начисления!AV14,2)</f>
        <v>20494.04</v>
      </c>
      <c r="N229" s="20">
        <f>ROUND(IF(F229="",0,F229)*IF(M229="",0,M229),2)</f>
        <v>3580.72</v>
      </c>
    </row>
    <row r="230" spans="3:14" ht="10.5" hidden="1">
      <c r="C230" s="24" t="s">
        <v>37</v>
      </c>
      <c r="H230" s="1">
        <v>111</v>
      </c>
      <c r="N230" s="1">
        <v>4.4</v>
      </c>
    </row>
    <row r="231" spans="3:14" ht="10.5" hidden="1">
      <c r="C231" s="24" t="s">
        <v>38</v>
      </c>
      <c r="H231" s="1">
        <v>146</v>
      </c>
      <c r="N231" s="1">
        <v>15.32</v>
      </c>
    </row>
    <row r="232" spans="3:14" ht="10.5" hidden="1">
      <c r="C232" s="24" t="s">
        <v>39</v>
      </c>
      <c r="H232" s="1">
        <v>43</v>
      </c>
      <c r="N232" s="1">
        <v>2.05</v>
      </c>
    </row>
    <row r="233" spans="3:14" ht="10.5" hidden="1">
      <c r="C233" s="24" t="s">
        <v>40</v>
      </c>
      <c r="H233" s="1">
        <v>170</v>
      </c>
      <c r="N233" s="1">
        <v>21.61</v>
      </c>
    </row>
    <row r="234" ht="10.5" hidden="1">
      <c r="C234" s="24" t="s">
        <v>41</v>
      </c>
    </row>
    <row r="235" spans="3:13" ht="21" hidden="1">
      <c r="C235" s="24" t="s">
        <v>42</v>
      </c>
      <c r="G235" s="25"/>
      <c r="I235" s="1" t="s">
        <v>43</v>
      </c>
      <c r="J235" s="1" t="s">
        <v>44</v>
      </c>
      <c r="M235" s="25"/>
    </row>
    <row r="236" ht="10.5" hidden="1">
      <c r="C236" s="24" t="s">
        <v>45</v>
      </c>
    </row>
    <row r="237" ht="10.5" hidden="1">
      <c r="C237" s="24" t="s">
        <v>46</v>
      </c>
    </row>
    <row r="238" ht="10.5" hidden="1">
      <c r="C238" s="24" t="s">
        <v>47</v>
      </c>
    </row>
    <row r="239" spans="3:14" ht="10.5">
      <c r="C239" s="24" t="s">
        <v>48</v>
      </c>
      <c r="G239" s="1">
        <v>99</v>
      </c>
      <c r="H239" s="19">
        <f>IF('Текущие цены с учетом расхода'!N14&gt;0,'Текущие цены с учетом расхода'!N14,IF('Текущие цены с учетом расхода'!N14&lt;0,'Текущие цены с учетом расхода'!N14,""))</f>
        <v>25552</v>
      </c>
      <c r="J239" s="4" t="s">
        <v>49</v>
      </c>
      <c r="M239" s="1">
        <v>116</v>
      </c>
      <c r="N239" s="20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  <v>1258.34</v>
      </c>
    </row>
    <row r="240" spans="3:14" ht="10.5" hidden="1">
      <c r="C240" s="24" t="s">
        <v>50</v>
      </c>
      <c r="G240" s="1">
        <v>99</v>
      </c>
      <c r="H240" s="19">
        <f>IF('Текущие цены с учетом расхода'!P14&gt;0,'Текущие цены с учетом расхода'!P14,IF('Текущие цены с учетом расхода'!P14&lt;0,'Текущие цены с учетом расхода'!P14,""))</f>
        <v>18431</v>
      </c>
      <c r="J240" s="4" t="s">
        <v>51</v>
      </c>
      <c r="M240" s="1">
        <v>116</v>
      </c>
      <c r="N240" s="20">
        <f>IF('Базовые цены с учетом расхода'!P14&gt;0,'Базовые цены с учетом расхода'!P14,IF('Базовые цены с учетом расхода'!P14&lt;0,'Базовые цены с учетом расхода'!P14,""))</f>
        <v>858</v>
      </c>
    </row>
    <row r="241" spans="3:14" ht="10.5" hidden="1">
      <c r="C241" s="24" t="s">
        <v>52</v>
      </c>
      <c r="G241" s="1">
        <v>99</v>
      </c>
      <c r="H241" s="19">
        <f>IF('Текущие цены с учетом расхода'!Q14&gt;0,'Текущие цены с учетом расхода'!Q14,IF('Текущие цены с учетом расхода'!Q14&lt;0,'Текущие цены с учетом расхода'!Q14,""))</f>
        <v>7120</v>
      </c>
      <c r="J241" s="4" t="s">
        <v>53</v>
      </c>
      <c r="M241" s="1">
        <v>116</v>
      </c>
      <c r="N241" s="20">
        <f>IF('Базовые цены с учетом расхода'!Q14&gt;0,'Базовые цены с учетом расхода'!Q14,IF('Базовые цены с учетом расхода'!Q14&lt;0,'Базовые цены с учетом расхода'!Q14,""))</f>
        <v>400.36</v>
      </c>
    </row>
    <row r="242" spans="3:14" ht="10.5">
      <c r="C242" s="24" t="s">
        <v>54</v>
      </c>
      <c r="G242" s="1">
        <v>40</v>
      </c>
      <c r="H242" s="19">
        <f>IF('Текущие цены с учетом расхода'!O14&gt;0,'Текущие цены с учетом расхода'!O14,IF('Текущие цены с учетом расхода'!O14&lt;0,'Текущие цены с учетом расхода'!O14,""))</f>
        <v>10324</v>
      </c>
      <c r="J242" s="4" t="s">
        <v>55</v>
      </c>
      <c r="M242" s="1">
        <v>50</v>
      </c>
      <c r="N242" s="20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  <v>542.39</v>
      </c>
    </row>
    <row r="243" spans="3:14" ht="10.5" hidden="1">
      <c r="C243" s="24" t="s">
        <v>56</v>
      </c>
      <c r="G243" s="1">
        <v>40</v>
      </c>
      <c r="H243" s="19">
        <f>IF('Текущие цены с учетом расхода'!R14&gt;0,'Текущие цены с учетом расхода'!R14,IF('Текущие цены с учетом расхода'!R14&lt;0,'Текущие цены с учетом расхода'!R14,""))</f>
        <v>7447</v>
      </c>
      <c r="J243" s="4" t="s">
        <v>57</v>
      </c>
      <c r="M243" s="1">
        <v>50</v>
      </c>
      <c r="N243" s="20">
        <f>IF('Базовые цены с учетом расхода'!R14&gt;0,'Базовые цены с учетом расхода'!R14,IF('Базовые цены с учетом расхода'!R14&lt;0,'Базовые цены с учетом расхода'!R14,""))</f>
        <v>369.83</v>
      </c>
    </row>
    <row r="244" spans="3:14" ht="10.5" hidden="1">
      <c r="C244" s="24" t="s">
        <v>58</v>
      </c>
      <c r="G244" s="1">
        <v>40</v>
      </c>
      <c r="H244" s="19">
        <f>IF('Текущие цены с учетом расхода'!S14&gt;0,'Текущие цены с учетом расхода'!S14,IF('Текущие цены с учетом расхода'!S14&lt;0,'Текущие цены с учетом расхода'!S14,""))</f>
        <v>2877</v>
      </c>
      <c r="J244" s="4" t="s">
        <v>59</v>
      </c>
      <c r="M244" s="1">
        <v>50</v>
      </c>
      <c r="N244" s="20">
        <f>IF('Базовые цены с учетом расхода'!S14&gt;0,'Базовые цены с учетом расхода'!S14,IF('Базовые цены с учетом расхода'!S14&lt;0,'Базовые цены с учетом расхода'!S14,""))</f>
        <v>172.57</v>
      </c>
    </row>
    <row r="245" spans="3:14" ht="10.5">
      <c r="C245" s="24" t="s">
        <v>74</v>
      </c>
      <c r="H245" s="19">
        <f>ROUND(IF(H222="",0,H222)+IF(H239="",0,H239)+IF(H242="",0,H242),0)</f>
        <v>107681</v>
      </c>
      <c r="N245" s="20">
        <f>ROUND(IF(N222="",0,N222)+IF(N239="",0,N239)+IF(N242="",0,N242),2)</f>
        <v>8745.22</v>
      </c>
    </row>
    <row r="246" spans="1:14" ht="31.5">
      <c r="A246" s="26" t="s">
        <v>147</v>
      </c>
      <c r="B246" s="26" t="s">
        <v>139</v>
      </c>
      <c r="C246" s="26" t="s">
        <v>148</v>
      </c>
      <c r="D246" s="27" t="s">
        <v>131</v>
      </c>
      <c r="E246" s="28"/>
      <c r="F246" s="29">
        <v>1.38</v>
      </c>
      <c r="G246" s="30">
        <f>ROUND(СУММПРОИЗВЕСЛИ(1,I246:I253,"s",E246:E253,G246:G253,0),2)</f>
        <v>52048.95</v>
      </c>
      <c r="H246" s="31">
        <f>ROUND(СУММПРОИЗВЕСЛИ(F246,I246:I253,"s",E246:E253,G246:G253,0),0)</f>
        <v>71828</v>
      </c>
      <c r="I246" s="1" t="s">
        <v>25</v>
      </c>
      <c r="M246" s="16">
        <f>ROUND(СУММПРОИЗВЕСЛИ(1,I246:I253,"s",E246:E253,M246:M253,0),2)</f>
        <v>4966.03</v>
      </c>
      <c r="N246" s="16">
        <f>ROUND(СУММПРОИЗВЕСЛИ(F246,I246:I253,"s",E246:E253,M246:M253,0),2)</f>
        <v>6853.12</v>
      </c>
    </row>
    <row r="247" spans="1:14" ht="10.5">
      <c r="A247" s="4" t="s">
        <v>149</v>
      </c>
      <c r="B247" s="4" t="s">
        <v>27</v>
      </c>
      <c r="C247" s="4" t="s">
        <v>28</v>
      </c>
      <c r="D247" s="5" t="s">
        <v>29</v>
      </c>
      <c r="E247" s="1">
        <f>ОКРУГЛВСЕ(СУММПРОИЗВЕСЛИ(1,K246:K253,"mWithZTM",D246:D253,E246:E253,-1)+СУММКОЭФПРОЦЕНТЕСЛИ(1,1,K246:K253,"mWithZTM_Proch",E246:E253,-1),11)</f>
        <v>17.71</v>
      </c>
      <c r="F247" s="1">
        <f>ОКРУГЛВСЕ(СУММПРОИЗВЕСЛИ(1,K246:K253,"mWithZTM",D246:D253,F246:F253,-1)+СУММКОЭФПРОЦЕНТЕСЛИ(1,1,K246:K253,"mWithZTM_Proch",F246:F253,-1),11)</f>
        <v>24.4398</v>
      </c>
      <c r="G247" s="18">
        <f>IF(F247=0,0,ROUND(H247/F247,3))</f>
        <v>241.696</v>
      </c>
      <c r="H247" s="19">
        <f>ROUND(СУММЕСЛИДА1НЕ1(L246:L253,"mWithZPM",D246:D253,0,H246:H253),0)</f>
        <v>5907</v>
      </c>
      <c r="J247" s="1" t="s">
        <v>30</v>
      </c>
      <c r="M247" s="18">
        <f>IF(F247=0,0,ROUND(N247/F247,3))</f>
        <v>11.6</v>
      </c>
      <c r="N247" s="20">
        <f>ROUND(СУММЕСЛИДА1НЕ1(L246:L253,"mWithZPM",D246:D253,0,N246:N253),2)</f>
        <v>283.5</v>
      </c>
    </row>
    <row r="248" spans="1:14" ht="10.5">
      <c r="A248" s="4" t="s">
        <v>150</v>
      </c>
      <c r="B248" s="6" t="str">
        <f>ПОЛУЧШИФР(Ресурсы!A3,0)</f>
        <v>з0-4002</v>
      </c>
      <c r="C248" s="4" t="str">
        <f>Ресурсы!B3</f>
        <v>Дорожный рабочий 2 разряда</v>
      </c>
      <c r="D248" s="5" t="s">
        <v>29</v>
      </c>
      <c r="E248" s="1">
        <v>17.71</v>
      </c>
      <c r="F248" s="1">
        <f>ОКРУГЛВСЕ(IF(E248="",0,E248)*IF(F246="",0,F246),11)</f>
        <v>24.4398</v>
      </c>
      <c r="G248" s="18">
        <f>Ресурсы!D3</f>
        <v>196</v>
      </c>
      <c r="H248" s="19">
        <f>ROUND(IF(F248="",0,F248)*IF(G248="",0,G248),0)</f>
        <v>4790</v>
      </c>
      <c r="I248" s="1" t="s">
        <v>33</v>
      </c>
      <c r="J248" s="1" t="s">
        <v>66</v>
      </c>
      <c r="M248" s="18">
        <f>Ресурсы!C3</f>
        <v>7.8</v>
      </c>
      <c r="N248" s="20">
        <f>ROUND(IF(F248="",0,F248)*IF(M248="",0,M248),2)</f>
        <v>190.63</v>
      </c>
    </row>
    <row r="249" spans="1:14" ht="10.5">
      <c r="A249" s="4" t="s">
        <v>151</v>
      </c>
      <c r="B249" s="6" t="str">
        <f>ПОЛУЧШИФР(Ресурсы!A4,0)</f>
        <v>з0-4003</v>
      </c>
      <c r="C249" s="4" t="str">
        <f>Ресурсы!B4</f>
        <v>Дорожный рабочий 3 разряда</v>
      </c>
      <c r="D249" s="5" t="s">
        <v>29</v>
      </c>
      <c r="E249" s="1">
        <v>35.42</v>
      </c>
      <c r="F249" s="1">
        <f>ОКРУГЛВСЕ(IF(E249="",0,E249)*IF(F246="",0,F246),11)</f>
        <v>48.8796</v>
      </c>
      <c r="G249" s="18">
        <f>Ресурсы!D4</f>
        <v>214.87</v>
      </c>
      <c r="H249" s="19">
        <f>ROUND(IF(F249="",0,F249)*IF(G249="",0,G249),0)</f>
        <v>10503</v>
      </c>
      <c r="I249" s="1" t="s">
        <v>33</v>
      </c>
      <c r="J249" s="1" t="s">
        <v>66</v>
      </c>
      <c r="M249" s="18">
        <f>Ресурсы!C4</f>
        <v>8.53</v>
      </c>
      <c r="N249" s="20">
        <f>ROUND(IF(F249="",0,F249)*IF(M249="",0,M249),2)</f>
        <v>416.94</v>
      </c>
    </row>
    <row r="250" spans="1:14" ht="10.5">
      <c r="A250" s="59" t="s">
        <v>152</v>
      </c>
      <c r="B250" s="60" t="str">
        <f>ПОЛУЧШИФР(Ресурсы!A15,0)</f>
        <v>х12-1550</v>
      </c>
      <c r="C250" s="59" t="str">
        <f>Ресурсы!B15</f>
        <v>Машины дорожной службы (машина дорожного мастера)</v>
      </c>
      <c r="D250" s="21" t="s">
        <v>32</v>
      </c>
      <c r="E250" s="61">
        <v>17.71</v>
      </c>
      <c r="F250" s="61">
        <f>ОКРУГЛВСЕ(IF(E250="",0,E250)*IF(F246="",0,F246),11)</f>
        <v>24.4398</v>
      </c>
      <c r="G250" s="22">
        <f>Ресурсы!D15</f>
        <v>825.37</v>
      </c>
      <c r="H250" s="23">
        <f>ROUND(IF(F250="",0,F250)*IF(G250="",0,G250),0)</f>
        <v>20172</v>
      </c>
      <c r="I250" s="1" t="s">
        <v>33</v>
      </c>
      <c r="J250" s="1" t="s">
        <v>34</v>
      </c>
      <c r="M250" s="22">
        <f>Ресурсы!C15</f>
        <v>86.5</v>
      </c>
      <c r="N250" s="22">
        <f>ROUND(IF(F250="",0,F250)*IF(M250="",0,M250),2)</f>
        <v>2114.04</v>
      </c>
    </row>
    <row r="251" spans="1:14" ht="21">
      <c r="A251" s="59"/>
      <c r="B251" s="60"/>
      <c r="C251" s="59"/>
      <c r="D251" s="1">
        <f>Ресурсы!G15</f>
        <v>1</v>
      </c>
      <c r="E251" s="61"/>
      <c r="F251" s="61"/>
      <c r="G251" s="20">
        <f>Ресурсы!F15</f>
        <v>241.71</v>
      </c>
      <c r="H251" s="19">
        <f>ROUND(IF(F250="",0,F250)*IF(G251="",0,G251),0)</f>
        <v>5907</v>
      </c>
      <c r="K251" s="1" t="s">
        <v>35</v>
      </c>
      <c r="L251" s="1" t="s">
        <v>36</v>
      </c>
      <c r="M251" s="20">
        <f>Ресурсы!E15</f>
        <v>11.6</v>
      </c>
      <c r="N251" s="20">
        <f>ROUND(IF(F250="",0,F250)*IF(M251="",0,M251),2)</f>
        <v>283.5</v>
      </c>
    </row>
    <row r="252" spans="1:14" ht="10.5">
      <c r="A252" s="4" t="s">
        <v>153</v>
      </c>
      <c r="B252" s="6" t="str">
        <f>ПОЛУЧШИФР(Ресурсы!A9,0)</f>
        <v>с101-2775</v>
      </c>
      <c r="C252" s="4" t="str">
        <f>Ресурсы!B9</f>
        <v>Микросферы стеклянные для дорожной разметки</v>
      </c>
      <c r="D252" s="5" t="s">
        <v>71</v>
      </c>
      <c r="E252" s="1">
        <v>0.04</v>
      </c>
      <c r="F252" s="1">
        <f>ОКРУГЛВСЕ(IF(E252="",0,E252)*IF(F246="",0,F246),11)</f>
        <v>0.0552</v>
      </c>
      <c r="G252" s="20">
        <f>ROUND(Ресурсы!D9*Начисления!AV15,2)</f>
        <v>52294.91</v>
      </c>
      <c r="H252" s="19">
        <f>ROUND(IF(F252="",0,F252)*IF(G252="",0,G252),0)</f>
        <v>2887</v>
      </c>
      <c r="I252" s="1" t="s">
        <v>33</v>
      </c>
      <c r="J252" s="1" t="s">
        <v>44</v>
      </c>
      <c r="M252" s="20">
        <f>ROUND(Ресурсы!C9*Начисления!AV15,2)</f>
        <v>751.43</v>
      </c>
      <c r="N252" s="20">
        <f>ROUND(IF(F252="",0,F252)*IF(M252="",0,M252),2)</f>
        <v>41.48</v>
      </c>
    </row>
    <row r="253" spans="1:14" ht="10.5">
      <c r="A253" s="4" t="s">
        <v>154</v>
      </c>
      <c r="B253" s="6" t="str">
        <f>ПОЛУЧШИФР(Ресурсы!A10,0)</f>
        <v>с101-3505</v>
      </c>
      <c r="C253" s="4" t="str">
        <f>Ресурсы!B10</f>
        <v>Краска разметочная дорожная ИНДПОЛ, желтая</v>
      </c>
      <c r="D253" s="5" t="s">
        <v>71</v>
      </c>
      <c r="E253" s="1">
        <v>0.156</v>
      </c>
      <c r="F253" s="1">
        <f>ОКРУГЛВСЕ(IF(E253="",0,E253)*IF(F246="",0,F246),11)</f>
        <v>0.21528</v>
      </c>
      <c r="G253" s="20">
        <f>ROUND(Ресурсы!D10*Начисления!AV15,2)</f>
        <v>155500</v>
      </c>
      <c r="H253" s="19">
        <f>ROUND(IF(F253="",0,F253)*IF(G253="",0,G253),0)</f>
        <v>33476</v>
      </c>
      <c r="I253" s="1" t="s">
        <v>33</v>
      </c>
      <c r="J253" s="1" t="s">
        <v>44</v>
      </c>
      <c r="M253" s="20">
        <f>ROUND(Ресурсы!C10*Начисления!AV15,2)</f>
        <v>18998.63</v>
      </c>
      <c r="N253" s="20">
        <f>ROUND(IF(F253="",0,F253)*IF(M253="",0,M253),2)</f>
        <v>4090.03</v>
      </c>
    </row>
    <row r="254" spans="3:14" ht="10.5" hidden="1">
      <c r="C254" s="24" t="s">
        <v>37</v>
      </c>
      <c r="H254" s="1">
        <v>111</v>
      </c>
      <c r="N254" s="1">
        <v>4.4</v>
      </c>
    </row>
    <row r="255" spans="3:14" ht="10.5" hidden="1">
      <c r="C255" s="24" t="s">
        <v>38</v>
      </c>
      <c r="H255" s="1">
        <v>146</v>
      </c>
      <c r="N255" s="1">
        <v>15.32</v>
      </c>
    </row>
    <row r="256" spans="3:14" ht="10.5" hidden="1">
      <c r="C256" s="24" t="s">
        <v>39</v>
      </c>
      <c r="H256" s="1">
        <v>43</v>
      </c>
      <c r="N256" s="1">
        <v>2.05</v>
      </c>
    </row>
    <row r="257" spans="3:14" ht="10.5" hidden="1">
      <c r="C257" s="24" t="s">
        <v>40</v>
      </c>
      <c r="H257" s="1">
        <v>263</v>
      </c>
      <c r="N257" s="1">
        <v>29.94</v>
      </c>
    </row>
    <row r="258" ht="10.5" hidden="1">
      <c r="C258" s="24" t="s">
        <v>41</v>
      </c>
    </row>
    <row r="259" spans="3:13" ht="21" hidden="1">
      <c r="C259" s="24" t="s">
        <v>42</v>
      </c>
      <c r="G259" s="25"/>
      <c r="I259" s="1" t="s">
        <v>43</v>
      </c>
      <c r="J259" s="1" t="s">
        <v>44</v>
      </c>
      <c r="M259" s="25"/>
    </row>
    <row r="260" ht="10.5" hidden="1">
      <c r="C260" s="24" t="s">
        <v>45</v>
      </c>
    </row>
    <row r="261" ht="10.5" hidden="1">
      <c r="C261" s="24" t="s">
        <v>46</v>
      </c>
    </row>
    <row r="262" ht="10.5" hidden="1">
      <c r="C262" s="24" t="s">
        <v>47</v>
      </c>
    </row>
    <row r="263" spans="3:14" ht="10.5">
      <c r="C263" s="24" t="s">
        <v>48</v>
      </c>
      <c r="G263" s="1">
        <v>99</v>
      </c>
      <c r="H263" s="19">
        <f>IF('Текущие цены с учетом расхода'!N15&gt;0,'Текущие цены с учетом расхода'!N15,IF('Текущие цены с учетом расхода'!N15&lt;0,'Текущие цены с учетом расхода'!N15,""))</f>
        <v>20988</v>
      </c>
      <c r="J263" s="4" t="s">
        <v>49</v>
      </c>
      <c r="M263" s="1">
        <v>116</v>
      </c>
      <c r="N263" s="20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  <v>1033.64</v>
      </c>
    </row>
    <row r="264" spans="3:14" ht="10.5" hidden="1">
      <c r="C264" s="24" t="s">
        <v>50</v>
      </c>
      <c r="G264" s="1">
        <v>99</v>
      </c>
      <c r="H264" s="19">
        <f>IF('Текущие цены с учетом расхода'!P15&gt;0,'Текущие цены с учетом расхода'!P15,IF('Текущие цены с учетом расхода'!P15&lt;0,'Текущие цены с учетом расхода'!P15,""))</f>
        <v>15140</v>
      </c>
      <c r="J264" s="4" t="s">
        <v>51</v>
      </c>
      <c r="M264" s="1">
        <v>116</v>
      </c>
      <c r="N264" s="20">
        <f>IF('Базовые цены с учетом расхода'!P15&gt;0,'Базовые цены с учетом расхода'!P15,IF('Базовые цены с учетом расхода'!P15&lt;0,'Базовые цены с учетом расхода'!P15,""))</f>
        <v>704.78</v>
      </c>
    </row>
    <row r="265" spans="3:14" ht="10.5" hidden="1">
      <c r="C265" s="24" t="s">
        <v>52</v>
      </c>
      <c r="G265" s="1">
        <v>99</v>
      </c>
      <c r="H265" s="19">
        <f>IF('Текущие цены с учетом расхода'!Q15&gt;0,'Текущие цены с учетом расхода'!Q15,IF('Текущие цены с учетом расхода'!Q15&lt;0,'Текущие цены с учетом расхода'!Q15,""))</f>
        <v>5848</v>
      </c>
      <c r="J265" s="4" t="s">
        <v>53</v>
      </c>
      <c r="M265" s="1">
        <v>116</v>
      </c>
      <c r="N265" s="20">
        <f>IF('Базовые цены с учетом расхода'!Q15&gt;0,'Базовые цены с учетом расхода'!Q15,IF('Базовые цены с учетом расхода'!Q15&lt;0,'Базовые цены с учетом расхода'!Q15,""))</f>
        <v>328.87</v>
      </c>
    </row>
    <row r="266" spans="3:14" ht="10.5">
      <c r="C266" s="24" t="s">
        <v>54</v>
      </c>
      <c r="G266" s="1">
        <v>40</v>
      </c>
      <c r="H266" s="19">
        <f>IF('Текущие цены с учетом расхода'!O15&gt;0,'Текущие цены с учетом расхода'!O15,IF('Текущие цены с учетом расхода'!O15&lt;0,'Текущие цены с учетом расхода'!O15,""))</f>
        <v>8480</v>
      </c>
      <c r="J266" s="4" t="s">
        <v>55</v>
      </c>
      <c r="M266" s="1">
        <v>50</v>
      </c>
      <c r="N266" s="20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  <v>445.54</v>
      </c>
    </row>
    <row r="267" spans="3:14" ht="10.5" hidden="1">
      <c r="C267" s="24" t="s">
        <v>56</v>
      </c>
      <c r="G267" s="1">
        <v>40</v>
      </c>
      <c r="H267" s="19">
        <f>IF('Текущие цены с учетом расхода'!R15&gt;0,'Текущие цены с учетом расхода'!R15,IF('Текущие цены с учетом расхода'!R15&lt;0,'Текущие цены с учетом расхода'!R15,""))</f>
        <v>6117</v>
      </c>
      <c r="J267" s="4" t="s">
        <v>57</v>
      </c>
      <c r="M267" s="1">
        <v>50</v>
      </c>
      <c r="N267" s="20">
        <f>IF('Базовые цены с учетом расхода'!R15&gt;0,'Базовые цены с учетом расхода'!R15,IF('Базовые цены с учетом расхода'!R15&lt;0,'Базовые цены с учетом расхода'!R15,""))</f>
        <v>303.79</v>
      </c>
    </row>
    <row r="268" spans="3:14" ht="10.5" hidden="1">
      <c r="C268" s="24" t="s">
        <v>58</v>
      </c>
      <c r="G268" s="1">
        <v>40</v>
      </c>
      <c r="H268" s="19">
        <f>IF('Текущие цены с учетом расхода'!S15&gt;0,'Текущие цены с учетом расхода'!S15,IF('Текущие цены с учетом расхода'!S15&lt;0,'Текущие цены с учетом расхода'!S15,""))</f>
        <v>2363</v>
      </c>
      <c r="J268" s="4" t="s">
        <v>59</v>
      </c>
      <c r="M268" s="1">
        <v>50</v>
      </c>
      <c r="N268" s="20">
        <f>IF('Базовые цены с учетом расхода'!S15&gt;0,'Базовые цены с учетом расхода'!S15,IF('Базовые цены с учетом расхода'!S15&lt;0,'Базовые цены с учетом расхода'!S15,""))</f>
        <v>141.75</v>
      </c>
    </row>
    <row r="269" spans="3:14" ht="10.5">
      <c r="C269" s="24" t="s">
        <v>74</v>
      </c>
      <c r="H269" s="19">
        <f>ROUND(IF(H246="",0,H246)+IF(H263="",0,H263)+IF(H266="",0,H266),0)</f>
        <v>101296</v>
      </c>
      <c r="N269" s="20">
        <f>ROUND(IF(N246="",0,N246)+IF(N263="",0,N263)+IF(N266="",0,N266),2)</f>
        <v>8332.3</v>
      </c>
    </row>
    <row r="270" spans="1:14" ht="21" hidden="1">
      <c r="A270" s="26" t="s">
        <v>155</v>
      </c>
      <c r="B270" s="26" t="s">
        <v>156</v>
      </c>
      <c r="C270" s="26" t="s">
        <v>157</v>
      </c>
      <c r="D270" s="27" t="s">
        <v>158</v>
      </c>
      <c r="E270" s="28"/>
      <c r="F270" s="29"/>
      <c r="G270" s="30">
        <f>ROUND(СУММПРОИЗВЕСЛИ(1,I270:I279,"s",E270:E279,G270:G279,0),2)</f>
        <v>22922.85</v>
      </c>
      <c r="H270" s="31">
        <f>ROUND(СУММПРОИЗВЕСЛИ(F270,I270:I279,"s",E270:E279,G270:G279,0),0)</f>
        <v>0</v>
      </c>
      <c r="I270" s="1" t="s">
        <v>25</v>
      </c>
      <c r="M270" s="16">
        <f>ROUND(СУММПРОИЗВЕСЛИ(1,I270:I279,"s",E270:E279,M270:M279,0),2)</f>
        <v>2283.49</v>
      </c>
      <c r="N270" s="16">
        <f>ROUND(СУММПРОИЗВЕСЛИ(F270,I270:I279,"s",E270:E279,M270:M279,0),2)</f>
        <v>0</v>
      </c>
    </row>
    <row r="271" spans="1:14" ht="10.5" hidden="1">
      <c r="A271" s="4" t="s">
        <v>159</v>
      </c>
      <c r="B271" s="4" t="s">
        <v>27</v>
      </c>
      <c r="C271" s="4" t="s">
        <v>28</v>
      </c>
      <c r="D271" s="5" t="s">
        <v>29</v>
      </c>
      <c r="E271" s="1">
        <f>ОКРУГЛВСЕ(СУММПРОИЗВЕСЛИ(1,K270:K279,"mWithZTM",D270:D279,E270:E279,-1)+СУММКОЭФПРОЦЕНТЕСЛИ(1,1,K270:K279,"mWithZTM_Proch",E270:E279,-1),11)</f>
        <v>9.18</v>
      </c>
      <c r="F271" s="1">
        <f>ОКРУГЛВСЕ(СУММПРОИЗВЕСЛИ(1,K270:K279,"mWithZTM",D270:D279,F270:F279,-1)+СУММКОЭФПРОЦЕНТЕСЛИ(1,1,K270:K279,"mWithZTM_Proch",F270:F279,-1),11)</f>
        <v>0</v>
      </c>
      <c r="G271" s="18">
        <f>IF(F271=0,0,ROUND(H271/F271,3))</f>
        <v>0</v>
      </c>
      <c r="H271" s="19">
        <f>ROUND(СУММЕСЛИДА1НЕ1(L270:L279,"mWithZPM",D270:D279,0,H270:H279),0)</f>
        <v>0</v>
      </c>
      <c r="J271" s="1" t="s">
        <v>30</v>
      </c>
      <c r="M271" s="18">
        <f>IF(F271=0,0,ROUND(N271/F271,3))</f>
        <v>0</v>
      </c>
      <c r="N271" s="20">
        <f>ROUND(СУММЕСЛИДА1НЕ1(L270:L279,"mWithZPM",D270:D279,0,N270:N279),2)</f>
        <v>0</v>
      </c>
    </row>
    <row r="272" spans="1:14" ht="10.5" hidden="1">
      <c r="A272" s="4" t="s">
        <v>160</v>
      </c>
      <c r="B272" s="6" t="str">
        <f>ПОЛУЧШИФР(Ресурсы!A4,0)</f>
        <v>з0-4003</v>
      </c>
      <c r="C272" s="4" t="str">
        <f>Ресурсы!B4</f>
        <v>Дорожный рабочий 3 разряда</v>
      </c>
      <c r="D272" s="5" t="s">
        <v>29</v>
      </c>
      <c r="E272" s="1">
        <v>9.18</v>
      </c>
      <c r="F272" s="1">
        <f>ОКРУГЛВСЕ(IF(E272="",0,E272)*IF(F270="",0,F270),11)</f>
        <v>0</v>
      </c>
      <c r="G272" s="18">
        <f>Ресурсы!D4</f>
        <v>214.87</v>
      </c>
      <c r="H272" s="19">
        <f>ROUND(IF(F272="",0,F272)*IF(G272="",0,G272),0)</f>
        <v>0</v>
      </c>
      <c r="I272" s="1" t="s">
        <v>33</v>
      </c>
      <c r="J272" s="1" t="s">
        <v>66</v>
      </c>
      <c r="M272" s="18">
        <f>Ресурсы!C4</f>
        <v>8.53</v>
      </c>
      <c r="N272" s="20">
        <f>ROUND(IF(F272="",0,F272)*IF(M272="",0,M272),2)</f>
        <v>0</v>
      </c>
    </row>
    <row r="273" spans="1:14" ht="10.5" hidden="1">
      <c r="A273" s="4" t="s">
        <v>161</v>
      </c>
      <c r="B273" s="6" t="str">
        <f>ПОЛУЧШИФР(Ресурсы!A5,0)</f>
        <v>з0-4004</v>
      </c>
      <c r="C273" s="4" t="str">
        <f>Ресурсы!B5</f>
        <v>Дорожный рабочий 4 разряда</v>
      </c>
      <c r="D273" s="5" t="s">
        <v>29</v>
      </c>
      <c r="E273" s="1">
        <v>4.59</v>
      </c>
      <c r="F273" s="1">
        <f>ОКРУГЛВСЕ(IF(E273="",0,E273)*IF(F270="",0,F270),11)</f>
        <v>0</v>
      </c>
      <c r="G273" s="18">
        <f>Ресурсы!D5</f>
        <v>241.71</v>
      </c>
      <c r="H273" s="19">
        <f>ROUND(IF(F273="",0,F273)*IF(G273="",0,G273),0)</f>
        <v>0</v>
      </c>
      <c r="I273" s="1" t="s">
        <v>33</v>
      </c>
      <c r="J273" s="1" t="s">
        <v>66</v>
      </c>
      <c r="M273" s="18">
        <f>Ресурсы!C5</f>
        <v>9.62</v>
      </c>
      <c r="N273" s="20">
        <f>ROUND(IF(F273="",0,F273)*IF(M273="",0,M273),2)</f>
        <v>0</v>
      </c>
    </row>
    <row r="274" spans="1:14" ht="10.5" hidden="1">
      <c r="A274" s="59" t="s">
        <v>162</v>
      </c>
      <c r="B274" s="60" t="str">
        <f>ПОЛУЧШИФР(Ресурсы!A12,0)</f>
        <v>х05-0101</v>
      </c>
      <c r="C274" s="59" t="str">
        <f>Ресурсы!B12</f>
        <v>Компрессоры передвижные с двигателем внутреннего сгорания давлением до 686 кПа (7 ат), производительность 2,2 м3/мин</v>
      </c>
      <c r="D274" s="21" t="s">
        <v>32</v>
      </c>
      <c r="E274" s="61">
        <v>4.59</v>
      </c>
      <c r="F274" s="61">
        <f>ОКРУГЛВСЕ(IF(E274="",0,E274)*IF(F270="",0,F270),11)</f>
        <v>0</v>
      </c>
      <c r="G274" s="22">
        <f>Ресурсы!D12</f>
        <v>1176.76</v>
      </c>
      <c r="H274" s="23">
        <f>ROUND(IF(F274="",0,F274)*IF(G274="",0,G274),0)</f>
        <v>0</v>
      </c>
      <c r="I274" s="1" t="s">
        <v>33</v>
      </c>
      <c r="J274" s="1" t="s">
        <v>34</v>
      </c>
      <c r="M274" s="22">
        <f>Ресурсы!C12</f>
        <v>90</v>
      </c>
      <c r="N274" s="22">
        <f>ROUND(IF(F274="",0,F274)*IF(M274="",0,M274),2)</f>
        <v>0</v>
      </c>
    </row>
    <row r="275" spans="1:14" ht="21" hidden="1">
      <c r="A275" s="59"/>
      <c r="B275" s="60"/>
      <c r="C275" s="59"/>
      <c r="D275" s="1">
        <f>Ресурсы!G12</f>
        <v>1</v>
      </c>
      <c r="E275" s="61"/>
      <c r="F275" s="61"/>
      <c r="G275" s="20">
        <f>Ресурсы!F12</f>
        <v>241.71</v>
      </c>
      <c r="H275" s="19">
        <f>ROUND(IF(F274="",0,F274)*IF(G275="",0,G275),0)</f>
        <v>0</v>
      </c>
      <c r="K275" s="1" t="s">
        <v>35</v>
      </c>
      <c r="L275" s="1" t="s">
        <v>36</v>
      </c>
      <c r="M275" s="20">
        <f>Ресурсы!E12</f>
        <v>10.06</v>
      </c>
      <c r="N275" s="20">
        <f>ROUND(IF(F274="",0,F274)*IF(M275="",0,M275),2)</f>
        <v>0</v>
      </c>
    </row>
    <row r="276" spans="1:14" ht="10.5" hidden="1">
      <c r="A276" s="59" t="s">
        <v>163</v>
      </c>
      <c r="B276" s="60" t="str">
        <f>ПОЛУЧШИФР(Ресурсы!A15,0)</f>
        <v>х12-1550</v>
      </c>
      <c r="C276" s="59" t="str">
        <f>Ресурсы!B15</f>
        <v>Машины дорожной службы (машина дорожного мастера)</v>
      </c>
      <c r="D276" s="21" t="s">
        <v>32</v>
      </c>
      <c r="E276" s="61">
        <v>4.59</v>
      </c>
      <c r="F276" s="61">
        <f>ОКРУГЛВСЕ(IF(E276="",0,E276)*IF(F270="",0,F270),11)</f>
        <v>0</v>
      </c>
      <c r="G276" s="22">
        <f>Ресурсы!D15</f>
        <v>825.37</v>
      </c>
      <c r="H276" s="23">
        <f>ROUND(IF(F276="",0,F276)*IF(G276="",0,G276),0)</f>
        <v>0</v>
      </c>
      <c r="I276" s="1" t="s">
        <v>33</v>
      </c>
      <c r="J276" s="1" t="s">
        <v>34</v>
      </c>
      <c r="M276" s="22">
        <f>Ресурсы!C15</f>
        <v>86.5</v>
      </c>
      <c r="N276" s="22">
        <f>ROUND(IF(F276="",0,F276)*IF(M276="",0,M276),2)</f>
        <v>0</v>
      </c>
    </row>
    <row r="277" spans="1:14" ht="21" hidden="1">
      <c r="A277" s="59"/>
      <c r="B277" s="60"/>
      <c r="C277" s="59"/>
      <c r="D277" s="1">
        <f>Ресурсы!G15</f>
        <v>1</v>
      </c>
      <c r="E277" s="61"/>
      <c r="F277" s="61"/>
      <c r="G277" s="20">
        <f>Ресурсы!F15</f>
        <v>241.71</v>
      </c>
      <c r="H277" s="19">
        <f>ROUND(IF(F276="",0,F276)*IF(G277="",0,G277),0)</f>
        <v>0</v>
      </c>
      <c r="K277" s="1" t="s">
        <v>35</v>
      </c>
      <c r="L277" s="1" t="s">
        <v>36</v>
      </c>
      <c r="M277" s="20">
        <f>Ресурсы!E15</f>
        <v>11.6</v>
      </c>
      <c r="N277" s="20">
        <f>ROUND(IF(F276="",0,F276)*IF(M277="",0,M277),2)</f>
        <v>0</v>
      </c>
    </row>
    <row r="278" spans="1:14" ht="10.5" hidden="1">
      <c r="A278" s="4" t="s">
        <v>164</v>
      </c>
      <c r="B278" s="6" t="str">
        <f>ПОЛУЧШИФР(Ресурсы!A9,0)</f>
        <v>с101-2775</v>
      </c>
      <c r="C278" s="4" t="str">
        <f>Ресурсы!B9</f>
        <v>Микросферы стеклянные для дорожной разметки</v>
      </c>
      <c r="D278" s="5" t="s">
        <v>71</v>
      </c>
      <c r="E278" s="1">
        <v>0.025</v>
      </c>
      <c r="F278" s="1">
        <f>ОКРУГЛВСЕ(IF(E278="",0,E278)*IF(F270="",0,F270),11)</f>
        <v>0</v>
      </c>
      <c r="G278" s="20">
        <f>ROUND(Ресурсы!D9*Начисления!AV16,2)</f>
        <v>52294.91</v>
      </c>
      <c r="H278" s="19">
        <f>ROUND(IF(F278="",0,F278)*IF(G278="",0,G278),0)</f>
        <v>0</v>
      </c>
      <c r="I278" s="1" t="s">
        <v>33</v>
      </c>
      <c r="J278" s="1" t="s">
        <v>44</v>
      </c>
      <c r="M278" s="20">
        <f>ROUND(Ресурсы!C9*Начисления!AV16,2)</f>
        <v>751.43</v>
      </c>
      <c r="N278" s="20">
        <f>ROUND(IF(F278="",0,F278)*IF(M278="",0,M278),2)</f>
        <v>0</v>
      </c>
    </row>
    <row r="279" spans="1:14" ht="10.5" hidden="1">
      <c r="A279" s="4" t="s">
        <v>165</v>
      </c>
      <c r="B279" s="6" t="str">
        <f>ПОЛУЧШИФР(Ресурсы!A11,0)</f>
        <v>с101-5889</v>
      </c>
      <c r="C279" s="4" t="str">
        <f>Ресурсы!B11</f>
        <v>Краска разметочная дорожная ИНДПОЛ, белая</v>
      </c>
      <c r="D279" s="5" t="s">
        <v>71</v>
      </c>
      <c r="E279" s="1">
        <v>0.065</v>
      </c>
      <c r="F279" s="1">
        <f>ОКРУГЛВСЕ(IF(E279="",0,E279)*IF(F270="",0,F270),11)</f>
        <v>0</v>
      </c>
      <c r="G279" s="20">
        <f>ROUND(Ресурсы!D11*Начисления!AV16,2)</f>
        <v>143750</v>
      </c>
      <c r="H279" s="19">
        <f>ROUND(IF(F279="",0,F279)*IF(G279="",0,G279),0)</f>
        <v>0</v>
      </c>
      <c r="I279" s="1" t="s">
        <v>33</v>
      </c>
      <c r="J279" s="1" t="s">
        <v>44</v>
      </c>
      <c r="M279" s="20">
        <f>ROUND(Ресурсы!C11*Начисления!AV16,2)</f>
        <v>20494.04</v>
      </c>
      <c r="N279" s="20">
        <f>ROUND(IF(F279="",0,F279)*IF(M279="",0,M279),2)</f>
        <v>0</v>
      </c>
    </row>
    <row r="280" spans="3:14" ht="10.5" hidden="1">
      <c r="C280" s="24" t="s">
        <v>37</v>
      </c>
      <c r="H280" s="1">
        <v>31</v>
      </c>
      <c r="N280" s="1">
        <v>1.22</v>
      </c>
    </row>
    <row r="281" spans="3:14" ht="10.5" hidden="1">
      <c r="C281" s="24" t="s">
        <v>38</v>
      </c>
      <c r="H281" s="1">
        <v>92</v>
      </c>
      <c r="N281" s="1">
        <v>8.1</v>
      </c>
    </row>
    <row r="282" spans="3:14" ht="10.5" hidden="1">
      <c r="C282" s="24" t="s">
        <v>39</v>
      </c>
      <c r="H282" s="1">
        <v>22</v>
      </c>
      <c r="N282" s="1">
        <v>0.99</v>
      </c>
    </row>
    <row r="283" spans="3:14" ht="10.5" hidden="1">
      <c r="C283" s="24" t="s">
        <v>40</v>
      </c>
      <c r="H283" s="1">
        <v>107</v>
      </c>
      <c r="N283" s="1">
        <v>13.51</v>
      </c>
    </row>
    <row r="284" ht="10.5" hidden="1">
      <c r="C284" s="24" t="s">
        <v>41</v>
      </c>
    </row>
    <row r="285" spans="3:13" ht="21" hidden="1">
      <c r="C285" s="24" t="s">
        <v>42</v>
      </c>
      <c r="G285" s="25"/>
      <c r="I285" s="1" t="s">
        <v>43</v>
      </c>
      <c r="J285" s="1" t="s">
        <v>44</v>
      </c>
      <c r="M285" s="25"/>
    </row>
    <row r="286" ht="10.5" hidden="1">
      <c r="C286" s="24" t="s">
        <v>45</v>
      </c>
    </row>
    <row r="287" ht="10.5" hidden="1">
      <c r="C287" s="24" t="s">
        <v>46</v>
      </c>
    </row>
    <row r="288" ht="10.5" hidden="1">
      <c r="C288" s="24" t="s">
        <v>47</v>
      </c>
    </row>
    <row r="289" spans="3:14" ht="10.5" hidden="1">
      <c r="C289" s="24" t="s">
        <v>48</v>
      </c>
      <c r="G289" s="1">
        <v>99</v>
      </c>
      <c r="H289" s="19">
        <f>IF('Текущие цены с учетом расхода'!N16&gt;0,'Текущие цены с учетом расхода'!N16,IF('Текущие цены с учетом расхода'!N16&lt;0,'Текущие цены с учетом расхода'!N16,""))</f>
      </c>
      <c r="J289" s="4" t="s">
        <v>49</v>
      </c>
      <c r="M289" s="1">
        <v>116</v>
      </c>
      <c r="N289" s="20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</c>
    </row>
    <row r="290" spans="3:14" ht="10.5" hidden="1">
      <c r="C290" s="24" t="s">
        <v>50</v>
      </c>
      <c r="G290" s="1">
        <v>99</v>
      </c>
      <c r="H290" s="19">
        <f>IF('Текущие цены с учетом расхода'!P16&gt;0,'Текущие цены с учетом расхода'!P16,IF('Текущие цены с учетом расхода'!P16&lt;0,'Текущие цены с учетом расхода'!P16,""))</f>
      </c>
      <c r="J290" s="4" t="s">
        <v>51</v>
      </c>
      <c r="M290" s="1">
        <v>116</v>
      </c>
      <c r="N290" s="20">
        <f>IF('Базовые цены с учетом расхода'!P16&gt;0,'Базовые цены с учетом расхода'!P16,IF('Базовые цены с учетом расхода'!P16&lt;0,'Базовые цены с учетом расхода'!P16,""))</f>
      </c>
    </row>
    <row r="291" spans="3:14" ht="10.5" hidden="1">
      <c r="C291" s="24" t="s">
        <v>52</v>
      </c>
      <c r="G291" s="1">
        <v>99</v>
      </c>
      <c r="H291" s="19">
        <f>IF('Текущие цены с учетом расхода'!Q16&gt;0,'Текущие цены с учетом расхода'!Q16,IF('Текущие цены с учетом расхода'!Q16&lt;0,'Текущие цены с учетом расхода'!Q16,""))</f>
      </c>
      <c r="J291" s="4" t="s">
        <v>53</v>
      </c>
      <c r="M291" s="1">
        <v>116</v>
      </c>
      <c r="N291" s="20">
        <f>IF('Базовые цены с учетом расхода'!Q16&gt;0,'Базовые цены с учетом расхода'!Q16,IF('Базовые цены с учетом расхода'!Q16&lt;0,'Базовые цены с учетом расхода'!Q16,""))</f>
      </c>
    </row>
    <row r="292" spans="3:14" ht="10.5" hidden="1">
      <c r="C292" s="24" t="s">
        <v>54</v>
      </c>
      <c r="G292" s="1">
        <v>40</v>
      </c>
      <c r="H292" s="19">
        <f>IF('Текущие цены с учетом расхода'!O16&gt;0,'Текущие цены с учетом расхода'!O16,IF('Текущие цены с учетом расхода'!O16&lt;0,'Текущие цены с учетом расхода'!O16,""))</f>
      </c>
      <c r="J292" s="4" t="s">
        <v>55</v>
      </c>
      <c r="M292" s="1">
        <v>50</v>
      </c>
      <c r="N292" s="20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</c>
    </row>
    <row r="293" spans="3:14" ht="10.5" hidden="1">
      <c r="C293" s="24" t="s">
        <v>56</v>
      </c>
      <c r="G293" s="1">
        <v>40</v>
      </c>
      <c r="H293" s="19">
        <f>IF('Текущие цены с учетом расхода'!R16&gt;0,'Текущие цены с учетом расхода'!R16,IF('Текущие цены с учетом расхода'!R16&lt;0,'Текущие цены с учетом расхода'!R16,""))</f>
      </c>
      <c r="J293" s="4" t="s">
        <v>57</v>
      </c>
      <c r="M293" s="1">
        <v>50</v>
      </c>
      <c r="N293" s="20">
        <f>IF('Базовые цены с учетом расхода'!R16&gt;0,'Базовые цены с учетом расхода'!R16,IF('Базовые цены с учетом расхода'!R16&lt;0,'Базовые цены с учетом расхода'!R16,""))</f>
      </c>
    </row>
    <row r="294" spans="3:14" ht="10.5" hidden="1">
      <c r="C294" s="24" t="s">
        <v>58</v>
      </c>
      <c r="G294" s="1">
        <v>40</v>
      </c>
      <c r="H294" s="19">
        <f>IF('Текущие цены с учетом расхода'!S16&gt;0,'Текущие цены с учетом расхода'!S16,IF('Текущие цены с учетом расхода'!S16&lt;0,'Текущие цены с учетом расхода'!S16,""))</f>
      </c>
      <c r="J294" s="4" t="s">
        <v>59</v>
      </c>
      <c r="M294" s="1">
        <v>50</v>
      </c>
      <c r="N294" s="20">
        <f>IF('Базовые цены с учетом расхода'!S16&gt;0,'Базовые цены с учетом расхода'!S16,IF('Базовые цены с учетом расхода'!S16&lt;0,'Базовые цены с учетом расхода'!S16,""))</f>
      </c>
    </row>
    <row r="295" spans="3:14" ht="10.5" hidden="1">
      <c r="C295" s="24" t="s">
        <v>74</v>
      </c>
      <c r="H295" s="19">
        <f>ROUND(IF(H270="",0,H270)+IF(H289="",0,H289)+IF(H292="",0,H292),0)</f>
        <v>0</v>
      </c>
      <c r="N295" s="20">
        <f>ROUND(IF(N270="",0,N270)+IF(N289="",0,N289)+IF(N292="",0,N292),2)</f>
        <v>0</v>
      </c>
    </row>
    <row r="296" spans="1:14" ht="21" hidden="1">
      <c r="A296" s="26" t="s">
        <v>166</v>
      </c>
      <c r="B296" s="26" t="s">
        <v>167</v>
      </c>
      <c r="C296" s="26" t="s">
        <v>168</v>
      </c>
      <c r="D296" s="27" t="s">
        <v>131</v>
      </c>
      <c r="E296" s="28"/>
      <c r="F296" s="29"/>
      <c r="G296" s="30">
        <f>ROUND(СУММПРОИЗВЕСЛИ(1,I296:I303,"s",E296:E303,G296:G303,0),2)</f>
        <v>3132.57</v>
      </c>
      <c r="H296" s="31">
        <f>ROUND(СУММПРОИЗВЕСЛИ(F296,I296:I303,"s",E296:E303,G296:G303,0),0)</f>
        <v>0</v>
      </c>
      <c r="I296" s="1" t="s">
        <v>25</v>
      </c>
      <c r="M296" s="16">
        <f>ROUND(СУММПРОИЗВЕСЛИ(1,I296:I303,"s",E296:E303,M296:M303,0),2)</f>
        <v>321.58</v>
      </c>
      <c r="N296" s="16">
        <f>ROUND(СУММПРОИЗВЕСЛИ(F296,I296:I303,"s",E296:E303,M296:M303,0),2)</f>
        <v>0</v>
      </c>
    </row>
    <row r="297" spans="1:14" ht="10.5" hidden="1">
      <c r="A297" s="4" t="s">
        <v>169</v>
      </c>
      <c r="B297" s="4" t="s">
        <v>27</v>
      </c>
      <c r="C297" s="4" t="s">
        <v>28</v>
      </c>
      <c r="D297" s="5" t="s">
        <v>29</v>
      </c>
      <c r="E297" s="1">
        <f>ОКРУГЛВСЕ(СУММПРОИЗВЕСЛИ(1,K296:K303,"mWithZTM",D296:D303,E296:E303,-1)+СУММКОЭФПРОЦЕНТЕСЛИ(1,1,K296:K303,"mWithZTM_Proch",E296:E303,-1),11)</f>
        <v>1.04</v>
      </c>
      <c r="F297" s="1">
        <f>ОКРУГЛВСЕ(СУММПРОИЗВЕСЛИ(1,K296:K303,"mWithZTM",D296:D303,F296:F303,-1)+СУММКОЭФПРОЦЕНТЕСЛИ(1,1,K296:K303,"mWithZTM_Proch",F296:F303,-1),11)</f>
        <v>0</v>
      </c>
      <c r="G297" s="18">
        <f>IF(F297=0,0,ROUND(H297/F297,3))</f>
        <v>0</v>
      </c>
      <c r="H297" s="19">
        <f>ROUND(СУММЕСЛИДА1НЕ1(L296:L303,"mWithZPM",D296:D303,0,H296:H303),0)</f>
        <v>0</v>
      </c>
      <c r="J297" s="1" t="s">
        <v>30</v>
      </c>
      <c r="M297" s="18">
        <f>IF(F297=0,0,ROUND(N297/F297,3))</f>
        <v>0</v>
      </c>
      <c r="N297" s="20">
        <f>ROUND(СУММЕСЛИДА1НЕ1(L296:L303,"mWithZPM",D296:D303,0,N296:N303),2)</f>
        <v>0</v>
      </c>
    </row>
    <row r="298" spans="1:14" ht="10.5" hidden="1">
      <c r="A298" s="4" t="s">
        <v>170</v>
      </c>
      <c r="B298" s="6" t="str">
        <f>ПОЛУЧШИФР(Ресурсы!A3,0)</f>
        <v>з0-4002</v>
      </c>
      <c r="C298" s="4" t="str">
        <f>Ресурсы!B3</f>
        <v>Дорожный рабочий 2 разряда</v>
      </c>
      <c r="D298" s="5" t="s">
        <v>29</v>
      </c>
      <c r="E298" s="1">
        <v>1.04</v>
      </c>
      <c r="F298" s="1">
        <f>ОКРУГЛВСЕ(IF(E298="",0,E298)*IF(F296="",0,F296),11)</f>
        <v>0</v>
      </c>
      <c r="G298" s="18">
        <f>Ресурсы!D3</f>
        <v>196</v>
      </c>
      <c r="H298" s="19">
        <f>ROUND(IF(F298="",0,F298)*IF(G298="",0,G298),0)</f>
        <v>0</v>
      </c>
      <c r="I298" s="1" t="s">
        <v>33</v>
      </c>
      <c r="J298" s="1" t="s">
        <v>66</v>
      </c>
      <c r="M298" s="18">
        <f>Ресурсы!C3</f>
        <v>7.8</v>
      </c>
      <c r="N298" s="20">
        <f>ROUND(IF(F298="",0,F298)*IF(M298="",0,M298),2)</f>
        <v>0</v>
      </c>
    </row>
    <row r="299" spans="1:14" ht="10.5" hidden="1">
      <c r="A299" s="4" t="s">
        <v>171</v>
      </c>
      <c r="B299" s="6" t="str">
        <f>ПОЛУЧШИФР(Ресурсы!A4,0)</f>
        <v>з0-4003</v>
      </c>
      <c r="C299" s="4" t="str">
        <f>Ресурсы!B4</f>
        <v>Дорожный рабочий 3 разряда</v>
      </c>
      <c r="D299" s="5" t="s">
        <v>29</v>
      </c>
      <c r="E299" s="1">
        <v>2.08</v>
      </c>
      <c r="F299" s="1">
        <f>ОКРУГЛВСЕ(IF(E299="",0,E299)*IF(F296="",0,F296),11)</f>
        <v>0</v>
      </c>
      <c r="G299" s="18">
        <f>Ресурсы!D4</f>
        <v>214.87</v>
      </c>
      <c r="H299" s="19">
        <f>ROUND(IF(F299="",0,F299)*IF(G299="",0,G299),0)</f>
        <v>0</v>
      </c>
      <c r="I299" s="1" t="s">
        <v>33</v>
      </c>
      <c r="J299" s="1" t="s">
        <v>66</v>
      </c>
      <c r="M299" s="18">
        <f>Ресурсы!C4</f>
        <v>8.53</v>
      </c>
      <c r="N299" s="20">
        <f>ROUND(IF(F299="",0,F299)*IF(M299="",0,M299),2)</f>
        <v>0</v>
      </c>
    </row>
    <row r="300" spans="1:14" ht="10.5" hidden="1">
      <c r="A300" s="59" t="s">
        <v>172</v>
      </c>
      <c r="B300" s="60" t="str">
        <f>ПОЛУЧШИФР(Ресурсы!A15,0)</f>
        <v>х12-1550</v>
      </c>
      <c r="C300" s="59" t="str">
        <f>Ресурсы!B15</f>
        <v>Машины дорожной службы (машина дорожного мастера)</v>
      </c>
      <c r="D300" s="21" t="s">
        <v>32</v>
      </c>
      <c r="E300" s="61">
        <v>1.04</v>
      </c>
      <c r="F300" s="61">
        <f>ОКРУГЛВСЕ(IF(E300="",0,E300)*IF(F296="",0,F296),11)</f>
        <v>0</v>
      </c>
      <c r="G300" s="22">
        <f>Ресурсы!D15</f>
        <v>825.37</v>
      </c>
      <c r="H300" s="23">
        <f>ROUND(IF(F300="",0,F300)*IF(G300="",0,G300),0)</f>
        <v>0</v>
      </c>
      <c r="I300" s="1" t="s">
        <v>33</v>
      </c>
      <c r="J300" s="1" t="s">
        <v>34</v>
      </c>
      <c r="M300" s="22">
        <f>Ресурсы!C15</f>
        <v>86.5</v>
      </c>
      <c r="N300" s="22">
        <f>ROUND(IF(F300="",0,F300)*IF(M300="",0,M300),2)</f>
        <v>0</v>
      </c>
    </row>
    <row r="301" spans="1:14" ht="21" hidden="1">
      <c r="A301" s="59"/>
      <c r="B301" s="60"/>
      <c r="C301" s="59"/>
      <c r="D301" s="1">
        <f>Ресурсы!G15</f>
        <v>1</v>
      </c>
      <c r="E301" s="61"/>
      <c r="F301" s="61"/>
      <c r="G301" s="20">
        <f>Ресурсы!F15</f>
        <v>241.71</v>
      </c>
      <c r="H301" s="19">
        <f>ROUND(IF(F300="",0,F300)*IF(G301="",0,G301),0)</f>
        <v>0</v>
      </c>
      <c r="K301" s="1" t="s">
        <v>35</v>
      </c>
      <c r="L301" s="1" t="s">
        <v>36</v>
      </c>
      <c r="M301" s="20">
        <f>Ресурсы!E15</f>
        <v>11.6</v>
      </c>
      <c r="N301" s="20">
        <f>ROUND(IF(F300="",0,F300)*IF(M301="",0,M301),2)</f>
        <v>0</v>
      </c>
    </row>
    <row r="302" spans="1:14" ht="10.5" hidden="1">
      <c r="A302" s="4" t="s">
        <v>173</v>
      </c>
      <c r="B302" s="6" t="str">
        <f>ПОЛУЧШИФР(Ресурсы!A9,0)</f>
        <v>с101-2775</v>
      </c>
      <c r="C302" s="4" t="str">
        <f>Ресурсы!B9</f>
        <v>Микросферы стеклянные для дорожной разметки</v>
      </c>
      <c r="D302" s="5" t="s">
        <v>71</v>
      </c>
      <c r="E302" s="1">
        <v>0.00383</v>
      </c>
      <c r="F302" s="1">
        <f>ОКРУГЛВСЕ(IF(E302="",0,E302)*IF(F296="",0,F296),11)</f>
        <v>0</v>
      </c>
      <c r="G302" s="20">
        <f>ROUND(Ресурсы!D9*Начисления!AV17,2)</f>
        <v>52294.91</v>
      </c>
      <c r="H302" s="19">
        <f>ROUND(IF(F302="",0,F302)*IF(G302="",0,G302),0)</f>
        <v>0</v>
      </c>
      <c r="I302" s="1" t="s">
        <v>33</v>
      </c>
      <c r="J302" s="1" t="s">
        <v>44</v>
      </c>
      <c r="M302" s="20">
        <f>ROUND(Ресурсы!C9*Начисления!AV17,2)</f>
        <v>751.43</v>
      </c>
      <c r="N302" s="20">
        <f>ROUND(IF(F302="",0,F302)*IF(M302="",0,M302),2)</f>
        <v>0</v>
      </c>
    </row>
    <row r="303" spans="1:14" ht="10.5" hidden="1">
      <c r="A303" s="4" t="s">
        <v>174</v>
      </c>
      <c r="B303" s="6" t="str">
        <f>ПОЛУЧШИФР(Ресурсы!A11,0)</f>
        <v>с101-5889</v>
      </c>
      <c r="C303" s="4" t="str">
        <f>Ресурсы!B11</f>
        <v>Краска разметочная дорожная ИНДПОЛ, белая</v>
      </c>
      <c r="D303" s="5" t="s">
        <v>71</v>
      </c>
      <c r="E303" s="1">
        <v>0.0099</v>
      </c>
      <c r="F303" s="1">
        <f>ОКРУГЛВСЕ(IF(E303="",0,E303)*IF(F296="",0,F296),11)</f>
        <v>0</v>
      </c>
      <c r="G303" s="20">
        <f>ROUND(Ресурсы!D11*Начисления!AV17,2)</f>
        <v>143750</v>
      </c>
      <c r="H303" s="19">
        <f>ROUND(IF(F303="",0,F303)*IF(G303="",0,G303),0)</f>
        <v>0</v>
      </c>
      <c r="I303" s="1" t="s">
        <v>33</v>
      </c>
      <c r="J303" s="1" t="s">
        <v>44</v>
      </c>
      <c r="M303" s="20">
        <f>ROUND(Ресурсы!C11*Начисления!AV17,2)</f>
        <v>20494.04</v>
      </c>
      <c r="N303" s="20">
        <f>ROUND(IF(F303="",0,F303)*IF(M303="",0,M303),2)</f>
        <v>0</v>
      </c>
    </row>
    <row r="304" spans="3:14" ht="10.5" hidden="1">
      <c r="C304" s="24" t="s">
        <v>37</v>
      </c>
      <c r="H304" s="1">
        <v>7</v>
      </c>
      <c r="N304" s="1">
        <v>0.26</v>
      </c>
    </row>
    <row r="305" spans="3:14" ht="10.5" hidden="1">
      <c r="C305" s="24" t="s">
        <v>38</v>
      </c>
      <c r="H305" s="1">
        <v>9</v>
      </c>
      <c r="N305" s="1">
        <v>0.9</v>
      </c>
    </row>
    <row r="306" spans="3:14" ht="10.5" hidden="1">
      <c r="C306" s="24" t="s">
        <v>39</v>
      </c>
      <c r="H306" s="1">
        <v>3</v>
      </c>
      <c r="N306" s="1">
        <v>0.12</v>
      </c>
    </row>
    <row r="307" spans="3:14" ht="10.5" hidden="1">
      <c r="C307" s="24" t="s">
        <v>40</v>
      </c>
      <c r="H307" s="1">
        <v>16</v>
      </c>
      <c r="N307" s="1">
        <v>2.06</v>
      </c>
    </row>
    <row r="308" ht="10.5" hidden="1">
      <c r="C308" s="24" t="s">
        <v>41</v>
      </c>
    </row>
    <row r="309" spans="3:13" ht="21" hidden="1">
      <c r="C309" s="24" t="s">
        <v>42</v>
      </c>
      <c r="G309" s="25"/>
      <c r="I309" s="1" t="s">
        <v>43</v>
      </c>
      <c r="J309" s="1" t="s">
        <v>44</v>
      </c>
      <c r="M309" s="25"/>
    </row>
    <row r="310" ht="10.5" hidden="1">
      <c r="C310" s="24" t="s">
        <v>45</v>
      </c>
    </row>
    <row r="311" ht="10.5" hidden="1">
      <c r="C311" s="24" t="s">
        <v>46</v>
      </c>
    </row>
    <row r="312" ht="10.5" hidden="1">
      <c r="C312" s="24" t="s">
        <v>47</v>
      </c>
    </row>
    <row r="313" spans="3:14" ht="10.5" hidden="1">
      <c r="C313" s="24" t="s">
        <v>48</v>
      </c>
      <c r="G313" s="1">
        <v>99</v>
      </c>
      <c r="H313" s="19">
        <f>IF('Текущие цены с учетом расхода'!N17&gt;0,'Текущие цены с учетом расхода'!N17,IF('Текущие цены с учетом расхода'!N17&lt;0,'Текущие цены с учетом расхода'!N17,""))</f>
      </c>
      <c r="J313" s="4" t="s">
        <v>49</v>
      </c>
      <c r="M313" s="1">
        <v>116</v>
      </c>
      <c r="N313" s="20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</c>
    </row>
    <row r="314" spans="3:14" ht="10.5" hidden="1">
      <c r="C314" s="24" t="s">
        <v>50</v>
      </c>
      <c r="G314" s="1">
        <v>99</v>
      </c>
      <c r="H314" s="19">
        <f>IF('Текущие цены с учетом расхода'!P17&gt;0,'Текущие цены с учетом расхода'!P17,IF('Текущие цены с учетом расхода'!P17&lt;0,'Текущие цены с учетом расхода'!P17,""))</f>
      </c>
      <c r="J314" s="4" t="s">
        <v>51</v>
      </c>
      <c r="M314" s="1">
        <v>116</v>
      </c>
      <c r="N314" s="20">
        <f>IF('Базовые цены с учетом расхода'!P17&gt;0,'Базовые цены с учетом расхода'!P17,IF('Базовые цены с учетом расхода'!P17&lt;0,'Базовые цены с учетом расхода'!P17,""))</f>
      </c>
    </row>
    <row r="315" spans="3:14" ht="10.5" hidden="1">
      <c r="C315" s="24" t="s">
        <v>52</v>
      </c>
      <c r="G315" s="1">
        <v>99</v>
      </c>
      <c r="H315" s="19">
        <f>IF('Текущие цены с учетом расхода'!Q17&gt;0,'Текущие цены с учетом расхода'!Q17,IF('Текущие цены с учетом расхода'!Q17&lt;0,'Текущие цены с учетом расхода'!Q17,""))</f>
      </c>
      <c r="J315" s="4" t="s">
        <v>53</v>
      </c>
      <c r="M315" s="1">
        <v>116</v>
      </c>
      <c r="N315" s="20">
        <f>IF('Базовые цены с учетом расхода'!Q17&gt;0,'Базовые цены с учетом расхода'!Q17,IF('Базовые цены с учетом расхода'!Q17&lt;0,'Базовые цены с учетом расхода'!Q17,""))</f>
      </c>
    </row>
    <row r="316" spans="3:14" ht="10.5" hidden="1">
      <c r="C316" s="24" t="s">
        <v>54</v>
      </c>
      <c r="G316" s="1">
        <v>40</v>
      </c>
      <c r="H316" s="19">
        <f>IF('Текущие цены с учетом расхода'!O17&gt;0,'Текущие цены с учетом расхода'!O17,IF('Текущие цены с учетом расхода'!O17&lt;0,'Текущие цены с учетом расхода'!O17,""))</f>
      </c>
      <c r="J316" s="4" t="s">
        <v>55</v>
      </c>
      <c r="M316" s="1">
        <v>50</v>
      </c>
      <c r="N316" s="20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</c>
    </row>
    <row r="317" spans="3:14" ht="10.5" hidden="1">
      <c r="C317" s="24" t="s">
        <v>56</v>
      </c>
      <c r="G317" s="1">
        <v>40</v>
      </c>
      <c r="H317" s="19">
        <f>IF('Текущие цены с учетом расхода'!R17&gt;0,'Текущие цены с учетом расхода'!R17,IF('Текущие цены с учетом расхода'!R17&lt;0,'Текущие цены с учетом расхода'!R17,""))</f>
      </c>
      <c r="J317" s="4" t="s">
        <v>57</v>
      </c>
      <c r="M317" s="1">
        <v>50</v>
      </c>
      <c r="N317" s="20">
        <f>IF('Базовые цены с учетом расхода'!R17&gt;0,'Базовые цены с учетом расхода'!R17,IF('Базовые цены с учетом расхода'!R17&lt;0,'Базовые цены с учетом расхода'!R17,""))</f>
      </c>
    </row>
    <row r="318" spans="3:14" ht="10.5" hidden="1">
      <c r="C318" s="24" t="s">
        <v>58</v>
      </c>
      <c r="G318" s="1">
        <v>40</v>
      </c>
      <c r="H318" s="19">
        <f>IF('Текущие цены с учетом расхода'!S17&gt;0,'Текущие цены с учетом расхода'!S17,IF('Текущие цены с учетом расхода'!S17&lt;0,'Текущие цены с учетом расхода'!S17,""))</f>
      </c>
      <c r="J318" s="4" t="s">
        <v>59</v>
      </c>
      <c r="M318" s="1">
        <v>50</v>
      </c>
      <c r="N318" s="20">
        <f>IF('Базовые цены с учетом расхода'!S17&gt;0,'Базовые цены с учетом расхода'!S17,IF('Базовые цены с учетом расхода'!S17&lt;0,'Базовые цены с учетом расхода'!S17,""))</f>
      </c>
    </row>
    <row r="319" spans="3:14" ht="10.5" hidden="1">
      <c r="C319" s="24" t="s">
        <v>74</v>
      </c>
      <c r="H319" s="19">
        <f>ROUND(IF(H296="",0,H296)+IF(H313="",0,H313)+IF(H316="",0,H316),0)</f>
        <v>0</v>
      </c>
      <c r="N319" s="20">
        <f>ROUND(IF(N296="",0,N296)+IF(N313="",0,N313)+IF(N316="",0,N316),2)</f>
        <v>0</v>
      </c>
    </row>
    <row r="320" spans="1:14" ht="31.5" hidden="1">
      <c r="A320" s="26" t="s">
        <v>175</v>
      </c>
      <c r="B320" s="26" t="s">
        <v>176</v>
      </c>
      <c r="C320" s="26" t="s">
        <v>177</v>
      </c>
      <c r="D320" s="27" t="s">
        <v>178</v>
      </c>
      <c r="E320" s="28"/>
      <c r="F320" s="29"/>
      <c r="G320" s="30">
        <f>ROUND(СУММПРОИЗВЕСЛИ(1,I320:I329,"s",E320:E329,G320:G329,0),2)</f>
        <v>14173.32</v>
      </c>
      <c r="H320" s="31">
        <f>ROUND(СУММПРОИЗВЕСЛИ(F320,I320:I329,"s",E320:E329,G320:G329,0),0)</f>
        <v>0</v>
      </c>
      <c r="I320" s="1" t="s">
        <v>25</v>
      </c>
      <c r="M320" s="16">
        <f>ROUND(СУММПРОИЗВЕСЛИ(1,I320:I329,"s",E320:E329,M320:M329,0),2)</f>
        <v>2004.4</v>
      </c>
      <c r="N320" s="16">
        <f>ROUND(СУММПРОИЗВЕСЛИ(F320,I320:I329,"s",E320:E329,M320:M329,0),2)</f>
        <v>0</v>
      </c>
    </row>
    <row r="321" spans="1:14" ht="10.5" hidden="1">
      <c r="A321" s="4" t="s">
        <v>179</v>
      </c>
      <c r="B321" s="4" t="s">
        <v>27</v>
      </c>
      <c r="C321" s="4" t="s">
        <v>28</v>
      </c>
      <c r="D321" s="5" t="s">
        <v>29</v>
      </c>
      <c r="E321" s="1">
        <f>ОКРУГЛВСЕ(СУММПРОИЗВЕСЛИ(1,K320:K329,"mWithZTM",D320:D329,E320:E329,-1)+СУММКОЭФПРОЦЕНТЕСЛИ(1,1,K320:K329,"mWithZTM_Proch",E320:E329,-1),11)</f>
        <v>0.16</v>
      </c>
      <c r="F321" s="1">
        <f>ОКРУГЛВСЕ(СУММПРОИЗВЕСЛИ(1,K320:K329,"mWithZTM",D320:D329,F320:F329,-1)+СУММКОЭФПРОЦЕНТЕСЛИ(1,1,K320:K329,"mWithZTM_Proch",F320:F329,-1),11)</f>
        <v>0</v>
      </c>
      <c r="G321" s="18">
        <f>IF(F321=0,0,ROUND(H321/F321,3))</f>
        <v>0</v>
      </c>
      <c r="H321" s="19">
        <f>ROUND(СУММЕСЛИДА1НЕ1(L320:L329,"mWithZPM",D320:D329,0,H320:H329),0)</f>
        <v>0</v>
      </c>
      <c r="J321" s="1" t="s">
        <v>30</v>
      </c>
      <c r="M321" s="18">
        <f>IF(F321=0,0,ROUND(N321/F321,3))</f>
        <v>0</v>
      </c>
      <c r="N321" s="20">
        <f>ROUND(СУММЕСЛИДА1НЕ1(L320:L329,"mWithZPM",D320:D329,0,N320:N329),2)</f>
        <v>0</v>
      </c>
    </row>
    <row r="322" spans="1:14" ht="10.5" hidden="1">
      <c r="A322" s="4" t="s">
        <v>180</v>
      </c>
      <c r="B322" s="6" t="str">
        <f>ПОЛУЧШИФР(Ресурсы!A4,0)</f>
        <v>з0-4003</v>
      </c>
      <c r="C322" s="4" t="str">
        <f>Ресурсы!B4</f>
        <v>Дорожный рабочий 3 разряда</v>
      </c>
      <c r="D322" s="5" t="s">
        <v>29</v>
      </c>
      <c r="E322" s="1">
        <v>0.16</v>
      </c>
      <c r="F322" s="1">
        <f>ОКРУГЛВСЕ(IF(E322="",0,E322)*IF(F320="",0,F320),11)</f>
        <v>0</v>
      </c>
      <c r="G322" s="18">
        <f>Ресурсы!D4</f>
        <v>214.87</v>
      </c>
      <c r="H322" s="19">
        <f>ROUND(IF(F322="",0,F322)*IF(G322="",0,G322),0)</f>
        <v>0</v>
      </c>
      <c r="I322" s="1" t="s">
        <v>33</v>
      </c>
      <c r="J322" s="1" t="s">
        <v>66</v>
      </c>
      <c r="M322" s="18">
        <f>Ресурсы!C4</f>
        <v>8.53</v>
      </c>
      <c r="N322" s="20">
        <f>ROUND(IF(F322="",0,F322)*IF(M322="",0,M322),2)</f>
        <v>0</v>
      </c>
    </row>
    <row r="323" spans="1:14" ht="10.5" hidden="1">
      <c r="A323" s="4" t="s">
        <v>181</v>
      </c>
      <c r="B323" s="6" t="str">
        <f>ПОЛУЧШИФР(Ресурсы!A5,0)</f>
        <v>з0-4004</v>
      </c>
      <c r="C323" s="4" t="str">
        <f>Ресурсы!B5</f>
        <v>Дорожный рабочий 4 разряда</v>
      </c>
      <c r="D323" s="5" t="s">
        <v>29</v>
      </c>
      <c r="E323" s="1">
        <v>0.08</v>
      </c>
      <c r="F323" s="1">
        <f>ОКРУГЛВСЕ(IF(E323="",0,E323)*IF(F320="",0,F320),11)</f>
        <v>0</v>
      </c>
      <c r="G323" s="18">
        <f>Ресурсы!D5</f>
        <v>241.71</v>
      </c>
      <c r="H323" s="19">
        <f>ROUND(IF(F323="",0,F323)*IF(G323="",0,G323),0)</f>
        <v>0</v>
      </c>
      <c r="I323" s="1" t="s">
        <v>33</v>
      </c>
      <c r="J323" s="1" t="s">
        <v>66</v>
      </c>
      <c r="M323" s="18">
        <f>Ресурсы!C5</f>
        <v>9.62</v>
      </c>
      <c r="N323" s="20">
        <f>ROUND(IF(F323="",0,F323)*IF(M323="",0,M323),2)</f>
        <v>0</v>
      </c>
    </row>
    <row r="324" spans="1:14" ht="10.5" hidden="1">
      <c r="A324" s="59" t="s">
        <v>182</v>
      </c>
      <c r="B324" s="60" t="str">
        <f>ПОЛУЧШИФР(Ресурсы!A12,0)</f>
        <v>х05-0101</v>
      </c>
      <c r="C324" s="59" t="str">
        <f>Ресурсы!B12</f>
        <v>Компрессоры передвижные с двигателем внутреннего сгорания давлением до 686 кПа (7 ат), производительность 2,2 м3/мин</v>
      </c>
      <c r="D324" s="21" t="s">
        <v>32</v>
      </c>
      <c r="E324" s="61">
        <v>0.08</v>
      </c>
      <c r="F324" s="61">
        <f>ОКРУГЛВСЕ(IF(E324="",0,E324)*IF(F320="",0,F320),11)</f>
        <v>0</v>
      </c>
      <c r="G324" s="22">
        <f>Ресурсы!D12</f>
        <v>1176.76</v>
      </c>
      <c r="H324" s="23">
        <f>ROUND(IF(F324="",0,F324)*IF(G324="",0,G324),0)</f>
        <v>0</v>
      </c>
      <c r="I324" s="1" t="s">
        <v>33</v>
      </c>
      <c r="J324" s="1" t="s">
        <v>34</v>
      </c>
      <c r="M324" s="22">
        <f>Ресурсы!C12</f>
        <v>90</v>
      </c>
      <c r="N324" s="22">
        <f>ROUND(IF(F324="",0,F324)*IF(M324="",0,M324),2)</f>
        <v>0</v>
      </c>
    </row>
    <row r="325" spans="1:14" ht="21" hidden="1">
      <c r="A325" s="59"/>
      <c r="B325" s="60"/>
      <c r="C325" s="59"/>
      <c r="D325" s="1">
        <f>Ресурсы!G12</f>
        <v>1</v>
      </c>
      <c r="E325" s="61"/>
      <c r="F325" s="61"/>
      <c r="G325" s="20">
        <f>Ресурсы!F12</f>
        <v>241.71</v>
      </c>
      <c r="H325" s="19">
        <f>ROUND(IF(F324="",0,F324)*IF(G325="",0,G325),0)</f>
        <v>0</v>
      </c>
      <c r="K325" s="1" t="s">
        <v>35</v>
      </c>
      <c r="L325" s="1" t="s">
        <v>36</v>
      </c>
      <c r="M325" s="20">
        <f>Ресурсы!E12</f>
        <v>10.06</v>
      </c>
      <c r="N325" s="20">
        <f>ROUND(IF(F324="",0,F324)*IF(M325="",0,M325),2)</f>
        <v>0</v>
      </c>
    </row>
    <row r="326" spans="1:14" ht="10.5" hidden="1">
      <c r="A326" s="59" t="s">
        <v>183</v>
      </c>
      <c r="B326" s="60" t="str">
        <f>ПОЛУЧШИФР(Ресурсы!A15,0)</f>
        <v>х12-1550</v>
      </c>
      <c r="C326" s="59" t="str">
        <f>Ресурсы!B15</f>
        <v>Машины дорожной службы (машина дорожного мастера)</v>
      </c>
      <c r="D326" s="21" t="s">
        <v>32</v>
      </c>
      <c r="E326" s="61">
        <v>0.08</v>
      </c>
      <c r="F326" s="61">
        <f>ОКРУГЛВСЕ(IF(E326="",0,E326)*IF(F320="",0,F320),11)</f>
        <v>0</v>
      </c>
      <c r="G326" s="22">
        <f>Ресурсы!D15</f>
        <v>825.37</v>
      </c>
      <c r="H326" s="23">
        <f>ROUND(IF(F326="",0,F326)*IF(G326="",0,G326),0)</f>
        <v>0</v>
      </c>
      <c r="I326" s="1" t="s">
        <v>33</v>
      </c>
      <c r="J326" s="1" t="s">
        <v>34</v>
      </c>
      <c r="M326" s="22">
        <f>Ресурсы!C15</f>
        <v>86.5</v>
      </c>
      <c r="N326" s="22">
        <f>ROUND(IF(F326="",0,F326)*IF(M326="",0,M326),2)</f>
        <v>0</v>
      </c>
    </row>
    <row r="327" spans="1:14" ht="21" hidden="1">
      <c r="A327" s="59"/>
      <c r="B327" s="60"/>
      <c r="C327" s="59"/>
      <c r="D327" s="1">
        <f>Ресурсы!G15</f>
        <v>1</v>
      </c>
      <c r="E327" s="61"/>
      <c r="F327" s="61"/>
      <c r="G327" s="20">
        <f>Ресурсы!F15</f>
        <v>241.71</v>
      </c>
      <c r="H327" s="19">
        <f>ROUND(IF(F326="",0,F326)*IF(G327="",0,G327),0)</f>
        <v>0</v>
      </c>
      <c r="K327" s="1" t="s">
        <v>35</v>
      </c>
      <c r="L327" s="1" t="s">
        <v>36</v>
      </c>
      <c r="M327" s="20">
        <f>Ресурсы!E15</f>
        <v>11.6</v>
      </c>
      <c r="N327" s="20">
        <f>ROUND(IF(F326="",0,F326)*IF(M327="",0,M327),2)</f>
        <v>0</v>
      </c>
    </row>
    <row r="328" spans="1:14" ht="10.5" hidden="1">
      <c r="A328" s="4" t="s">
        <v>184</v>
      </c>
      <c r="B328" s="6" t="str">
        <f>ПОЛУЧШИФР(Ресурсы!A9,0)</f>
        <v>с101-2775</v>
      </c>
      <c r="C328" s="4" t="str">
        <f>Ресурсы!B9</f>
        <v>Микросферы стеклянные для дорожной разметки</v>
      </c>
      <c r="D328" s="5" t="s">
        <v>71</v>
      </c>
      <c r="E328" s="1">
        <v>0.0003</v>
      </c>
      <c r="F328" s="1">
        <f>ОКРУГЛВСЕ(IF(E328="",0,E328)*IF(F320="",0,F320),11)</f>
        <v>0</v>
      </c>
      <c r="G328" s="20">
        <f>ROUND(Ресурсы!D9*Начисления!AV18,2)</f>
        <v>52294.91</v>
      </c>
      <c r="H328" s="19">
        <f>ROUND(IF(F328="",0,F328)*IF(G328="",0,G328),0)</f>
        <v>0</v>
      </c>
      <c r="I328" s="1" t="s">
        <v>33</v>
      </c>
      <c r="J328" s="1" t="s">
        <v>44</v>
      </c>
      <c r="M328" s="20">
        <f>ROUND(Ресурсы!C9*Начисления!AV18,2)</f>
        <v>751.43</v>
      </c>
      <c r="N328" s="20">
        <f>ROUND(IF(F328="",0,F328)*IF(M328="",0,M328),2)</f>
        <v>0</v>
      </c>
    </row>
    <row r="329" spans="1:14" ht="10.5" hidden="1">
      <c r="A329" s="4" t="s">
        <v>185</v>
      </c>
      <c r="B329" s="6" t="str">
        <f>ПОЛУЧШИФР(Ресурсы!A11,0)</f>
        <v>с101-5889</v>
      </c>
      <c r="C329" s="4" t="str">
        <f>Ресурсы!B11</f>
        <v>Краска разметочная дорожная ИНДПОЛ, белая</v>
      </c>
      <c r="D329" s="5" t="s">
        <v>71</v>
      </c>
      <c r="E329" s="1">
        <v>0.097</v>
      </c>
      <c r="F329" s="1">
        <f>ОКРУГЛВСЕ(IF(E329="",0,E329)*IF(F320="",0,F320),11)</f>
        <v>0</v>
      </c>
      <c r="G329" s="20">
        <f>ROUND(Ресурсы!D11*Начисления!AV18,2)</f>
        <v>143750</v>
      </c>
      <c r="H329" s="19">
        <f>ROUND(IF(F329="",0,F329)*IF(G329="",0,G329),0)</f>
        <v>0</v>
      </c>
      <c r="I329" s="1" t="s">
        <v>33</v>
      </c>
      <c r="J329" s="1" t="s">
        <v>44</v>
      </c>
      <c r="M329" s="20">
        <f>ROUND(Ресурсы!C11*Начисления!AV18,2)</f>
        <v>20494.04</v>
      </c>
      <c r="N329" s="20">
        <f>ROUND(IF(F329="",0,F329)*IF(M329="",0,M329),2)</f>
        <v>0</v>
      </c>
    </row>
    <row r="330" spans="3:14" ht="10.5" hidden="1">
      <c r="C330" s="24" t="s">
        <v>37</v>
      </c>
      <c r="H330" s="1">
        <v>54</v>
      </c>
      <c r="N330" s="1">
        <v>2.13</v>
      </c>
    </row>
    <row r="331" spans="3:14" ht="10.5" hidden="1">
      <c r="C331" s="24" t="s">
        <v>38</v>
      </c>
      <c r="H331" s="1">
        <v>160</v>
      </c>
      <c r="N331" s="1">
        <v>14.12</v>
      </c>
    </row>
    <row r="332" spans="3:14" ht="10.5" hidden="1">
      <c r="C332" s="24" t="s">
        <v>39</v>
      </c>
      <c r="H332" s="1">
        <v>39</v>
      </c>
      <c r="N332" s="1">
        <v>1.73</v>
      </c>
    </row>
    <row r="333" spans="3:14" ht="10.5" hidden="1">
      <c r="C333" s="24" t="s">
        <v>40</v>
      </c>
      <c r="H333" s="1">
        <v>13959</v>
      </c>
      <c r="N333" s="1">
        <v>1988.15</v>
      </c>
    </row>
    <row r="334" ht="10.5" hidden="1">
      <c r="C334" s="24" t="s">
        <v>41</v>
      </c>
    </row>
    <row r="335" spans="3:13" ht="21" hidden="1">
      <c r="C335" s="24" t="s">
        <v>42</v>
      </c>
      <c r="G335" s="25"/>
      <c r="I335" s="1" t="s">
        <v>43</v>
      </c>
      <c r="J335" s="1" t="s">
        <v>44</v>
      </c>
      <c r="M335" s="25"/>
    </row>
    <row r="336" ht="10.5" hidden="1">
      <c r="C336" s="24" t="s">
        <v>45</v>
      </c>
    </row>
    <row r="337" ht="10.5" hidden="1">
      <c r="C337" s="24" t="s">
        <v>46</v>
      </c>
    </row>
    <row r="338" ht="10.5" hidden="1">
      <c r="C338" s="24" t="s">
        <v>47</v>
      </c>
    </row>
    <row r="339" spans="3:14" ht="10.5" hidden="1">
      <c r="C339" s="24" t="s">
        <v>48</v>
      </c>
      <c r="G339" s="1">
        <v>99</v>
      </c>
      <c r="H339" s="19">
        <f>IF('Текущие цены с учетом расхода'!N18&gt;0,'Текущие цены с учетом расхода'!N18,IF('Текущие цены с учетом расхода'!N18&lt;0,'Текущие цены с учетом расхода'!N18,""))</f>
      </c>
      <c r="J339" s="4" t="s">
        <v>49</v>
      </c>
      <c r="M339" s="1">
        <v>116</v>
      </c>
      <c r="N339" s="20">
        <f>IF('Базовые цены с учетом расхода'!N18&gt;0,'Базовые цены с учетом расхода'!N18,IF('Базовые цены с учетом расхода'!N18&lt;0,'Базовые цены с учетом расхода'!N18,""))</f>
      </c>
    </row>
    <row r="340" spans="3:14" ht="10.5" hidden="1">
      <c r="C340" s="24" t="s">
        <v>50</v>
      </c>
      <c r="G340" s="1">
        <v>99</v>
      </c>
      <c r="H340" s="19">
        <f>IF('Текущие цены с учетом расхода'!P18&gt;0,'Текущие цены с учетом расхода'!P18,IF('Текущие цены с учетом расхода'!P18&lt;0,'Текущие цены с учетом расхода'!P18,""))</f>
      </c>
      <c r="J340" s="4" t="s">
        <v>51</v>
      </c>
      <c r="M340" s="1">
        <v>116</v>
      </c>
      <c r="N340" s="20">
        <f>IF('Базовые цены с учетом расхода'!P18&gt;0,'Базовые цены с учетом расхода'!P18,IF('Базовые цены с учетом расхода'!P18&lt;0,'Базовые цены с учетом расхода'!P18,""))</f>
      </c>
    </row>
    <row r="341" spans="3:14" ht="10.5" hidden="1">
      <c r="C341" s="24" t="s">
        <v>52</v>
      </c>
      <c r="G341" s="1">
        <v>99</v>
      </c>
      <c r="H341" s="19">
        <f>IF('Текущие цены с учетом расхода'!Q18&gt;0,'Текущие цены с учетом расхода'!Q18,IF('Текущие цены с учетом расхода'!Q18&lt;0,'Текущие цены с учетом расхода'!Q18,""))</f>
      </c>
      <c r="J341" s="4" t="s">
        <v>53</v>
      </c>
      <c r="M341" s="1">
        <v>116</v>
      </c>
      <c r="N341" s="20">
        <f>IF('Базовые цены с учетом расхода'!Q18&gt;0,'Базовые цены с учетом расхода'!Q18,IF('Базовые цены с учетом расхода'!Q18&lt;0,'Базовые цены с учетом расхода'!Q18,""))</f>
      </c>
    </row>
    <row r="342" spans="3:14" ht="10.5" hidden="1">
      <c r="C342" s="24" t="s">
        <v>54</v>
      </c>
      <c r="G342" s="1">
        <v>40</v>
      </c>
      <c r="H342" s="19">
        <f>IF('Текущие цены с учетом расхода'!O18&gt;0,'Текущие цены с учетом расхода'!O18,IF('Текущие цены с учетом расхода'!O18&lt;0,'Текущие цены с учетом расхода'!O18,""))</f>
      </c>
      <c r="J342" s="4" t="s">
        <v>55</v>
      </c>
      <c r="M342" s="1">
        <v>50</v>
      </c>
      <c r="N342" s="20">
        <f>IF('Базовые цены с учетом расхода'!O18&gt;0,'Базовые цены с учетом расхода'!O18,IF('Базовые цены с учетом расхода'!O18&lt;0,'Базовые цены с учетом расхода'!O18,""))</f>
      </c>
    </row>
    <row r="343" spans="3:14" ht="10.5" hidden="1">
      <c r="C343" s="24" t="s">
        <v>56</v>
      </c>
      <c r="G343" s="1">
        <v>40</v>
      </c>
      <c r="H343" s="19">
        <f>IF('Текущие цены с учетом расхода'!R18&gt;0,'Текущие цены с учетом расхода'!R18,IF('Текущие цены с учетом расхода'!R18&lt;0,'Текущие цены с учетом расхода'!R18,""))</f>
      </c>
      <c r="J343" s="4" t="s">
        <v>57</v>
      </c>
      <c r="M343" s="1">
        <v>50</v>
      </c>
      <c r="N343" s="20">
        <f>IF('Базовые цены с учетом расхода'!R18&gt;0,'Базовые цены с учетом расхода'!R18,IF('Базовые цены с учетом расхода'!R18&lt;0,'Базовые цены с учетом расхода'!R18,""))</f>
      </c>
    </row>
    <row r="344" spans="3:14" ht="10.5" hidden="1">
      <c r="C344" s="24" t="s">
        <v>58</v>
      </c>
      <c r="G344" s="1">
        <v>40</v>
      </c>
      <c r="H344" s="19">
        <f>IF('Текущие цены с учетом расхода'!S18&gt;0,'Текущие цены с учетом расхода'!S18,IF('Текущие цены с учетом расхода'!S18&lt;0,'Текущие цены с учетом расхода'!S18,""))</f>
      </c>
      <c r="J344" s="4" t="s">
        <v>59</v>
      </c>
      <c r="M344" s="1">
        <v>50</v>
      </c>
      <c r="N344" s="20">
        <f>IF('Базовые цены с учетом расхода'!S18&gt;0,'Базовые цены с учетом расхода'!S18,IF('Базовые цены с учетом расхода'!S18&lt;0,'Базовые цены с учетом расхода'!S18,""))</f>
      </c>
    </row>
    <row r="345" spans="3:14" ht="10.5" hidden="1">
      <c r="C345" s="24" t="s">
        <v>74</v>
      </c>
      <c r="H345" s="19">
        <f>ROUND(IF(H320="",0,H320)+IF(H339="",0,H339)+IF(H342="",0,H342),0)</f>
        <v>0</v>
      </c>
      <c r="N345" s="20">
        <f>ROUND(IF(N320="",0,N320)+IF(N339="",0,N339)+IF(N342="",0,N342),2)</f>
        <v>0</v>
      </c>
    </row>
    <row r="346" spans="1:14" ht="31.5" hidden="1">
      <c r="A346" s="26" t="s">
        <v>186</v>
      </c>
      <c r="B346" s="26" t="s">
        <v>187</v>
      </c>
      <c r="C346" s="26" t="s">
        <v>188</v>
      </c>
      <c r="D346" s="27" t="s">
        <v>178</v>
      </c>
      <c r="E346" s="28"/>
      <c r="F346" s="29"/>
      <c r="G346" s="30">
        <f>ROUND(СУММПРОИЗВЕСЛИ(1,I346:I355,"s",E346:E355,G346:G355,0),2)</f>
        <v>459.73</v>
      </c>
      <c r="H346" s="31">
        <f>ROUND(СУММПРОИЗВЕСЛИ(F346,I346:I355,"s",E346:E355,G346:G355,0),0)</f>
        <v>0</v>
      </c>
      <c r="I346" s="1" t="s">
        <v>25</v>
      </c>
      <c r="M346" s="16">
        <f>ROUND(СУММПРОИЗВЕСЛИ(1,I346:I355,"s",E346:E355,M346:M355,0),2)</f>
        <v>45.2</v>
      </c>
      <c r="N346" s="16">
        <f>ROUND(СУММПРОИЗВЕСЛИ(F346,I346:I355,"s",E346:E355,M346:M355,0),2)</f>
        <v>0</v>
      </c>
    </row>
    <row r="347" spans="1:14" ht="10.5" hidden="1">
      <c r="A347" s="4" t="s">
        <v>189</v>
      </c>
      <c r="B347" s="4" t="s">
        <v>27</v>
      </c>
      <c r="C347" s="4" t="s">
        <v>28</v>
      </c>
      <c r="D347" s="5" t="s">
        <v>29</v>
      </c>
      <c r="E347" s="1">
        <f>ОКРУГЛВСЕ(СУММПРОИЗВЕСЛИ(1,K346:K355,"mWithZTM",D346:D355,E346:E355,-1)+СУММКОЭФПРОЦЕНТЕСЛИ(1,1,K346:K355,"mWithZTM_Proch",E346:E355,-1),11)</f>
        <v>0.2</v>
      </c>
      <c r="F347" s="1">
        <f>ОКРУГЛВСЕ(СУММПРОИЗВЕСЛИ(1,K346:K355,"mWithZTM",D346:D355,F346:F355,-1)+СУММКОЭФПРОЦЕНТЕСЛИ(1,1,K346:K355,"mWithZTM_Proch",F346:F355,-1),11)</f>
        <v>0</v>
      </c>
      <c r="G347" s="18">
        <f>IF(F347=0,0,ROUND(H347/F347,3))</f>
        <v>0</v>
      </c>
      <c r="H347" s="19">
        <f>ROUND(СУММЕСЛИДА1НЕ1(L346:L355,"mWithZPM",D346:D355,0,H346:H355),0)</f>
        <v>0</v>
      </c>
      <c r="J347" s="1" t="s">
        <v>30</v>
      </c>
      <c r="M347" s="18">
        <f>IF(F347=0,0,ROUND(N347/F347,3))</f>
        <v>0</v>
      </c>
      <c r="N347" s="20">
        <f>ROUND(СУММЕСЛИДА1НЕ1(L346:L355,"mWithZPM",D346:D355,0,N346:N355),2)</f>
        <v>0</v>
      </c>
    </row>
    <row r="348" spans="1:14" ht="10.5" hidden="1">
      <c r="A348" s="4" t="s">
        <v>190</v>
      </c>
      <c r="B348" s="6" t="str">
        <f>ПОЛУЧШИФР(Ресурсы!A4,0)</f>
        <v>з0-4003</v>
      </c>
      <c r="C348" s="4" t="str">
        <f>Ресурсы!B4</f>
        <v>Дорожный рабочий 3 разряда</v>
      </c>
      <c r="D348" s="5" t="s">
        <v>29</v>
      </c>
      <c r="E348" s="1">
        <v>0.2</v>
      </c>
      <c r="F348" s="1">
        <f>ОКРУГЛВСЕ(IF(E348="",0,E348)*IF(F346="",0,F346),11)</f>
        <v>0</v>
      </c>
      <c r="G348" s="18">
        <f>Ресурсы!D4</f>
        <v>214.87</v>
      </c>
      <c r="H348" s="19">
        <f>ROUND(IF(F348="",0,F348)*IF(G348="",0,G348),0)</f>
        <v>0</v>
      </c>
      <c r="I348" s="1" t="s">
        <v>33</v>
      </c>
      <c r="J348" s="1" t="s">
        <v>66</v>
      </c>
      <c r="M348" s="18">
        <f>Ресурсы!C4</f>
        <v>8.53</v>
      </c>
      <c r="N348" s="20">
        <f>ROUND(IF(F348="",0,F348)*IF(M348="",0,M348),2)</f>
        <v>0</v>
      </c>
    </row>
    <row r="349" spans="1:14" ht="10.5" hidden="1">
      <c r="A349" s="4" t="s">
        <v>191</v>
      </c>
      <c r="B349" s="6" t="str">
        <f>ПОЛУЧШИФР(Ресурсы!A5,0)</f>
        <v>з0-4004</v>
      </c>
      <c r="C349" s="4" t="str">
        <f>Ресурсы!B5</f>
        <v>Дорожный рабочий 4 разряда</v>
      </c>
      <c r="D349" s="5" t="s">
        <v>29</v>
      </c>
      <c r="E349" s="1">
        <v>0.1</v>
      </c>
      <c r="F349" s="1">
        <f>ОКРУГЛВСЕ(IF(E349="",0,E349)*IF(F346="",0,F346),11)</f>
        <v>0</v>
      </c>
      <c r="G349" s="18">
        <f>Ресурсы!D5</f>
        <v>241.71</v>
      </c>
      <c r="H349" s="19">
        <f>ROUND(IF(F349="",0,F349)*IF(G349="",0,G349),0)</f>
        <v>0</v>
      </c>
      <c r="I349" s="1" t="s">
        <v>33</v>
      </c>
      <c r="J349" s="1" t="s">
        <v>66</v>
      </c>
      <c r="M349" s="18">
        <f>Ресурсы!C5</f>
        <v>9.62</v>
      </c>
      <c r="N349" s="20">
        <f>ROUND(IF(F349="",0,F349)*IF(M349="",0,M349),2)</f>
        <v>0</v>
      </c>
    </row>
    <row r="350" spans="1:14" ht="10.5" hidden="1">
      <c r="A350" s="59" t="s">
        <v>192</v>
      </c>
      <c r="B350" s="60" t="str">
        <f>ПОЛУЧШИФР(Ресурсы!A12,0)</f>
        <v>х05-0101</v>
      </c>
      <c r="C350" s="59" t="str">
        <f>Ресурсы!B12</f>
        <v>Компрессоры передвижные с двигателем внутреннего сгорания давлением до 686 кПа (7 ат), производительность 2,2 м3/мин</v>
      </c>
      <c r="D350" s="21" t="s">
        <v>32</v>
      </c>
      <c r="E350" s="61">
        <v>0.1</v>
      </c>
      <c r="F350" s="61">
        <f>ОКРУГЛВСЕ(IF(E350="",0,E350)*IF(F346="",0,F346),11)</f>
        <v>0</v>
      </c>
      <c r="G350" s="22">
        <f>Ресурсы!D12</f>
        <v>1176.76</v>
      </c>
      <c r="H350" s="23">
        <f>ROUND(IF(F350="",0,F350)*IF(G350="",0,G350),0)</f>
        <v>0</v>
      </c>
      <c r="I350" s="1" t="s">
        <v>33</v>
      </c>
      <c r="J350" s="1" t="s">
        <v>34</v>
      </c>
      <c r="M350" s="22">
        <f>Ресурсы!C12</f>
        <v>90</v>
      </c>
      <c r="N350" s="22">
        <f>ROUND(IF(F350="",0,F350)*IF(M350="",0,M350),2)</f>
        <v>0</v>
      </c>
    </row>
    <row r="351" spans="1:14" ht="21" hidden="1">
      <c r="A351" s="59"/>
      <c r="B351" s="60"/>
      <c r="C351" s="59"/>
      <c r="D351" s="1">
        <f>Ресурсы!G12</f>
        <v>1</v>
      </c>
      <c r="E351" s="61"/>
      <c r="F351" s="61"/>
      <c r="G351" s="20">
        <f>Ресурсы!F12</f>
        <v>241.71</v>
      </c>
      <c r="H351" s="19">
        <f>ROUND(IF(F350="",0,F350)*IF(G351="",0,G351),0)</f>
        <v>0</v>
      </c>
      <c r="K351" s="1" t="s">
        <v>35</v>
      </c>
      <c r="L351" s="1" t="s">
        <v>36</v>
      </c>
      <c r="M351" s="20">
        <f>Ресурсы!E12</f>
        <v>10.06</v>
      </c>
      <c r="N351" s="20">
        <f>ROUND(IF(F350="",0,F350)*IF(M351="",0,M351),2)</f>
        <v>0</v>
      </c>
    </row>
    <row r="352" spans="1:14" ht="10.5" hidden="1">
      <c r="A352" s="59" t="s">
        <v>193</v>
      </c>
      <c r="B352" s="60" t="str">
        <f>ПОЛУЧШИФР(Ресурсы!A15,0)</f>
        <v>х12-1550</v>
      </c>
      <c r="C352" s="59" t="str">
        <f>Ресурсы!B15</f>
        <v>Машины дорожной службы (машина дорожного мастера)</v>
      </c>
      <c r="D352" s="21" t="s">
        <v>32</v>
      </c>
      <c r="E352" s="61">
        <v>0.1</v>
      </c>
      <c r="F352" s="61">
        <f>ОКРУГЛВСЕ(IF(E352="",0,E352)*IF(F346="",0,F346),11)</f>
        <v>0</v>
      </c>
      <c r="G352" s="22">
        <f>Ресурсы!D15</f>
        <v>825.37</v>
      </c>
      <c r="H352" s="23">
        <f>ROUND(IF(F352="",0,F352)*IF(G352="",0,G352),0)</f>
        <v>0</v>
      </c>
      <c r="I352" s="1" t="s">
        <v>33</v>
      </c>
      <c r="J352" s="1" t="s">
        <v>34</v>
      </c>
      <c r="M352" s="22">
        <f>Ресурсы!C15</f>
        <v>86.5</v>
      </c>
      <c r="N352" s="22">
        <f>ROUND(IF(F352="",0,F352)*IF(M352="",0,M352),2)</f>
        <v>0</v>
      </c>
    </row>
    <row r="353" spans="1:14" ht="21" hidden="1">
      <c r="A353" s="59"/>
      <c r="B353" s="60"/>
      <c r="C353" s="59"/>
      <c r="D353" s="1">
        <f>Ресурсы!G15</f>
        <v>1</v>
      </c>
      <c r="E353" s="61"/>
      <c r="F353" s="61"/>
      <c r="G353" s="20">
        <f>Ресурсы!F15</f>
        <v>241.71</v>
      </c>
      <c r="H353" s="19">
        <f>ROUND(IF(F352="",0,F352)*IF(G353="",0,G353),0)</f>
        <v>0</v>
      </c>
      <c r="K353" s="1" t="s">
        <v>35</v>
      </c>
      <c r="L353" s="1" t="s">
        <v>36</v>
      </c>
      <c r="M353" s="20">
        <f>Ресурсы!E15</f>
        <v>11.6</v>
      </c>
      <c r="N353" s="20">
        <f>ROUND(IF(F352="",0,F352)*IF(M353="",0,M353),2)</f>
        <v>0</v>
      </c>
    </row>
    <row r="354" spans="1:14" ht="10.5" hidden="1">
      <c r="A354" s="4" t="s">
        <v>194</v>
      </c>
      <c r="B354" s="6" t="str">
        <f>ПОЛУЧШИФР(Ресурсы!A9,0)</f>
        <v>с101-2775</v>
      </c>
      <c r="C354" s="4" t="str">
        <f>Ресурсы!B9</f>
        <v>Микросферы стеклянные для дорожной разметки</v>
      </c>
      <c r="D354" s="5" t="s">
        <v>71</v>
      </c>
      <c r="E354" s="1">
        <v>0.00038</v>
      </c>
      <c r="F354" s="1">
        <f>ОКРУГЛВСЕ(IF(E354="",0,E354)*IF(F346="",0,F346),11)</f>
        <v>0</v>
      </c>
      <c r="G354" s="20">
        <f>ROUND(Ресурсы!D9*Начисления!AV19,2)</f>
        <v>52294.91</v>
      </c>
      <c r="H354" s="19">
        <f>ROUND(IF(F354="",0,F354)*IF(G354="",0,G354),0)</f>
        <v>0</v>
      </c>
      <c r="I354" s="1" t="s">
        <v>33</v>
      </c>
      <c r="J354" s="1" t="s">
        <v>44</v>
      </c>
      <c r="M354" s="20">
        <f>ROUND(Ресурсы!C9*Начисления!AV19,2)</f>
        <v>751.43</v>
      </c>
      <c r="N354" s="20">
        <f>ROUND(IF(F354="",0,F354)*IF(M354="",0,M354),2)</f>
        <v>0</v>
      </c>
    </row>
    <row r="355" spans="1:14" ht="10.5" hidden="1">
      <c r="A355" s="4" t="s">
        <v>195</v>
      </c>
      <c r="B355" s="6" t="str">
        <f>ПОЛУЧШИФР(Ресурсы!A11,0)</f>
        <v>с101-5889</v>
      </c>
      <c r="C355" s="4" t="str">
        <f>Ресурсы!B11</f>
        <v>Краска разметочная дорожная ИНДПОЛ, белая</v>
      </c>
      <c r="D355" s="5" t="s">
        <v>71</v>
      </c>
      <c r="E355" s="1">
        <v>0.0012</v>
      </c>
      <c r="F355" s="1">
        <f>ОКРУГЛВСЕ(IF(E355="",0,E355)*IF(F346="",0,F346),11)</f>
        <v>0</v>
      </c>
      <c r="G355" s="20">
        <f>ROUND(Ресурсы!D11*Начисления!AV19,2)</f>
        <v>143750</v>
      </c>
      <c r="H355" s="19">
        <f>ROUND(IF(F355="",0,F355)*IF(G355="",0,G355),0)</f>
        <v>0</v>
      </c>
      <c r="I355" s="1" t="s">
        <v>33</v>
      </c>
      <c r="J355" s="1" t="s">
        <v>44</v>
      </c>
      <c r="M355" s="20">
        <f>ROUND(Ресурсы!C11*Начисления!AV19,2)</f>
        <v>20494.04</v>
      </c>
      <c r="N355" s="20">
        <f>ROUND(IF(F355="",0,F355)*IF(M355="",0,M355),2)</f>
        <v>0</v>
      </c>
    </row>
    <row r="356" spans="3:14" ht="10.5" hidden="1">
      <c r="C356" s="24" t="s">
        <v>37</v>
      </c>
      <c r="H356" s="1">
        <v>67</v>
      </c>
      <c r="N356" s="1">
        <v>2.67</v>
      </c>
    </row>
    <row r="357" spans="3:14" ht="10.5" hidden="1">
      <c r="C357" s="24" t="s">
        <v>38</v>
      </c>
      <c r="H357" s="1">
        <v>200</v>
      </c>
      <c r="N357" s="1">
        <v>17.65</v>
      </c>
    </row>
    <row r="358" spans="3:14" ht="10.5" hidden="1">
      <c r="C358" s="24" t="s">
        <v>39</v>
      </c>
      <c r="H358" s="1">
        <v>48</v>
      </c>
      <c r="N358" s="1">
        <v>2.17</v>
      </c>
    </row>
    <row r="359" spans="3:14" ht="10.5" hidden="1">
      <c r="C359" s="24" t="s">
        <v>40</v>
      </c>
      <c r="H359" s="1">
        <v>192</v>
      </c>
      <c r="N359" s="1">
        <v>24.88</v>
      </c>
    </row>
    <row r="360" ht="10.5" hidden="1">
      <c r="C360" s="24" t="s">
        <v>41</v>
      </c>
    </row>
    <row r="361" spans="3:13" ht="21" hidden="1">
      <c r="C361" s="24" t="s">
        <v>42</v>
      </c>
      <c r="G361" s="25"/>
      <c r="I361" s="1" t="s">
        <v>43</v>
      </c>
      <c r="J361" s="1" t="s">
        <v>44</v>
      </c>
      <c r="M361" s="25"/>
    </row>
    <row r="362" ht="10.5" hidden="1">
      <c r="C362" s="24" t="s">
        <v>45</v>
      </c>
    </row>
    <row r="363" ht="10.5" hidden="1">
      <c r="C363" s="24" t="s">
        <v>46</v>
      </c>
    </row>
    <row r="364" ht="10.5" hidden="1">
      <c r="C364" s="24" t="s">
        <v>47</v>
      </c>
    </row>
    <row r="365" spans="3:14" ht="10.5" hidden="1">
      <c r="C365" s="24" t="s">
        <v>48</v>
      </c>
      <c r="G365" s="1">
        <v>99</v>
      </c>
      <c r="H365" s="19">
        <f>IF('Текущие цены с учетом расхода'!N19&gt;0,'Текущие цены с учетом расхода'!N19,IF('Текущие цены с учетом расхода'!N19&lt;0,'Текущие цены с учетом расхода'!N19,""))</f>
      </c>
      <c r="J365" s="4" t="s">
        <v>49</v>
      </c>
      <c r="M365" s="1">
        <v>116</v>
      </c>
      <c r="N365" s="20">
        <f>IF('Базовые цены с учетом расхода'!N19&gt;0,'Базовые цены с учетом расхода'!N19,IF('Базовые цены с учетом расхода'!N19&lt;0,'Базовые цены с учетом расхода'!N19,""))</f>
      </c>
    </row>
    <row r="366" spans="3:14" ht="10.5" hidden="1">
      <c r="C366" s="24" t="s">
        <v>50</v>
      </c>
      <c r="G366" s="1">
        <v>99</v>
      </c>
      <c r="H366" s="19">
        <f>IF('Текущие цены с учетом расхода'!P19&gt;0,'Текущие цены с учетом расхода'!P19,IF('Текущие цены с учетом расхода'!P19&lt;0,'Текущие цены с учетом расхода'!P19,""))</f>
      </c>
      <c r="J366" s="4" t="s">
        <v>51</v>
      </c>
      <c r="M366" s="1">
        <v>116</v>
      </c>
      <c r="N366" s="20">
        <f>IF('Базовые цены с учетом расхода'!P19&gt;0,'Базовые цены с учетом расхода'!P19,IF('Базовые цены с учетом расхода'!P19&lt;0,'Базовые цены с учетом расхода'!P19,""))</f>
      </c>
    </row>
    <row r="367" spans="3:14" ht="10.5" hidden="1">
      <c r="C367" s="24" t="s">
        <v>52</v>
      </c>
      <c r="G367" s="1">
        <v>99</v>
      </c>
      <c r="H367" s="19">
        <f>IF('Текущие цены с учетом расхода'!Q19&gt;0,'Текущие цены с учетом расхода'!Q19,IF('Текущие цены с учетом расхода'!Q19&lt;0,'Текущие цены с учетом расхода'!Q19,""))</f>
      </c>
      <c r="J367" s="4" t="s">
        <v>53</v>
      </c>
      <c r="M367" s="1">
        <v>116</v>
      </c>
      <c r="N367" s="20">
        <f>IF('Базовые цены с учетом расхода'!Q19&gt;0,'Базовые цены с учетом расхода'!Q19,IF('Базовые цены с учетом расхода'!Q19&lt;0,'Базовые цены с учетом расхода'!Q19,""))</f>
      </c>
    </row>
    <row r="368" spans="3:14" ht="10.5" hidden="1">
      <c r="C368" s="24" t="s">
        <v>54</v>
      </c>
      <c r="G368" s="1">
        <v>40</v>
      </c>
      <c r="H368" s="19">
        <f>IF('Текущие цены с учетом расхода'!O19&gt;0,'Текущие цены с учетом расхода'!O19,IF('Текущие цены с учетом расхода'!O19&lt;0,'Текущие цены с учетом расхода'!O19,""))</f>
      </c>
      <c r="J368" s="4" t="s">
        <v>55</v>
      </c>
      <c r="M368" s="1">
        <v>50</v>
      </c>
      <c r="N368" s="20">
        <f>IF('Базовые цены с учетом расхода'!O19&gt;0,'Базовые цены с учетом расхода'!O19,IF('Базовые цены с учетом расхода'!O19&lt;0,'Базовые цены с учетом расхода'!O19,""))</f>
      </c>
    </row>
    <row r="369" spans="3:14" ht="10.5" hidden="1">
      <c r="C369" s="24" t="s">
        <v>56</v>
      </c>
      <c r="G369" s="1">
        <v>40</v>
      </c>
      <c r="H369" s="19">
        <f>IF('Текущие цены с учетом расхода'!R19&gt;0,'Текущие цены с учетом расхода'!R19,IF('Текущие цены с учетом расхода'!R19&lt;0,'Текущие цены с учетом расхода'!R19,""))</f>
      </c>
      <c r="J369" s="4" t="s">
        <v>57</v>
      </c>
      <c r="M369" s="1">
        <v>50</v>
      </c>
      <c r="N369" s="20">
        <f>IF('Базовые цены с учетом расхода'!R19&gt;0,'Базовые цены с учетом расхода'!R19,IF('Базовые цены с учетом расхода'!R19&lt;0,'Базовые цены с учетом расхода'!R19,""))</f>
      </c>
    </row>
    <row r="370" spans="3:14" ht="10.5" hidden="1">
      <c r="C370" s="24" t="s">
        <v>58</v>
      </c>
      <c r="G370" s="1">
        <v>40</v>
      </c>
      <c r="H370" s="19">
        <f>IF('Текущие цены с учетом расхода'!S19&gt;0,'Текущие цены с учетом расхода'!S19,IF('Текущие цены с учетом расхода'!S19&lt;0,'Текущие цены с учетом расхода'!S19,""))</f>
      </c>
      <c r="J370" s="4" t="s">
        <v>59</v>
      </c>
      <c r="M370" s="1">
        <v>50</v>
      </c>
      <c r="N370" s="20">
        <f>IF('Базовые цены с учетом расхода'!S19&gt;0,'Базовые цены с учетом расхода'!S19,IF('Базовые цены с учетом расхода'!S19&lt;0,'Базовые цены с учетом расхода'!S19,""))</f>
      </c>
    </row>
    <row r="371" spans="3:14" ht="10.5" hidden="1">
      <c r="C371" s="24" t="s">
        <v>74</v>
      </c>
      <c r="H371" s="19">
        <f>ROUND(IF(H346="",0,H346)+IF(H365="",0,H365)+IF(H368="",0,H368),0)</f>
        <v>0</v>
      </c>
      <c r="N371" s="20">
        <f>ROUND(IF(N346="",0,N346)+IF(N365="",0,N365)+IF(N368="",0,N368),2)</f>
        <v>0</v>
      </c>
    </row>
    <row r="372" spans="1:14" ht="31.5" hidden="1">
      <c r="A372" s="26" t="s">
        <v>196</v>
      </c>
      <c r="B372" s="26" t="s">
        <v>197</v>
      </c>
      <c r="C372" s="26" t="s">
        <v>198</v>
      </c>
      <c r="D372" s="27" t="s">
        <v>178</v>
      </c>
      <c r="E372" s="28"/>
      <c r="F372" s="29"/>
      <c r="G372" s="30">
        <f>ROUND(СУММПРОИЗВЕСЛИ(1,I372:I381,"s",E372:E381,G372:G381,0),2)</f>
        <v>574.42</v>
      </c>
      <c r="H372" s="31">
        <f>ROUND(СУММПРОИЗВЕСЛИ(F372,I372:I381,"s",E372:E381,G372:G381,0),0)</f>
        <v>0</v>
      </c>
      <c r="I372" s="1" t="s">
        <v>25</v>
      </c>
      <c r="M372" s="16">
        <f>ROUND(СУММПРОИЗВЕСЛИ(1,I372:I381,"s",E372:E381,M372:M381,0),2)</f>
        <v>58.63</v>
      </c>
      <c r="N372" s="16">
        <f>ROUND(СУММПРОИЗВЕСЛИ(F372,I372:I381,"s",E372:E381,M372:M381,0),2)</f>
        <v>0</v>
      </c>
    </row>
    <row r="373" spans="1:14" ht="10.5" hidden="1">
      <c r="A373" s="4" t="s">
        <v>199</v>
      </c>
      <c r="B373" s="4" t="s">
        <v>27</v>
      </c>
      <c r="C373" s="4" t="s">
        <v>28</v>
      </c>
      <c r="D373" s="5" t="s">
        <v>29</v>
      </c>
      <c r="E373" s="1">
        <f>ОКРУГЛВСЕ(СУММПРОИЗВЕСЛИ(1,K372:K381,"mWithZTM",D372:D381,E372:E381,-1)+СУММКОЭФПРОЦЕНТЕСЛИ(1,1,K372:K381,"mWithZTM_Proch",E372:E381,-1),11)</f>
        <v>0.22</v>
      </c>
      <c r="F373" s="1">
        <f>ОКРУГЛВСЕ(СУММПРОИЗВЕСЛИ(1,K372:K381,"mWithZTM",D372:D381,F372:F381,-1)+СУММКОЭФПРОЦЕНТЕСЛИ(1,1,K372:K381,"mWithZTM_Proch",F372:F381,-1),11)</f>
        <v>0</v>
      </c>
      <c r="G373" s="18">
        <f>IF(F373=0,0,ROUND(H373/F373,3))</f>
        <v>0</v>
      </c>
      <c r="H373" s="19">
        <f>ROUND(СУММЕСЛИДА1НЕ1(L372:L381,"mWithZPM",D372:D381,0,H372:H381),0)</f>
        <v>0</v>
      </c>
      <c r="J373" s="1" t="s">
        <v>30</v>
      </c>
      <c r="M373" s="18">
        <f>IF(F373=0,0,ROUND(N373/F373,3))</f>
        <v>0</v>
      </c>
      <c r="N373" s="20">
        <f>ROUND(СУММЕСЛИДА1НЕ1(L372:L381,"mWithZPM",D372:D381,0,N372:N381),2)</f>
        <v>0</v>
      </c>
    </row>
    <row r="374" spans="1:14" ht="10.5" hidden="1">
      <c r="A374" s="4" t="s">
        <v>200</v>
      </c>
      <c r="B374" s="6" t="str">
        <f>ПОЛУЧШИФР(Ресурсы!A4,0)</f>
        <v>з0-4003</v>
      </c>
      <c r="C374" s="4" t="str">
        <f>Ресурсы!B4</f>
        <v>Дорожный рабочий 3 разряда</v>
      </c>
      <c r="D374" s="5" t="s">
        <v>29</v>
      </c>
      <c r="E374" s="1">
        <v>0.22</v>
      </c>
      <c r="F374" s="1">
        <f>ОКРУГЛВСЕ(IF(E374="",0,E374)*IF(F372="",0,F372),11)</f>
        <v>0</v>
      </c>
      <c r="G374" s="18">
        <f>Ресурсы!D4</f>
        <v>214.87</v>
      </c>
      <c r="H374" s="19">
        <f>ROUND(IF(F374="",0,F374)*IF(G374="",0,G374),0)</f>
        <v>0</v>
      </c>
      <c r="I374" s="1" t="s">
        <v>33</v>
      </c>
      <c r="J374" s="1" t="s">
        <v>66</v>
      </c>
      <c r="M374" s="18">
        <f>Ресурсы!C4</f>
        <v>8.53</v>
      </c>
      <c r="N374" s="20">
        <f>ROUND(IF(F374="",0,F374)*IF(M374="",0,M374),2)</f>
        <v>0</v>
      </c>
    </row>
    <row r="375" spans="1:14" ht="10.5" hidden="1">
      <c r="A375" s="4" t="s">
        <v>201</v>
      </c>
      <c r="B375" s="6" t="str">
        <f>ПОЛУЧШИФР(Ресурсы!A5,0)</f>
        <v>з0-4004</v>
      </c>
      <c r="C375" s="4" t="str">
        <f>Ресурсы!B5</f>
        <v>Дорожный рабочий 4 разряда</v>
      </c>
      <c r="D375" s="5" t="s">
        <v>29</v>
      </c>
      <c r="E375" s="1">
        <v>0.11</v>
      </c>
      <c r="F375" s="1">
        <f>ОКРУГЛВСЕ(IF(E375="",0,E375)*IF(F372="",0,F372),11)</f>
        <v>0</v>
      </c>
      <c r="G375" s="18">
        <f>Ресурсы!D5</f>
        <v>241.71</v>
      </c>
      <c r="H375" s="19">
        <f>ROUND(IF(F375="",0,F375)*IF(G375="",0,G375),0)</f>
        <v>0</v>
      </c>
      <c r="I375" s="1" t="s">
        <v>33</v>
      </c>
      <c r="J375" s="1" t="s">
        <v>66</v>
      </c>
      <c r="M375" s="18">
        <f>Ресурсы!C5</f>
        <v>9.62</v>
      </c>
      <c r="N375" s="20">
        <f>ROUND(IF(F375="",0,F375)*IF(M375="",0,M375),2)</f>
        <v>0</v>
      </c>
    </row>
    <row r="376" spans="1:14" ht="10.5" hidden="1">
      <c r="A376" s="59" t="s">
        <v>202</v>
      </c>
      <c r="B376" s="60" t="str">
        <f>ПОЛУЧШИФР(Ресурсы!A12,0)</f>
        <v>х05-0101</v>
      </c>
      <c r="C376" s="59" t="str">
        <f>Ресурсы!B12</f>
        <v>Компрессоры передвижные с двигателем внутреннего сгорания давлением до 686 кПа (7 ат), производительность 2,2 м3/мин</v>
      </c>
      <c r="D376" s="21" t="s">
        <v>32</v>
      </c>
      <c r="E376" s="61">
        <v>0.11</v>
      </c>
      <c r="F376" s="61">
        <f>ОКРУГЛВСЕ(IF(E376="",0,E376)*IF(F372="",0,F372),11)</f>
        <v>0</v>
      </c>
      <c r="G376" s="22">
        <f>Ресурсы!D12</f>
        <v>1176.76</v>
      </c>
      <c r="H376" s="23">
        <f>ROUND(IF(F376="",0,F376)*IF(G376="",0,G376),0)</f>
        <v>0</v>
      </c>
      <c r="I376" s="1" t="s">
        <v>33</v>
      </c>
      <c r="J376" s="1" t="s">
        <v>34</v>
      </c>
      <c r="M376" s="22">
        <f>Ресурсы!C12</f>
        <v>90</v>
      </c>
      <c r="N376" s="22">
        <f>ROUND(IF(F376="",0,F376)*IF(M376="",0,M376),2)</f>
        <v>0</v>
      </c>
    </row>
    <row r="377" spans="1:14" ht="21" hidden="1">
      <c r="A377" s="59"/>
      <c r="B377" s="60"/>
      <c r="C377" s="59"/>
      <c r="D377" s="1">
        <f>Ресурсы!G12</f>
        <v>1</v>
      </c>
      <c r="E377" s="61"/>
      <c r="F377" s="61"/>
      <c r="G377" s="20">
        <f>Ресурсы!F12</f>
        <v>241.71</v>
      </c>
      <c r="H377" s="19">
        <f>ROUND(IF(F376="",0,F376)*IF(G377="",0,G377),0)</f>
        <v>0</v>
      </c>
      <c r="K377" s="1" t="s">
        <v>35</v>
      </c>
      <c r="L377" s="1" t="s">
        <v>36</v>
      </c>
      <c r="M377" s="20">
        <f>Ресурсы!E12</f>
        <v>10.06</v>
      </c>
      <c r="N377" s="20">
        <f>ROUND(IF(F376="",0,F376)*IF(M377="",0,M377),2)</f>
        <v>0</v>
      </c>
    </row>
    <row r="378" spans="1:14" ht="10.5" hidden="1">
      <c r="A378" s="59" t="s">
        <v>203</v>
      </c>
      <c r="B378" s="60" t="str">
        <f>ПОЛУЧШИФР(Ресурсы!A15,0)</f>
        <v>х12-1550</v>
      </c>
      <c r="C378" s="59" t="str">
        <f>Ресурсы!B15</f>
        <v>Машины дорожной службы (машина дорожного мастера)</v>
      </c>
      <c r="D378" s="21" t="s">
        <v>32</v>
      </c>
      <c r="E378" s="61">
        <v>0.11</v>
      </c>
      <c r="F378" s="61">
        <f>ОКРУГЛВСЕ(IF(E378="",0,E378)*IF(F372="",0,F372),11)</f>
        <v>0</v>
      </c>
      <c r="G378" s="22">
        <f>Ресурсы!D15</f>
        <v>825.37</v>
      </c>
      <c r="H378" s="23">
        <f>ROUND(IF(F378="",0,F378)*IF(G378="",0,G378),0)</f>
        <v>0</v>
      </c>
      <c r="I378" s="1" t="s">
        <v>33</v>
      </c>
      <c r="J378" s="1" t="s">
        <v>34</v>
      </c>
      <c r="M378" s="22">
        <f>Ресурсы!C15</f>
        <v>86.5</v>
      </c>
      <c r="N378" s="22">
        <f>ROUND(IF(F378="",0,F378)*IF(M378="",0,M378),2)</f>
        <v>0</v>
      </c>
    </row>
    <row r="379" spans="1:14" ht="21" hidden="1">
      <c r="A379" s="59"/>
      <c r="B379" s="60"/>
      <c r="C379" s="59"/>
      <c r="D379" s="1">
        <f>Ресурсы!G15</f>
        <v>1</v>
      </c>
      <c r="E379" s="61"/>
      <c r="F379" s="61"/>
      <c r="G379" s="20">
        <f>Ресурсы!F15</f>
        <v>241.71</v>
      </c>
      <c r="H379" s="19">
        <f>ROUND(IF(F378="",0,F378)*IF(G379="",0,G379),0)</f>
        <v>0</v>
      </c>
      <c r="K379" s="1" t="s">
        <v>35</v>
      </c>
      <c r="L379" s="1" t="s">
        <v>36</v>
      </c>
      <c r="M379" s="20">
        <f>Ресурсы!E15</f>
        <v>11.6</v>
      </c>
      <c r="N379" s="20">
        <f>ROUND(IF(F378="",0,F378)*IF(M379="",0,M379),2)</f>
        <v>0</v>
      </c>
    </row>
    <row r="380" spans="1:14" ht="10.5" hidden="1">
      <c r="A380" s="4" t="s">
        <v>204</v>
      </c>
      <c r="B380" s="6" t="str">
        <f>ПОЛУЧШИФР(Ресурсы!A9,0)</f>
        <v>с101-2775</v>
      </c>
      <c r="C380" s="4" t="str">
        <f>Ресурсы!B9</f>
        <v>Микросферы стеклянные для дорожной разметки</v>
      </c>
      <c r="D380" s="5" t="s">
        <v>71</v>
      </c>
      <c r="E380" s="1">
        <v>0.00055</v>
      </c>
      <c r="F380" s="1">
        <f>ОКРУГЛВСЕ(IF(E380="",0,E380)*IF(F372="",0,F372),11)</f>
        <v>0</v>
      </c>
      <c r="G380" s="20">
        <f>ROUND(Ресурсы!D9*Начисления!AV20,2)</f>
        <v>52294.91</v>
      </c>
      <c r="H380" s="19">
        <f>ROUND(IF(F380="",0,F380)*IF(G380="",0,G380),0)</f>
        <v>0</v>
      </c>
      <c r="I380" s="1" t="s">
        <v>33</v>
      </c>
      <c r="J380" s="1" t="s">
        <v>44</v>
      </c>
      <c r="M380" s="20">
        <f>ROUND(Ресурсы!C9*Начисления!AV20,2)</f>
        <v>751.43</v>
      </c>
      <c r="N380" s="20">
        <f>ROUND(IF(F380="",0,F380)*IF(M380="",0,M380),2)</f>
        <v>0</v>
      </c>
    </row>
    <row r="381" spans="1:14" ht="10.5" hidden="1">
      <c r="A381" s="4" t="s">
        <v>205</v>
      </c>
      <c r="B381" s="6" t="str">
        <f>ПОЛУЧШИФР(Ресурсы!A11,0)</f>
        <v>с101-5889</v>
      </c>
      <c r="C381" s="4" t="str">
        <f>Ресурсы!B11</f>
        <v>Краска разметочная дорожная ИНДПОЛ, белая</v>
      </c>
      <c r="D381" s="5" t="s">
        <v>71</v>
      </c>
      <c r="E381" s="1">
        <v>0.00175</v>
      </c>
      <c r="F381" s="1">
        <f>ОКРУГЛВСЕ(IF(E381="",0,E381)*IF(F372="",0,F372),11)</f>
        <v>0</v>
      </c>
      <c r="G381" s="20">
        <f>ROUND(Ресурсы!D11*Начисления!AV20,2)</f>
        <v>143750</v>
      </c>
      <c r="H381" s="19">
        <f>ROUND(IF(F381="",0,F381)*IF(G381="",0,G381),0)</f>
        <v>0</v>
      </c>
      <c r="I381" s="1" t="s">
        <v>33</v>
      </c>
      <c r="J381" s="1" t="s">
        <v>44</v>
      </c>
      <c r="M381" s="20">
        <f>ROUND(Ресурсы!C11*Начисления!AV20,2)</f>
        <v>20494.04</v>
      </c>
      <c r="N381" s="20">
        <f>ROUND(IF(F381="",0,F381)*IF(M381="",0,M381),2)</f>
        <v>0</v>
      </c>
    </row>
    <row r="382" spans="3:14" ht="10.5" hidden="1">
      <c r="C382" s="24" t="s">
        <v>37</v>
      </c>
      <c r="H382" s="1">
        <v>74</v>
      </c>
      <c r="N382" s="1">
        <v>2.93</v>
      </c>
    </row>
    <row r="383" spans="3:14" ht="10.5" hidden="1">
      <c r="C383" s="24" t="s">
        <v>38</v>
      </c>
      <c r="H383" s="1">
        <v>220</v>
      </c>
      <c r="N383" s="1">
        <v>19.42</v>
      </c>
    </row>
    <row r="384" spans="3:14" ht="10.5" hidden="1">
      <c r="C384" s="24" t="s">
        <v>39</v>
      </c>
      <c r="H384" s="1">
        <v>53</v>
      </c>
      <c r="N384" s="1">
        <v>2.38</v>
      </c>
    </row>
    <row r="385" spans="3:14" ht="10.5" hidden="1">
      <c r="C385" s="24" t="s">
        <v>40</v>
      </c>
      <c r="H385" s="1">
        <v>280</v>
      </c>
      <c r="N385" s="1">
        <v>36.28</v>
      </c>
    </row>
    <row r="386" ht="10.5" hidden="1">
      <c r="C386" s="24" t="s">
        <v>41</v>
      </c>
    </row>
    <row r="387" spans="3:13" ht="21" hidden="1">
      <c r="C387" s="24" t="s">
        <v>42</v>
      </c>
      <c r="G387" s="25"/>
      <c r="I387" s="1" t="s">
        <v>43</v>
      </c>
      <c r="J387" s="1" t="s">
        <v>44</v>
      </c>
      <c r="M387" s="25"/>
    </row>
    <row r="388" ht="10.5" hidden="1">
      <c r="C388" s="24" t="s">
        <v>45</v>
      </c>
    </row>
    <row r="389" ht="10.5" hidden="1">
      <c r="C389" s="24" t="s">
        <v>46</v>
      </c>
    </row>
    <row r="390" ht="10.5" hidden="1">
      <c r="C390" s="24" t="s">
        <v>47</v>
      </c>
    </row>
    <row r="391" spans="3:14" ht="10.5" hidden="1">
      <c r="C391" s="24" t="s">
        <v>48</v>
      </c>
      <c r="G391" s="1">
        <v>99</v>
      </c>
      <c r="H391" s="19">
        <f>IF('Текущие цены с учетом расхода'!N20&gt;0,'Текущие цены с учетом расхода'!N20,IF('Текущие цены с учетом расхода'!N20&lt;0,'Текущие цены с учетом расхода'!N20,""))</f>
      </c>
      <c r="J391" s="4" t="s">
        <v>49</v>
      </c>
      <c r="M391" s="1">
        <v>116</v>
      </c>
      <c r="N391" s="20">
        <f>IF('Базовые цены с учетом расхода'!N20&gt;0,'Базовые цены с учетом расхода'!N20,IF('Базовые цены с учетом расхода'!N20&lt;0,'Базовые цены с учетом расхода'!N20,""))</f>
      </c>
    </row>
    <row r="392" spans="3:14" ht="10.5" hidden="1">
      <c r="C392" s="24" t="s">
        <v>50</v>
      </c>
      <c r="G392" s="1">
        <v>99</v>
      </c>
      <c r="H392" s="19">
        <f>IF('Текущие цены с учетом расхода'!P20&gt;0,'Текущие цены с учетом расхода'!P20,IF('Текущие цены с учетом расхода'!P20&lt;0,'Текущие цены с учетом расхода'!P20,""))</f>
      </c>
      <c r="J392" s="4" t="s">
        <v>51</v>
      </c>
      <c r="M392" s="1">
        <v>116</v>
      </c>
      <c r="N392" s="20">
        <f>IF('Базовые цены с учетом расхода'!P20&gt;0,'Базовые цены с учетом расхода'!P20,IF('Базовые цены с учетом расхода'!P20&lt;0,'Базовые цены с учетом расхода'!P20,""))</f>
      </c>
    </row>
    <row r="393" spans="3:14" ht="10.5" hidden="1">
      <c r="C393" s="24" t="s">
        <v>52</v>
      </c>
      <c r="G393" s="1">
        <v>99</v>
      </c>
      <c r="H393" s="19">
        <f>IF('Текущие цены с учетом расхода'!Q20&gt;0,'Текущие цены с учетом расхода'!Q20,IF('Текущие цены с учетом расхода'!Q20&lt;0,'Текущие цены с учетом расхода'!Q20,""))</f>
      </c>
      <c r="J393" s="4" t="s">
        <v>53</v>
      </c>
      <c r="M393" s="1">
        <v>116</v>
      </c>
      <c r="N393" s="20">
        <f>IF('Базовые цены с учетом расхода'!Q20&gt;0,'Базовые цены с учетом расхода'!Q20,IF('Базовые цены с учетом расхода'!Q20&lt;0,'Базовые цены с учетом расхода'!Q20,""))</f>
      </c>
    </row>
    <row r="394" spans="3:14" ht="10.5" hidden="1">
      <c r="C394" s="24" t="s">
        <v>54</v>
      </c>
      <c r="G394" s="1">
        <v>40</v>
      </c>
      <c r="H394" s="19">
        <f>IF('Текущие цены с учетом расхода'!O20&gt;0,'Текущие цены с учетом расхода'!O20,IF('Текущие цены с учетом расхода'!O20&lt;0,'Текущие цены с учетом расхода'!O20,""))</f>
      </c>
      <c r="J394" s="4" t="s">
        <v>55</v>
      </c>
      <c r="M394" s="1">
        <v>50</v>
      </c>
      <c r="N394" s="20">
        <f>IF('Базовые цены с учетом расхода'!O20&gt;0,'Базовые цены с учетом расхода'!O20,IF('Базовые цены с учетом расхода'!O20&lt;0,'Базовые цены с учетом расхода'!O20,""))</f>
      </c>
    </row>
    <row r="395" spans="3:14" ht="10.5" hidden="1">
      <c r="C395" s="24" t="s">
        <v>56</v>
      </c>
      <c r="G395" s="1">
        <v>40</v>
      </c>
      <c r="H395" s="19">
        <f>IF('Текущие цены с учетом расхода'!R20&gt;0,'Текущие цены с учетом расхода'!R20,IF('Текущие цены с учетом расхода'!R20&lt;0,'Текущие цены с учетом расхода'!R20,""))</f>
      </c>
      <c r="J395" s="4" t="s">
        <v>57</v>
      </c>
      <c r="M395" s="1">
        <v>50</v>
      </c>
      <c r="N395" s="20">
        <f>IF('Базовые цены с учетом расхода'!R20&gt;0,'Базовые цены с учетом расхода'!R20,IF('Базовые цены с учетом расхода'!R20&lt;0,'Базовые цены с учетом расхода'!R20,""))</f>
      </c>
    </row>
    <row r="396" spans="3:14" ht="10.5" hidden="1">
      <c r="C396" s="24" t="s">
        <v>58</v>
      </c>
      <c r="G396" s="1">
        <v>40</v>
      </c>
      <c r="H396" s="19">
        <f>IF('Текущие цены с учетом расхода'!S20&gt;0,'Текущие цены с учетом расхода'!S20,IF('Текущие цены с учетом расхода'!S20&lt;0,'Текущие цены с учетом расхода'!S20,""))</f>
      </c>
      <c r="J396" s="4" t="s">
        <v>59</v>
      </c>
      <c r="M396" s="1">
        <v>50</v>
      </c>
      <c r="N396" s="20">
        <f>IF('Базовые цены с учетом расхода'!S20&gt;0,'Базовые цены с учетом расхода'!S20,IF('Базовые цены с учетом расхода'!S20&lt;0,'Базовые цены с учетом расхода'!S20,""))</f>
      </c>
    </row>
    <row r="397" spans="3:14" ht="10.5" hidden="1">
      <c r="C397" s="24" t="s">
        <v>74</v>
      </c>
      <c r="H397" s="19">
        <f>ROUND(IF(H372="",0,H372)+IF(H391="",0,H391)+IF(H394="",0,H394),0)</f>
        <v>0</v>
      </c>
      <c r="N397" s="20">
        <f>ROUND(IF(N372="",0,N372)+IF(N391="",0,N391)+IF(N394="",0,N394),2)</f>
        <v>0</v>
      </c>
    </row>
    <row r="398" spans="1:14" ht="31.5" hidden="1">
      <c r="A398" s="26" t="s">
        <v>206</v>
      </c>
      <c r="B398" s="26" t="s">
        <v>207</v>
      </c>
      <c r="C398" s="26" t="s">
        <v>208</v>
      </c>
      <c r="D398" s="27" t="s">
        <v>178</v>
      </c>
      <c r="E398" s="28"/>
      <c r="F398" s="29"/>
      <c r="G398" s="30">
        <f>ROUND(СУММПРОИЗВЕСЛИ(1,I398:I407,"s",E398:E407,G398:G407,0),2)</f>
        <v>670.89</v>
      </c>
      <c r="H398" s="31">
        <f>ROUND(СУММПРОИЗВЕСЛИ(F398,I398:I407,"s",E398:E407,G398:G407,0),0)</f>
        <v>0</v>
      </c>
      <c r="I398" s="1" t="s">
        <v>25</v>
      </c>
      <c r="M398" s="16">
        <f>ROUND(СУММПРОИЗВЕСЛИ(1,I398:I407,"s",E398:E407,M398:M407,0),2)</f>
        <v>68.28</v>
      </c>
      <c r="N398" s="16">
        <f>ROUND(СУММПРОИЗВЕСЛИ(F398,I398:I407,"s",E398:E407,M398:M407,0),2)</f>
        <v>0</v>
      </c>
    </row>
    <row r="399" spans="1:14" ht="10.5" hidden="1">
      <c r="A399" s="4" t="s">
        <v>209</v>
      </c>
      <c r="B399" s="4" t="s">
        <v>27</v>
      </c>
      <c r="C399" s="4" t="s">
        <v>28</v>
      </c>
      <c r="D399" s="5" t="s">
        <v>29</v>
      </c>
      <c r="E399" s="1">
        <f>ОКРУГЛВСЕ(СУММПРОИЗВЕСЛИ(1,K398:K407,"mWithZTM",D398:D407,E398:E407,-1)+СУММКОЭФПРОЦЕНТЕСЛИ(1,1,K398:K407,"mWithZTM_Proch",E398:E407,-1),11)</f>
        <v>0.26</v>
      </c>
      <c r="F399" s="1">
        <f>ОКРУГЛВСЕ(СУММПРОИЗВЕСЛИ(1,K398:K407,"mWithZTM",D398:D407,F398:F407,-1)+СУММКОЭФПРОЦЕНТЕСЛИ(1,1,K398:K407,"mWithZTM_Proch",F398:F407,-1),11)</f>
        <v>0</v>
      </c>
      <c r="G399" s="18">
        <f>IF(F399=0,0,ROUND(H399/F399,3))</f>
        <v>0</v>
      </c>
      <c r="H399" s="19">
        <f>ROUND(СУММЕСЛИДА1НЕ1(L398:L407,"mWithZPM",D398:D407,0,H398:H407),0)</f>
        <v>0</v>
      </c>
      <c r="J399" s="1" t="s">
        <v>30</v>
      </c>
      <c r="M399" s="18">
        <f>IF(F399=0,0,ROUND(N399/F399,3))</f>
        <v>0</v>
      </c>
      <c r="N399" s="20">
        <f>ROUND(СУММЕСЛИДА1НЕ1(L398:L407,"mWithZPM",D398:D407,0,N398:N407),2)</f>
        <v>0</v>
      </c>
    </row>
    <row r="400" spans="1:14" ht="10.5" hidden="1">
      <c r="A400" s="4" t="s">
        <v>210</v>
      </c>
      <c r="B400" s="6" t="str">
        <f>ПОЛУЧШИФР(Ресурсы!A4,0)</f>
        <v>з0-4003</v>
      </c>
      <c r="C400" s="4" t="str">
        <f>Ресурсы!B4</f>
        <v>Дорожный рабочий 3 разряда</v>
      </c>
      <c r="D400" s="5" t="s">
        <v>29</v>
      </c>
      <c r="E400" s="1">
        <v>0.26</v>
      </c>
      <c r="F400" s="1">
        <f>ОКРУГЛВСЕ(IF(E400="",0,E400)*IF(F398="",0,F398),11)</f>
        <v>0</v>
      </c>
      <c r="G400" s="18">
        <f>Ресурсы!D4</f>
        <v>214.87</v>
      </c>
      <c r="H400" s="19">
        <f>ROUND(IF(F400="",0,F400)*IF(G400="",0,G400),0)</f>
        <v>0</v>
      </c>
      <c r="I400" s="1" t="s">
        <v>33</v>
      </c>
      <c r="J400" s="1" t="s">
        <v>66</v>
      </c>
      <c r="M400" s="18">
        <f>Ресурсы!C4</f>
        <v>8.53</v>
      </c>
      <c r="N400" s="20">
        <f>ROUND(IF(F400="",0,F400)*IF(M400="",0,M400),2)</f>
        <v>0</v>
      </c>
    </row>
    <row r="401" spans="1:14" ht="10.5" hidden="1">
      <c r="A401" s="4" t="s">
        <v>211</v>
      </c>
      <c r="B401" s="6" t="str">
        <f>ПОЛУЧШИФР(Ресурсы!A5,0)</f>
        <v>з0-4004</v>
      </c>
      <c r="C401" s="4" t="str">
        <f>Ресурсы!B5</f>
        <v>Дорожный рабочий 4 разряда</v>
      </c>
      <c r="D401" s="5" t="s">
        <v>29</v>
      </c>
      <c r="E401" s="1">
        <v>0.13</v>
      </c>
      <c r="F401" s="1">
        <f>ОКРУГЛВСЕ(IF(E401="",0,E401)*IF(F398="",0,F398),11)</f>
        <v>0</v>
      </c>
      <c r="G401" s="18">
        <f>Ресурсы!D5</f>
        <v>241.71</v>
      </c>
      <c r="H401" s="19">
        <f>ROUND(IF(F401="",0,F401)*IF(G401="",0,G401),0)</f>
        <v>0</v>
      </c>
      <c r="I401" s="1" t="s">
        <v>33</v>
      </c>
      <c r="J401" s="1" t="s">
        <v>66</v>
      </c>
      <c r="M401" s="18">
        <f>Ресурсы!C5</f>
        <v>9.62</v>
      </c>
      <c r="N401" s="20">
        <f>ROUND(IF(F401="",0,F401)*IF(M401="",0,M401),2)</f>
        <v>0</v>
      </c>
    </row>
    <row r="402" spans="1:14" ht="10.5" hidden="1">
      <c r="A402" s="59" t="s">
        <v>212</v>
      </c>
      <c r="B402" s="60" t="str">
        <f>ПОЛУЧШИФР(Ресурсы!A12,0)</f>
        <v>х05-0101</v>
      </c>
      <c r="C402" s="59" t="str">
        <f>Ресурсы!B12</f>
        <v>Компрессоры передвижные с двигателем внутреннего сгорания давлением до 686 кПа (7 ат), производительность 2,2 м3/мин</v>
      </c>
      <c r="D402" s="21" t="s">
        <v>32</v>
      </c>
      <c r="E402" s="61">
        <v>0.13</v>
      </c>
      <c r="F402" s="61">
        <f>ОКРУГЛВСЕ(IF(E402="",0,E402)*IF(F398="",0,F398),11)</f>
        <v>0</v>
      </c>
      <c r="G402" s="22">
        <f>Ресурсы!D12</f>
        <v>1176.76</v>
      </c>
      <c r="H402" s="23">
        <f>ROUND(IF(F402="",0,F402)*IF(G402="",0,G402),0)</f>
        <v>0</v>
      </c>
      <c r="I402" s="1" t="s">
        <v>33</v>
      </c>
      <c r="J402" s="1" t="s">
        <v>34</v>
      </c>
      <c r="M402" s="22">
        <f>Ресурсы!C12</f>
        <v>90</v>
      </c>
      <c r="N402" s="22">
        <f>ROUND(IF(F402="",0,F402)*IF(M402="",0,M402),2)</f>
        <v>0</v>
      </c>
    </row>
    <row r="403" spans="1:14" ht="21" hidden="1">
      <c r="A403" s="59"/>
      <c r="B403" s="60"/>
      <c r="C403" s="59"/>
      <c r="D403" s="1">
        <f>Ресурсы!G12</f>
        <v>1</v>
      </c>
      <c r="E403" s="61"/>
      <c r="F403" s="61"/>
      <c r="G403" s="20">
        <f>Ресурсы!F12</f>
        <v>241.71</v>
      </c>
      <c r="H403" s="19">
        <f>ROUND(IF(F402="",0,F402)*IF(G403="",0,G403),0)</f>
        <v>0</v>
      </c>
      <c r="K403" s="1" t="s">
        <v>35</v>
      </c>
      <c r="L403" s="1" t="s">
        <v>36</v>
      </c>
      <c r="M403" s="20">
        <f>Ресурсы!E12</f>
        <v>10.06</v>
      </c>
      <c r="N403" s="20">
        <f>ROUND(IF(F402="",0,F402)*IF(M403="",0,M403),2)</f>
        <v>0</v>
      </c>
    </row>
    <row r="404" spans="1:14" ht="10.5" hidden="1">
      <c r="A404" s="59" t="s">
        <v>213</v>
      </c>
      <c r="B404" s="60" t="str">
        <f>ПОЛУЧШИФР(Ресурсы!A15,0)</f>
        <v>х12-1550</v>
      </c>
      <c r="C404" s="59" t="str">
        <f>Ресурсы!B15</f>
        <v>Машины дорожной службы (машина дорожного мастера)</v>
      </c>
      <c r="D404" s="21" t="s">
        <v>32</v>
      </c>
      <c r="E404" s="61">
        <v>0.13</v>
      </c>
      <c r="F404" s="61">
        <f>ОКРУГЛВСЕ(IF(E404="",0,E404)*IF(F398="",0,F398),11)</f>
        <v>0</v>
      </c>
      <c r="G404" s="22">
        <f>Ресурсы!D15</f>
        <v>825.37</v>
      </c>
      <c r="H404" s="23">
        <f>ROUND(IF(F404="",0,F404)*IF(G404="",0,G404),0)</f>
        <v>0</v>
      </c>
      <c r="I404" s="1" t="s">
        <v>33</v>
      </c>
      <c r="J404" s="1" t="s">
        <v>34</v>
      </c>
      <c r="M404" s="22">
        <f>Ресурсы!C15</f>
        <v>86.5</v>
      </c>
      <c r="N404" s="22">
        <f>ROUND(IF(F404="",0,F404)*IF(M404="",0,M404),2)</f>
        <v>0</v>
      </c>
    </row>
    <row r="405" spans="1:14" ht="21" hidden="1">
      <c r="A405" s="59"/>
      <c r="B405" s="60"/>
      <c r="C405" s="59"/>
      <c r="D405" s="1">
        <f>Ресурсы!G15</f>
        <v>1</v>
      </c>
      <c r="E405" s="61"/>
      <c r="F405" s="61"/>
      <c r="G405" s="20">
        <f>Ресурсы!F15</f>
        <v>241.71</v>
      </c>
      <c r="H405" s="19">
        <f>ROUND(IF(F404="",0,F404)*IF(G405="",0,G405),0)</f>
        <v>0</v>
      </c>
      <c r="K405" s="1" t="s">
        <v>35</v>
      </c>
      <c r="L405" s="1" t="s">
        <v>36</v>
      </c>
      <c r="M405" s="20">
        <f>Ресурсы!E15</f>
        <v>11.6</v>
      </c>
      <c r="N405" s="20">
        <f>ROUND(IF(F404="",0,F404)*IF(M405="",0,M405),2)</f>
        <v>0</v>
      </c>
    </row>
    <row r="406" spans="1:14" ht="10.5" hidden="1">
      <c r="A406" s="4" t="s">
        <v>214</v>
      </c>
      <c r="B406" s="6" t="str">
        <f>ПОЛУЧШИФР(Ресурсы!A9,0)</f>
        <v>с101-2775</v>
      </c>
      <c r="C406" s="4" t="str">
        <f>Ресурсы!B9</f>
        <v>Микросферы стеклянные для дорожной разметки</v>
      </c>
      <c r="D406" s="5" t="s">
        <v>71</v>
      </c>
      <c r="E406" s="1">
        <v>0.00063</v>
      </c>
      <c r="F406" s="1">
        <f>ОКРУГЛВСЕ(IF(E406="",0,E406)*IF(F398="",0,F398),11)</f>
        <v>0</v>
      </c>
      <c r="G406" s="20">
        <f>ROUND(Ресурсы!D9*Начисления!AV21,2)</f>
        <v>52294.91</v>
      </c>
      <c r="H406" s="19">
        <f>ROUND(IF(F406="",0,F406)*IF(G406="",0,G406),0)</f>
        <v>0</v>
      </c>
      <c r="I406" s="1" t="s">
        <v>33</v>
      </c>
      <c r="J406" s="1" t="s">
        <v>44</v>
      </c>
      <c r="M406" s="20">
        <f>ROUND(Ресурсы!C9*Начисления!AV21,2)</f>
        <v>751.43</v>
      </c>
      <c r="N406" s="20">
        <f>ROUND(IF(F406="",0,F406)*IF(M406="",0,M406),2)</f>
        <v>0</v>
      </c>
    </row>
    <row r="407" spans="1:14" ht="10.5" hidden="1">
      <c r="A407" s="4" t="s">
        <v>215</v>
      </c>
      <c r="B407" s="6" t="str">
        <f>ПОЛУЧШИФР(Ресурсы!A11,0)</f>
        <v>с101-5889</v>
      </c>
      <c r="C407" s="4" t="str">
        <f>Ресурсы!B11</f>
        <v>Краска разметочная дорожная ИНДПОЛ, белая</v>
      </c>
      <c r="D407" s="5" t="s">
        <v>71</v>
      </c>
      <c r="E407" s="1">
        <v>0.00202</v>
      </c>
      <c r="F407" s="1">
        <f>ОКРУГЛВСЕ(IF(E407="",0,E407)*IF(F398="",0,F398),11)</f>
        <v>0</v>
      </c>
      <c r="G407" s="20">
        <f>ROUND(Ресурсы!D11*Начисления!AV21,2)</f>
        <v>143750</v>
      </c>
      <c r="H407" s="19">
        <f>ROUND(IF(F407="",0,F407)*IF(G407="",0,G407),0)</f>
        <v>0</v>
      </c>
      <c r="I407" s="1" t="s">
        <v>33</v>
      </c>
      <c r="J407" s="1" t="s">
        <v>44</v>
      </c>
      <c r="M407" s="20">
        <f>ROUND(Ресурсы!C11*Начисления!AV21,2)</f>
        <v>20494.04</v>
      </c>
      <c r="N407" s="20">
        <f>ROUND(IF(F407="",0,F407)*IF(M407="",0,M407),2)</f>
        <v>0</v>
      </c>
    </row>
    <row r="408" spans="3:14" ht="10.5" hidden="1">
      <c r="C408" s="24" t="s">
        <v>37</v>
      </c>
      <c r="H408" s="1">
        <v>87</v>
      </c>
      <c r="N408" s="1">
        <v>3.47</v>
      </c>
    </row>
    <row r="409" spans="3:14" ht="10.5" hidden="1">
      <c r="C409" s="24" t="s">
        <v>38</v>
      </c>
      <c r="H409" s="1">
        <v>260</v>
      </c>
      <c r="N409" s="1">
        <v>22.95</v>
      </c>
    </row>
    <row r="410" spans="3:14" ht="10.5" hidden="1">
      <c r="C410" s="24" t="s">
        <v>39</v>
      </c>
      <c r="H410" s="1">
        <v>63</v>
      </c>
      <c r="N410" s="1">
        <v>2.82</v>
      </c>
    </row>
    <row r="411" spans="3:14" ht="10.5" hidden="1">
      <c r="C411" s="24" t="s">
        <v>40</v>
      </c>
      <c r="H411" s="1">
        <v>323</v>
      </c>
      <c r="N411" s="1">
        <v>41.87</v>
      </c>
    </row>
    <row r="412" ht="10.5" hidden="1">
      <c r="C412" s="24" t="s">
        <v>41</v>
      </c>
    </row>
    <row r="413" spans="3:13" ht="21" hidden="1">
      <c r="C413" s="24" t="s">
        <v>42</v>
      </c>
      <c r="G413" s="25"/>
      <c r="I413" s="1" t="s">
        <v>43</v>
      </c>
      <c r="J413" s="1" t="s">
        <v>44</v>
      </c>
      <c r="M413" s="25"/>
    </row>
    <row r="414" ht="10.5" hidden="1">
      <c r="C414" s="24" t="s">
        <v>45</v>
      </c>
    </row>
    <row r="415" ht="10.5" hidden="1">
      <c r="C415" s="24" t="s">
        <v>46</v>
      </c>
    </row>
    <row r="416" ht="10.5" hidden="1">
      <c r="C416" s="24" t="s">
        <v>47</v>
      </c>
    </row>
    <row r="417" spans="3:14" ht="10.5" hidden="1">
      <c r="C417" s="24" t="s">
        <v>48</v>
      </c>
      <c r="G417" s="1">
        <v>99</v>
      </c>
      <c r="H417" s="19">
        <f>IF('Текущие цены с учетом расхода'!N21&gt;0,'Текущие цены с учетом расхода'!N21,IF('Текущие цены с учетом расхода'!N21&lt;0,'Текущие цены с учетом расхода'!N21,""))</f>
      </c>
      <c r="J417" s="4" t="s">
        <v>49</v>
      </c>
      <c r="M417" s="1">
        <v>116</v>
      </c>
      <c r="N417" s="20">
        <f>IF('Базовые цены с учетом расхода'!N21&gt;0,'Базовые цены с учетом расхода'!N21,IF('Базовые цены с учетом расхода'!N21&lt;0,'Базовые цены с учетом расхода'!N21,""))</f>
      </c>
    </row>
    <row r="418" spans="3:14" ht="10.5" hidden="1">
      <c r="C418" s="24" t="s">
        <v>50</v>
      </c>
      <c r="G418" s="1">
        <v>99</v>
      </c>
      <c r="H418" s="19">
        <f>IF('Текущие цены с учетом расхода'!P21&gt;0,'Текущие цены с учетом расхода'!P21,IF('Текущие цены с учетом расхода'!P21&lt;0,'Текущие цены с учетом расхода'!P21,""))</f>
      </c>
      <c r="J418" s="4" t="s">
        <v>51</v>
      </c>
      <c r="M418" s="1">
        <v>116</v>
      </c>
      <c r="N418" s="20">
        <f>IF('Базовые цены с учетом расхода'!P21&gt;0,'Базовые цены с учетом расхода'!P21,IF('Базовые цены с учетом расхода'!P21&lt;0,'Базовые цены с учетом расхода'!P21,""))</f>
      </c>
    </row>
    <row r="419" spans="3:14" ht="10.5" hidden="1">
      <c r="C419" s="24" t="s">
        <v>52</v>
      </c>
      <c r="G419" s="1">
        <v>99</v>
      </c>
      <c r="H419" s="19">
        <f>IF('Текущие цены с учетом расхода'!Q21&gt;0,'Текущие цены с учетом расхода'!Q21,IF('Текущие цены с учетом расхода'!Q21&lt;0,'Текущие цены с учетом расхода'!Q21,""))</f>
      </c>
      <c r="J419" s="4" t="s">
        <v>53</v>
      </c>
      <c r="M419" s="1">
        <v>116</v>
      </c>
      <c r="N419" s="20">
        <f>IF('Базовые цены с учетом расхода'!Q21&gt;0,'Базовые цены с учетом расхода'!Q21,IF('Базовые цены с учетом расхода'!Q21&lt;0,'Базовые цены с учетом расхода'!Q21,""))</f>
      </c>
    </row>
    <row r="420" spans="3:14" ht="10.5" hidden="1">
      <c r="C420" s="24" t="s">
        <v>54</v>
      </c>
      <c r="G420" s="1">
        <v>40</v>
      </c>
      <c r="H420" s="19">
        <f>IF('Текущие цены с учетом расхода'!O21&gt;0,'Текущие цены с учетом расхода'!O21,IF('Текущие цены с учетом расхода'!O21&lt;0,'Текущие цены с учетом расхода'!O21,""))</f>
      </c>
      <c r="J420" s="4" t="s">
        <v>55</v>
      </c>
      <c r="M420" s="1">
        <v>50</v>
      </c>
      <c r="N420" s="20">
        <f>IF('Базовые цены с учетом расхода'!O21&gt;0,'Базовые цены с учетом расхода'!O21,IF('Базовые цены с учетом расхода'!O21&lt;0,'Базовые цены с учетом расхода'!O21,""))</f>
      </c>
    </row>
    <row r="421" spans="3:14" ht="10.5" hidden="1">
      <c r="C421" s="24" t="s">
        <v>56</v>
      </c>
      <c r="G421" s="1">
        <v>40</v>
      </c>
      <c r="H421" s="19">
        <f>IF('Текущие цены с учетом расхода'!R21&gt;0,'Текущие цены с учетом расхода'!R21,IF('Текущие цены с учетом расхода'!R21&lt;0,'Текущие цены с учетом расхода'!R21,""))</f>
      </c>
      <c r="J421" s="4" t="s">
        <v>57</v>
      </c>
      <c r="M421" s="1">
        <v>50</v>
      </c>
      <c r="N421" s="20">
        <f>IF('Базовые цены с учетом расхода'!R21&gt;0,'Базовые цены с учетом расхода'!R21,IF('Базовые цены с учетом расхода'!R21&lt;0,'Базовые цены с учетом расхода'!R21,""))</f>
      </c>
    </row>
    <row r="422" spans="3:14" ht="10.5" hidden="1">
      <c r="C422" s="24" t="s">
        <v>58</v>
      </c>
      <c r="G422" s="1">
        <v>40</v>
      </c>
      <c r="H422" s="19">
        <f>IF('Текущие цены с учетом расхода'!S21&gt;0,'Текущие цены с учетом расхода'!S21,IF('Текущие цены с учетом расхода'!S21&lt;0,'Текущие цены с учетом расхода'!S21,""))</f>
      </c>
      <c r="J422" s="4" t="s">
        <v>59</v>
      </c>
      <c r="M422" s="1">
        <v>50</v>
      </c>
      <c r="N422" s="20">
        <f>IF('Базовые цены с учетом расхода'!S21&gt;0,'Базовые цены с учетом расхода'!S21,IF('Базовые цены с учетом расхода'!S21&lt;0,'Базовые цены с учетом расхода'!S21,""))</f>
      </c>
    </row>
    <row r="423" spans="3:14" ht="10.5" hidden="1">
      <c r="C423" s="24" t="s">
        <v>74</v>
      </c>
      <c r="H423" s="19">
        <f>ROUND(IF(H398="",0,H398)+IF(H417="",0,H417)+IF(H420="",0,H420),0)</f>
        <v>0</v>
      </c>
      <c r="N423" s="20">
        <f>ROUND(IF(N398="",0,N398)+IF(N417="",0,N417)+IF(N420="",0,N420),2)</f>
        <v>0</v>
      </c>
    </row>
    <row r="424" spans="1:14" ht="42" hidden="1">
      <c r="A424" s="26" t="s">
        <v>216</v>
      </c>
      <c r="B424" s="26" t="s">
        <v>217</v>
      </c>
      <c r="C424" s="26" t="s">
        <v>218</v>
      </c>
      <c r="D424" s="27" t="s">
        <v>158</v>
      </c>
      <c r="E424" s="28"/>
      <c r="F424" s="29"/>
      <c r="G424" s="30">
        <f>ROUND(СУММПРОИЗВЕСЛИ(1,I424:I433,"s",E424:E433,G424:G433,0),2)</f>
        <v>36393.18</v>
      </c>
      <c r="H424" s="31">
        <f>ROUND(СУММПРОИЗВЕСЛИ(F424,I424:I433,"s",E424:E433,G424:G433,0),0)</f>
        <v>0</v>
      </c>
      <c r="I424" s="1" t="s">
        <v>25</v>
      </c>
      <c r="M424" s="16">
        <f>ROUND(СУММПРОИЗВЕСЛИ(1,I424:I433,"s",E424:E433,M424:M433,0),2)</f>
        <v>3450.55</v>
      </c>
      <c r="N424" s="16">
        <f>ROUND(СУММПРОИЗВЕСЛИ(F424,I424:I433,"s",E424:E433,M424:M433,0),2)</f>
        <v>0</v>
      </c>
    </row>
    <row r="425" spans="1:14" ht="10.5" hidden="1">
      <c r="A425" s="4" t="s">
        <v>219</v>
      </c>
      <c r="B425" s="4" t="s">
        <v>27</v>
      </c>
      <c r="C425" s="4" t="s">
        <v>28</v>
      </c>
      <c r="D425" s="5" t="s">
        <v>29</v>
      </c>
      <c r="E425" s="1">
        <f>ОКРУГЛВСЕ(СУММПРОИЗВЕСЛИ(1,K424:K433,"mWithZTM",D424:D433,E424:E433,-1)+СУММКОЭФПРОЦЕНТЕСЛИ(1,1,K424:K433,"mWithZTM_Proch",E424:E433,-1),11)</f>
        <v>17.64</v>
      </c>
      <c r="F425" s="1">
        <f>ОКРУГЛВСЕ(СУММПРОИЗВЕСЛИ(1,K424:K433,"mWithZTM",D424:D433,F424:F433,-1)+СУММКОЭФПРОЦЕНТЕСЛИ(1,1,K424:K433,"mWithZTM_Proch",F424:F433,-1),11)</f>
        <v>0</v>
      </c>
      <c r="G425" s="18">
        <f>IF(F425=0,0,ROUND(H425/F425,3))</f>
        <v>0</v>
      </c>
      <c r="H425" s="19">
        <f>ROUND(СУММЕСЛИДА1НЕ1(L424:L433,"mWithZPM",D424:D433,0,H424:H433),0)</f>
        <v>0</v>
      </c>
      <c r="J425" s="1" t="s">
        <v>30</v>
      </c>
      <c r="M425" s="18">
        <f>IF(F425=0,0,ROUND(N425/F425,3))</f>
        <v>0</v>
      </c>
      <c r="N425" s="20">
        <f>ROUND(СУММЕСЛИДА1НЕ1(L424:L433,"mWithZPM",D424:D433,0,N424:N433),2)</f>
        <v>0</v>
      </c>
    </row>
    <row r="426" spans="1:14" ht="10.5" hidden="1">
      <c r="A426" s="4" t="s">
        <v>220</v>
      </c>
      <c r="B426" s="6" t="str">
        <f>ПОЛУЧШИФР(Ресурсы!A4,0)</f>
        <v>з0-4003</v>
      </c>
      <c r="C426" s="4" t="str">
        <f>Ресурсы!B4</f>
        <v>Дорожный рабочий 3 разряда</v>
      </c>
      <c r="D426" s="5" t="s">
        <v>29</v>
      </c>
      <c r="E426" s="1">
        <v>17.64</v>
      </c>
      <c r="F426" s="1">
        <f>ОКРУГЛВСЕ(IF(E426="",0,E426)*IF(F424="",0,F424),11)</f>
        <v>0</v>
      </c>
      <c r="G426" s="18">
        <f>Ресурсы!D4</f>
        <v>214.87</v>
      </c>
      <c r="H426" s="19">
        <f>ROUND(IF(F426="",0,F426)*IF(G426="",0,G426),0)</f>
        <v>0</v>
      </c>
      <c r="I426" s="1" t="s">
        <v>33</v>
      </c>
      <c r="J426" s="1" t="s">
        <v>66</v>
      </c>
      <c r="M426" s="18">
        <f>Ресурсы!C4</f>
        <v>8.53</v>
      </c>
      <c r="N426" s="20">
        <f>ROUND(IF(F426="",0,F426)*IF(M426="",0,M426),2)</f>
        <v>0</v>
      </c>
    </row>
    <row r="427" spans="1:14" ht="10.5" hidden="1">
      <c r="A427" s="4" t="s">
        <v>221</v>
      </c>
      <c r="B427" s="6" t="str">
        <f>ПОЛУЧШИФР(Ресурсы!A5,0)</f>
        <v>з0-4004</v>
      </c>
      <c r="C427" s="4" t="str">
        <f>Ресурсы!B5</f>
        <v>Дорожный рабочий 4 разряда</v>
      </c>
      <c r="D427" s="5" t="s">
        <v>29</v>
      </c>
      <c r="E427" s="1">
        <v>8.84</v>
      </c>
      <c r="F427" s="1">
        <f>ОКРУГЛВСЕ(IF(E427="",0,E427)*IF(F424="",0,F424),11)</f>
        <v>0</v>
      </c>
      <c r="G427" s="18">
        <f>Ресурсы!D5</f>
        <v>241.71</v>
      </c>
      <c r="H427" s="19">
        <f>ROUND(IF(F427="",0,F427)*IF(G427="",0,G427),0)</f>
        <v>0</v>
      </c>
      <c r="I427" s="1" t="s">
        <v>33</v>
      </c>
      <c r="J427" s="1" t="s">
        <v>66</v>
      </c>
      <c r="M427" s="18">
        <f>Ресурсы!C5</f>
        <v>9.62</v>
      </c>
      <c r="N427" s="20">
        <f>ROUND(IF(F427="",0,F427)*IF(M427="",0,M427),2)</f>
        <v>0</v>
      </c>
    </row>
    <row r="428" spans="1:14" ht="10.5" hidden="1">
      <c r="A428" s="59" t="s">
        <v>222</v>
      </c>
      <c r="B428" s="60" t="str">
        <f>ПОЛУЧШИФР(Ресурсы!A12,0)</f>
        <v>х05-0101</v>
      </c>
      <c r="C428" s="59" t="str">
        <f>Ресурсы!B12</f>
        <v>Компрессоры передвижные с двигателем внутреннего сгорания давлением до 686 кПа (7 ат), производительность 2,2 м3/мин</v>
      </c>
      <c r="D428" s="21" t="s">
        <v>32</v>
      </c>
      <c r="E428" s="61">
        <v>8.82</v>
      </c>
      <c r="F428" s="61">
        <f>ОКРУГЛВСЕ(IF(E428="",0,E428)*IF(F424="",0,F424),11)</f>
        <v>0</v>
      </c>
      <c r="G428" s="22">
        <f>Ресурсы!D12</f>
        <v>1176.76</v>
      </c>
      <c r="H428" s="23">
        <f>ROUND(IF(F428="",0,F428)*IF(G428="",0,G428),0)</f>
        <v>0</v>
      </c>
      <c r="I428" s="1" t="s">
        <v>33</v>
      </c>
      <c r="J428" s="1" t="s">
        <v>34</v>
      </c>
      <c r="M428" s="22">
        <f>Ресурсы!C12</f>
        <v>90</v>
      </c>
      <c r="N428" s="22">
        <f>ROUND(IF(F428="",0,F428)*IF(M428="",0,M428),2)</f>
        <v>0</v>
      </c>
    </row>
    <row r="429" spans="1:14" ht="21" hidden="1">
      <c r="A429" s="59"/>
      <c r="B429" s="60"/>
      <c r="C429" s="59"/>
      <c r="D429" s="1">
        <f>Ресурсы!G12</f>
        <v>1</v>
      </c>
      <c r="E429" s="61"/>
      <c r="F429" s="61"/>
      <c r="G429" s="20">
        <f>Ресурсы!F12</f>
        <v>241.71</v>
      </c>
      <c r="H429" s="19">
        <f>ROUND(IF(F428="",0,F428)*IF(G429="",0,G429),0)</f>
        <v>0</v>
      </c>
      <c r="K429" s="1" t="s">
        <v>35</v>
      </c>
      <c r="L429" s="1" t="s">
        <v>36</v>
      </c>
      <c r="M429" s="20">
        <f>Ресурсы!E12</f>
        <v>10.06</v>
      </c>
      <c r="N429" s="20">
        <f>ROUND(IF(F428="",0,F428)*IF(M429="",0,M429),2)</f>
        <v>0</v>
      </c>
    </row>
    <row r="430" spans="1:14" ht="10.5" hidden="1">
      <c r="A430" s="59" t="s">
        <v>223</v>
      </c>
      <c r="B430" s="60" t="str">
        <f>ПОЛУЧШИФР(Ресурсы!A15,0)</f>
        <v>х12-1550</v>
      </c>
      <c r="C430" s="59" t="str">
        <f>Ресурсы!B15</f>
        <v>Машины дорожной службы (машина дорожного мастера)</v>
      </c>
      <c r="D430" s="21" t="s">
        <v>32</v>
      </c>
      <c r="E430" s="61">
        <v>8.82</v>
      </c>
      <c r="F430" s="61">
        <f>ОКРУГЛВСЕ(IF(E430="",0,E430)*IF(F424="",0,F424),11)</f>
        <v>0</v>
      </c>
      <c r="G430" s="22">
        <f>Ресурсы!D15</f>
        <v>825.37</v>
      </c>
      <c r="H430" s="23">
        <f>ROUND(IF(F430="",0,F430)*IF(G430="",0,G430),0)</f>
        <v>0</v>
      </c>
      <c r="I430" s="1" t="s">
        <v>33</v>
      </c>
      <c r="J430" s="1" t="s">
        <v>34</v>
      </c>
      <c r="M430" s="22">
        <f>Ресурсы!C15</f>
        <v>86.5</v>
      </c>
      <c r="N430" s="22">
        <f>ROUND(IF(F430="",0,F430)*IF(M430="",0,M430),2)</f>
        <v>0</v>
      </c>
    </row>
    <row r="431" spans="1:14" ht="21" hidden="1">
      <c r="A431" s="59"/>
      <c r="B431" s="60"/>
      <c r="C431" s="59"/>
      <c r="D431" s="1">
        <f>Ресурсы!G15</f>
        <v>1</v>
      </c>
      <c r="E431" s="61"/>
      <c r="F431" s="61"/>
      <c r="G431" s="20">
        <f>Ресурсы!F15</f>
        <v>241.71</v>
      </c>
      <c r="H431" s="19">
        <f>ROUND(IF(F430="",0,F430)*IF(G431="",0,G431),0)</f>
        <v>0</v>
      </c>
      <c r="K431" s="1" t="s">
        <v>35</v>
      </c>
      <c r="L431" s="1" t="s">
        <v>36</v>
      </c>
      <c r="M431" s="20">
        <f>Ресурсы!E15</f>
        <v>11.6</v>
      </c>
      <c r="N431" s="20">
        <f>ROUND(IF(F430="",0,F430)*IF(M431="",0,M431),2)</f>
        <v>0</v>
      </c>
    </row>
    <row r="432" spans="1:14" ht="10.5" hidden="1">
      <c r="A432" s="4" t="s">
        <v>224</v>
      </c>
      <c r="B432" s="6" t="str">
        <f>ПОЛУЧШИФР(Ресурсы!A9,0)</f>
        <v>с101-2775</v>
      </c>
      <c r="C432" s="4" t="str">
        <f>Ресурсы!B9</f>
        <v>Микросферы стеклянные для дорожной разметки</v>
      </c>
      <c r="D432" s="5" t="s">
        <v>71</v>
      </c>
      <c r="E432" s="1">
        <v>0.025</v>
      </c>
      <c r="F432" s="1">
        <f>ОКРУГЛВСЕ(IF(E432="",0,E432)*IF(F424="",0,F424),11)</f>
        <v>0</v>
      </c>
      <c r="G432" s="20">
        <f>ROUND(Ресурсы!D9*Начисления!AV22,2)</f>
        <v>52294.91</v>
      </c>
      <c r="H432" s="19">
        <f>ROUND(IF(F432="",0,F432)*IF(G432="",0,G432),0)</f>
        <v>0</v>
      </c>
      <c r="I432" s="1" t="s">
        <v>33</v>
      </c>
      <c r="J432" s="1" t="s">
        <v>44</v>
      </c>
      <c r="M432" s="20">
        <f>ROUND(Ресурсы!C9*Начисления!AV22,2)</f>
        <v>751.43</v>
      </c>
      <c r="N432" s="20">
        <f>ROUND(IF(F432="",0,F432)*IF(M432="",0,M432),2)</f>
        <v>0</v>
      </c>
    </row>
    <row r="433" spans="1:14" ht="10.5" hidden="1">
      <c r="A433" s="4" t="s">
        <v>225</v>
      </c>
      <c r="B433" s="6" t="str">
        <f>ПОЛУЧШИФР(Ресурсы!A11,0)</f>
        <v>с101-5889</v>
      </c>
      <c r="C433" s="4" t="str">
        <f>Ресурсы!B11</f>
        <v>Краска разметочная дорожная ИНДПОЛ, белая</v>
      </c>
      <c r="D433" s="5" t="s">
        <v>71</v>
      </c>
      <c r="E433" s="1">
        <v>0.08</v>
      </c>
      <c r="F433" s="1">
        <f>ОКРУГЛВСЕ(IF(E433="",0,E433)*IF(F424="",0,F424),11)</f>
        <v>0</v>
      </c>
      <c r="G433" s="20">
        <f>ROUND(Ресурсы!D11*Начисления!AV22,2)</f>
        <v>143750</v>
      </c>
      <c r="H433" s="19">
        <f>ROUND(IF(F433="",0,F433)*IF(G433="",0,G433),0)</f>
        <v>0</v>
      </c>
      <c r="I433" s="1" t="s">
        <v>33</v>
      </c>
      <c r="J433" s="1" t="s">
        <v>44</v>
      </c>
      <c r="M433" s="20">
        <f>ROUND(Ресурсы!C11*Начисления!AV22,2)</f>
        <v>20494.04</v>
      </c>
      <c r="N433" s="20">
        <f>ROUND(IF(F433="",0,F433)*IF(M433="",0,M433),2)</f>
        <v>0</v>
      </c>
    </row>
    <row r="434" spans="3:14" ht="10.5" hidden="1">
      <c r="C434" s="24" t="s">
        <v>37</v>
      </c>
      <c r="H434" s="1">
        <v>59</v>
      </c>
      <c r="N434" s="1">
        <v>2.36</v>
      </c>
    </row>
    <row r="435" spans="3:14" ht="10.5" hidden="1">
      <c r="C435" s="24" t="s">
        <v>38</v>
      </c>
      <c r="H435" s="1">
        <v>177</v>
      </c>
      <c r="N435" s="1">
        <v>15.57</v>
      </c>
    </row>
    <row r="436" spans="3:14" ht="10.5" hidden="1">
      <c r="C436" s="24" t="s">
        <v>39</v>
      </c>
      <c r="H436" s="1">
        <v>43</v>
      </c>
      <c r="N436" s="1">
        <v>1.91</v>
      </c>
    </row>
    <row r="437" spans="3:14" ht="10.5" hidden="1">
      <c r="C437" s="24" t="s">
        <v>40</v>
      </c>
      <c r="H437" s="1">
        <v>128</v>
      </c>
      <c r="N437" s="1">
        <v>16.58</v>
      </c>
    </row>
    <row r="438" ht="10.5" hidden="1">
      <c r="C438" s="24" t="s">
        <v>41</v>
      </c>
    </row>
    <row r="439" spans="3:13" ht="21" hidden="1">
      <c r="C439" s="24" t="s">
        <v>42</v>
      </c>
      <c r="G439" s="25"/>
      <c r="I439" s="1" t="s">
        <v>43</v>
      </c>
      <c r="J439" s="1" t="s">
        <v>44</v>
      </c>
      <c r="M439" s="25"/>
    </row>
    <row r="440" ht="10.5" hidden="1">
      <c r="C440" s="24" t="s">
        <v>45</v>
      </c>
    </row>
    <row r="441" ht="10.5" hidden="1">
      <c r="C441" s="24" t="s">
        <v>46</v>
      </c>
    </row>
    <row r="442" ht="10.5" hidden="1">
      <c r="C442" s="24" t="s">
        <v>47</v>
      </c>
    </row>
    <row r="443" spans="3:14" ht="10.5" hidden="1">
      <c r="C443" s="24" t="s">
        <v>48</v>
      </c>
      <c r="G443" s="1">
        <v>99</v>
      </c>
      <c r="H443" s="19">
        <f>IF('Текущие цены с учетом расхода'!N22&gt;0,'Текущие цены с учетом расхода'!N22,IF('Текущие цены с учетом расхода'!N22&lt;0,'Текущие цены с учетом расхода'!N22,""))</f>
      </c>
      <c r="J443" s="4" t="s">
        <v>49</v>
      </c>
      <c r="M443" s="1">
        <v>116</v>
      </c>
      <c r="N443" s="20">
        <f>IF('Базовые цены с учетом расхода'!N22&gt;0,'Базовые цены с учетом расхода'!N22,IF('Базовые цены с учетом расхода'!N22&lt;0,'Базовые цены с учетом расхода'!N22,""))</f>
      </c>
    </row>
    <row r="444" spans="3:14" ht="10.5" hidden="1">
      <c r="C444" s="24" t="s">
        <v>50</v>
      </c>
      <c r="G444" s="1">
        <v>99</v>
      </c>
      <c r="H444" s="19">
        <f>IF('Текущие цены с учетом расхода'!P22&gt;0,'Текущие цены с учетом расхода'!P22,IF('Текущие цены с учетом расхода'!P22&lt;0,'Текущие цены с учетом расхода'!P22,""))</f>
      </c>
      <c r="J444" s="4" t="s">
        <v>51</v>
      </c>
      <c r="M444" s="1">
        <v>116</v>
      </c>
      <c r="N444" s="20">
        <f>IF('Базовые цены с учетом расхода'!P22&gt;0,'Базовые цены с учетом расхода'!P22,IF('Базовые цены с учетом расхода'!P22&lt;0,'Базовые цены с учетом расхода'!P22,""))</f>
      </c>
    </row>
    <row r="445" spans="3:14" ht="10.5" hidden="1">
      <c r="C445" s="24" t="s">
        <v>52</v>
      </c>
      <c r="G445" s="1">
        <v>99</v>
      </c>
      <c r="H445" s="19">
        <f>IF('Текущие цены с учетом расхода'!Q22&gt;0,'Текущие цены с учетом расхода'!Q22,IF('Текущие цены с учетом расхода'!Q22&lt;0,'Текущие цены с учетом расхода'!Q22,""))</f>
      </c>
      <c r="J445" s="4" t="s">
        <v>53</v>
      </c>
      <c r="M445" s="1">
        <v>116</v>
      </c>
      <c r="N445" s="20">
        <f>IF('Базовые цены с учетом расхода'!Q22&gt;0,'Базовые цены с учетом расхода'!Q22,IF('Базовые цены с учетом расхода'!Q22&lt;0,'Базовые цены с учетом расхода'!Q22,""))</f>
      </c>
    </row>
    <row r="446" spans="3:14" ht="10.5" hidden="1">
      <c r="C446" s="24" t="s">
        <v>54</v>
      </c>
      <c r="G446" s="1">
        <v>40</v>
      </c>
      <c r="H446" s="19">
        <f>IF('Текущие цены с учетом расхода'!O22&gt;0,'Текущие цены с учетом расхода'!O22,IF('Текущие цены с учетом расхода'!O22&lt;0,'Текущие цены с учетом расхода'!O22,""))</f>
      </c>
      <c r="J446" s="4" t="s">
        <v>55</v>
      </c>
      <c r="M446" s="1">
        <v>50</v>
      </c>
      <c r="N446" s="20">
        <f>IF('Базовые цены с учетом расхода'!O22&gt;0,'Базовые цены с учетом расхода'!O22,IF('Базовые цены с учетом расхода'!O22&lt;0,'Базовые цены с учетом расхода'!O22,""))</f>
      </c>
    </row>
    <row r="447" spans="3:14" ht="10.5" hidden="1">
      <c r="C447" s="24" t="s">
        <v>56</v>
      </c>
      <c r="G447" s="1">
        <v>40</v>
      </c>
      <c r="H447" s="19">
        <f>IF('Текущие цены с учетом расхода'!R22&gt;0,'Текущие цены с учетом расхода'!R22,IF('Текущие цены с учетом расхода'!R22&lt;0,'Текущие цены с учетом расхода'!R22,""))</f>
      </c>
      <c r="J447" s="4" t="s">
        <v>57</v>
      </c>
      <c r="M447" s="1">
        <v>50</v>
      </c>
      <c r="N447" s="20">
        <f>IF('Базовые цены с учетом расхода'!R22&gt;0,'Базовые цены с учетом расхода'!R22,IF('Базовые цены с учетом расхода'!R22&lt;0,'Базовые цены с учетом расхода'!R22,""))</f>
      </c>
    </row>
    <row r="448" spans="3:14" ht="10.5" hidden="1">
      <c r="C448" s="24" t="s">
        <v>58</v>
      </c>
      <c r="G448" s="1">
        <v>40</v>
      </c>
      <c r="H448" s="19">
        <f>IF('Текущие цены с учетом расхода'!S22&gt;0,'Текущие цены с учетом расхода'!S22,IF('Текущие цены с учетом расхода'!S22&lt;0,'Текущие цены с учетом расхода'!S22,""))</f>
      </c>
      <c r="J448" s="4" t="s">
        <v>59</v>
      </c>
      <c r="M448" s="1">
        <v>50</v>
      </c>
      <c r="N448" s="20">
        <f>IF('Базовые цены с учетом расхода'!S22&gt;0,'Базовые цены с учетом расхода'!S22,IF('Базовые цены с учетом расхода'!S22&lt;0,'Базовые цены с учетом расхода'!S22,""))</f>
      </c>
    </row>
    <row r="449" spans="3:14" ht="10.5" hidden="1">
      <c r="C449" s="24" t="s">
        <v>74</v>
      </c>
      <c r="H449" s="19">
        <f>ROUND(IF(H424="",0,H424)+IF(H443="",0,H443)+IF(H446="",0,H446),0)</f>
        <v>0</v>
      </c>
      <c r="N449" s="20">
        <f>ROUND(IF(N424="",0,N424)+IF(N443="",0,N443)+IF(N446="",0,N446),2)</f>
        <v>0</v>
      </c>
    </row>
    <row r="450" spans="1:14" ht="31.5">
      <c r="A450" s="26" t="s">
        <v>226</v>
      </c>
      <c r="B450" s="26" t="s">
        <v>227</v>
      </c>
      <c r="C450" s="26" t="s">
        <v>228</v>
      </c>
      <c r="D450" s="27" t="s">
        <v>131</v>
      </c>
      <c r="E450" s="28"/>
      <c r="F450" s="29">
        <v>1.2</v>
      </c>
      <c r="G450" s="30">
        <f>ROUND(СУММПРОИЗВЕСЛИ(1,I450:I459,"s",E450:E459,G450:G459,0),2)</f>
        <v>6506.26</v>
      </c>
      <c r="H450" s="31">
        <f>ROUND(СУММПРОИЗВЕСЛИ(F450,I450:I459,"s",E450:E459,G450:G459,0),0)</f>
        <v>7808</v>
      </c>
      <c r="I450" s="1" t="s">
        <v>25</v>
      </c>
      <c r="M450" s="16">
        <f>ROUND(СУММПРОИЗВЕСЛИ(1,I450:I459,"s",E450:E459,M450:M459,0),2)</f>
        <v>711.03</v>
      </c>
      <c r="N450" s="16">
        <f>ROUND(СУММПРОИЗВЕСЛИ(F450,I450:I459,"s",E450:E459,M450:M459,0),2)</f>
        <v>853.24</v>
      </c>
    </row>
    <row r="451" spans="1:14" ht="10.5">
      <c r="A451" s="4" t="s">
        <v>229</v>
      </c>
      <c r="B451" s="4" t="s">
        <v>27</v>
      </c>
      <c r="C451" s="4" t="s">
        <v>28</v>
      </c>
      <c r="D451" s="5" t="s">
        <v>29</v>
      </c>
      <c r="E451" s="1">
        <f>ОКРУГЛВСЕ(СУММПРОИЗВЕСЛИ(1,K450:K459,"mWithZTM",D450:D459,E450:E459,-1)+СУММКОЭФПРОЦЕНТЕСЛИ(1,1,K450:K459,"mWithZTM_Proch",E450:E459,-1),11)</f>
        <v>1.68</v>
      </c>
      <c r="F451" s="1">
        <f>ОКРУГЛВСЕ(СУММПРОИЗВЕСЛИ(1,K450:K459,"mWithZTM",D450:D459,F450:F459,-1)+СУММКОЭФПРОЦЕНТЕСЛИ(1,1,K450:K459,"mWithZTM_Proch",F450:F459,-1),11)</f>
        <v>2.016</v>
      </c>
      <c r="G451" s="18">
        <f>IF(F451=0,0,ROUND(H451/F451,3))</f>
        <v>242.063</v>
      </c>
      <c r="H451" s="19">
        <f>ROUND(СУММЕСЛИДА1НЕ1(L450:L459,"mWithZPM",D450:D459,0,H450:H459),0)</f>
        <v>488</v>
      </c>
      <c r="J451" s="1" t="s">
        <v>30</v>
      </c>
      <c r="M451" s="18">
        <f>IF(F451=0,0,ROUND(N451/F451,3))</f>
        <v>10.828</v>
      </c>
      <c r="N451" s="20">
        <f>ROUND(СУММЕСЛИДА1НЕ1(L450:L459,"mWithZPM",D450:D459,0,N450:N459),2)</f>
        <v>21.83</v>
      </c>
    </row>
    <row r="452" spans="1:14" ht="10.5">
      <c r="A452" s="4" t="s">
        <v>230</v>
      </c>
      <c r="B452" s="6" t="str">
        <f>ПОЛУЧШИФР(Ресурсы!A4,0)</f>
        <v>з0-4003</v>
      </c>
      <c r="C452" s="4" t="str">
        <f>Ресурсы!B4</f>
        <v>Дорожный рабочий 3 разряда</v>
      </c>
      <c r="D452" s="5" t="s">
        <v>29</v>
      </c>
      <c r="E452" s="1">
        <v>1.68</v>
      </c>
      <c r="F452" s="1">
        <f>ОКРУГЛВСЕ(IF(E452="",0,E452)*IF(F450="",0,F450),11)</f>
        <v>2.016</v>
      </c>
      <c r="G452" s="18">
        <f>Ресурсы!D4</f>
        <v>214.87</v>
      </c>
      <c r="H452" s="19">
        <f>ROUND(IF(F452="",0,F452)*IF(G452="",0,G452),0)</f>
        <v>433</v>
      </c>
      <c r="I452" s="1" t="s">
        <v>33</v>
      </c>
      <c r="J452" s="1" t="s">
        <v>66</v>
      </c>
      <c r="M452" s="18">
        <f>Ресурсы!C4</f>
        <v>8.53</v>
      </c>
      <c r="N452" s="20">
        <f>ROUND(IF(F452="",0,F452)*IF(M452="",0,M452),2)</f>
        <v>17.2</v>
      </c>
    </row>
    <row r="453" spans="1:14" ht="10.5">
      <c r="A453" s="4" t="s">
        <v>231</v>
      </c>
      <c r="B453" s="6" t="str">
        <f>ПОЛУЧШИФР(Ресурсы!A5,0)</f>
        <v>з0-4004</v>
      </c>
      <c r="C453" s="4" t="str">
        <f>Ресурсы!B5</f>
        <v>Дорожный рабочий 4 разряда</v>
      </c>
      <c r="D453" s="5" t="s">
        <v>29</v>
      </c>
      <c r="E453" s="1">
        <v>0.84</v>
      </c>
      <c r="F453" s="1">
        <f>ОКРУГЛВСЕ(IF(E453="",0,E453)*IF(F450="",0,F450),11)</f>
        <v>1.008</v>
      </c>
      <c r="G453" s="18">
        <f>Ресурсы!D5</f>
        <v>241.71</v>
      </c>
      <c r="H453" s="19">
        <f>ROUND(IF(F453="",0,F453)*IF(G453="",0,G453),0)</f>
        <v>244</v>
      </c>
      <c r="I453" s="1" t="s">
        <v>33</v>
      </c>
      <c r="J453" s="1" t="s">
        <v>66</v>
      </c>
      <c r="M453" s="18">
        <f>Ресурсы!C5</f>
        <v>9.62</v>
      </c>
      <c r="N453" s="20">
        <f>ROUND(IF(F453="",0,F453)*IF(M453="",0,M453),2)</f>
        <v>9.7</v>
      </c>
    </row>
    <row r="454" spans="1:14" ht="10.5">
      <c r="A454" s="59" t="s">
        <v>232</v>
      </c>
      <c r="B454" s="60" t="str">
        <f>ПОЛУЧШИФР(Ресурсы!A12,0)</f>
        <v>х05-0101</v>
      </c>
      <c r="C454" s="59" t="str">
        <f>Ресурсы!B12</f>
        <v>Компрессоры передвижные с двигателем внутреннего сгорания давлением до 686 кПа (7 ат), производительность 2,2 м3/мин</v>
      </c>
      <c r="D454" s="21" t="s">
        <v>32</v>
      </c>
      <c r="E454" s="61">
        <v>0.84</v>
      </c>
      <c r="F454" s="61">
        <f>ОКРУГЛВСЕ(IF(E454="",0,E454)*IF(F450="",0,F450),11)</f>
        <v>1.008</v>
      </c>
      <c r="G454" s="22">
        <f>Ресурсы!D12</f>
        <v>1176.76</v>
      </c>
      <c r="H454" s="23">
        <f>ROUND(IF(F454="",0,F454)*IF(G454="",0,G454),0)</f>
        <v>1186</v>
      </c>
      <c r="I454" s="1" t="s">
        <v>33</v>
      </c>
      <c r="J454" s="1" t="s">
        <v>34</v>
      </c>
      <c r="M454" s="22">
        <f>Ресурсы!C12</f>
        <v>90</v>
      </c>
      <c r="N454" s="22">
        <f>ROUND(IF(F454="",0,F454)*IF(M454="",0,M454),2)</f>
        <v>90.72</v>
      </c>
    </row>
    <row r="455" spans="1:14" ht="21">
      <c r="A455" s="59"/>
      <c r="B455" s="60"/>
      <c r="C455" s="59"/>
      <c r="D455" s="1">
        <f>Ресурсы!G12</f>
        <v>1</v>
      </c>
      <c r="E455" s="61"/>
      <c r="F455" s="61"/>
      <c r="G455" s="20">
        <f>Ресурсы!F12</f>
        <v>241.71</v>
      </c>
      <c r="H455" s="19">
        <f>ROUND(IF(F454="",0,F454)*IF(G455="",0,G455),0)</f>
        <v>244</v>
      </c>
      <c r="K455" s="1" t="s">
        <v>35</v>
      </c>
      <c r="L455" s="1" t="s">
        <v>36</v>
      </c>
      <c r="M455" s="20">
        <f>Ресурсы!E12</f>
        <v>10.06</v>
      </c>
      <c r="N455" s="20">
        <f>ROUND(IF(F454="",0,F454)*IF(M455="",0,M455),2)</f>
        <v>10.14</v>
      </c>
    </row>
    <row r="456" spans="1:14" ht="10.5">
      <c r="A456" s="59" t="s">
        <v>233</v>
      </c>
      <c r="B456" s="60" t="str">
        <f>ПОЛУЧШИФР(Ресурсы!A15,0)</f>
        <v>х12-1550</v>
      </c>
      <c r="C456" s="59" t="str">
        <f>Ресурсы!B15</f>
        <v>Машины дорожной службы (машина дорожного мастера)</v>
      </c>
      <c r="D456" s="21" t="s">
        <v>32</v>
      </c>
      <c r="E456" s="61">
        <v>0.84</v>
      </c>
      <c r="F456" s="61">
        <f>ОКРУГЛВСЕ(IF(E456="",0,E456)*IF(F450="",0,F450),11)</f>
        <v>1.008</v>
      </c>
      <c r="G456" s="22">
        <f>Ресурсы!D15</f>
        <v>825.37</v>
      </c>
      <c r="H456" s="23">
        <f>ROUND(IF(F456="",0,F456)*IF(G456="",0,G456),0)</f>
        <v>832</v>
      </c>
      <c r="I456" s="1" t="s">
        <v>33</v>
      </c>
      <c r="J456" s="1" t="s">
        <v>34</v>
      </c>
      <c r="M456" s="22">
        <f>Ресурсы!C15</f>
        <v>86.5</v>
      </c>
      <c r="N456" s="22">
        <f>ROUND(IF(F456="",0,F456)*IF(M456="",0,M456),2)</f>
        <v>87.19</v>
      </c>
    </row>
    <row r="457" spans="1:14" ht="21">
      <c r="A457" s="59"/>
      <c r="B457" s="60"/>
      <c r="C457" s="59"/>
      <c r="D457" s="1">
        <f>Ресурсы!G15</f>
        <v>1</v>
      </c>
      <c r="E457" s="61"/>
      <c r="F457" s="61"/>
      <c r="G457" s="20">
        <f>Ресурсы!F15</f>
        <v>241.71</v>
      </c>
      <c r="H457" s="19">
        <f>ROUND(IF(F456="",0,F456)*IF(G457="",0,G457),0)</f>
        <v>244</v>
      </c>
      <c r="K457" s="1" t="s">
        <v>35</v>
      </c>
      <c r="L457" s="1" t="s">
        <v>36</v>
      </c>
      <c r="M457" s="20">
        <f>Ресурсы!E15</f>
        <v>11.6</v>
      </c>
      <c r="N457" s="20">
        <f>ROUND(IF(F456="",0,F456)*IF(M457="",0,M457),2)</f>
        <v>11.69</v>
      </c>
    </row>
    <row r="458" spans="1:14" ht="10.5">
      <c r="A458" s="4" t="s">
        <v>234</v>
      </c>
      <c r="B458" s="6" t="str">
        <f>ПОЛУЧШИФР(Ресурсы!A9,0)</f>
        <v>с101-2775</v>
      </c>
      <c r="C458" s="4" t="str">
        <f>Ресурсы!B9</f>
        <v>Микросферы стеклянные для дорожной разметки</v>
      </c>
      <c r="D458" s="5" t="s">
        <v>71</v>
      </c>
      <c r="E458" s="1">
        <v>0.01</v>
      </c>
      <c r="F458" s="1">
        <f>ОКРУГЛВСЕ(IF(E458="",0,E458)*IF(F450="",0,F450),11)</f>
        <v>0.012</v>
      </c>
      <c r="G458" s="20">
        <f>ROUND(Ресурсы!D9*Начисления!AV23,2)</f>
        <v>52294.91</v>
      </c>
      <c r="H458" s="19">
        <f>ROUND(IF(F458="",0,F458)*IF(G458="",0,G458),0)</f>
        <v>628</v>
      </c>
      <c r="I458" s="1" t="s">
        <v>33</v>
      </c>
      <c r="J458" s="1" t="s">
        <v>44</v>
      </c>
      <c r="M458" s="20">
        <f>ROUND(Ресурсы!C9*Начисления!AV23,2)</f>
        <v>751.43</v>
      </c>
      <c r="N458" s="20">
        <f>ROUND(IF(F458="",0,F458)*IF(M458="",0,M458),2)</f>
        <v>9.02</v>
      </c>
    </row>
    <row r="459" spans="1:14" ht="10.5">
      <c r="A459" s="4" t="s">
        <v>235</v>
      </c>
      <c r="B459" s="6" t="str">
        <f>ПОЛУЧШИФР(Ресурсы!A11,0)</f>
        <v>с101-5889</v>
      </c>
      <c r="C459" s="4" t="str">
        <f>Ресурсы!B11</f>
        <v>Краска разметочная дорожная ИНДПОЛ, белая</v>
      </c>
      <c r="D459" s="5" t="s">
        <v>71</v>
      </c>
      <c r="E459" s="1">
        <v>0.026</v>
      </c>
      <c r="F459" s="1">
        <f>ОКРУГЛВСЕ(IF(E459="",0,E459)*IF(F450="",0,F450),11)</f>
        <v>0.0312</v>
      </c>
      <c r="G459" s="20">
        <f>ROUND(Ресурсы!D11*Начисления!AV23,2)</f>
        <v>143750</v>
      </c>
      <c r="H459" s="19">
        <f>ROUND(IF(F459="",0,F459)*IF(G459="",0,G459),0)</f>
        <v>4485</v>
      </c>
      <c r="I459" s="1" t="s">
        <v>33</v>
      </c>
      <c r="J459" s="1" t="s">
        <v>44</v>
      </c>
      <c r="M459" s="20">
        <f>ROUND(Ресурсы!C11*Начисления!AV23,2)</f>
        <v>20494.04</v>
      </c>
      <c r="N459" s="20">
        <f>ROUND(IF(F459="",0,F459)*IF(M459="",0,M459),2)</f>
        <v>639.41</v>
      </c>
    </row>
    <row r="460" spans="3:14" ht="10.5" hidden="1">
      <c r="C460" s="24" t="s">
        <v>37</v>
      </c>
      <c r="H460" s="1">
        <v>6</v>
      </c>
      <c r="N460" s="1">
        <v>0.22</v>
      </c>
    </row>
    <row r="461" spans="3:14" ht="10.5" hidden="1">
      <c r="C461" s="24" t="s">
        <v>38</v>
      </c>
      <c r="H461" s="1">
        <v>17</v>
      </c>
      <c r="N461" s="1">
        <v>1.48</v>
      </c>
    </row>
    <row r="462" spans="3:14" ht="10.5" hidden="1">
      <c r="C462" s="24" t="s">
        <v>39</v>
      </c>
      <c r="H462" s="1">
        <v>4</v>
      </c>
      <c r="N462" s="1">
        <v>0.18</v>
      </c>
    </row>
    <row r="463" spans="3:14" ht="10.5" hidden="1">
      <c r="C463" s="24" t="s">
        <v>40</v>
      </c>
      <c r="H463" s="1">
        <v>43</v>
      </c>
      <c r="N463" s="1">
        <v>5.4</v>
      </c>
    </row>
    <row r="464" ht="10.5" hidden="1">
      <c r="C464" s="24" t="s">
        <v>41</v>
      </c>
    </row>
    <row r="465" spans="3:13" ht="21" hidden="1">
      <c r="C465" s="24" t="s">
        <v>42</v>
      </c>
      <c r="G465" s="25"/>
      <c r="I465" s="1" t="s">
        <v>43</v>
      </c>
      <c r="J465" s="1" t="s">
        <v>44</v>
      </c>
      <c r="M465" s="25"/>
    </row>
    <row r="466" ht="10.5" hidden="1">
      <c r="C466" s="24" t="s">
        <v>45</v>
      </c>
    </row>
    <row r="467" ht="10.5" hidden="1">
      <c r="C467" s="24" t="s">
        <v>46</v>
      </c>
    </row>
    <row r="468" ht="10.5" hidden="1">
      <c r="C468" s="24" t="s">
        <v>47</v>
      </c>
    </row>
    <row r="469" spans="3:14" ht="10.5">
      <c r="C469" s="24" t="s">
        <v>48</v>
      </c>
      <c r="G469" s="1">
        <v>99</v>
      </c>
      <c r="H469" s="19">
        <f>IF('Текущие цены с учетом расхода'!N23&gt;0,'Текущие цены с учетом расхода'!N23,IF('Текущие цены с учетом расхода'!N23&lt;0,'Текущие цены с учетом расхода'!N23,""))</f>
        <v>1153</v>
      </c>
      <c r="J469" s="4" t="s">
        <v>49</v>
      </c>
      <c r="M469" s="1">
        <v>116</v>
      </c>
      <c r="N469" s="20">
        <f>IF('Базовые цены с учетом расхода'!N23&gt;0,'Базовые цены с учетом расхода'!N23,IF('Базовые цены с учетом расхода'!N23&lt;0,'Базовые цены с учетом расхода'!N23,""))</f>
        <v>56.53</v>
      </c>
    </row>
    <row r="470" spans="3:14" ht="10.5" hidden="1">
      <c r="C470" s="24" t="s">
        <v>50</v>
      </c>
      <c r="G470" s="1">
        <v>99</v>
      </c>
      <c r="H470" s="19">
        <f>IF('Текущие цены с учетом расхода'!P23&gt;0,'Текущие цены с учетом расхода'!P23,IF('Текущие цены с учетом расхода'!P23&lt;0,'Текущие цены с учетом расхода'!P23,""))</f>
        <v>670</v>
      </c>
      <c r="J470" s="4" t="s">
        <v>51</v>
      </c>
      <c r="M470" s="1">
        <v>116</v>
      </c>
      <c r="N470" s="20">
        <f>IF('Базовые цены с учетом расхода'!P23&gt;0,'Базовые цены с учетом расхода'!P23,IF('Базовые цены с учетом расхода'!P23&lt;0,'Базовые цены с учетом расхода'!P23,""))</f>
        <v>31.19</v>
      </c>
    </row>
    <row r="471" spans="3:14" ht="10.5" hidden="1">
      <c r="C471" s="24" t="s">
        <v>52</v>
      </c>
      <c r="G471" s="1">
        <v>99</v>
      </c>
      <c r="H471" s="19">
        <f>IF('Текущие цены с учетом расхода'!Q23&gt;0,'Текущие цены с учетом расхода'!Q23,IF('Текущие цены с учетом расхода'!Q23&lt;0,'Текущие цены с учетом расхода'!Q23,""))</f>
        <v>482</v>
      </c>
      <c r="J471" s="4" t="s">
        <v>53</v>
      </c>
      <c r="M471" s="1">
        <v>116</v>
      </c>
      <c r="N471" s="20">
        <f>IF('Базовые цены с учетом расхода'!Q23&gt;0,'Базовые цены с учетом расхода'!Q23,IF('Базовые цены с учетом расхода'!Q23&lt;0,'Базовые цены с учетом расхода'!Q23,""))</f>
        <v>25.32</v>
      </c>
    </row>
    <row r="472" spans="3:14" ht="10.5">
      <c r="C472" s="24" t="s">
        <v>54</v>
      </c>
      <c r="G472" s="1">
        <v>40</v>
      </c>
      <c r="H472" s="19">
        <f>IF('Текущие цены с учетом расхода'!O23&gt;0,'Текущие цены с учетом расхода'!O23,IF('Текущие цены с учетом расхода'!O23&lt;0,'Текущие цены с учетом расхода'!O23,""))</f>
        <v>466</v>
      </c>
      <c r="J472" s="4" t="s">
        <v>55</v>
      </c>
      <c r="M472" s="1">
        <v>50</v>
      </c>
      <c r="N472" s="20">
        <f>IF('Базовые цены с учетом расхода'!O23&gt;0,'Базовые цены с учетом расхода'!O23,IF('Базовые цены с учетом расхода'!O23&lt;0,'Базовые цены с учетом расхода'!O23,""))</f>
        <v>24.37</v>
      </c>
    </row>
    <row r="473" spans="3:14" ht="10.5" hidden="1">
      <c r="C473" s="24" t="s">
        <v>56</v>
      </c>
      <c r="G473" s="1">
        <v>40</v>
      </c>
      <c r="H473" s="19">
        <f>IF('Текущие цены с учетом расхода'!R23&gt;0,'Текущие цены с учетом расхода'!R23,IF('Текущие цены с учетом расхода'!R23&lt;0,'Текущие цены с учетом расхода'!R23,""))</f>
        <v>271</v>
      </c>
      <c r="J473" s="4" t="s">
        <v>57</v>
      </c>
      <c r="M473" s="1">
        <v>50</v>
      </c>
      <c r="N473" s="20">
        <f>IF('Базовые цены с учетом расхода'!R23&gt;0,'Базовые цены с учетом расхода'!R23,IF('Базовые цены с учетом расхода'!R23&lt;0,'Базовые цены с учетом расхода'!R23,""))</f>
        <v>13.45</v>
      </c>
    </row>
    <row r="474" spans="3:14" ht="10.5" hidden="1">
      <c r="C474" s="24" t="s">
        <v>58</v>
      </c>
      <c r="G474" s="1">
        <v>40</v>
      </c>
      <c r="H474" s="19">
        <f>IF('Текущие цены с учетом расхода'!S23&gt;0,'Текущие цены с учетом расхода'!S23,IF('Текущие цены с учетом расхода'!S23&lt;0,'Текущие цены с учетом расхода'!S23,""))</f>
        <v>195</v>
      </c>
      <c r="J474" s="4" t="s">
        <v>59</v>
      </c>
      <c r="M474" s="1">
        <v>50</v>
      </c>
      <c r="N474" s="20">
        <f>IF('Базовые цены с учетом расхода'!S23&gt;0,'Базовые цены с учетом расхода'!S23,IF('Базовые цены с учетом расхода'!S23&lt;0,'Базовые цены с учетом расхода'!S23,""))</f>
        <v>10.91</v>
      </c>
    </row>
    <row r="475" spans="3:14" ht="10.5">
      <c r="C475" s="24" t="s">
        <v>74</v>
      </c>
      <c r="H475" s="19">
        <f>ROUND(IF(H450="",0,H450)+IF(H469="",0,H469)+IF(H472="",0,H472),0)</f>
        <v>9427</v>
      </c>
      <c r="N475" s="20">
        <f>ROUND(IF(N450="",0,N450)+IF(N469="",0,N469)+IF(N472="",0,N472),2)</f>
        <v>934.14</v>
      </c>
    </row>
    <row r="476" spans="1:14" ht="31.5" hidden="1">
      <c r="A476" s="26" t="s">
        <v>236</v>
      </c>
      <c r="B476" s="26" t="s">
        <v>237</v>
      </c>
      <c r="C476" s="26" t="s">
        <v>238</v>
      </c>
      <c r="D476" s="27" t="s">
        <v>108</v>
      </c>
      <c r="E476" s="28"/>
      <c r="F476" s="29">
        <v>0.012</v>
      </c>
      <c r="G476" s="30">
        <f>ROUND(СУММПРОИЗВЕСЛИ(1,I476:I485,"s",E476:E485,G476:G485,0),2)</f>
        <v>44565.7</v>
      </c>
      <c r="H476" s="31">
        <f>ROUND(СУММПРОИЗВЕСЛИ(F476,I476:I485,"s",E476:E485,G476:G485,0),0)</f>
        <v>535</v>
      </c>
      <c r="I476" s="1" t="s">
        <v>25</v>
      </c>
      <c r="M476" s="16">
        <f>ROUND(СУММПРОИЗВЕСЛИ(1,I476:I485,"s",E476:E485,M476:M485,0),2)</f>
        <v>5573.29</v>
      </c>
      <c r="N476" s="16">
        <f>ROUND(СУММПРОИЗВЕСЛИ(F476,I476:I485,"s",E476:E485,M476:M485,0),2)</f>
        <v>66.88</v>
      </c>
    </row>
    <row r="477" spans="1:14" ht="10.5" hidden="1">
      <c r="A477" s="4" t="s">
        <v>239</v>
      </c>
      <c r="B477" s="4" t="s">
        <v>27</v>
      </c>
      <c r="C477" s="4" t="s">
        <v>28</v>
      </c>
      <c r="D477" s="5" t="s">
        <v>29</v>
      </c>
      <c r="E477" s="1">
        <f>ОКРУГЛВСЕ(СУММПРОИЗВЕСЛИ(1,K476:K485,"mWithZTM",D476:D485,E476:E485,-1)+СУММКОЭФПРОЦЕНТЕСЛИ(1,1,K476:K485,"mWithZTM_Proch",E476:E485,-1),11)</f>
        <v>0.97</v>
      </c>
      <c r="F477" s="1">
        <f>ОКРУГЛВСЕ(СУММПРОИЗВЕСЛИ(1,K476:K485,"mWithZTM",D476:D485,F476:F485,-1)+СУММКОЭФПРОЦЕНТЕСЛИ(1,1,K476:K485,"mWithZTM_Proch",F476:F485,-1),11)</f>
        <v>0.01164</v>
      </c>
      <c r="G477" s="18">
        <f>IF(F477=0,0,ROUND(H477/F477,3))</f>
        <v>257.732</v>
      </c>
      <c r="H477" s="19">
        <f>ROUND(СУММЕСЛИДА1НЕ1(L476:L485,"mWithZPM",D476:D485,0,H476:H485),0)</f>
        <v>3</v>
      </c>
      <c r="J477" s="1" t="s">
        <v>30</v>
      </c>
      <c r="M477" s="18">
        <f>IF(F477=0,0,ROUND(N477/F477,3))</f>
        <v>13.746</v>
      </c>
      <c r="N477" s="20">
        <f>ROUND(СУММЕСЛИДА1НЕ1(L476:L485,"mWithZPM",D476:D485,0,N476:N485),2)</f>
        <v>0.16</v>
      </c>
    </row>
    <row r="478" spans="1:14" ht="10.5" hidden="1">
      <c r="A478" s="4" t="s">
        <v>240</v>
      </c>
      <c r="B478" s="6" t="str">
        <f>ПОЛУЧШИФР(Ресурсы!A3,0)</f>
        <v>з0-4002</v>
      </c>
      <c r="C478" s="4" t="str">
        <f>Ресурсы!B3</f>
        <v>Дорожный рабочий 2 разряда</v>
      </c>
      <c r="D478" s="5" t="s">
        <v>29</v>
      </c>
      <c r="E478" s="1">
        <v>0.97</v>
      </c>
      <c r="F478" s="1">
        <f>ОКРУГЛВСЕ(IF(E478="",0,E478)*IF(F476="",0,F476),11)</f>
        <v>0.01164</v>
      </c>
      <c r="G478" s="18">
        <f>Ресурсы!D3</f>
        <v>196</v>
      </c>
      <c r="H478" s="19">
        <f>ROUND(IF(F478="",0,F478)*IF(G478="",0,G478),0)</f>
        <v>2</v>
      </c>
      <c r="I478" s="1" t="s">
        <v>33</v>
      </c>
      <c r="J478" s="1" t="s">
        <v>66</v>
      </c>
      <c r="M478" s="18">
        <f>Ресурсы!C3</f>
        <v>7.8</v>
      </c>
      <c r="N478" s="20">
        <f>ROUND(IF(F478="",0,F478)*IF(M478="",0,M478),2)</f>
        <v>0.09</v>
      </c>
    </row>
    <row r="479" spans="1:14" ht="10.5" hidden="1">
      <c r="A479" s="4" t="s">
        <v>241</v>
      </c>
      <c r="B479" s="6" t="str">
        <f>ПОЛУЧШИФР(Ресурсы!A4,0)</f>
        <v>з0-4003</v>
      </c>
      <c r="C479" s="4" t="str">
        <f>Ресурсы!B4</f>
        <v>Дорожный рабочий 3 разряда</v>
      </c>
      <c r="D479" s="5" t="s">
        <v>29</v>
      </c>
      <c r="E479" s="1">
        <v>0.97</v>
      </c>
      <c r="F479" s="1">
        <f>ОКРУГЛВСЕ(IF(E479="",0,E479)*IF(F476="",0,F476),11)</f>
        <v>0.01164</v>
      </c>
      <c r="G479" s="18">
        <f>Ресурсы!D4</f>
        <v>214.87</v>
      </c>
      <c r="H479" s="19">
        <f>ROUND(IF(F479="",0,F479)*IF(G479="",0,G479),0)</f>
        <v>3</v>
      </c>
      <c r="I479" s="1" t="s">
        <v>33</v>
      </c>
      <c r="J479" s="1" t="s">
        <v>66</v>
      </c>
      <c r="M479" s="18">
        <f>Ресурсы!C4</f>
        <v>8.53</v>
      </c>
      <c r="N479" s="20">
        <f>ROUND(IF(F479="",0,F479)*IF(M479="",0,M479),2)</f>
        <v>0.1</v>
      </c>
    </row>
    <row r="480" spans="1:14" ht="10.5" hidden="1">
      <c r="A480" s="4" t="s">
        <v>242</v>
      </c>
      <c r="B480" s="6" t="str">
        <f>ПОЛУЧШИФР(Ресурсы!A5,0)</f>
        <v>з0-4004</v>
      </c>
      <c r="C480" s="4" t="str">
        <f>Ресурсы!B5</f>
        <v>Дорожный рабочий 4 разряда</v>
      </c>
      <c r="D480" s="5" t="s">
        <v>29</v>
      </c>
      <c r="E480" s="1">
        <v>0.97</v>
      </c>
      <c r="F480" s="1">
        <f>ОКРУГЛВСЕ(IF(E480="",0,E480)*IF(F476="",0,F476),11)</f>
        <v>0.01164</v>
      </c>
      <c r="G480" s="18">
        <f>Ресурсы!D5</f>
        <v>241.71</v>
      </c>
      <c r="H480" s="19">
        <f>ROUND(IF(F480="",0,F480)*IF(G480="",0,G480),0)</f>
        <v>3</v>
      </c>
      <c r="I480" s="1" t="s">
        <v>33</v>
      </c>
      <c r="J480" s="1" t="s">
        <v>66</v>
      </c>
      <c r="M480" s="18">
        <f>Ресурсы!C5</f>
        <v>9.62</v>
      </c>
      <c r="N480" s="20">
        <f>ROUND(IF(F480="",0,F480)*IF(M480="",0,M480),2)</f>
        <v>0.11</v>
      </c>
    </row>
    <row r="481" spans="1:14" ht="10.5" hidden="1">
      <c r="A481" s="59" t="s">
        <v>243</v>
      </c>
      <c r="B481" s="60" t="str">
        <f>ПОЛУЧШИФР(Ресурсы!A14,0)</f>
        <v>х12-1400</v>
      </c>
      <c r="C481" s="59" t="str">
        <f>Ресурсы!B14</f>
        <v>Машины маркировочные</v>
      </c>
      <c r="D481" s="21" t="s">
        <v>32</v>
      </c>
      <c r="E481" s="61">
        <v>0.97</v>
      </c>
      <c r="F481" s="61">
        <f>ОКРУГЛВСЕ(IF(E481="",0,E481)*IF(F476="",0,F476),11)</f>
        <v>0.01164</v>
      </c>
      <c r="G481" s="22">
        <f>Ресурсы!D14</f>
        <v>861.73</v>
      </c>
      <c r="H481" s="23">
        <f>ROUND(IF(F481="",0,F481)*IF(G481="",0,G481),0)</f>
        <v>10</v>
      </c>
      <c r="I481" s="1" t="s">
        <v>33</v>
      </c>
      <c r="J481" s="1" t="s">
        <v>34</v>
      </c>
      <c r="M481" s="22">
        <f>Ресурсы!C14</f>
        <v>71.94</v>
      </c>
      <c r="N481" s="22">
        <f>ROUND(IF(F481="",0,F481)*IF(M481="",0,M481),2)</f>
        <v>0.84</v>
      </c>
    </row>
    <row r="482" spans="1:14" ht="21" hidden="1">
      <c r="A482" s="59"/>
      <c r="B482" s="60"/>
      <c r="C482" s="59"/>
      <c r="D482" s="1">
        <f>Ресурсы!G14</f>
        <v>1</v>
      </c>
      <c r="E482" s="61"/>
      <c r="F482" s="61"/>
      <c r="G482" s="20">
        <f>Ресурсы!F14</f>
        <v>277.49</v>
      </c>
      <c r="H482" s="19">
        <f>ROUND(IF(F481="",0,F481)*IF(G482="",0,G482),0)</f>
        <v>3</v>
      </c>
      <c r="K482" s="1" t="s">
        <v>35</v>
      </c>
      <c r="L482" s="1" t="s">
        <v>36</v>
      </c>
      <c r="M482" s="20">
        <f>Ресурсы!E14</f>
        <v>13.82</v>
      </c>
      <c r="N482" s="20">
        <f>ROUND(IF(F481="",0,F481)*IF(M482="",0,M482),2)</f>
        <v>0.16</v>
      </c>
    </row>
    <row r="483" spans="1:14" ht="10.5" hidden="1">
      <c r="A483" s="4" t="s">
        <v>244</v>
      </c>
      <c r="B483" s="6" t="str">
        <f>ПОЛУЧШИФР(Ресурсы!A8,0)</f>
        <v>с101-1682</v>
      </c>
      <c r="C483" s="4" t="str">
        <f>Ресурсы!B8</f>
        <v>Шнур полиамидный крученый, диаметром 2 мм</v>
      </c>
      <c r="D483" s="5" t="s">
        <v>71</v>
      </c>
      <c r="E483" s="1">
        <v>0.0008</v>
      </c>
      <c r="F483" s="1">
        <f>ОКРУГЛВСЕ(IF(E483="",0,E483)*IF(F476="",0,F476),11)</f>
        <v>9.6E-06</v>
      </c>
      <c r="G483" s="20">
        <f>ROUND(Ресурсы!D8*Начисления!AV24,2)</f>
        <v>256038.04</v>
      </c>
      <c r="H483" s="19">
        <f>ROUND(IF(F483="",0,F483)*IF(G483="",0,G483),0)</f>
        <v>2</v>
      </c>
      <c r="I483" s="1" t="s">
        <v>33</v>
      </c>
      <c r="J483" s="1" t="s">
        <v>44</v>
      </c>
      <c r="M483" s="20">
        <f>ROUND(Ресурсы!C8*Начисления!AV24,2)</f>
        <v>42189</v>
      </c>
      <c r="N483" s="20">
        <f>ROUND(IF(F483="",0,F483)*IF(M483="",0,M483),2)</f>
        <v>0.41</v>
      </c>
    </row>
    <row r="484" spans="1:14" ht="10.5" hidden="1">
      <c r="A484" s="4" t="s">
        <v>245</v>
      </c>
      <c r="B484" s="6" t="str">
        <f>ПОЛУЧШИФР(Ресурсы!A9,0)</f>
        <v>с101-2775</v>
      </c>
      <c r="C484" s="4" t="str">
        <f>Ресурсы!B9</f>
        <v>Микросферы стеклянные для дорожной разметки</v>
      </c>
      <c r="D484" s="5" t="s">
        <v>71</v>
      </c>
      <c r="E484" s="1">
        <v>0.1</v>
      </c>
      <c r="F484" s="1">
        <f>ОКРУГЛВСЕ(IF(E484="",0,E484)*IF(F476="",0,F476),11)</f>
        <v>0.0012</v>
      </c>
      <c r="G484" s="20">
        <f>ROUND(Ресурсы!D9*Начисления!AV24,2)</f>
        <v>52294.91</v>
      </c>
      <c r="H484" s="19">
        <f>ROUND(IF(F484="",0,F484)*IF(G484="",0,G484),0)</f>
        <v>63</v>
      </c>
      <c r="I484" s="1" t="s">
        <v>33</v>
      </c>
      <c r="J484" s="1" t="s">
        <v>44</v>
      </c>
      <c r="M484" s="20">
        <f>ROUND(Ресурсы!C9*Начисления!AV24,2)</f>
        <v>751.43</v>
      </c>
      <c r="N484" s="20">
        <f>ROUND(IF(F484="",0,F484)*IF(M484="",0,M484),2)</f>
        <v>0.9</v>
      </c>
    </row>
    <row r="485" spans="1:14" ht="10.5" hidden="1">
      <c r="A485" s="4" t="s">
        <v>246</v>
      </c>
      <c r="B485" s="6" t="str">
        <f>ПОЛУЧШИФР(Ресурсы!A11,0)</f>
        <v>с101-5889</v>
      </c>
      <c r="C485" s="4" t="str">
        <f>Ресурсы!B11</f>
        <v>Краска разметочная дорожная ИНДПОЛ, белая</v>
      </c>
      <c r="D485" s="5" t="s">
        <v>71</v>
      </c>
      <c r="E485" s="1">
        <v>0.262</v>
      </c>
      <c r="F485" s="1">
        <f>ОКРУГЛВСЕ(IF(E485="",0,E485)*IF(F476="",0,F476),11)</f>
        <v>0.003144</v>
      </c>
      <c r="G485" s="20">
        <f>ROUND(Ресурсы!D11*Начисления!AV24,2)</f>
        <v>143750</v>
      </c>
      <c r="H485" s="19">
        <f>ROUND(IF(F485="",0,F485)*IF(G485="",0,G485),0)</f>
        <v>452</v>
      </c>
      <c r="I485" s="1" t="s">
        <v>33</v>
      </c>
      <c r="J485" s="1" t="s">
        <v>44</v>
      </c>
      <c r="M485" s="20">
        <f>ROUND(Ресурсы!C11*Начисления!AV24,2)</f>
        <v>20494.04</v>
      </c>
      <c r="N485" s="20">
        <f>ROUND(IF(F485="",0,F485)*IF(M485="",0,M485),2)</f>
        <v>64.43</v>
      </c>
    </row>
    <row r="486" spans="3:14" ht="10.5" hidden="1">
      <c r="C486" s="24" t="s">
        <v>37</v>
      </c>
      <c r="H486" s="1">
        <v>633</v>
      </c>
      <c r="N486" s="1">
        <v>25.17</v>
      </c>
    </row>
    <row r="487" spans="3:14" ht="10.5" hidden="1">
      <c r="C487" s="24" t="s">
        <v>38</v>
      </c>
      <c r="H487" s="1">
        <v>836</v>
      </c>
      <c r="N487" s="1">
        <v>69.78</v>
      </c>
    </row>
    <row r="488" spans="3:14" ht="10.5" hidden="1">
      <c r="C488" s="24" t="s">
        <v>39</v>
      </c>
      <c r="H488" s="1">
        <v>269</v>
      </c>
      <c r="N488" s="1">
        <v>13.41</v>
      </c>
    </row>
    <row r="489" spans="3:14" ht="10.5" hidden="1">
      <c r="C489" s="24" t="s">
        <v>40</v>
      </c>
      <c r="H489" s="1">
        <v>43097</v>
      </c>
      <c r="N489" s="1">
        <v>5478.33</v>
      </c>
    </row>
    <row r="490" ht="10.5" hidden="1">
      <c r="C490" s="24" t="s">
        <v>41</v>
      </c>
    </row>
    <row r="491" spans="3:13" ht="21" hidden="1">
      <c r="C491" s="24" t="s">
        <v>42</v>
      </c>
      <c r="G491" s="25"/>
      <c r="I491" s="1" t="s">
        <v>43</v>
      </c>
      <c r="J491" s="1" t="s">
        <v>44</v>
      </c>
      <c r="M491" s="25"/>
    </row>
    <row r="492" ht="10.5" hidden="1">
      <c r="C492" s="24" t="s">
        <v>45</v>
      </c>
    </row>
    <row r="493" ht="10.5" hidden="1">
      <c r="C493" s="24" t="s">
        <v>46</v>
      </c>
    </row>
    <row r="494" ht="10.5" hidden="1">
      <c r="C494" s="24" t="s">
        <v>47</v>
      </c>
    </row>
    <row r="495" spans="3:14" ht="10.5" hidden="1">
      <c r="C495" s="24" t="s">
        <v>48</v>
      </c>
      <c r="G495" s="1">
        <v>99</v>
      </c>
      <c r="H495" s="19">
        <f>IF('Текущие цены с учетом расхода'!N24&gt;0,'Текущие цены с учетом расхода'!N24,IF('Текущие цены с учетом расхода'!N24&lt;0,'Текущие цены с учетом расхода'!N24,""))</f>
        <v>11</v>
      </c>
      <c r="J495" s="4" t="s">
        <v>49</v>
      </c>
      <c r="M495" s="1">
        <v>116</v>
      </c>
      <c r="N495" s="20">
        <f>IF('Базовые цены с учетом расхода'!N24&gt;0,'Базовые цены с учетом расхода'!N24,IF('Базовые цены с учетом расхода'!N24&lt;0,'Базовые цены с учетом расхода'!N24,""))</f>
        <v>0.53</v>
      </c>
    </row>
    <row r="496" spans="3:14" ht="10.5" hidden="1">
      <c r="C496" s="24" t="s">
        <v>50</v>
      </c>
      <c r="G496" s="1">
        <v>99</v>
      </c>
      <c r="H496" s="19">
        <f>IF('Текущие цены с учетом расхода'!P24&gt;0,'Текущие цены с учетом расхода'!P24,IF('Текущие цены с учетом расхода'!P24&lt;0,'Текущие цены с учетом расхода'!P24,""))</f>
        <v>8</v>
      </c>
      <c r="J496" s="4" t="s">
        <v>51</v>
      </c>
      <c r="M496" s="1">
        <v>116</v>
      </c>
      <c r="N496" s="20">
        <f>IF('Базовые цены с учетом расхода'!P24&gt;0,'Базовые цены с учетом расхода'!P24,IF('Базовые цены с учетом расхода'!P24&lt;0,'Базовые цены с учетом расхода'!P24,""))</f>
        <v>0.35</v>
      </c>
    </row>
    <row r="497" spans="3:14" ht="10.5" hidden="1">
      <c r="C497" s="24" t="s">
        <v>52</v>
      </c>
      <c r="G497" s="1">
        <v>99</v>
      </c>
      <c r="H497" s="19">
        <f>IF('Текущие цены с учетом расхода'!Q24&gt;0,'Текущие цены с учетом расхода'!Q24,IF('Текущие цены с учетом расхода'!Q24&lt;0,'Текущие цены с учетом расхода'!Q24,""))</f>
        <v>3</v>
      </c>
      <c r="J497" s="4" t="s">
        <v>53</v>
      </c>
      <c r="M497" s="1">
        <v>116</v>
      </c>
      <c r="N497" s="20">
        <f>IF('Базовые цены с учетом расхода'!Q24&gt;0,'Базовые цены с учетом расхода'!Q24,IF('Базовые цены с учетом расхода'!Q24&lt;0,'Базовые цены с учетом расхода'!Q24,""))</f>
        <v>0.19</v>
      </c>
    </row>
    <row r="498" spans="3:14" ht="10.5" hidden="1">
      <c r="C498" s="24" t="s">
        <v>54</v>
      </c>
      <c r="G498" s="1">
        <v>40</v>
      </c>
      <c r="H498" s="19">
        <f>IF('Текущие цены с учетом расхода'!O24&gt;0,'Текущие цены с учетом расхода'!O24,IF('Текущие цены с учетом расхода'!O24&lt;0,'Текущие цены с учетом расхода'!O24,""))</f>
        <v>4</v>
      </c>
      <c r="J498" s="4" t="s">
        <v>55</v>
      </c>
      <c r="M498" s="1">
        <v>50</v>
      </c>
      <c r="N498" s="20">
        <f>IF('Базовые цены с учетом расхода'!O24&gt;0,'Базовые цены с учетом расхода'!O24,IF('Базовые цены с учетом расхода'!O24&lt;0,'Базовые цены с учетом расхода'!O24,""))</f>
        <v>0.23</v>
      </c>
    </row>
    <row r="499" spans="3:14" ht="10.5" hidden="1">
      <c r="C499" s="24" t="s">
        <v>56</v>
      </c>
      <c r="G499" s="1">
        <v>40</v>
      </c>
      <c r="H499" s="19">
        <f>IF('Текущие цены с учетом расхода'!R24&gt;0,'Текущие цены с учетом расхода'!R24,IF('Текущие цены с учетом расхода'!R24&lt;0,'Текущие цены с учетом расхода'!R24,""))</f>
        <v>3</v>
      </c>
      <c r="J499" s="4" t="s">
        <v>57</v>
      </c>
      <c r="M499" s="1">
        <v>50</v>
      </c>
      <c r="N499" s="20">
        <f>IF('Базовые цены с учетом расхода'!R24&gt;0,'Базовые цены с учетом расхода'!R24,IF('Базовые цены с учетом расхода'!R24&lt;0,'Базовые цены с учетом расхода'!R24,""))</f>
        <v>0.15</v>
      </c>
    </row>
    <row r="500" spans="3:14" ht="10.5" hidden="1">
      <c r="C500" s="24" t="s">
        <v>58</v>
      </c>
      <c r="G500" s="1">
        <v>40</v>
      </c>
      <c r="H500" s="19">
        <f>IF('Текущие цены с учетом расхода'!S24&gt;0,'Текущие цены с учетом расхода'!S24,IF('Текущие цены с учетом расхода'!S24&lt;0,'Текущие цены с учетом расхода'!S24,""))</f>
        <v>1</v>
      </c>
      <c r="J500" s="4" t="s">
        <v>59</v>
      </c>
      <c r="M500" s="1">
        <v>50</v>
      </c>
      <c r="N500" s="20">
        <f>IF('Базовые цены с учетом расхода'!S24&gt;0,'Базовые цены с учетом расхода'!S24,IF('Базовые цены с учетом расхода'!S24&lt;0,'Базовые цены с учетом расхода'!S24,""))</f>
        <v>0.08</v>
      </c>
    </row>
    <row r="501" spans="3:14" ht="10.5" hidden="1">
      <c r="C501" s="24" t="s">
        <v>74</v>
      </c>
      <c r="H501" s="19">
        <f>ROUND(IF(H476="",0,H476)+IF(H495="",0,H495)+IF(H498="",0,H498),0)</f>
        <v>550</v>
      </c>
      <c r="N501" s="20">
        <f>ROUND(IF(N476="",0,N476)+IF(N495="",0,N495)+IF(N498="",0,N498),2)</f>
        <v>67.64</v>
      </c>
    </row>
    <row r="502" spans="1:8" ht="10.5">
      <c r="A502" s="28"/>
      <c r="B502" s="28"/>
      <c r="C502" s="28"/>
      <c r="D502" s="28"/>
      <c r="E502" s="28"/>
      <c r="F502" s="28"/>
      <c r="G502" s="28"/>
      <c r="H502" s="28"/>
    </row>
    <row r="503" spans="2:14" ht="10.5">
      <c r="B503" s="9" t="s">
        <v>247</v>
      </c>
      <c r="G503" s="15"/>
      <c r="H503" s="33">
        <f>'Текущие концовки'!F7</f>
        <v>241383</v>
      </c>
      <c r="M503" s="15"/>
      <c r="N503" s="34">
        <f>'Базовые концовки'!F7</f>
        <v>24441.15</v>
      </c>
    </row>
    <row r="504" spans="2:14" ht="10.5" hidden="1">
      <c r="B504" s="9" t="s">
        <v>248</v>
      </c>
      <c r="H504" s="33">
        <f>'Текущие концовки'!F8</f>
        <v>0</v>
      </c>
      <c r="N504" s="34">
        <f>'Базовые концовки'!F8</f>
        <v>0</v>
      </c>
    </row>
    <row r="505" spans="2:14" ht="10.5" hidden="1">
      <c r="B505" s="9" t="s">
        <v>249</v>
      </c>
      <c r="H505" s="33">
        <f>'Текущие концовки'!F9</f>
        <v>0</v>
      </c>
      <c r="N505" s="34">
        <f>'Базовые концовки'!F9</f>
        <v>0</v>
      </c>
    </row>
    <row r="506" spans="2:14" ht="10.5" hidden="1">
      <c r="B506" s="9" t="s">
        <v>250</v>
      </c>
      <c r="H506" s="33">
        <f>'Текущие концовки'!F10</f>
        <v>0</v>
      </c>
      <c r="N506" s="34">
        <f>'Базовые концовки'!F10</f>
        <v>0</v>
      </c>
    </row>
    <row r="507" spans="2:14" ht="10.5" hidden="1">
      <c r="B507" s="9" t="s">
        <v>251</v>
      </c>
      <c r="H507" s="33">
        <f>'Текущие концовки'!F11</f>
        <v>0</v>
      </c>
      <c r="N507" s="34">
        <f>'Базовые концовки'!F11</f>
        <v>0</v>
      </c>
    </row>
    <row r="508" spans="2:14" ht="10.5" hidden="1">
      <c r="B508" s="9" t="s">
        <v>252</v>
      </c>
      <c r="H508" s="33">
        <f>'Текущие концовки'!F12</f>
        <v>0</v>
      </c>
      <c r="N508" s="34">
        <f>'Базовые концовки'!F12</f>
        <v>0</v>
      </c>
    </row>
    <row r="509" spans="2:14" ht="10.5" hidden="1">
      <c r="B509" s="9" t="s">
        <v>253</v>
      </c>
      <c r="H509" s="33">
        <f>'Текущие концовки'!F13</f>
        <v>0</v>
      </c>
      <c r="N509" s="34">
        <f>'Базовые концовки'!F13</f>
        <v>0</v>
      </c>
    </row>
    <row r="510" spans="2:14" ht="10.5" hidden="1">
      <c r="B510" s="9" t="s">
        <v>254</v>
      </c>
      <c r="H510" s="33">
        <f>'Текущие концовки'!F14</f>
        <v>0</v>
      </c>
      <c r="N510" s="34">
        <f>'Базовые концовки'!F14</f>
        <v>0</v>
      </c>
    </row>
    <row r="511" spans="2:14" ht="10.5" hidden="1">
      <c r="B511" s="9" t="s">
        <v>255</v>
      </c>
      <c r="H511" s="33">
        <f>'Текущие концовки'!F15</f>
        <v>0</v>
      </c>
      <c r="N511" s="34">
        <f>'Базовые концовки'!F15</f>
        <v>0</v>
      </c>
    </row>
    <row r="512" spans="2:14" ht="10.5" hidden="1">
      <c r="B512" s="9" t="s">
        <v>256</v>
      </c>
      <c r="H512" s="33">
        <f>'Текущие концовки'!F16</f>
        <v>0</v>
      </c>
      <c r="N512" s="34">
        <f>'Базовые концовки'!F16</f>
        <v>0</v>
      </c>
    </row>
    <row r="513" spans="2:14" ht="10.5" hidden="1">
      <c r="B513" s="9" t="s">
        <v>257</v>
      </c>
      <c r="H513" s="33">
        <f>'Текущие концовки'!F17</f>
        <v>0</v>
      </c>
      <c r="N513" s="34">
        <f>'Базовые концовки'!F17</f>
        <v>0</v>
      </c>
    </row>
    <row r="514" spans="2:14" ht="10.5" hidden="1">
      <c r="B514" s="9" t="s">
        <v>258</v>
      </c>
      <c r="H514" s="33">
        <f>'Текущие концовки'!F18</f>
        <v>0</v>
      </c>
      <c r="N514" s="34">
        <f>'Базовые концовки'!F18</f>
        <v>0</v>
      </c>
    </row>
    <row r="515" spans="2:14" ht="10.5" hidden="1">
      <c r="B515" s="9" t="s">
        <v>259</v>
      </c>
      <c r="H515" s="34"/>
      <c r="N515" s="34"/>
    </row>
    <row r="516" spans="2:14" ht="10.5" hidden="1">
      <c r="B516" s="9" t="s">
        <v>260</v>
      </c>
      <c r="H516" s="33">
        <f>'Текущие концовки'!G20</f>
        <v>0</v>
      </c>
      <c r="N516" s="34">
        <f>'Базовые концовки'!G20</f>
        <v>0</v>
      </c>
    </row>
    <row r="517" spans="2:14" ht="10.5" hidden="1">
      <c r="B517" s="9" t="s">
        <v>261</v>
      </c>
      <c r="H517" s="33">
        <f>'Текущие концовки'!F21</f>
        <v>0</v>
      </c>
      <c r="N517" s="34">
        <f>'Базовые концовки'!F21</f>
        <v>0</v>
      </c>
    </row>
    <row r="518" spans="2:14" ht="10.5" hidden="1">
      <c r="B518" s="9" t="s">
        <v>262</v>
      </c>
      <c r="H518" s="33">
        <f>'Текущие концовки'!F22</f>
        <v>0</v>
      </c>
      <c r="N518" s="34">
        <f>'Базовые концовки'!F22</f>
        <v>0</v>
      </c>
    </row>
    <row r="519" spans="2:14" ht="10.5" hidden="1">
      <c r="B519" s="9" t="s">
        <v>263</v>
      </c>
      <c r="H519" s="33">
        <f>'Текущие концовки'!F23</f>
        <v>0</v>
      </c>
      <c r="N519" s="34">
        <f>'Базовые концовки'!F23</f>
        <v>0</v>
      </c>
    </row>
    <row r="520" spans="2:14" ht="10.5" hidden="1">
      <c r="B520" s="9" t="s">
        <v>264</v>
      </c>
      <c r="H520" s="33">
        <f>'Текущие концовки'!F24</f>
        <v>0</v>
      </c>
      <c r="N520" s="34">
        <f>'Базовые концовки'!F24</f>
        <v>0</v>
      </c>
    </row>
    <row r="521" spans="2:14" ht="10.5" hidden="1">
      <c r="B521" s="9" t="s">
        <v>265</v>
      </c>
      <c r="H521" s="33">
        <f>'Текущие концовки'!F25</f>
        <v>0</v>
      </c>
      <c r="N521" s="34">
        <f>'Базовые концовки'!F25</f>
        <v>0</v>
      </c>
    </row>
    <row r="522" spans="2:14" ht="10.5" hidden="1">
      <c r="B522" s="9" t="s">
        <v>256</v>
      </c>
      <c r="H522" s="33">
        <f>'Текущие концовки'!F26</f>
        <v>0</v>
      </c>
      <c r="N522" s="34">
        <f>'Базовые концовки'!F26</f>
        <v>0</v>
      </c>
    </row>
    <row r="523" spans="2:14" ht="10.5" hidden="1">
      <c r="B523" s="9" t="s">
        <v>266</v>
      </c>
      <c r="H523" s="33">
        <f>'Текущие концовки'!F27</f>
        <v>0</v>
      </c>
      <c r="N523" s="34">
        <f>'Базовые концовки'!F27</f>
        <v>0</v>
      </c>
    </row>
    <row r="524" spans="2:14" ht="10.5">
      <c r="B524" s="9" t="s">
        <v>267</v>
      </c>
      <c r="G524" s="15"/>
      <c r="H524" s="33">
        <f>'Текущие концовки'!F28</f>
        <v>241383</v>
      </c>
      <c r="M524" s="15"/>
      <c r="N524" s="34">
        <f>'Базовые концовки'!F28</f>
        <v>24441.15</v>
      </c>
    </row>
    <row r="525" spans="2:14" ht="10.5" hidden="1">
      <c r="B525" s="9" t="s">
        <v>259</v>
      </c>
      <c r="H525" s="34"/>
      <c r="N525" s="34"/>
    </row>
    <row r="526" spans="2:14" ht="10.5" hidden="1">
      <c r="B526" s="9" t="s">
        <v>268</v>
      </c>
      <c r="H526" s="33">
        <f>'Текущие концовки'!F30</f>
        <v>0</v>
      </c>
      <c r="N526" s="34">
        <f>'Базовые концовки'!F30</f>
        <v>0</v>
      </c>
    </row>
    <row r="527" spans="2:14" ht="10.5" hidden="1">
      <c r="B527" s="9" t="s">
        <v>263</v>
      </c>
      <c r="H527" s="33">
        <f>'Текущие концовки'!F31</f>
        <v>0</v>
      </c>
      <c r="N527" s="34">
        <f>'Базовые концовки'!F31</f>
        <v>0</v>
      </c>
    </row>
    <row r="528" spans="2:14" ht="10.5">
      <c r="B528" s="9" t="s">
        <v>264</v>
      </c>
      <c r="G528" s="15"/>
      <c r="H528" s="33">
        <f>'Текущие концовки'!F32</f>
        <v>65770</v>
      </c>
      <c r="M528" s="15"/>
      <c r="N528" s="34">
        <f>'Базовые концовки'!F32</f>
        <v>3286.99</v>
      </c>
    </row>
    <row r="529" spans="2:14" ht="10.5">
      <c r="B529" s="9" t="s">
        <v>265</v>
      </c>
      <c r="G529" s="15"/>
      <c r="H529" s="33">
        <f>'Текущие концовки'!F33</f>
        <v>28521</v>
      </c>
      <c r="M529" s="15"/>
      <c r="N529" s="34">
        <f>'Базовые концовки'!F33</f>
        <v>1522.42</v>
      </c>
    </row>
    <row r="530" spans="2:14" ht="10.5">
      <c r="B530" s="9" t="s">
        <v>269</v>
      </c>
      <c r="G530" s="15"/>
      <c r="H530" s="33">
        <f>'Текущие концовки'!F34</f>
        <v>335674</v>
      </c>
      <c r="M530" s="15"/>
      <c r="N530" s="34">
        <f>'Базовые концовки'!F34</f>
        <v>29250.56</v>
      </c>
    </row>
    <row r="531" spans="2:14" ht="10.5" hidden="1">
      <c r="B531" s="9" t="s">
        <v>270</v>
      </c>
      <c r="H531" s="33">
        <f>'Текущие концовки'!F35</f>
        <v>0</v>
      </c>
      <c r="N531" s="34">
        <f>'Базовые концовки'!F35</f>
        <v>0</v>
      </c>
    </row>
    <row r="532" spans="2:14" ht="10.5" hidden="1">
      <c r="B532" s="9" t="s">
        <v>263</v>
      </c>
      <c r="H532" s="33">
        <f>'Текущие концовки'!F36</f>
        <v>0</v>
      </c>
      <c r="N532" s="34">
        <f>'Базовые концовки'!F36</f>
        <v>0</v>
      </c>
    </row>
    <row r="533" spans="2:14" ht="10.5" hidden="1">
      <c r="B533" s="9" t="s">
        <v>264</v>
      </c>
      <c r="H533" s="33">
        <f>'Текущие концовки'!F37</f>
        <v>0</v>
      </c>
      <c r="N533" s="34">
        <f>'Базовые концовки'!F37</f>
        <v>0</v>
      </c>
    </row>
    <row r="534" spans="2:14" ht="10.5" hidden="1">
      <c r="B534" s="9" t="s">
        <v>265</v>
      </c>
      <c r="H534" s="33">
        <f>'Текущие концовки'!F38</f>
        <v>0</v>
      </c>
      <c r="N534" s="34">
        <f>'Базовые концовки'!F38</f>
        <v>0</v>
      </c>
    </row>
    <row r="535" spans="2:14" ht="10.5" hidden="1">
      <c r="B535" s="9" t="s">
        <v>271</v>
      </c>
      <c r="H535" s="33">
        <f>'Текущие концовки'!F39</f>
        <v>0</v>
      </c>
      <c r="N535" s="34">
        <f>'Базовые концовки'!F39</f>
        <v>0</v>
      </c>
    </row>
    <row r="536" spans="2:14" ht="10.5" hidden="1">
      <c r="B536" s="9" t="s">
        <v>272</v>
      </c>
      <c r="H536" s="33">
        <f>'Текущие концовки'!F40</f>
        <v>0</v>
      </c>
      <c r="N536" s="34">
        <f>'Базовые концовки'!F40</f>
        <v>0</v>
      </c>
    </row>
    <row r="537" spans="2:14" ht="10.5" hidden="1">
      <c r="B537" s="9" t="s">
        <v>259</v>
      </c>
      <c r="H537" s="34"/>
      <c r="N537" s="34"/>
    </row>
    <row r="538" spans="2:14" ht="10.5" hidden="1">
      <c r="B538" s="9" t="s">
        <v>273</v>
      </c>
      <c r="H538" s="33">
        <f>'Текущие концовки'!F42</f>
        <v>0</v>
      </c>
      <c r="N538" s="34">
        <f>'Базовые концовки'!F42</f>
        <v>0</v>
      </c>
    </row>
    <row r="539" spans="2:14" ht="10.5" hidden="1">
      <c r="B539" s="9" t="s">
        <v>263</v>
      </c>
      <c r="H539" s="33">
        <f>'Текущие концовки'!F43</f>
        <v>0</v>
      </c>
      <c r="N539" s="34">
        <f>'Базовые концовки'!F43</f>
        <v>0</v>
      </c>
    </row>
    <row r="540" spans="2:14" ht="10.5" hidden="1">
      <c r="B540" s="9" t="s">
        <v>264</v>
      </c>
      <c r="H540" s="33">
        <f>'Текущие концовки'!F44</f>
        <v>0</v>
      </c>
      <c r="N540" s="34">
        <f>'Базовые концовки'!F44</f>
        <v>0</v>
      </c>
    </row>
    <row r="541" spans="2:14" ht="10.5" hidden="1">
      <c r="B541" s="9" t="s">
        <v>265</v>
      </c>
      <c r="H541" s="33">
        <f>'Текущие концовки'!F45</f>
        <v>0</v>
      </c>
      <c r="N541" s="34">
        <f>'Базовые концовки'!F45</f>
        <v>0</v>
      </c>
    </row>
    <row r="542" spans="2:14" ht="10.5" hidden="1">
      <c r="B542" s="9" t="s">
        <v>256</v>
      </c>
      <c r="H542" s="33">
        <f>'Текущие концовки'!F46</f>
        <v>0</v>
      </c>
      <c r="N542" s="34">
        <f>'Базовые концовки'!F46</f>
        <v>0</v>
      </c>
    </row>
    <row r="543" spans="2:14" ht="10.5" hidden="1">
      <c r="B543" s="9" t="s">
        <v>274</v>
      </c>
      <c r="H543" s="33">
        <f>'Текущие концовки'!F47</f>
        <v>0</v>
      </c>
      <c r="N543" s="34">
        <f>'Базовые концовки'!F47</f>
        <v>0</v>
      </c>
    </row>
    <row r="544" spans="2:14" ht="10.5" hidden="1">
      <c r="B544" s="9" t="s">
        <v>275</v>
      </c>
      <c r="H544" s="33">
        <f>'Текущие концовки'!F48</f>
        <v>0</v>
      </c>
      <c r="N544" s="34">
        <f>'Базовые концовки'!F48</f>
        <v>0</v>
      </c>
    </row>
    <row r="545" spans="2:14" ht="10.5" hidden="1">
      <c r="B545" s="9" t="s">
        <v>263</v>
      </c>
      <c r="H545" s="33">
        <f>'Текущие концовки'!F49</f>
        <v>0</v>
      </c>
      <c r="N545" s="34">
        <f>'Базовые концовки'!F49</f>
        <v>0</v>
      </c>
    </row>
    <row r="546" spans="2:14" ht="10.5" hidden="1">
      <c r="B546" s="9" t="s">
        <v>264</v>
      </c>
      <c r="H546" s="33">
        <f>'Текущие концовки'!F50</f>
        <v>0</v>
      </c>
      <c r="N546" s="34">
        <f>'Базовые концовки'!F50</f>
        <v>0</v>
      </c>
    </row>
    <row r="547" spans="2:14" ht="10.5" hidden="1">
      <c r="B547" s="9" t="s">
        <v>265</v>
      </c>
      <c r="H547" s="33">
        <f>'Текущие концовки'!F51</f>
        <v>0</v>
      </c>
      <c r="N547" s="34">
        <f>'Базовые концовки'!F51</f>
        <v>0</v>
      </c>
    </row>
    <row r="548" spans="2:14" ht="10.5" hidden="1">
      <c r="B548" s="9" t="s">
        <v>276</v>
      </c>
      <c r="H548" s="33">
        <f>'Текущие концовки'!F52</f>
        <v>0</v>
      </c>
      <c r="N548" s="34">
        <f>'Базовые концовки'!F52</f>
        <v>0</v>
      </c>
    </row>
    <row r="549" spans="2:14" ht="10.5" hidden="1">
      <c r="B549" s="9" t="s">
        <v>277</v>
      </c>
      <c r="H549" s="33">
        <f>'Текущие концовки'!F53</f>
        <v>0</v>
      </c>
      <c r="N549" s="34">
        <f>'Базовые концовки'!F53</f>
        <v>0</v>
      </c>
    </row>
    <row r="550" spans="2:14" ht="10.5" hidden="1">
      <c r="B550" s="9" t="s">
        <v>263</v>
      </c>
      <c r="H550" s="33">
        <f>'Текущие концовки'!F54</f>
        <v>0</v>
      </c>
      <c r="N550" s="34">
        <f>'Базовые концовки'!F54</f>
        <v>0</v>
      </c>
    </row>
    <row r="551" spans="2:14" ht="10.5" hidden="1">
      <c r="B551" s="9" t="s">
        <v>264</v>
      </c>
      <c r="H551" s="33">
        <f>'Текущие концовки'!F55</f>
        <v>0</v>
      </c>
      <c r="N551" s="34">
        <f>'Базовые концовки'!F55</f>
        <v>0</v>
      </c>
    </row>
    <row r="552" spans="2:14" ht="10.5" hidden="1">
      <c r="B552" s="9" t="s">
        <v>265</v>
      </c>
      <c r="H552" s="33">
        <f>'Текущие концовки'!F56</f>
        <v>0</v>
      </c>
      <c r="N552" s="34">
        <f>'Базовые концовки'!F56</f>
        <v>0</v>
      </c>
    </row>
    <row r="553" spans="2:14" ht="10.5" hidden="1">
      <c r="B553" s="9" t="s">
        <v>278</v>
      </c>
      <c r="H553" s="33">
        <f>'Текущие концовки'!F57</f>
        <v>0</v>
      </c>
      <c r="N553" s="34">
        <f>'Базовые концовки'!F57</f>
        <v>0</v>
      </c>
    </row>
    <row r="554" spans="2:14" ht="10.5" hidden="1">
      <c r="B554" s="9" t="s">
        <v>279</v>
      </c>
      <c r="H554" s="33">
        <f>'Текущие концовки'!F58</f>
        <v>0</v>
      </c>
      <c r="N554" s="34">
        <f>'Базовые концовки'!F58</f>
        <v>0</v>
      </c>
    </row>
    <row r="555" spans="2:14" ht="10.5" hidden="1">
      <c r="B555" s="9" t="s">
        <v>259</v>
      </c>
      <c r="H555" s="34"/>
      <c r="N555" s="34"/>
    </row>
    <row r="556" spans="2:14" ht="10.5" hidden="1">
      <c r="B556" s="9" t="s">
        <v>268</v>
      </c>
      <c r="H556" s="33">
        <f>'Текущие концовки'!F60</f>
        <v>0</v>
      </c>
      <c r="N556" s="34">
        <f>'Базовые концовки'!F60</f>
        <v>0</v>
      </c>
    </row>
    <row r="557" spans="2:14" ht="10.5" hidden="1">
      <c r="B557" s="9" t="s">
        <v>263</v>
      </c>
      <c r="H557" s="33">
        <f>'Текущие концовки'!F61</f>
        <v>0</v>
      </c>
      <c r="N557" s="34">
        <f>'Базовые концовки'!F61</f>
        <v>0</v>
      </c>
    </row>
    <row r="558" spans="2:14" ht="10.5" hidden="1">
      <c r="B558" s="9" t="s">
        <v>264</v>
      </c>
      <c r="H558" s="33">
        <f>'Текущие концовки'!F62</f>
        <v>0</v>
      </c>
      <c r="N558" s="34">
        <f>'Базовые концовки'!F62</f>
        <v>0</v>
      </c>
    </row>
    <row r="559" spans="2:14" ht="10.5" hidden="1">
      <c r="B559" s="9" t="s">
        <v>265</v>
      </c>
      <c r="H559" s="33">
        <f>'Текущие концовки'!F63</f>
        <v>0</v>
      </c>
      <c r="N559" s="34">
        <f>'Базовые концовки'!F63</f>
        <v>0</v>
      </c>
    </row>
    <row r="560" spans="2:14" ht="10.5" hidden="1">
      <c r="B560" s="9" t="s">
        <v>280</v>
      </c>
      <c r="H560" s="33">
        <f>'Текущие концовки'!F64</f>
        <v>0</v>
      </c>
      <c r="N560" s="34">
        <f>'Базовые концовки'!F64</f>
        <v>0</v>
      </c>
    </row>
    <row r="561" spans="2:14" ht="10.5" hidden="1">
      <c r="B561" s="9" t="s">
        <v>281</v>
      </c>
      <c r="H561" s="33">
        <f>'Текущие концовки'!F65</f>
        <v>0</v>
      </c>
      <c r="N561" s="34">
        <f>'Базовые концовки'!F65</f>
        <v>0</v>
      </c>
    </row>
    <row r="562" spans="2:14" ht="10.5" hidden="1">
      <c r="B562" s="9" t="s">
        <v>282</v>
      </c>
      <c r="H562" s="33">
        <f>'Текущие концовки'!F66</f>
        <v>0</v>
      </c>
      <c r="N562" s="34">
        <f>'Базовые концовки'!F66</f>
        <v>0</v>
      </c>
    </row>
    <row r="563" spans="2:14" ht="10.5" hidden="1">
      <c r="B563" s="9" t="s">
        <v>283</v>
      </c>
      <c r="H563" s="33">
        <f>'Текущие концовки'!F67</f>
        <v>0</v>
      </c>
      <c r="N563" s="34">
        <f>'Базовые концовки'!F67</f>
        <v>0</v>
      </c>
    </row>
    <row r="564" spans="2:14" ht="10.5" hidden="1">
      <c r="B564" s="9" t="s">
        <v>264</v>
      </c>
      <c r="H564" s="33">
        <f>'Текущие концовки'!F68</f>
        <v>0</v>
      </c>
      <c r="N564" s="34">
        <f>'Базовые концовки'!F68</f>
        <v>0</v>
      </c>
    </row>
    <row r="565" spans="2:14" ht="10.5" hidden="1">
      <c r="B565" s="9" t="s">
        <v>265</v>
      </c>
      <c r="H565" s="33">
        <f>'Текущие концовки'!F69</f>
        <v>0</v>
      </c>
      <c r="N565" s="34">
        <f>'Базовые концовки'!F69</f>
        <v>0</v>
      </c>
    </row>
    <row r="566" spans="2:14" ht="10.5" hidden="1">
      <c r="B566" s="9" t="s">
        <v>284</v>
      </c>
      <c r="H566" s="33">
        <f>'Текущие концовки'!F70</f>
        <v>0</v>
      </c>
      <c r="N566" s="34">
        <f>'Базовые концовки'!F70</f>
        <v>0</v>
      </c>
    </row>
    <row r="567" spans="2:14" ht="10.5" hidden="1">
      <c r="B567" s="9" t="s">
        <v>285</v>
      </c>
      <c r="H567" s="33">
        <f>'Текущие концовки'!F71</f>
        <v>0</v>
      </c>
      <c r="N567" s="34">
        <f>'Базовые концовки'!F71</f>
        <v>0</v>
      </c>
    </row>
    <row r="568" spans="2:14" ht="10.5" hidden="1">
      <c r="B568" s="9" t="s">
        <v>264</v>
      </c>
      <c r="H568" s="33">
        <f>'Текущие концовки'!F72</f>
        <v>0</v>
      </c>
      <c r="N568" s="34">
        <f>'Базовые концовки'!F72</f>
        <v>0</v>
      </c>
    </row>
    <row r="569" spans="2:14" ht="10.5" hidden="1">
      <c r="B569" s="9" t="s">
        <v>265</v>
      </c>
      <c r="H569" s="33">
        <f>'Текущие концовки'!F73</f>
        <v>0</v>
      </c>
      <c r="N569" s="34">
        <f>'Базовые концовки'!F73</f>
        <v>0</v>
      </c>
    </row>
    <row r="570" spans="2:14" ht="10.5" hidden="1">
      <c r="B570" s="9" t="s">
        <v>286</v>
      </c>
      <c r="H570" s="33">
        <f>'Текущие концовки'!F74</f>
        <v>0</v>
      </c>
      <c r="N570" s="34">
        <f>'Базовые концовки'!F74</f>
        <v>0</v>
      </c>
    </row>
    <row r="571" spans="2:14" ht="10.5" hidden="1">
      <c r="B571" s="9" t="s">
        <v>287</v>
      </c>
      <c r="H571" s="33">
        <f>'Текущие концовки'!F75</f>
        <v>0</v>
      </c>
      <c r="N571" s="34">
        <f>'Базовые концовки'!F75</f>
        <v>0</v>
      </c>
    </row>
    <row r="572" spans="2:14" ht="10.5" hidden="1">
      <c r="B572" s="9" t="s">
        <v>263</v>
      </c>
      <c r="H572" s="33">
        <f>'Текущие концовки'!F76</f>
        <v>0</v>
      </c>
      <c r="N572" s="34">
        <f>'Базовые концовки'!F76</f>
        <v>0</v>
      </c>
    </row>
    <row r="573" spans="2:14" ht="10.5" hidden="1">
      <c r="B573" s="9" t="s">
        <v>264</v>
      </c>
      <c r="H573" s="33">
        <f>'Текущие концовки'!F77</f>
        <v>0</v>
      </c>
      <c r="N573" s="34">
        <f>'Базовые концовки'!F77</f>
        <v>0</v>
      </c>
    </row>
    <row r="574" spans="2:14" ht="10.5" hidden="1">
      <c r="B574" s="9" t="s">
        <v>265</v>
      </c>
      <c r="H574" s="33">
        <f>'Текущие концовки'!F78</f>
        <v>0</v>
      </c>
      <c r="N574" s="34">
        <f>'Базовые концовки'!F78</f>
        <v>0</v>
      </c>
    </row>
    <row r="575" spans="2:14" ht="10.5" hidden="1">
      <c r="B575" s="9" t="s">
        <v>288</v>
      </c>
      <c r="H575" s="33">
        <f>'Текущие концовки'!F79</f>
        <v>0</v>
      </c>
      <c r="N575" s="34">
        <f>'Базовые концовки'!F79</f>
        <v>0</v>
      </c>
    </row>
    <row r="576" spans="2:14" ht="10.5" hidden="1">
      <c r="B576" s="9" t="s">
        <v>289</v>
      </c>
      <c r="H576" s="33">
        <f>'Текущие концовки'!F80</f>
        <v>0</v>
      </c>
      <c r="N576" s="34">
        <f>'Базовые концовки'!F80</f>
        <v>0</v>
      </c>
    </row>
    <row r="577" spans="2:14" ht="10.5" hidden="1">
      <c r="B577" s="9" t="s">
        <v>263</v>
      </c>
      <c r="H577" s="33">
        <f>'Текущие концовки'!F81</f>
        <v>0</v>
      </c>
      <c r="N577" s="34">
        <f>'Базовые концовки'!F81</f>
        <v>0</v>
      </c>
    </row>
    <row r="578" spans="2:14" ht="10.5">
      <c r="B578" s="9" t="s">
        <v>290</v>
      </c>
      <c r="G578" s="15"/>
      <c r="H578" s="33">
        <f>'Текущие концовки'!F82</f>
        <v>335674</v>
      </c>
      <c r="M578" s="15"/>
      <c r="N578" s="34">
        <f>'Базовые концовки'!F82</f>
        <v>29250.56</v>
      </c>
    </row>
    <row r="579" spans="2:14" ht="10.5" hidden="1">
      <c r="B579" s="9" t="s">
        <v>291</v>
      </c>
      <c r="H579" s="33">
        <f>'Текущие концовки'!F83</f>
        <v>0</v>
      </c>
      <c r="N579" s="34">
        <f>'Базовые концовки'!F83</f>
        <v>0</v>
      </c>
    </row>
    <row r="580" spans="2:14" ht="10.5">
      <c r="B580" s="9" t="s">
        <v>292</v>
      </c>
      <c r="G580" s="15"/>
      <c r="H580" s="33">
        <f>'Текущие концовки'!F84</f>
        <v>65770</v>
      </c>
      <c r="M580" s="15"/>
      <c r="N580" s="34">
        <f>'Базовые концовки'!F84</f>
        <v>3286.99</v>
      </c>
    </row>
    <row r="581" spans="2:14" ht="10.5">
      <c r="B581" s="9" t="s">
        <v>293</v>
      </c>
      <c r="G581" s="15"/>
      <c r="H581" s="33">
        <f>'Текущие концовки'!F85</f>
        <v>28521</v>
      </c>
      <c r="M581" s="15"/>
      <c r="N581" s="34">
        <f>'Базовые концовки'!F85</f>
        <v>1522.42</v>
      </c>
    </row>
    <row r="582" spans="2:14" ht="10.5" hidden="1">
      <c r="B582" s="9" t="s">
        <v>41</v>
      </c>
      <c r="H582" s="33">
        <f>'Текущие концовки'!F86</f>
        <v>0</v>
      </c>
      <c r="N582" s="34">
        <f>'Базовые концовки'!F86</f>
        <v>0</v>
      </c>
    </row>
    <row r="583" spans="2:14" ht="10.5" hidden="1">
      <c r="B583" s="9" t="s">
        <v>294</v>
      </c>
      <c r="H583" s="33">
        <f>'Текущие концовки'!F87</f>
        <v>0</v>
      </c>
      <c r="N583" s="34">
        <f>'Базовые концовки'!F87</f>
        <v>0</v>
      </c>
    </row>
    <row r="584" spans="2:14" ht="10.5" hidden="1">
      <c r="B584" s="9" t="s">
        <v>295</v>
      </c>
      <c r="G584" s="15"/>
      <c r="H584" s="33">
        <f>'Текущие концовки'!F88</f>
        <v>42200</v>
      </c>
      <c r="M584" s="15"/>
      <c r="N584" s="34">
        <f>'Базовые концовки'!F88</f>
        <v>1697.78</v>
      </c>
    </row>
    <row r="585" spans="2:14" ht="10.5" hidden="1">
      <c r="B585" s="9" t="s">
        <v>296</v>
      </c>
      <c r="G585" s="15"/>
      <c r="H585" s="33">
        <f>'Текущие концовки'!F89</f>
        <v>20211</v>
      </c>
      <c r="M585" s="15"/>
      <c r="N585" s="34">
        <f>'Базовые концовки'!F89</f>
        <v>956.76</v>
      </c>
    </row>
    <row r="586" spans="2:14" ht="10.5" hidden="1">
      <c r="B586" s="9" t="s">
        <v>297</v>
      </c>
      <c r="G586" s="15"/>
      <c r="H586" s="33">
        <f>'Текущие концовки'!F90</f>
        <v>62411</v>
      </c>
      <c r="M586" s="15"/>
      <c r="N586" s="34">
        <f>'Базовые концовки'!F90</f>
        <v>2654.54</v>
      </c>
    </row>
    <row r="587" spans="2:14" ht="10.5" hidden="1">
      <c r="B587" s="9" t="s">
        <v>298</v>
      </c>
      <c r="G587" s="15"/>
      <c r="H587" s="8">
        <f>'Текущие концовки'!J91</f>
        <v>205.0228582</v>
      </c>
      <c r="M587" s="15"/>
      <c r="N587" s="8">
        <f>'Базовые концовки'!J91</f>
        <v>205.0228582</v>
      </c>
    </row>
    <row r="588" spans="2:14" ht="10.5" hidden="1">
      <c r="B588" s="9" t="s">
        <v>299</v>
      </c>
      <c r="G588" s="15"/>
      <c r="H588" s="8">
        <f>'Текущие концовки'!J92</f>
        <v>80.08212</v>
      </c>
      <c r="M588" s="15"/>
      <c r="N588" s="8">
        <f>'Базовые концовки'!J92</f>
        <v>80.08212</v>
      </c>
    </row>
    <row r="589" spans="2:14" ht="10.5" hidden="1">
      <c r="B589" s="9" t="s">
        <v>300</v>
      </c>
      <c r="G589" s="15"/>
      <c r="H589" s="8">
        <f>'Текущие концовки'!J93</f>
        <v>285.1049782</v>
      </c>
      <c r="M589" s="15"/>
      <c r="N589" s="8">
        <f>'Базовые концовки'!J93</f>
        <v>285.1049782</v>
      </c>
    </row>
    <row r="590" spans="2:14" ht="10.5">
      <c r="B590" s="9" t="s">
        <v>301</v>
      </c>
      <c r="G590" s="15">
        <v>0.94</v>
      </c>
      <c r="H590" s="33">
        <f>'Текущие концовки'!F94</f>
        <v>61824</v>
      </c>
      <c r="M590" s="15">
        <v>0.94</v>
      </c>
      <c r="N590" s="34">
        <f>'Базовые концовки'!F94</f>
        <v>3089.77</v>
      </c>
    </row>
    <row r="591" spans="2:14" ht="10.5">
      <c r="B591" s="9" t="s">
        <v>302</v>
      </c>
      <c r="G591" s="15">
        <v>0.9</v>
      </c>
      <c r="H591" s="33">
        <f>'Текущие концовки'!F95</f>
        <v>25669</v>
      </c>
      <c r="M591" s="15">
        <v>0.9</v>
      </c>
      <c r="N591" s="34">
        <f>'Базовые концовки'!F95</f>
        <v>1370.18</v>
      </c>
    </row>
    <row r="592" spans="2:14" ht="10.5">
      <c r="B592" s="9" t="s">
        <v>551</v>
      </c>
      <c r="G592" s="15">
        <v>1.21</v>
      </c>
      <c r="H592" s="33">
        <f>(H503+H590+H591)*G592</f>
        <v>397939.95999999996</v>
      </c>
      <c r="M592" s="15">
        <v>100</v>
      </c>
      <c r="N592" s="34">
        <f>'[1]Базовые концовки'!F156</f>
        <v>0</v>
      </c>
    </row>
    <row r="593" spans="2:14" ht="10.5" hidden="1">
      <c r="B593" s="9" t="s">
        <v>304</v>
      </c>
      <c r="H593" s="33">
        <f>'Текущие концовки'!F97</f>
        <v>0</v>
      </c>
      <c r="N593" s="34">
        <f>'Базовые концовки'!F97</f>
        <v>0</v>
      </c>
    </row>
    <row r="594" spans="2:14" ht="10.5">
      <c r="B594" s="9" t="s">
        <v>305</v>
      </c>
      <c r="G594" s="15">
        <v>1.06</v>
      </c>
      <c r="H594" s="33">
        <f>H592*G594</f>
        <v>421816.3576</v>
      </c>
      <c r="M594" s="15"/>
      <c r="N594" s="34">
        <f>'[1]Базовые концовки'!F158</f>
        <v>0</v>
      </c>
    </row>
    <row r="596" spans="2:8" ht="10.5">
      <c r="B596" s="7" t="s">
        <v>306</v>
      </c>
      <c r="C596" s="53"/>
      <c r="D596" s="53"/>
      <c r="E596" s="53"/>
      <c r="F596" s="53"/>
      <c r="G596" s="53"/>
      <c r="H596" s="53"/>
    </row>
    <row r="597" spans="3:10" ht="10.5">
      <c r="C597" s="54" t="s">
        <v>307</v>
      </c>
      <c r="D597" s="54"/>
      <c r="E597" s="54"/>
      <c r="F597" s="54"/>
      <c r="G597" s="54"/>
      <c r="H597" s="54"/>
      <c r="I597" s="54"/>
      <c r="J597" s="54"/>
    </row>
    <row r="599" spans="2:8" ht="10.5">
      <c r="B599" s="7" t="s">
        <v>308</v>
      </c>
      <c r="C599" s="53"/>
      <c r="D599" s="53"/>
      <c r="E599" s="53"/>
      <c r="F599" s="53"/>
      <c r="G599" s="53"/>
      <c r="H599" s="53"/>
    </row>
    <row r="600" spans="3:10" ht="10.5">
      <c r="C600" s="54" t="s">
        <v>307</v>
      </c>
      <c r="D600" s="54"/>
      <c r="E600" s="54"/>
      <c r="F600" s="54"/>
      <c r="G600" s="54"/>
      <c r="H600" s="54"/>
      <c r="I600" s="54"/>
      <c r="J600" s="54"/>
    </row>
    <row r="601" ht="10.5">
      <c r="A601" s="35"/>
    </row>
  </sheetData>
  <sheetProtection/>
  <mergeCells count="170">
    <mergeCell ref="C7:H7"/>
    <mergeCell ref="A3:D3"/>
    <mergeCell ref="A4:D4"/>
    <mergeCell ref="F3:H3"/>
    <mergeCell ref="F21:F22"/>
    <mergeCell ref="F11:G11"/>
    <mergeCell ref="F12:G12"/>
    <mergeCell ref="C16:C17"/>
    <mergeCell ref="E16:F16"/>
    <mergeCell ref="G16:H16"/>
    <mergeCell ref="C44:C45"/>
    <mergeCell ref="E44:E45"/>
    <mergeCell ref="F44:F45"/>
    <mergeCell ref="A8:H8"/>
    <mergeCell ref="A9:H9"/>
    <mergeCell ref="A10:H10"/>
    <mergeCell ref="A21:A22"/>
    <mergeCell ref="B21:B22"/>
    <mergeCell ref="C21:C22"/>
    <mergeCell ref="E21:E22"/>
    <mergeCell ref="C71:C72"/>
    <mergeCell ref="E71:E72"/>
    <mergeCell ref="F71:F72"/>
    <mergeCell ref="A42:A43"/>
    <mergeCell ref="B42:B43"/>
    <mergeCell ref="C42:C43"/>
    <mergeCell ref="E42:E43"/>
    <mergeCell ref="F42:F43"/>
    <mergeCell ref="A44:A45"/>
    <mergeCell ref="B44:B45"/>
    <mergeCell ref="C98:C99"/>
    <mergeCell ref="E98:E99"/>
    <mergeCell ref="F98:F99"/>
    <mergeCell ref="A69:A70"/>
    <mergeCell ref="B69:B70"/>
    <mergeCell ref="C69:C70"/>
    <mergeCell ref="E69:E70"/>
    <mergeCell ref="F69:F70"/>
    <mergeCell ref="A71:A72"/>
    <mergeCell ref="B71:B72"/>
    <mergeCell ref="C125:C126"/>
    <mergeCell ref="E125:E126"/>
    <mergeCell ref="F125:F126"/>
    <mergeCell ref="A96:A97"/>
    <mergeCell ref="B96:B97"/>
    <mergeCell ref="C96:C97"/>
    <mergeCell ref="E96:E97"/>
    <mergeCell ref="F96:F97"/>
    <mergeCell ref="A98:A99"/>
    <mergeCell ref="B98:B99"/>
    <mergeCell ref="C177:C178"/>
    <mergeCell ref="E177:E178"/>
    <mergeCell ref="F177:F178"/>
    <mergeCell ref="A123:A124"/>
    <mergeCell ref="B123:B124"/>
    <mergeCell ref="C123:C124"/>
    <mergeCell ref="E123:E124"/>
    <mergeCell ref="F123:F124"/>
    <mergeCell ref="A125:A126"/>
    <mergeCell ref="B125:B126"/>
    <mergeCell ref="C226:C227"/>
    <mergeCell ref="E226:E227"/>
    <mergeCell ref="F226:F227"/>
    <mergeCell ref="A151:A152"/>
    <mergeCell ref="B151:B152"/>
    <mergeCell ref="C151:C152"/>
    <mergeCell ref="E151:E152"/>
    <mergeCell ref="F151:F152"/>
    <mergeCell ref="A177:A178"/>
    <mergeCell ref="B177:B178"/>
    <mergeCell ref="C274:C275"/>
    <mergeCell ref="E274:E275"/>
    <mergeCell ref="F274:F275"/>
    <mergeCell ref="A202:A203"/>
    <mergeCell ref="B202:B203"/>
    <mergeCell ref="C202:C203"/>
    <mergeCell ref="E202:E203"/>
    <mergeCell ref="F202:F203"/>
    <mergeCell ref="A226:A227"/>
    <mergeCell ref="B226:B227"/>
    <mergeCell ref="C300:C301"/>
    <mergeCell ref="E300:E301"/>
    <mergeCell ref="F300:F301"/>
    <mergeCell ref="A250:A251"/>
    <mergeCell ref="B250:B251"/>
    <mergeCell ref="C250:C251"/>
    <mergeCell ref="E250:E251"/>
    <mergeCell ref="F250:F251"/>
    <mergeCell ref="A274:A275"/>
    <mergeCell ref="B274:B275"/>
    <mergeCell ref="C326:C327"/>
    <mergeCell ref="E326:E327"/>
    <mergeCell ref="F326:F327"/>
    <mergeCell ref="A276:A277"/>
    <mergeCell ref="B276:B277"/>
    <mergeCell ref="C276:C277"/>
    <mergeCell ref="E276:E277"/>
    <mergeCell ref="F276:F277"/>
    <mergeCell ref="A300:A301"/>
    <mergeCell ref="B300:B301"/>
    <mergeCell ref="C352:C353"/>
    <mergeCell ref="E352:E353"/>
    <mergeCell ref="F352:F353"/>
    <mergeCell ref="A324:A325"/>
    <mergeCell ref="B324:B325"/>
    <mergeCell ref="C324:C325"/>
    <mergeCell ref="E324:E325"/>
    <mergeCell ref="F324:F325"/>
    <mergeCell ref="A326:A327"/>
    <mergeCell ref="B326:B327"/>
    <mergeCell ref="C378:C379"/>
    <mergeCell ref="E378:E379"/>
    <mergeCell ref="F378:F379"/>
    <mergeCell ref="A350:A351"/>
    <mergeCell ref="B350:B351"/>
    <mergeCell ref="C350:C351"/>
    <mergeCell ref="E350:E351"/>
    <mergeCell ref="F350:F351"/>
    <mergeCell ref="A352:A353"/>
    <mergeCell ref="B352:B353"/>
    <mergeCell ref="C404:C405"/>
    <mergeCell ref="E404:E405"/>
    <mergeCell ref="F404:F405"/>
    <mergeCell ref="A376:A377"/>
    <mergeCell ref="B376:B377"/>
    <mergeCell ref="C376:C377"/>
    <mergeCell ref="E376:E377"/>
    <mergeCell ref="F376:F377"/>
    <mergeCell ref="A378:A379"/>
    <mergeCell ref="B378:B379"/>
    <mergeCell ref="C430:C431"/>
    <mergeCell ref="E430:E431"/>
    <mergeCell ref="F430:F431"/>
    <mergeCell ref="A402:A403"/>
    <mergeCell ref="B402:B403"/>
    <mergeCell ref="C402:C403"/>
    <mergeCell ref="E402:E403"/>
    <mergeCell ref="F402:F403"/>
    <mergeCell ref="A404:A405"/>
    <mergeCell ref="B404:B405"/>
    <mergeCell ref="C456:C457"/>
    <mergeCell ref="E456:E457"/>
    <mergeCell ref="F456:F457"/>
    <mergeCell ref="A428:A429"/>
    <mergeCell ref="B428:B429"/>
    <mergeCell ref="C428:C429"/>
    <mergeCell ref="E428:E429"/>
    <mergeCell ref="F428:F429"/>
    <mergeCell ref="A430:A431"/>
    <mergeCell ref="B430:B431"/>
    <mergeCell ref="E481:E482"/>
    <mergeCell ref="F481:F482"/>
    <mergeCell ref="C600:J600"/>
    <mergeCell ref="A454:A455"/>
    <mergeCell ref="B454:B455"/>
    <mergeCell ref="C454:C455"/>
    <mergeCell ref="E454:E455"/>
    <mergeCell ref="F454:F455"/>
    <mergeCell ref="A456:A457"/>
    <mergeCell ref="B456:B457"/>
    <mergeCell ref="F13:G13"/>
    <mergeCell ref="C596:H596"/>
    <mergeCell ref="C597:J597"/>
    <mergeCell ref="C599:H599"/>
    <mergeCell ref="A14:H14"/>
    <mergeCell ref="A16:A17"/>
    <mergeCell ref="B16:B17"/>
    <mergeCell ref="A481:A482"/>
    <mergeCell ref="B481:B482"/>
    <mergeCell ref="C481:C482"/>
  </mergeCells>
  <printOptions/>
  <pageMargins left="0.39370078740157477" right="0.39370078740157477" top="0.7874015748031495" bottom="0.39370078740157477" header="0.7874015748031495" footer="0.3937007874015747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2:N98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36" customWidth="1"/>
    <col min="2" max="2" width="44.421875" style="10" customWidth="1"/>
    <col min="3" max="3" width="3.421875" style="44" customWidth="1"/>
    <col min="4" max="4" width="6.00390625" style="47" customWidth="1"/>
    <col min="5" max="5" width="6.00390625" style="10" customWidth="1"/>
    <col min="6" max="9" width="10.7109375" style="47" customWidth="1"/>
    <col min="10" max="11" width="18.7109375" style="47" customWidth="1"/>
    <col min="12" max="12" width="10.7109375" style="47" customWidth="1"/>
    <col min="13" max="13" width="9.140625" style="47" customWidth="1"/>
    <col min="14" max="14" width="3.421875" style="44" hidden="1" customWidth="1"/>
    <col min="15" max="16384" width="9.140625" style="47" customWidth="1"/>
  </cols>
  <sheetData>
    <row r="2" spans="1:14" ht="10.5">
      <c r="A2" s="73"/>
      <c r="B2" s="79"/>
      <c r="C2" s="79"/>
      <c r="D2" s="80"/>
      <c r="E2" s="79"/>
      <c r="F2" s="80"/>
      <c r="G2" s="80"/>
      <c r="H2" s="80"/>
      <c r="N2" s="47"/>
    </row>
    <row r="3" spans="1:14" ht="10.5">
      <c r="A3" s="42"/>
      <c r="B3" s="75" t="s">
        <v>379</v>
      </c>
      <c r="C3" s="75"/>
      <c r="D3" s="75"/>
      <c r="E3" s="75"/>
      <c r="F3" s="75"/>
      <c r="G3" s="75"/>
      <c r="H3" s="75"/>
      <c r="N3" s="47"/>
    </row>
    <row r="4" spans="1:14" ht="10.5">
      <c r="A4" s="42"/>
      <c r="B4" s="75" t="s">
        <v>380</v>
      </c>
      <c r="C4" s="75"/>
      <c r="D4" s="75"/>
      <c r="E4" s="75"/>
      <c r="F4" s="75"/>
      <c r="G4" s="75"/>
      <c r="H4" s="75"/>
      <c r="N4" s="47"/>
    </row>
    <row r="5" spans="1:14" ht="10.5">
      <c r="A5" s="73"/>
      <c r="B5" s="79"/>
      <c r="C5" s="79"/>
      <c r="D5" s="80"/>
      <c r="E5" s="79"/>
      <c r="F5" s="80"/>
      <c r="G5" s="80"/>
      <c r="H5" s="80"/>
      <c r="N5" s="47"/>
    </row>
    <row r="6" spans="1:13" s="41" customFormat="1" ht="10.5">
      <c r="A6" s="8"/>
      <c r="B6" s="41" t="s">
        <v>310</v>
      </c>
      <c r="C6" s="41" t="s">
        <v>442</v>
      </c>
      <c r="D6" s="37" t="s">
        <v>443</v>
      </c>
      <c r="E6" s="41" t="s">
        <v>444</v>
      </c>
      <c r="F6" s="41" t="s">
        <v>445</v>
      </c>
      <c r="G6" s="41" t="s">
        <v>446</v>
      </c>
      <c r="H6" s="41" t="s">
        <v>447</v>
      </c>
      <c r="I6" s="41" t="s">
        <v>448</v>
      </c>
      <c r="J6" s="41" t="s">
        <v>449</v>
      </c>
      <c r="K6" s="41" t="s">
        <v>450</v>
      </c>
      <c r="L6" s="41" t="s">
        <v>451</v>
      </c>
      <c r="M6" s="41" t="s">
        <v>452</v>
      </c>
    </row>
    <row r="7" spans="1:14" ht="10.5">
      <c r="A7" s="36">
        <v>1</v>
      </c>
      <c r="B7" s="10" t="s">
        <v>247</v>
      </c>
      <c r="C7" s="44" t="s">
        <v>453</v>
      </c>
      <c r="D7" s="47">
        <v>0</v>
      </c>
      <c r="E7" s="47"/>
      <c r="F7" s="43">
        <f>ROUND(SUM('Текущие цены с учетом расхода'!B6:B24),0)</f>
        <v>241383</v>
      </c>
      <c r="G7" s="43">
        <f>ROUND(SUM('Текущие цены с учетом расхода'!C6:C24),0)</f>
        <v>42200</v>
      </c>
      <c r="H7" s="43">
        <f>ROUND(SUM('Текущие цены с учетом расхода'!D6:D24),0)</f>
        <v>73858</v>
      </c>
      <c r="I7" s="43">
        <f>ROUND(SUM('Текущие цены с учетом расхода'!E6:E24),0)</f>
        <v>20211</v>
      </c>
      <c r="J7" s="48">
        <f>ROUND(SUM('Текущие цены с учетом расхода'!I6:I24),8)</f>
        <v>205.0228582</v>
      </c>
      <c r="K7" s="48">
        <f>ROUND(SUM('Текущие цены с учетом расхода'!K6:K24),8)</f>
        <v>80.08212</v>
      </c>
      <c r="L7" s="43">
        <f>ROUND(SUM('Текущие цены с учетом расхода'!F6:F24),0)</f>
        <v>125327</v>
      </c>
      <c r="N7" s="44" t="s">
        <v>439</v>
      </c>
    </row>
    <row r="8" spans="1:14" ht="10.5">
      <c r="A8" s="36">
        <v>2</v>
      </c>
      <c r="B8" s="10" t="s">
        <v>248</v>
      </c>
      <c r="C8" s="44" t="s">
        <v>454</v>
      </c>
      <c r="D8" s="47">
        <v>0</v>
      </c>
      <c r="F8" s="43">
        <f>ROUND(SUMIF(Определители!I6:I24,"= ",'Текущие цены с учетом расхода'!B6:B24),0)</f>
        <v>0</v>
      </c>
      <c r="G8" s="43">
        <f>ROUND(SUMIF(Определители!I6:I24,"= ",'Текущие цены с учетом расхода'!C6:C24),0)</f>
        <v>0</v>
      </c>
      <c r="H8" s="43">
        <f>ROUND(SUMIF(Определители!I6:I24,"= ",'Текущие цены с учетом расхода'!D6:D24),0)</f>
        <v>0</v>
      </c>
      <c r="I8" s="43">
        <f>ROUND(SUMIF(Определители!I6:I24,"= ",'Текущие цены с учетом расхода'!E6:E24),0)</f>
        <v>0</v>
      </c>
      <c r="J8" s="48">
        <f>ROUND(SUMIF(Определители!I6:I24,"= ",'Текущие цены с учетом расхода'!I6:I24),8)</f>
        <v>0</v>
      </c>
      <c r="K8" s="48">
        <f>ROUND(SUMIF(Определители!I6:I24,"= ",'Текущие цены с учетом расхода'!K6:K24),8)</f>
        <v>0</v>
      </c>
      <c r="L8" s="43">
        <f>ROUND(SUMIF(Определители!I6:I24,"= ",'Текущие цены с учетом расхода'!F6:F24),0)</f>
        <v>0</v>
      </c>
      <c r="N8" s="44" t="s">
        <v>441</v>
      </c>
    </row>
    <row r="9" spans="1:14" ht="10.5">
      <c r="A9" s="36">
        <v>3</v>
      </c>
      <c r="B9" s="10" t="s">
        <v>249</v>
      </c>
      <c r="C9" s="44" t="s">
        <v>454</v>
      </c>
      <c r="D9" s="47">
        <v>0</v>
      </c>
      <c r="F9" s="43">
        <f>ROUND(СУММПРОИЗВЕСЛИ(0.01,Определители!I6:I24," ",'Текущие цены с учетом расхода'!B6:B24,Начисления!X6:X24,0),0)</f>
        <v>0</v>
      </c>
      <c r="G9" s="43"/>
      <c r="H9" s="43"/>
      <c r="I9" s="43"/>
      <c r="J9" s="48"/>
      <c r="K9" s="48"/>
      <c r="L9" s="43"/>
      <c r="N9" s="44" t="s">
        <v>455</v>
      </c>
    </row>
    <row r="10" spans="1:14" ht="10.5">
      <c r="A10" s="36">
        <v>4</v>
      </c>
      <c r="B10" s="10" t="s">
        <v>250</v>
      </c>
      <c r="C10" s="44" t="s">
        <v>454</v>
      </c>
      <c r="D10" s="47">
        <v>0</v>
      </c>
      <c r="F10" s="43">
        <f>ROUND(СУММПРОИЗВЕСЛИ(0.01,Определители!I6:I24," ",'Текущие цены с учетом расхода'!B6:B24,Начисления!Y6:Y24,0),0)</f>
        <v>0</v>
      </c>
      <c r="G10" s="43"/>
      <c r="H10" s="43"/>
      <c r="I10" s="43"/>
      <c r="J10" s="48"/>
      <c r="K10" s="48"/>
      <c r="L10" s="43"/>
      <c r="N10" s="44" t="s">
        <v>456</v>
      </c>
    </row>
    <row r="11" spans="1:14" ht="10.5">
      <c r="A11" s="36">
        <v>5</v>
      </c>
      <c r="B11" s="10" t="s">
        <v>251</v>
      </c>
      <c r="C11" s="44" t="s">
        <v>454</v>
      </c>
      <c r="D11" s="47">
        <v>0</v>
      </c>
      <c r="F11" s="43">
        <f>ROUND(ТРАНСПРАСХОД(Определители!B6:B24,Определители!H6:H24,Определители!I6:I24,'Текущие цены с учетом расхода'!B6:B24,Начисления!Z6:Z24,Начисления!AA6:AA24),0)</f>
        <v>0</v>
      </c>
      <c r="G11" s="43"/>
      <c r="H11" s="43"/>
      <c r="I11" s="43"/>
      <c r="J11" s="48"/>
      <c r="K11" s="48"/>
      <c r="L11" s="43"/>
      <c r="N11" s="44" t="s">
        <v>457</v>
      </c>
    </row>
    <row r="12" spans="1:14" ht="10.5">
      <c r="A12" s="36">
        <v>6</v>
      </c>
      <c r="B12" s="10" t="s">
        <v>252</v>
      </c>
      <c r="C12" s="44" t="s">
        <v>454</v>
      </c>
      <c r="D12" s="47">
        <v>0</v>
      </c>
      <c r="F12" s="43">
        <f>ROUND(СУММПРОИЗВЕСЛИ(0.01,Определители!I6:I24," ",'Текущие цены с учетом расхода'!B6:B24,Начисления!AC6:AC24,0),0)</f>
        <v>0</v>
      </c>
      <c r="G12" s="43"/>
      <c r="H12" s="43"/>
      <c r="I12" s="43"/>
      <c r="J12" s="48"/>
      <c r="K12" s="48"/>
      <c r="L12" s="43"/>
      <c r="N12" s="44" t="s">
        <v>458</v>
      </c>
    </row>
    <row r="13" spans="1:14" ht="10.5">
      <c r="A13" s="36">
        <v>7</v>
      </c>
      <c r="B13" s="10" t="s">
        <v>253</v>
      </c>
      <c r="C13" s="44" t="s">
        <v>454</v>
      </c>
      <c r="D13" s="47">
        <v>0</v>
      </c>
      <c r="F13" s="43">
        <f>ROUND(СУММПРОИЗВЕСЛИ(0.01,Определители!I6:I24," ",'Текущие цены с учетом расхода'!B6:B24,Начисления!AF6:AF24,0),0)</f>
        <v>0</v>
      </c>
      <c r="G13" s="43"/>
      <c r="H13" s="43"/>
      <c r="I13" s="43"/>
      <c r="J13" s="48"/>
      <c r="K13" s="48"/>
      <c r="L13" s="43"/>
      <c r="N13" s="44" t="s">
        <v>459</v>
      </c>
    </row>
    <row r="14" spans="1:14" ht="10.5">
      <c r="A14" s="36">
        <v>8</v>
      </c>
      <c r="B14" s="10" t="s">
        <v>254</v>
      </c>
      <c r="C14" s="44" t="s">
        <v>454</v>
      </c>
      <c r="D14" s="47">
        <v>0</v>
      </c>
      <c r="F14" s="43">
        <f>ROUND(ЗАГОТСКЛАДРАСХОД(Определители!B6:B24,Определители!H6:H24,Определители!I6:I24,'Текущие цены с учетом расхода'!B6:B24,Начисления!X6:X24,Начисления!Y6:Y24,Начисления!Z6:Z24,Начисления!AA6:AA24,Начисления!AB6:AB24,Начисления!AC6:AC24,Начисления!AF6:AF24),0)</f>
        <v>0</v>
      </c>
      <c r="G14" s="43"/>
      <c r="H14" s="43"/>
      <c r="I14" s="43"/>
      <c r="J14" s="48"/>
      <c r="K14" s="48"/>
      <c r="L14" s="43"/>
      <c r="N14" s="44" t="s">
        <v>460</v>
      </c>
    </row>
    <row r="15" spans="1:14" ht="10.5">
      <c r="A15" s="36">
        <v>9</v>
      </c>
      <c r="B15" s="10" t="s">
        <v>255</v>
      </c>
      <c r="C15" s="44" t="s">
        <v>454</v>
      </c>
      <c r="D15" s="47">
        <v>0</v>
      </c>
      <c r="F15" s="43">
        <f>ROUND(СУММПРОИЗВЕСЛИ(1,Определители!I6:I24," ",'Текущие цены с учетом расхода'!M6:M24,Начисления!I6:I24,0),0)</f>
        <v>0</v>
      </c>
      <c r="G15" s="43"/>
      <c r="H15" s="43"/>
      <c r="I15" s="43"/>
      <c r="J15" s="48"/>
      <c r="K15" s="48"/>
      <c r="L15" s="43"/>
      <c r="N15" s="44" t="s">
        <v>461</v>
      </c>
    </row>
    <row r="16" spans="1:14" ht="10.5">
      <c r="A16" s="36">
        <v>10</v>
      </c>
      <c r="B16" s="10" t="s">
        <v>256</v>
      </c>
      <c r="C16" s="44" t="s">
        <v>462</v>
      </c>
      <c r="D16" s="47">
        <v>0</v>
      </c>
      <c r="F16" s="43">
        <f>ROUND((F15+F26+F46),0)</f>
        <v>0</v>
      </c>
      <c r="G16" s="43"/>
      <c r="H16" s="43"/>
      <c r="I16" s="43"/>
      <c r="J16" s="48"/>
      <c r="K16" s="48"/>
      <c r="L16" s="43"/>
      <c r="N16" s="44" t="s">
        <v>463</v>
      </c>
    </row>
    <row r="17" spans="1:14" ht="10.5">
      <c r="A17" s="36">
        <v>11</v>
      </c>
      <c r="B17" s="10" t="s">
        <v>257</v>
      </c>
      <c r="C17" s="44" t="s">
        <v>462</v>
      </c>
      <c r="D17" s="47">
        <v>0</v>
      </c>
      <c r="F17" s="43">
        <f>ROUND((F8+F9+F10+F11+F12+F13+F14+F16),0)</f>
        <v>0</v>
      </c>
      <c r="G17" s="43"/>
      <c r="H17" s="43"/>
      <c r="I17" s="43"/>
      <c r="J17" s="48"/>
      <c r="K17" s="48"/>
      <c r="L17" s="43"/>
      <c r="N17" s="44" t="s">
        <v>464</v>
      </c>
    </row>
    <row r="18" spans="1:14" ht="10.5">
      <c r="A18" s="36">
        <v>12</v>
      </c>
      <c r="B18" s="10" t="s">
        <v>258</v>
      </c>
      <c r="C18" s="44" t="s">
        <v>454</v>
      </c>
      <c r="D18" s="47">
        <v>0</v>
      </c>
      <c r="F18" s="43">
        <f>ROUND(SUMIF(Определители!I6:I24,"=1",'Текущие цены с учетом расхода'!B6:B24),0)</f>
        <v>0</v>
      </c>
      <c r="G18" s="43">
        <f>ROUND(SUMIF(Определители!I6:I24,"=1",'Текущие цены с учетом расхода'!C6:C24),0)</f>
        <v>0</v>
      </c>
      <c r="H18" s="43">
        <f>ROUND(SUMIF(Определители!I6:I24,"=1",'Текущие цены с учетом расхода'!D6:D24),0)</f>
        <v>0</v>
      </c>
      <c r="I18" s="43">
        <f>ROUND(SUMIF(Определители!I6:I24,"=1",'Текущие цены с учетом расхода'!E6:E24),0)</f>
        <v>0</v>
      </c>
      <c r="J18" s="48">
        <f>ROUND(SUMIF(Определители!I6:I24,"=1",'Текущие цены с учетом расхода'!I6:I24),8)</f>
        <v>0</v>
      </c>
      <c r="K18" s="48">
        <f>ROUND(SUMIF(Определители!I6:I24,"=1",'Текущие цены с учетом расхода'!K6:K24),8)</f>
        <v>0</v>
      </c>
      <c r="L18" s="43">
        <f>ROUND(SUMIF(Определители!I6:I24,"=1",'Текущие цены с учетом расхода'!F6:F24),0)</f>
        <v>0</v>
      </c>
      <c r="N18" s="44" t="s">
        <v>465</v>
      </c>
    </row>
    <row r="19" spans="1:14" ht="10.5">
      <c r="A19" s="36">
        <v>13</v>
      </c>
      <c r="B19" s="10" t="s">
        <v>259</v>
      </c>
      <c r="C19" s="44" t="s">
        <v>454</v>
      </c>
      <c r="D19" s="47">
        <v>0</v>
      </c>
      <c r="F19" s="43"/>
      <c r="G19" s="43"/>
      <c r="H19" s="43"/>
      <c r="I19" s="43"/>
      <c r="J19" s="48"/>
      <c r="K19" s="48"/>
      <c r="L19" s="43"/>
      <c r="N19" s="44" t="s">
        <v>466</v>
      </c>
    </row>
    <row r="20" spans="1:14" ht="10.5">
      <c r="A20" s="36">
        <v>14</v>
      </c>
      <c r="B20" s="10" t="s">
        <v>260</v>
      </c>
      <c r="C20" s="44" t="s">
        <v>454</v>
      </c>
      <c r="D20" s="47">
        <v>0</v>
      </c>
      <c r="F20" s="43"/>
      <c r="G20" s="43">
        <f>ROUND(SUMIF(Определители!I6:I24,"=1",'Текущие цены с учетом расхода'!T6:T24),0)</f>
        <v>0</v>
      </c>
      <c r="H20" s="43"/>
      <c r="I20" s="43"/>
      <c r="J20" s="48"/>
      <c r="K20" s="48"/>
      <c r="L20" s="43"/>
      <c r="N20" s="44" t="s">
        <v>467</v>
      </c>
    </row>
    <row r="21" spans="1:14" ht="10.5">
      <c r="A21" s="36">
        <v>15</v>
      </c>
      <c r="B21" s="10" t="s">
        <v>261</v>
      </c>
      <c r="C21" s="44" t="s">
        <v>454</v>
      </c>
      <c r="D21" s="47">
        <v>0</v>
      </c>
      <c r="F21" s="43">
        <f>ROUND(SUMIF(Определители!I6:I24,"=1",'Текущие цены с учетом расхода'!U6:U24),0)</f>
        <v>0</v>
      </c>
      <c r="G21" s="43"/>
      <c r="H21" s="43"/>
      <c r="I21" s="43"/>
      <c r="J21" s="48"/>
      <c r="K21" s="48"/>
      <c r="L21" s="43"/>
      <c r="N21" s="44" t="s">
        <v>468</v>
      </c>
    </row>
    <row r="22" spans="1:14" ht="10.5">
      <c r="A22" s="36">
        <v>16</v>
      </c>
      <c r="B22" s="10" t="s">
        <v>262</v>
      </c>
      <c r="C22" s="44" t="s">
        <v>454</v>
      </c>
      <c r="D22" s="47">
        <v>0</v>
      </c>
      <c r="F22" s="43">
        <f>ROUND(СУММЕСЛИ2(Определители!I6:I24,"1",Определители!G6:G24,"1",'Текущие цены с учетом расхода'!B6:B24),0)</f>
        <v>0</v>
      </c>
      <c r="G22" s="43"/>
      <c r="H22" s="43"/>
      <c r="I22" s="43"/>
      <c r="J22" s="48"/>
      <c r="K22" s="48"/>
      <c r="L22" s="43"/>
      <c r="N22" s="44" t="s">
        <v>469</v>
      </c>
    </row>
    <row r="23" spans="1:14" ht="10.5">
      <c r="A23" s="36">
        <v>17</v>
      </c>
      <c r="B23" s="10" t="s">
        <v>263</v>
      </c>
      <c r="C23" s="44" t="s">
        <v>454</v>
      </c>
      <c r="D23" s="47">
        <v>0</v>
      </c>
      <c r="F23" s="43">
        <f>ROUND(SUMIF(Определители!I6:I24,"=1",'Текущие цены с учетом расхода'!H6:H24),0)</f>
        <v>0</v>
      </c>
      <c r="G23" s="43"/>
      <c r="H23" s="43"/>
      <c r="I23" s="43"/>
      <c r="J23" s="48"/>
      <c r="K23" s="48"/>
      <c r="L23" s="43"/>
      <c r="N23" s="44" t="s">
        <v>470</v>
      </c>
    </row>
    <row r="24" spans="1:14" ht="10.5">
      <c r="A24" s="36">
        <v>18</v>
      </c>
      <c r="B24" s="10" t="s">
        <v>264</v>
      </c>
      <c r="C24" s="44" t="s">
        <v>454</v>
      </c>
      <c r="D24" s="47">
        <v>0</v>
      </c>
      <c r="F24" s="43">
        <f>ROUND(SUMIF(Определители!I6:I24,"=1",'Текущие цены с учетом расхода'!N6:N24),0)</f>
        <v>0</v>
      </c>
      <c r="G24" s="43"/>
      <c r="H24" s="43"/>
      <c r="I24" s="43"/>
      <c r="J24" s="48"/>
      <c r="K24" s="48"/>
      <c r="L24" s="43"/>
      <c r="N24" s="44" t="s">
        <v>471</v>
      </c>
    </row>
    <row r="25" spans="1:14" ht="10.5">
      <c r="A25" s="36">
        <v>19</v>
      </c>
      <c r="B25" s="10" t="s">
        <v>265</v>
      </c>
      <c r="C25" s="44" t="s">
        <v>454</v>
      </c>
      <c r="D25" s="47">
        <v>0</v>
      </c>
      <c r="F25" s="43">
        <f>ROUND(SUMIF(Определители!I6:I24,"=1",'Текущие цены с учетом расхода'!O6:O24),0)</f>
        <v>0</v>
      </c>
      <c r="G25" s="43"/>
      <c r="H25" s="43"/>
      <c r="I25" s="43"/>
      <c r="J25" s="48"/>
      <c r="K25" s="48"/>
      <c r="L25" s="43"/>
      <c r="N25" s="44" t="s">
        <v>472</v>
      </c>
    </row>
    <row r="26" spans="1:14" ht="10.5">
      <c r="A26" s="36">
        <v>20</v>
      </c>
      <c r="B26" s="10" t="s">
        <v>256</v>
      </c>
      <c r="C26" s="44" t="s">
        <v>454</v>
      </c>
      <c r="D26" s="47">
        <v>0</v>
      </c>
      <c r="F26" s="43">
        <f>ROUND(СУММПРОИЗВЕСЛИ(1,Определители!I6:I24," ",'Текущие цены с учетом расхода'!M6:M24,Начисления!I6:I24,0),0)</f>
        <v>0</v>
      </c>
      <c r="G26" s="43"/>
      <c r="H26" s="43"/>
      <c r="I26" s="43"/>
      <c r="J26" s="48"/>
      <c r="K26" s="48"/>
      <c r="L26" s="43"/>
      <c r="N26" s="44" t="s">
        <v>473</v>
      </c>
    </row>
    <row r="27" spans="1:14" ht="10.5">
      <c r="A27" s="36">
        <v>21</v>
      </c>
      <c r="B27" s="10" t="s">
        <v>266</v>
      </c>
      <c r="C27" s="44" t="s">
        <v>462</v>
      </c>
      <c r="D27" s="47">
        <v>0</v>
      </c>
      <c r="F27" s="43">
        <f>ROUND((F18+F24+F25),0)</f>
        <v>0</v>
      </c>
      <c r="G27" s="43"/>
      <c r="H27" s="43"/>
      <c r="I27" s="43"/>
      <c r="J27" s="48"/>
      <c r="K27" s="48"/>
      <c r="L27" s="43"/>
      <c r="N27" s="44" t="s">
        <v>474</v>
      </c>
    </row>
    <row r="28" spans="1:14" ht="10.5">
      <c r="A28" s="36">
        <v>22</v>
      </c>
      <c r="B28" s="10" t="s">
        <v>267</v>
      </c>
      <c r="C28" s="44" t="s">
        <v>454</v>
      </c>
      <c r="D28" s="47">
        <v>0</v>
      </c>
      <c r="F28" s="43">
        <f>ROUND(SUMIF(Определители!I6:I24,"=2",'Текущие цены с учетом расхода'!B6:B24),0)</f>
        <v>241383</v>
      </c>
      <c r="G28" s="43">
        <f>ROUND(SUMIF(Определители!I6:I24,"=2",'Текущие цены с учетом расхода'!C6:C24),0)</f>
        <v>42200</v>
      </c>
      <c r="H28" s="43">
        <f>ROUND(SUMIF(Определители!I6:I24,"=2",'Текущие цены с учетом расхода'!D6:D24),0)</f>
        <v>73858</v>
      </c>
      <c r="I28" s="43">
        <f>ROUND(SUMIF(Определители!I6:I24,"=2",'Текущие цены с учетом расхода'!E6:E24),0)</f>
        <v>20211</v>
      </c>
      <c r="J28" s="48">
        <f>ROUND(SUMIF(Определители!I6:I24,"=2",'Текущие цены с учетом расхода'!I6:I24),8)</f>
        <v>205.0228582</v>
      </c>
      <c r="K28" s="48">
        <f>ROUND(SUMIF(Определители!I6:I24,"=2",'Текущие цены с учетом расхода'!K6:K24),8)</f>
        <v>80.08212</v>
      </c>
      <c r="L28" s="43">
        <f>ROUND(SUMIF(Определители!I6:I24,"=2",'Текущие цены с учетом расхода'!F6:F24),0)</f>
        <v>125327</v>
      </c>
      <c r="N28" s="44" t="s">
        <v>475</v>
      </c>
    </row>
    <row r="29" spans="1:14" ht="10.5">
      <c r="A29" s="36">
        <v>23</v>
      </c>
      <c r="B29" s="10" t="s">
        <v>259</v>
      </c>
      <c r="C29" s="44" t="s">
        <v>454</v>
      </c>
      <c r="D29" s="47">
        <v>0</v>
      </c>
      <c r="F29" s="43"/>
      <c r="G29" s="43"/>
      <c r="H29" s="43"/>
      <c r="I29" s="43"/>
      <c r="J29" s="48"/>
      <c r="K29" s="48"/>
      <c r="L29" s="43"/>
      <c r="N29" s="44" t="s">
        <v>476</v>
      </c>
    </row>
    <row r="30" spans="1:14" ht="10.5">
      <c r="A30" s="36">
        <v>24</v>
      </c>
      <c r="B30" s="10" t="s">
        <v>268</v>
      </c>
      <c r="C30" s="44" t="s">
        <v>454</v>
      </c>
      <c r="D30" s="47">
        <v>0</v>
      </c>
      <c r="F30" s="43">
        <f>ROUND(СУММЕСЛИ2(Определители!I6:I24,"2",Определители!G6:G24,"1",'Текущие цены с учетом расхода'!B6:B24),0)</f>
        <v>0</v>
      </c>
      <c r="G30" s="43"/>
      <c r="H30" s="43"/>
      <c r="I30" s="43"/>
      <c r="J30" s="48"/>
      <c r="K30" s="48"/>
      <c r="L30" s="43"/>
      <c r="N30" s="44" t="s">
        <v>477</v>
      </c>
    </row>
    <row r="31" spans="1:14" ht="10.5">
      <c r="A31" s="36">
        <v>25</v>
      </c>
      <c r="B31" s="10" t="s">
        <v>263</v>
      </c>
      <c r="C31" s="44" t="s">
        <v>454</v>
      </c>
      <c r="D31" s="47">
        <v>0</v>
      </c>
      <c r="F31" s="43">
        <f>ROUND(SUMIF(Определители!I6:I24,"=2",'Текущие цены с учетом расхода'!H6:H24),0)</f>
        <v>0</v>
      </c>
      <c r="G31" s="43"/>
      <c r="H31" s="43"/>
      <c r="I31" s="43"/>
      <c r="J31" s="48"/>
      <c r="K31" s="48"/>
      <c r="L31" s="43"/>
      <c r="N31" s="44" t="s">
        <v>478</v>
      </c>
    </row>
    <row r="32" spans="1:14" ht="10.5">
      <c r="A32" s="36">
        <v>26</v>
      </c>
      <c r="B32" s="10" t="s">
        <v>264</v>
      </c>
      <c r="C32" s="44" t="s">
        <v>454</v>
      </c>
      <c r="D32" s="47">
        <v>0</v>
      </c>
      <c r="F32" s="43">
        <f>ROUND(SUMIF(Определители!I6:I24,"=2",'Текущие цены с учетом расхода'!N6:N24),0)</f>
        <v>65770</v>
      </c>
      <c r="G32" s="43"/>
      <c r="H32" s="43"/>
      <c r="I32" s="43"/>
      <c r="J32" s="48"/>
      <c r="K32" s="48"/>
      <c r="L32" s="43"/>
      <c r="N32" s="44" t="s">
        <v>479</v>
      </c>
    </row>
    <row r="33" spans="1:14" ht="10.5">
      <c r="A33" s="36">
        <v>27</v>
      </c>
      <c r="B33" s="10" t="s">
        <v>265</v>
      </c>
      <c r="C33" s="44" t="s">
        <v>454</v>
      </c>
      <c r="D33" s="47">
        <v>0</v>
      </c>
      <c r="F33" s="43">
        <f>ROUND(SUMIF(Определители!I6:I24,"=2",'Текущие цены с учетом расхода'!O6:O24),0)</f>
        <v>28521</v>
      </c>
      <c r="G33" s="43"/>
      <c r="H33" s="43"/>
      <c r="I33" s="43"/>
      <c r="J33" s="48"/>
      <c r="K33" s="48"/>
      <c r="L33" s="43"/>
      <c r="N33" s="44" t="s">
        <v>480</v>
      </c>
    </row>
    <row r="34" spans="1:14" ht="10.5">
      <c r="A34" s="36">
        <v>28</v>
      </c>
      <c r="B34" s="10" t="s">
        <v>269</v>
      </c>
      <c r="C34" s="44" t="s">
        <v>462</v>
      </c>
      <c r="D34" s="47">
        <v>0</v>
      </c>
      <c r="F34" s="43">
        <f>ROUND((F28+F32+F33),0)</f>
        <v>335674</v>
      </c>
      <c r="G34" s="43"/>
      <c r="H34" s="43"/>
      <c r="I34" s="43"/>
      <c r="J34" s="48"/>
      <c r="K34" s="48"/>
      <c r="L34" s="43"/>
      <c r="N34" s="44" t="s">
        <v>481</v>
      </c>
    </row>
    <row r="35" spans="1:14" ht="10.5">
      <c r="A35" s="36">
        <v>29</v>
      </c>
      <c r="B35" s="10" t="s">
        <v>270</v>
      </c>
      <c r="C35" s="44" t="s">
        <v>454</v>
      </c>
      <c r="D35" s="47">
        <v>0</v>
      </c>
      <c r="F35" s="43">
        <f>ROUND(SUMIF(Определители!I6:I24,"=3",'Текущие цены с учетом расхода'!B6:B24),0)</f>
        <v>0</v>
      </c>
      <c r="G35" s="43">
        <f>ROUND(SUMIF(Определители!I6:I24,"=3",'Текущие цены с учетом расхода'!C6:C24),0)</f>
        <v>0</v>
      </c>
      <c r="H35" s="43">
        <f>ROUND(SUMIF(Определители!I6:I24,"=3",'Текущие цены с учетом расхода'!D6:D24),0)</f>
        <v>0</v>
      </c>
      <c r="I35" s="43">
        <f>ROUND(SUMIF(Определители!I6:I24,"=3",'Текущие цены с учетом расхода'!E6:E24),0)</f>
        <v>0</v>
      </c>
      <c r="J35" s="48">
        <f>ROUND(SUMIF(Определители!I6:I24,"=3",'Текущие цены с учетом расхода'!I6:I24),8)</f>
        <v>0</v>
      </c>
      <c r="K35" s="48">
        <f>ROUND(SUMIF(Определители!I6:I24,"=3",'Текущие цены с учетом расхода'!K6:K24),8)</f>
        <v>0</v>
      </c>
      <c r="L35" s="43">
        <f>ROUND(SUMIF(Определители!I6:I24,"=3",'Текущие цены с учетом расхода'!F6:F24),0)</f>
        <v>0</v>
      </c>
      <c r="N35" s="44" t="s">
        <v>482</v>
      </c>
    </row>
    <row r="36" spans="1:14" ht="10.5">
      <c r="A36" s="36">
        <v>30</v>
      </c>
      <c r="B36" s="10" t="s">
        <v>263</v>
      </c>
      <c r="C36" s="44" t="s">
        <v>454</v>
      </c>
      <c r="D36" s="47">
        <v>0</v>
      </c>
      <c r="F36" s="43">
        <f>ROUND(SUMIF(Определители!I6:I24,"=3",'Текущие цены с учетом расхода'!H6:H24),0)</f>
        <v>0</v>
      </c>
      <c r="G36" s="43"/>
      <c r="H36" s="43"/>
      <c r="I36" s="43"/>
      <c r="J36" s="48"/>
      <c r="K36" s="48"/>
      <c r="L36" s="43"/>
      <c r="N36" s="44" t="s">
        <v>483</v>
      </c>
    </row>
    <row r="37" spans="1:14" ht="10.5">
      <c r="A37" s="36">
        <v>31</v>
      </c>
      <c r="B37" s="10" t="s">
        <v>264</v>
      </c>
      <c r="C37" s="44" t="s">
        <v>454</v>
      </c>
      <c r="D37" s="47">
        <v>0</v>
      </c>
      <c r="F37" s="43">
        <f>ROUND(SUMIF(Определители!I6:I24,"=3",'Текущие цены с учетом расхода'!N6:N24),0)</f>
        <v>0</v>
      </c>
      <c r="G37" s="43"/>
      <c r="H37" s="43"/>
      <c r="I37" s="43"/>
      <c r="J37" s="48"/>
      <c r="K37" s="48"/>
      <c r="L37" s="43"/>
      <c r="N37" s="44" t="s">
        <v>484</v>
      </c>
    </row>
    <row r="38" spans="1:14" ht="10.5">
      <c r="A38" s="36">
        <v>32</v>
      </c>
      <c r="B38" s="10" t="s">
        <v>265</v>
      </c>
      <c r="C38" s="44" t="s">
        <v>454</v>
      </c>
      <c r="D38" s="47">
        <v>0</v>
      </c>
      <c r="F38" s="43">
        <f>ROUND(SUMIF(Определители!I6:I24,"=3",'Текущие цены с учетом расхода'!O6:O24),0)</f>
        <v>0</v>
      </c>
      <c r="G38" s="43"/>
      <c r="H38" s="43"/>
      <c r="I38" s="43"/>
      <c r="J38" s="48"/>
      <c r="K38" s="48"/>
      <c r="L38" s="43"/>
      <c r="N38" s="44" t="s">
        <v>485</v>
      </c>
    </row>
    <row r="39" spans="1:14" ht="10.5">
      <c r="A39" s="36">
        <v>33</v>
      </c>
      <c r="B39" s="10" t="s">
        <v>271</v>
      </c>
      <c r="C39" s="44" t="s">
        <v>462</v>
      </c>
      <c r="D39" s="47">
        <v>0</v>
      </c>
      <c r="F39" s="43">
        <f>ROUND((F35+F37+F38),0)</f>
        <v>0</v>
      </c>
      <c r="G39" s="43"/>
      <c r="H39" s="43"/>
      <c r="I39" s="43"/>
      <c r="J39" s="48"/>
      <c r="K39" s="48"/>
      <c r="L39" s="43"/>
      <c r="N39" s="44" t="s">
        <v>486</v>
      </c>
    </row>
    <row r="40" spans="1:14" ht="10.5">
      <c r="A40" s="36">
        <v>34</v>
      </c>
      <c r="B40" s="10" t="s">
        <v>272</v>
      </c>
      <c r="C40" s="44" t="s">
        <v>454</v>
      </c>
      <c r="D40" s="47">
        <v>0</v>
      </c>
      <c r="F40" s="43">
        <f>ROUND(SUMIF(Определители!I6:I24,"=4",'Текущие цены с учетом расхода'!B6:B24),0)</f>
        <v>0</v>
      </c>
      <c r="G40" s="43">
        <f>ROUND(SUMIF(Определители!I6:I24,"=4",'Текущие цены с учетом расхода'!C6:C24),0)</f>
        <v>0</v>
      </c>
      <c r="H40" s="43">
        <f>ROUND(SUMIF(Определители!I6:I24,"=4",'Текущие цены с учетом расхода'!D6:D24),0)</f>
        <v>0</v>
      </c>
      <c r="I40" s="43">
        <f>ROUND(SUMIF(Определители!I6:I24,"=4",'Текущие цены с учетом расхода'!E6:E24),0)</f>
        <v>0</v>
      </c>
      <c r="J40" s="48">
        <f>ROUND(SUMIF(Определители!I6:I24,"=4",'Текущие цены с учетом расхода'!I6:I24),8)</f>
        <v>0</v>
      </c>
      <c r="K40" s="48">
        <f>ROUND(SUMIF(Определители!I6:I24,"=4",'Текущие цены с учетом расхода'!K6:K24),8)</f>
        <v>0</v>
      </c>
      <c r="L40" s="43">
        <f>ROUND(SUMIF(Определители!I6:I24,"=4",'Текущие цены с учетом расхода'!F6:F24),0)</f>
        <v>0</v>
      </c>
      <c r="N40" s="44" t="s">
        <v>487</v>
      </c>
    </row>
    <row r="41" spans="1:14" ht="10.5">
      <c r="A41" s="36">
        <v>35</v>
      </c>
      <c r="B41" s="10" t="s">
        <v>259</v>
      </c>
      <c r="C41" s="44" t="s">
        <v>454</v>
      </c>
      <c r="D41" s="47">
        <v>0</v>
      </c>
      <c r="F41" s="43"/>
      <c r="G41" s="43"/>
      <c r="H41" s="43"/>
      <c r="I41" s="43"/>
      <c r="J41" s="48"/>
      <c r="K41" s="48"/>
      <c r="L41" s="43"/>
      <c r="N41" s="44" t="s">
        <v>488</v>
      </c>
    </row>
    <row r="42" spans="1:14" ht="10.5">
      <c r="A42" s="36">
        <v>36</v>
      </c>
      <c r="B42" s="10" t="s">
        <v>273</v>
      </c>
      <c r="C42" s="44" t="s">
        <v>454</v>
      </c>
      <c r="D42" s="47">
        <v>0</v>
      </c>
      <c r="F42" s="43">
        <f>ROUND(SUMIF(Определители!I6:I24,"=4",'Текущие цены с учетом расхода'!AJ6:AJ24),0)</f>
        <v>0</v>
      </c>
      <c r="G42" s="43">
        <f>ROUND(SUMIF(Определители!I6:I24,"=4",'Текущие цены с учетом расхода'!AI6:AI24),0)</f>
        <v>0</v>
      </c>
      <c r="H42" s="43">
        <f>ROUND(SUMIF(Определители!I6:I24,"=4",'Текущие цены с учетом расхода'!AH6:AH24),0)</f>
        <v>0</v>
      </c>
      <c r="I42" s="43">
        <f>ROUND(SUMIF(Определители!I6:I24,"=4",'Текущие цены с учетом расхода'!V6:V24),0)</f>
        <v>0</v>
      </c>
      <c r="J42" s="48"/>
      <c r="K42" s="48"/>
      <c r="L42" s="43"/>
      <c r="N42" s="44" t="s">
        <v>489</v>
      </c>
    </row>
    <row r="43" spans="1:14" ht="10.5">
      <c r="A43" s="36">
        <v>37</v>
      </c>
      <c r="B43" s="10" t="s">
        <v>263</v>
      </c>
      <c r="C43" s="44" t="s">
        <v>454</v>
      </c>
      <c r="D43" s="47">
        <v>0</v>
      </c>
      <c r="F43" s="43">
        <f>ROUND(SUMIF(Определители!I6:I24,"=4",'Текущие цены с учетом расхода'!H6:H24),0)</f>
        <v>0</v>
      </c>
      <c r="G43" s="43"/>
      <c r="H43" s="43"/>
      <c r="I43" s="43"/>
      <c r="J43" s="48"/>
      <c r="K43" s="48"/>
      <c r="L43" s="43"/>
      <c r="N43" s="44" t="s">
        <v>490</v>
      </c>
    </row>
    <row r="44" spans="1:14" ht="10.5">
      <c r="A44" s="36">
        <v>38</v>
      </c>
      <c r="B44" s="10" t="s">
        <v>264</v>
      </c>
      <c r="C44" s="44" t="s">
        <v>454</v>
      </c>
      <c r="D44" s="47">
        <v>0</v>
      </c>
      <c r="F44" s="43">
        <f>ROUND(SUMIF(Определители!I6:I24,"=4",'Текущие цены с учетом расхода'!N6:N24),0)</f>
        <v>0</v>
      </c>
      <c r="G44" s="43"/>
      <c r="H44" s="43"/>
      <c r="I44" s="43"/>
      <c r="J44" s="48"/>
      <c r="K44" s="48"/>
      <c r="L44" s="43"/>
      <c r="N44" s="44" t="s">
        <v>491</v>
      </c>
    </row>
    <row r="45" spans="1:14" ht="10.5">
      <c r="A45" s="36">
        <v>39</v>
      </c>
      <c r="B45" s="10" t="s">
        <v>265</v>
      </c>
      <c r="C45" s="44" t="s">
        <v>454</v>
      </c>
      <c r="D45" s="47">
        <v>0</v>
      </c>
      <c r="F45" s="43">
        <f>ROUND(SUMIF(Определители!I6:I24,"=4",'Текущие цены с учетом расхода'!O6:O24),0)</f>
        <v>0</v>
      </c>
      <c r="G45" s="43"/>
      <c r="H45" s="43"/>
      <c r="I45" s="43"/>
      <c r="J45" s="48"/>
      <c r="K45" s="48"/>
      <c r="L45" s="43"/>
      <c r="N45" s="44" t="s">
        <v>492</v>
      </c>
    </row>
    <row r="46" spans="1:14" ht="10.5">
      <c r="A46" s="36">
        <v>40</v>
      </c>
      <c r="B46" s="10" t="s">
        <v>256</v>
      </c>
      <c r="C46" s="44" t="s">
        <v>454</v>
      </c>
      <c r="D46" s="47">
        <v>0</v>
      </c>
      <c r="F46" s="43">
        <f>ROUND(СУММПРОИЗВЕСЛИ(1,Определители!I6:I24," ",'Текущие цены с учетом расхода'!M6:M24,Начисления!I6:I24,0),0)</f>
        <v>0</v>
      </c>
      <c r="G46" s="43"/>
      <c r="H46" s="43"/>
      <c r="I46" s="43"/>
      <c r="J46" s="48"/>
      <c r="K46" s="48"/>
      <c r="L46" s="43"/>
      <c r="N46" s="44" t="s">
        <v>493</v>
      </c>
    </row>
    <row r="47" spans="1:14" ht="10.5">
      <c r="A47" s="36">
        <v>41</v>
      </c>
      <c r="B47" s="10" t="s">
        <v>274</v>
      </c>
      <c r="C47" s="44" t="s">
        <v>462</v>
      </c>
      <c r="D47" s="47">
        <v>0</v>
      </c>
      <c r="F47" s="43">
        <f>ROUND((F40+F44+F45),0)</f>
        <v>0</v>
      </c>
      <c r="G47" s="43"/>
      <c r="H47" s="43"/>
      <c r="I47" s="43"/>
      <c r="J47" s="48"/>
      <c r="K47" s="48"/>
      <c r="L47" s="43"/>
      <c r="N47" s="44" t="s">
        <v>494</v>
      </c>
    </row>
    <row r="48" spans="1:14" ht="10.5">
      <c r="A48" s="36">
        <v>42</v>
      </c>
      <c r="B48" s="10" t="s">
        <v>275</v>
      </c>
      <c r="C48" s="44" t="s">
        <v>454</v>
      </c>
      <c r="D48" s="47">
        <v>0</v>
      </c>
      <c r="F48" s="43">
        <f>ROUND(SUMIF(Определители!I6:I24,"=5",'Текущие цены с учетом расхода'!B6:B24),0)</f>
        <v>0</v>
      </c>
      <c r="G48" s="43">
        <f>ROUND(SUMIF(Определители!I6:I24,"=5",'Текущие цены с учетом расхода'!C6:C24),0)</f>
        <v>0</v>
      </c>
      <c r="H48" s="43">
        <f>ROUND(SUMIF(Определители!I6:I24,"=5",'Текущие цены с учетом расхода'!D6:D24),0)</f>
        <v>0</v>
      </c>
      <c r="I48" s="43">
        <f>ROUND(SUMIF(Определители!I6:I24,"=5",'Текущие цены с учетом расхода'!E6:E24),0)</f>
        <v>0</v>
      </c>
      <c r="J48" s="48">
        <f>ROUND(SUMIF(Определители!I6:I24,"=5",'Текущие цены с учетом расхода'!I6:I24),8)</f>
        <v>0</v>
      </c>
      <c r="K48" s="48">
        <f>ROUND(SUMIF(Определители!I6:I24,"=5",'Текущие цены с учетом расхода'!K6:K24),8)</f>
        <v>0</v>
      </c>
      <c r="L48" s="43">
        <f>ROUND(SUMIF(Определители!I6:I24,"=5",'Текущие цены с учетом расхода'!F6:F24),0)</f>
        <v>0</v>
      </c>
      <c r="N48" s="44" t="s">
        <v>495</v>
      </c>
    </row>
    <row r="49" spans="1:14" ht="10.5">
      <c r="A49" s="36">
        <v>43</v>
      </c>
      <c r="B49" s="10" t="s">
        <v>263</v>
      </c>
      <c r="C49" s="44" t="s">
        <v>454</v>
      </c>
      <c r="D49" s="47">
        <v>0</v>
      </c>
      <c r="F49" s="43">
        <f>ROUND(SUMIF(Определители!I6:I24,"=5",'Текущие цены с учетом расхода'!H6:H24),0)</f>
        <v>0</v>
      </c>
      <c r="G49" s="43"/>
      <c r="H49" s="43"/>
      <c r="I49" s="43"/>
      <c r="J49" s="48"/>
      <c r="K49" s="48"/>
      <c r="L49" s="43"/>
      <c r="N49" s="44" t="s">
        <v>496</v>
      </c>
    </row>
    <row r="50" spans="1:14" ht="10.5">
      <c r="A50" s="36">
        <v>44</v>
      </c>
      <c r="B50" s="10" t="s">
        <v>264</v>
      </c>
      <c r="C50" s="44" t="s">
        <v>454</v>
      </c>
      <c r="D50" s="47">
        <v>0</v>
      </c>
      <c r="F50" s="43">
        <f>ROUND(SUMIF(Определители!I6:I24,"=5",'Текущие цены с учетом расхода'!N6:N24),0)</f>
        <v>0</v>
      </c>
      <c r="G50" s="43"/>
      <c r="H50" s="43"/>
      <c r="I50" s="43"/>
      <c r="J50" s="48"/>
      <c r="K50" s="48"/>
      <c r="L50" s="43"/>
      <c r="N50" s="44" t="s">
        <v>497</v>
      </c>
    </row>
    <row r="51" spans="1:14" ht="10.5">
      <c r="A51" s="36">
        <v>45</v>
      </c>
      <c r="B51" s="10" t="s">
        <v>265</v>
      </c>
      <c r="C51" s="44" t="s">
        <v>454</v>
      </c>
      <c r="D51" s="47">
        <v>0</v>
      </c>
      <c r="F51" s="43">
        <f>ROUND(SUMIF(Определители!I6:I24,"=5",'Текущие цены с учетом расхода'!O6:O24),0)</f>
        <v>0</v>
      </c>
      <c r="G51" s="43"/>
      <c r="H51" s="43"/>
      <c r="I51" s="43"/>
      <c r="J51" s="48"/>
      <c r="K51" s="48"/>
      <c r="L51" s="43"/>
      <c r="N51" s="44" t="s">
        <v>498</v>
      </c>
    </row>
    <row r="52" spans="1:14" ht="10.5">
      <c r="A52" s="36">
        <v>46</v>
      </c>
      <c r="B52" s="10" t="s">
        <v>276</v>
      </c>
      <c r="C52" s="44" t="s">
        <v>462</v>
      </c>
      <c r="D52" s="47">
        <v>0</v>
      </c>
      <c r="F52" s="43">
        <f>ROUND((F48+F50+F51),0)</f>
        <v>0</v>
      </c>
      <c r="G52" s="43"/>
      <c r="H52" s="43"/>
      <c r="I52" s="43"/>
      <c r="J52" s="48"/>
      <c r="K52" s="48"/>
      <c r="L52" s="43"/>
      <c r="N52" s="44" t="s">
        <v>499</v>
      </c>
    </row>
    <row r="53" spans="1:14" ht="10.5">
      <c r="A53" s="36">
        <v>47</v>
      </c>
      <c r="B53" s="10" t="s">
        <v>277</v>
      </c>
      <c r="C53" s="44" t="s">
        <v>454</v>
      </c>
      <c r="D53" s="47">
        <v>0</v>
      </c>
      <c r="F53" s="43">
        <f>ROUND(SUMIF(Определители!I6:I24,"=6",'Текущие цены с учетом расхода'!B6:B24),0)</f>
        <v>0</v>
      </c>
      <c r="G53" s="43">
        <f>ROUND(SUMIF(Определители!I6:I24,"=6",'Текущие цены с учетом расхода'!C6:C24),0)</f>
        <v>0</v>
      </c>
      <c r="H53" s="43">
        <f>ROUND(SUMIF(Определители!I6:I24,"=6",'Текущие цены с учетом расхода'!D6:D24),0)</f>
        <v>0</v>
      </c>
      <c r="I53" s="43">
        <f>ROUND(SUMIF(Определители!I6:I24,"=6",'Текущие цены с учетом расхода'!E6:E24),0)</f>
        <v>0</v>
      </c>
      <c r="J53" s="48">
        <f>ROUND(SUMIF(Определители!I6:I24,"=6",'Текущие цены с учетом расхода'!I6:I24),8)</f>
        <v>0</v>
      </c>
      <c r="K53" s="48">
        <f>ROUND(SUMIF(Определители!I6:I24,"=6",'Текущие цены с учетом расхода'!K6:K24),8)</f>
        <v>0</v>
      </c>
      <c r="L53" s="43">
        <f>ROUND(SUMIF(Определители!I6:I24,"=6",'Текущие цены с учетом расхода'!F6:F24),0)</f>
        <v>0</v>
      </c>
      <c r="N53" s="44" t="s">
        <v>500</v>
      </c>
    </row>
    <row r="54" spans="1:14" ht="10.5">
      <c r="A54" s="36">
        <v>48</v>
      </c>
      <c r="B54" s="10" t="s">
        <v>263</v>
      </c>
      <c r="C54" s="44" t="s">
        <v>454</v>
      </c>
      <c r="D54" s="47">
        <v>0</v>
      </c>
      <c r="F54" s="43">
        <f>ROUND(SUMIF(Определители!I6:I24,"=6",'Текущие цены с учетом расхода'!H6:H24),0)</f>
        <v>0</v>
      </c>
      <c r="G54" s="43"/>
      <c r="H54" s="43"/>
      <c r="I54" s="43"/>
      <c r="J54" s="48"/>
      <c r="K54" s="48"/>
      <c r="L54" s="43"/>
      <c r="N54" s="44" t="s">
        <v>501</v>
      </c>
    </row>
    <row r="55" spans="1:14" ht="10.5">
      <c r="A55" s="36">
        <v>49</v>
      </c>
      <c r="B55" s="10" t="s">
        <v>264</v>
      </c>
      <c r="C55" s="44" t="s">
        <v>454</v>
      </c>
      <c r="D55" s="47">
        <v>0</v>
      </c>
      <c r="F55" s="43">
        <f>ROUND(SUMIF(Определители!I6:I24,"=6",'Текущие цены с учетом расхода'!N6:N24),0)</f>
        <v>0</v>
      </c>
      <c r="G55" s="43"/>
      <c r="H55" s="43"/>
      <c r="I55" s="43"/>
      <c r="J55" s="48"/>
      <c r="K55" s="48"/>
      <c r="L55" s="43"/>
      <c r="N55" s="44" t="s">
        <v>502</v>
      </c>
    </row>
    <row r="56" spans="1:14" ht="10.5">
      <c r="A56" s="36">
        <v>50</v>
      </c>
      <c r="B56" s="10" t="s">
        <v>265</v>
      </c>
      <c r="C56" s="44" t="s">
        <v>454</v>
      </c>
      <c r="D56" s="47">
        <v>0</v>
      </c>
      <c r="F56" s="43">
        <f>ROUND(SUMIF(Определители!I6:I24,"=6",'Текущие цены с учетом расхода'!O6:O24),0)</f>
        <v>0</v>
      </c>
      <c r="G56" s="43"/>
      <c r="H56" s="43"/>
      <c r="I56" s="43"/>
      <c r="J56" s="48"/>
      <c r="K56" s="48"/>
      <c r="L56" s="43"/>
      <c r="N56" s="44" t="s">
        <v>503</v>
      </c>
    </row>
    <row r="57" spans="1:14" ht="10.5">
      <c r="A57" s="36">
        <v>51</v>
      </c>
      <c r="B57" s="10" t="s">
        <v>278</v>
      </c>
      <c r="C57" s="44" t="s">
        <v>462</v>
      </c>
      <c r="D57" s="47">
        <v>0</v>
      </c>
      <c r="F57" s="43">
        <f>ROUND((F53+F55+F56),0)</f>
        <v>0</v>
      </c>
      <c r="G57" s="43"/>
      <c r="H57" s="43"/>
      <c r="I57" s="43"/>
      <c r="J57" s="48"/>
      <c r="K57" s="48"/>
      <c r="L57" s="43"/>
      <c r="N57" s="44" t="s">
        <v>504</v>
      </c>
    </row>
    <row r="58" spans="1:14" ht="10.5">
      <c r="A58" s="36">
        <v>52</v>
      </c>
      <c r="B58" s="10" t="s">
        <v>279</v>
      </c>
      <c r="C58" s="44" t="s">
        <v>454</v>
      </c>
      <c r="D58" s="47">
        <v>0</v>
      </c>
      <c r="F58" s="43">
        <f>ROUND(SUMIF(Определители!I6:I24,"=7",'Текущие цены с учетом расхода'!B6:B24),0)</f>
        <v>0</v>
      </c>
      <c r="G58" s="43">
        <f>ROUND(SUMIF(Определители!I6:I24,"=7",'Текущие цены с учетом расхода'!C6:C24),0)</f>
        <v>0</v>
      </c>
      <c r="H58" s="43">
        <f>ROUND(SUMIF(Определители!I6:I24,"=7",'Текущие цены с учетом расхода'!D6:D24),0)</f>
        <v>0</v>
      </c>
      <c r="I58" s="43">
        <f>ROUND(SUMIF(Определители!I6:I24,"=7",'Текущие цены с учетом расхода'!E6:E24),0)</f>
        <v>0</v>
      </c>
      <c r="J58" s="48">
        <f>ROUND(SUMIF(Определители!I6:I24,"=7",'Текущие цены с учетом расхода'!I6:I24),8)</f>
        <v>0</v>
      </c>
      <c r="K58" s="48">
        <f>ROUND(SUMIF(Определители!I6:I24,"=7",'Текущие цены с учетом расхода'!K6:K24),8)</f>
        <v>0</v>
      </c>
      <c r="L58" s="43">
        <f>ROUND(SUMIF(Определители!I6:I24,"=7",'Текущие цены с учетом расхода'!F6:F24),0)</f>
        <v>0</v>
      </c>
      <c r="N58" s="44" t="s">
        <v>505</v>
      </c>
    </row>
    <row r="59" spans="1:14" ht="10.5">
      <c r="A59" s="36">
        <v>53</v>
      </c>
      <c r="B59" s="10" t="s">
        <v>259</v>
      </c>
      <c r="C59" s="44" t="s">
        <v>454</v>
      </c>
      <c r="D59" s="47">
        <v>0</v>
      </c>
      <c r="F59" s="43"/>
      <c r="G59" s="43"/>
      <c r="H59" s="43"/>
      <c r="I59" s="43"/>
      <c r="J59" s="48"/>
      <c r="K59" s="48"/>
      <c r="L59" s="43"/>
      <c r="N59" s="44" t="s">
        <v>506</v>
      </c>
    </row>
    <row r="60" spans="1:14" ht="10.5">
      <c r="A60" s="36">
        <v>54</v>
      </c>
      <c r="B60" s="10" t="s">
        <v>268</v>
      </c>
      <c r="C60" s="44" t="s">
        <v>454</v>
      </c>
      <c r="D60" s="47">
        <v>0</v>
      </c>
      <c r="F60" s="43">
        <f>ROUND(СУММЕСЛИ2(Определители!I6:I24,"2",Определители!G6:G24,"1",'Текущие цены с учетом расхода'!B6:B24),0)</f>
        <v>0</v>
      </c>
      <c r="G60" s="43"/>
      <c r="H60" s="43"/>
      <c r="I60" s="43"/>
      <c r="J60" s="48"/>
      <c r="K60" s="48"/>
      <c r="L60" s="43"/>
      <c r="N60" s="44" t="s">
        <v>507</v>
      </c>
    </row>
    <row r="61" spans="1:14" ht="10.5">
      <c r="A61" s="36">
        <v>55</v>
      </c>
      <c r="B61" s="10" t="s">
        <v>263</v>
      </c>
      <c r="C61" s="44" t="s">
        <v>454</v>
      </c>
      <c r="D61" s="47">
        <v>0</v>
      </c>
      <c r="F61" s="43">
        <f>ROUND(SUMIF(Определители!I6:I24,"=7",'Текущие цены с учетом расхода'!H6:H24),0)</f>
        <v>0</v>
      </c>
      <c r="G61" s="43"/>
      <c r="H61" s="43"/>
      <c r="I61" s="43"/>
      <c r="J61" s="48"/>
      <c r="K61" s="48"/>
      <c r="L61" s="43"/>
      <c r="N61" s="44" t="s">
        <v>508</v>
      </c>
    </row>
    <row r="62" spans="1:14" ht="10.5">
      <c r="A62" s="36">
        <v>56</v>
      </c>
      <c r="B62" s="10" t="s">
        <v>264</v>
      </c>
      <c r="C62" s="44" t="s">
        <v>454</v>
      </c>
      <c r="D62" s="47">
        <v>0</v>
      </c>
      <c r="F62" s="43">
        <f>ROUND(SUMIF(Определители!I6:I24,"=7",'Текущие цены с учетом расхода'!N6:N24),0)</f>
        <v>0</v>
      </c>
      <c r="G62" s="43"/>
      <c r="H62" s="43"/>
      <c r="I62" s="43"/>
      <c r="J62" s="48"/>
      <c r="K62" s="48"/>
      <c r="L62" s="43"/>
      <c r="N62" s="44" t="s">
        <v>509</v>
      </c>
    </row>
    <row r="63" spans="1:14" ht="10.5">
      <c r="A63" s="36">
        <v>57</v>
      </c>
      <c r="B63" s="10" t="s">
        <v>265</v>
      </c>
      <c r="C63" s="44" t="s">
        <v>454</v>
      </c>
      <c r="D63" s="47">
        <v>0</v>
      </c>
      <c r="F63" s="43">
        <f>ROUND(SUMIF(Определители!I6:I24,"=7",'Текущие цены с учетом расхода'!O6:O24),0)</f>
        <v>0</v>
      </c>
      <c r="G63" s="43"/>
      <c r="H63" s="43"/>
      <c r="I63" s="43"/>
      <c r="J63" s="48"/>
      <c r="K63" s="48"/>
      <c r="L63" s="43"/>
      <c r="N63" s="44" t="s">
        <v>510</v>
      </c>
    </row>
    <row r="64" spans="1:14" ht="10.5">
      <c r="A64" s="36">
        <v>58</v>
      </c>
      <c r="B64" s="10" t="s">
        <v>280</v>
      </c>
      <c r="C64" s="44" t="s">
        <v>462</v>
      </c>
      <c r="D64" s="47">
        <v>0</v>
      </c>
      <c r="F64" s="43">
        <f>ROUND((F58+F62+F63),0)</f>
        <v>0</v>
      </c>
      <c r="G64" s="43"/>
      <c r="H64" s="43"/>
      <c r="I64" s="43"/>
      <c r="J64" s="48"/>
      <c r="K64" s="48"/>
      <c r="L64" s="43"/>
      <c r="N64" s="44" t="s">
        <v>511</v>
      </c>
    </row>
    <row r="65" spans="1:14" ht="10.5">
      <c r="A65" s="36">
        <v>59</v>
      </c>
      <c r="B65" s="10" t="s">
        <v>281</v>
      </c>
      <c r="C65" s="44" t="s">
        <v>454</v>
      </c>
      <c r="D65" s="47">
        <v>0</v>
      </c>
      <c r="F65" s="43">
        <f>ROUND(SUMIF(Определители!I6:I24,"=;",'Текущие цены с учетом расхода'!B6:B24),0)</f>
        <v>0</v>
      </c>
      <c r="G65" s="43">
        <f>ROUND(SUMIF(Определители!I6:I24,"=;",'Текущие цены с учетом расхода'!C6:C24),0)</f>
        <v>0</v>
      </c>
      <c r="H65" s="43">
        <f>ROUND(SUMIF(Определители!I6:I24,"=;",'Текущие цены с учетом расхода'!D6:D24),0)</f>
        <v>0</v>
      </c>
      <c r="I65" s="43">
        <f>ROUND(SUMIF(Определители!I6:I24,"=;",'Текущие цены с учетом расхода'!E6:E24),0)</f>
        <v>0</v>
      </c>
      <c r="J65" s="48">
        <f>ROUND(SUMIF(Определители!I6:I24,"=;",'Текущие цены с учетом расхода'!I6:I24),8)</f>
        <v>0</v>
      </c>
      <c r="K65" s="48">
        <f>ROUND(SUMIF(Определители!I6:I24,"=;",'Текущие цены с учетом расхода'!K6:K24),8)</f>
        <v>0</v>
      </c>
      <c r="L65" s="43">
        <f>ROUND(SUMIF(Определители!I6:I24,"=;",'Текущие цены с учетом расхода'!F6:F24),0)</f>
        <v>0</v>
      </c>
      <c r="N65" s="44" t="s">
        <v>512</v>
      </c>
    </row>
    <row r="66" spans="1:14" ht="10.5">
      <c r="A66" s="36">
        <v>60</v>
      </c>
      <c r="B66" s="10" t="s">
        <v>282</v>
      </c>
      <c r="C66" s="44" t="s">
        <v>454</v>
      </c>
      <c r="D66" s="47">
        <v>0</v>
      </c>
      <c r="F66" s="43">
        <f>ROUND(SUMIF(Определители!I6:I24,"=;",'Текущие цены с учетом расхода'!AF6:AF24),0)</f>
        <v>0</v>
      </c>
      <c r="G66" s="43"/>
      <c r="H66" s="43"/>
      <c r="I66" s="43"/>
      <c r="J66" s="48"/>
      <c r="K66" s="48"/>
      <c r="L66" s="43"/>
      <c r="N66" s="44" t="s">
        <v>513</v>
      </c>
    </row>
    <row r="67" spans="1:14" ht="10.5">
      <c r="A67" s="36">
        <v>61</v>
      </c>
      <c r="B67" s="10" t="s">
        <v>283</v>
      </c>
      <c r="C67" s="44" t="s">
        <v>454</v>
      </c>
      <c r="D67" s="47">
        <v>0</v>
      </c>
      <c r="F67" s="43">
        <f>ROUND(SUMIF(Определители!I6:I24,"=;",'Текущие цены с учетом расхода'!AG6:AG24),0)</f>
        <v>0</v>
      </c>
      <c r="G67" s="43"/>
      <c r="H67" s="43"/>
      <c r="I67" s="43"/>
      <c r="J67" s="48"/>
      <c r="K67" s="48"/>
      <c r="L67" s="43"/>
      <c r="N67" s="44" t="s">
        <v>514</v>
      </c>
    </row>
    <row r="68" spans="1:14" ht="10.5">
      <c r="A68" s="36">
        <v>62</v>
      </c>
      <c r="B68" s="10" t="s">
        <v>264</v>
      </c>
      <c r="C68" s="44" t="s">
        <v>454</v>
      </c>
      <c r="D68" s="47">
        <v>0</v>
      </c>
      <c r="F68" s="43">
        <f>ROUND(SUMIF(Определители!I6:I24,"=;",'Текущие цены с учетом расхода'!N6:N24),0)</f>
        <v>0</v>
      </c>
      <c r="G68" s="43"/>
      <c r="H68" s="43"/>
      <c r="I68" s="43"/>
      <c r="J68" s="48"/>
      <c r="K68" s="48"/>
      <c r="L68" s="43"/>
      <c r="N68" s="44" t="s">
        <v>515</v>
      </c>
    </row>
    <row r="69" spans="1:14" ht="10.5">
      <c r="A69" s="36">
        <v>63</v>
      </c>
      <c r="B69" s="10" t="s">
        <v>265</v>
      </c>
      <c r="C69" s="44" t="s">
        <v>454</v>
      </c>
      <c r="D69" s="47">
        <v>0</v>
      </c>
      <c r="F69" s="43">
        <f>ROUND(SUMIF(Определители!I6:I24,"=;",'Текущие цены с учетом расхода'!O6:O24),0)</f>
        <v>0</v>
      </c>
      <c r="G69" s="43"/>
      <c r="H69" s="43"/>
      <c r="I69" s="43"/>
      <c r="J69" s="48"/>
      <c r="K69" s="48"/>
      <c r="L69" s="43"/>
      <c r="N69" s="44" t="s">
        <v>516</v>
      </c>
    </row>
    <row r="70" spans="1:14" ht="10.5">
      <c r="A70" s="36">
        <v>64</v>
      </c>
      <c r="B70" s="10" t="s">
        <v>284</v>
      </c>
      <c r="C70" s="44" t="s">
        <v>462</v>
      </c>
      <c r="D70" s="47">
        <v>0</v>
      </c>
      <c r="F70" s="43">
        <f>ROUND((F65+F68+F69),0)</f>
        <v>0</v>
      </c>
      <c r="G70" s="43"/>
      <c r="H70" s="43"/>
      <c r="I70" s="43"/>
      <c r="J70" s="48"/>
      <c r="K70" s="48"/>
      <c r="L70" s="43"/>
      <c r="N70" s="44" t="s">
        <v>517</v>
      </c>
    </row>
    <row r="71" spans="1:14" ht="10.5">
      <c r="A71" s="36">
        <v>65</v>
      </c>
      <c r="B71" s="10" t="s">
        <v>285</v>
      </c>
      <c r="C71" s="44" t="s">
        <v>454</v>
      </c>
      <c r="D71" s="47">
        <v>0</v>
      </c>
      <c r="F71" s="43">
        <f>ROUND(SUMIF(Определители!I6:I24,"=9",'Текущие цены с учетом расхода'!B6:B24),0)</f>
        <v>0</v>
      </c>
      <c r="G71" s="43">
        <f>ROUND(SUMIF(Определители!I6:I24,"=9",'Текущие цены с учетом расхода'!C6:C24),0)</f>
        <v>0</v>
      </c>
      <c r="H71" s="43">
        <f>ROUND(SUMIF(Определители!I6:I24,"=9",'Текущие цены с учетом расхода'!D6:D24),0)</f>
        <v>0</v>
      </c>
      <c r="I71" s="43">
        <f>ROUND(SUMIF(Определители!I6:I24,"=9",'Текущие цены с учетом расхода'!E6:E24),0)</f>
        <v>0</v>
      </c>
      <c r="J71" s="48">
        <f>ROUND(SUMIF(Определители!I6:I24,"=9",'Текущие цены с учетом расхода'!I6:I24),8)</f>
        <v>0</v>
      </c>
      <c r="K71" s="48">
        <f>ROUND(SUMIF(Определители!I6:I24,"=9",'Текущие цены с учетом расхода'!K6:K24),8)</f>
        <v>0</v>
      </c>
      <c r="L71" s="43">
        <f>ROUND(SUMIF(Определители!I6:I24,"=9",'Текущие цены с учетом расхода'!F6:F24),0)</f>
        <v>0</v>
      </c>
      <c r="N71" s="44" t="s">
        <v>518</v>
      </c>
    </row>
    <row r="72" spans="1:14" ht="10.5">
      <c r="A72" s="36">
        <v>66</v>
      </c>
      <c r="B72" s="10" t="s">
        <v>264</v>
      </c>
      <c r="C72" s="44" t="s">
        <v>454</v>
      </c>
      <c r="D72" s="47">
        <v>0</v>
      </c>
      <c r="F72" s="43">
        <f>ROUND(SUMIF(Определители!I6:I24,"=9",'Текущие цены с учетом расхода'!N6:N24),0)</f>
        <v>0</v>
      </c>
      <c r="G72" s="43"/>
      <c r="H72" s="43"/>
      <c r="I72" s="43"/>
      <c r="J72" s="48"/>
      <c r="K72" s="48"/>
      <c r="L72" s="43"/>
      <c r="N72" s="44" t="s">
        <v>519</v>
      </c>
    </row>
    <row r="73" spans="1:14" ht="10.5">
      <c r="A73" s="36">
        <v>67</v>
      </c>
      <c r="B73" s="10" t="s">
        <v>265</v>
      </c>
      <c r="C73" s="44" t="s">
        <v>454</v>
      </c>
      <c r="D73" s="47">
        <v>0</v>
      </c>
      <c r="F73" s="43">
        <f>ROUND(SUMIF(Определители!I6:I24,"=9",'Текущие цены с учетом расхода'!O6:O24),0)</f>
        <v>0</v>
      </c>
      <c r="G73" s="43"/>
      <c r="H73" s="43"/>
      <c r="I73" s="43"/>
      <c r="J73" s="48"/>
      <c r="K73" s="48"/>
      <c r="L73" s="43"/>
      <c r="N73" s="44" t="s">
        <v>520</v>
      </c>
    </row>
    <row r="74" spans="1:14" ht="10.5">
      <c r="A74" s="36">
        <v>68</v>
      </c>
      <c r="B74" s="10" t="s">
        <v>286</v>
      </c>
      <c r="C74" s="44" t="s">
        <v>462</v>
      </c>
      <c r="D74" s="47">
        <v>0</v>
      </c>
      <c r="F74" s="43">
        <f>ROUND((F71+F72+F73),0)</f>
        <v>0</v>
      </c>
      <c r="G74" s="43"/>
      <c r="H74" s="43"/>
      <c r="I74" s="43"/>
      <c r="J74" s="48"/>
      <c r="K74" s="48"/>
      <c r="L74" s="43"/>
      <c r="N74" s="44" t="s">
        <v>521</v>
      </c>
    </row>
    <row r="75" spans="1:14" ht="10.5">
      <c r="A75" s="36">
        <v>69</v>
      </c>
      <c r="B75" s="10" t="s">
        <v>287</v>
      </c>
      <c r="C75" s="44" t="s">
        <v>454</v>
      </c>
      <c r="D75" s="47">
        <v>0</v>
      </c>
      <c r="F75" s="43">
        <f>ROUND(SUMIF(Определители!I6:I24,"=:",'Текущие цены с учетом расхода'!B6:B24),0)</f>
        <v>0</v>
      </c>
      <c r="G75" s="43">
        <f>ROUND(SUMIF(Определители!I6:I24,"=:",'Текущие цены с учетом расхода'!C6:C24),0)</f>
        <v>0</v>
      </c>
      <c r="H75" s="43">
        <f>ROUND(SUMIF(Определители!I6:I24,"=:",'Текущие цены с учетом расхода'!D6:D24),0)</f>
        <v>0</v>
      </c>
      <c r="I75" s="43">
        <f>ROUND(SUMIF(Определители!I6:I24,"=:",'Текущие цены с учетом расхода'!E6:E24),0)</f>
        <v>0</v>
      </c>
      <c r="J75" s="48">
        <f>ROUND(SUMIF(Определители!I6:I24,"=:",'Текущие цены с учетом расхода'!I6:I24),8)</f>
        <v>0</v>
      </c>
      <c r="K75" s="48">
        <f>ROUND(SUMIF(Определители!I6:I24,"=:",'Текущие цены с учетом расхода'!K6:K24),8)</f>
        <v>0</v>
      </c>
      <c r="L75" s="43">
        <f>ROUND(SUMIF(Определители!I6:I24,"=:",'Текущие цены с учетом расхода'!F6:F24),0)</f>
        <v>0</v>
      </c>
      <c r="N75" s="44" t="s">
        <v>522</v>
      </c>
    </row>
    <row r="76" spans="1:14" ht="10.5">
      <c r="A76" s="36">
        <v>70</v>
      </c>
      <c r="B76" s="10" t="s">
        <v>263</v>
      </c>
      <c r="C76" s="44" t="s">
        <v>454</v>
      </c>
      <c r="D76" s="47">
        <v>0</v>
      </c>
      <c r="F76" s="43">
        <f>ROUND(SUMIF(Определители!I6:I24,"=:",'Текущие цены с учетом расхода'!H6:H24),0)</f>
        <v>0</v>
      </c>
      <c r="G76" s="43"/>
      <c r="H76" s="43"/>
      <c r="I76" s="43"/>
      <c r="J76" s="48"/>
      <c r="K76" s="48"/>
      <c r="L76" s="43"/>
      <c r="N76" s="44" t="s">
        <v>523</v>
      </c>
    </row>
    <row r="77" spans="1:14" ht="10.5">
      <c r="A77" s="36">
        <v>71</v>
      </c>
      <c r="B77" s="10" t="s">
        <v>264</v>
      </c>
      <c r="C77" s="44" t="s">
        <v>454</v>
      </c>
      <c r="D77" s="47">
        <v>0</v>
      </c>
      <c r="F77" s="43">
        <f>ROUND(SUMIF(Определители!I6:I24,"=:",'Текущие цены с учетом расхода'!N6:N24),0)</f>
        <v>0</v>
      </c>
      <c r="G77" s="43"/>
      <c r="H77" s="43"/>
      <c r="I77" s="43"/>
      <c r="J77" s="48"/>
      <c r="K77" s="48"/>
      <c r="L77" s="43"/>
      <c r="N77" s="44" t="s">
        <v>524</v>
      </c>
    </row>
    <row r="78" spans="1:14" ht="10.5">
      <c r="A78" s="36">
        <v>72</v>
      </c>
      <c r="B78" s="10" t="s">
        <v>265</v>
      </c>
      <c r="C78" s="44" t="s">
        <v>454</v>
      </c>
      <c r="D78" s="47">
        <v>0</v>
      </c>
      <c r="F78" s="43">
        <f>ROUND(SUMIF(Определители!I6:I24,"=:",'Текущие цены с учетом расхода'!O6:O24),0)</f>
        <v>0</v>
      </c>
      <c r="G78" s="43"/>
      <c r="H78" s="43"/>
      <c r="I78" s="43"/>
      <c r="J78" s="48"/>
      <c r="K78" s="48"/>
      <c r="L78" s="43"/>
      <c r="N78" s="44" t="s">
        <v>525</v>
      </c>
    </row>
    <row r="79" spans="1:14" ht="10.5">
      <c r="A79" s="36">
        <v>73</v>
      </c>
      <c r="B79" s="10" t="s">
        <v>288</v>
      </c>
      <c r="C79" s="44" t="s">
        <v>462</v>
      </c>
      <c r="D79" s="47">
        <v>0</v>
      </c>
      <c r="F79" s="43">
        <f>ROUND((F75+F77+F78),0)</f>
        <v>0</v>
      </c>
      <c r="G79" s="43"/>
      <c r="H79" s="43"/>
      <c r="I79" s="43"/>
      <c r="J79" s="48"/>
      <c r="K79" s="48"/>
      <c r="L79" s="43"/>
      <c r="N79" s="44" t="s">
        <v>526</v>
      </c>
    </row>
    <row r="80" spans="1:14" ht="10.5">
      <c r="A80" s="36">
        <v>74</v>
      </c>
      <c r="B80" s="10" t="s">
        <v>289</v>
      </c>
      <c r="C80" s="44" t="s">
        <v>454</v>
      </c>
      <c r="D80" s="47">
        <v>0</v>
      </c>
      <c r="F80" s="43">
        <f>ROUND(SUMIF(Определители!I6:I24,"=8",'Текущие цены с учетом расхода'!B6:B24),0)</f>
        <v>0</v>
      </c>
      <c r="G80" s="43">
        <f>ROUND(SUMIF(Определители!I6:I24,"=8",'Текущие цены с учетом расхода'!C6:C24),0)</f>
        <v>0</v>
      </c>
      <c r="H80" s="43">
        <f>ROUND(SUMIF(Определители!I6:I24,"=8",'Текущие цены с учетом расхода'!D6:D24),0)</f>
        <v>0</v>
      </c>
      <c r="I80" s="43">
        <f>ROUND(SUMIF(Определители!I6:I24,"=8",'Текущие цены с учетом расхода'!E6:E24),0)</f>
        <v>0</v>
      </c>
      <c r="J80" s="48">
        <f>ROUND(SUMIF(Определители!I6:I24,"=8",'Текущие цены с учетом расхода'!I6:I24),8)</f>
        <v>0</v>
      </c>
      <c r="K80" s="48">
        <f>ROUND(SUMIF(Определители!I6:I24,"=8",'Текущие цены с учетом расхода'!K6:K24),8)</f>
        <v>0</v>
      </c>
      <c r="L80" s="43">
        <f>ROUND(SUMIF(Определители!I6:I24,"=8",'Текущие цены с учетом расхода'!F6:F24),0)</f>
        <v>0</v>
      </c>
      <c r="N80" s="44" t="s">
        <v>527</v>
      </c>
    </row>
    <row r="81" spans="1:14" ht="10.5">
      <c r="A81" s="36">
        <v>75</v>
      </c>
      <c r="B81" s="10" t="s">
        <v>263</v>
      </c>
      <c r="C81" s="44" t="s">
        <v>454</v>
      </c>
      <c r="D81" s="47">
        <v>0</v>
      </c>
      <c r="F81" s="43">
        <f>ROUND(SUMIF(Определители!I6:I24,"=8",'Текущие цены с учетом расхода'!H6:H24),0)</f>
        <v>0</v>
      </c>
      <c r="G81" s="43"/>
      <c r="H81" s="43"/>
      <c r="I81" s="43"/>
      <c r="J81" s="48"/>
      <c r="K81" s="48"/>
      <c r="L81" s="43"/>
      <c r="N81" s="44" t="s">
        <v>528</v>
      </c>
    </row>
    <row r="82" spans="1:14" ht="10.5">
      <c r="A82" s="36">
        <v>76</v>
      </c>
      <c r="B82" s="10" t="s">
        <v>290</v>
      </c>
      <c r="C82" s="44" t="s">
        <v>462</v>
      </c>
      <c r="D82" s="47">
        <v>0</v>
      </c>
      <c r="F82" s="43">
        <f>ROUND((F17+F27+F34+F39+F47+F52+F57+F64+F74+F79+F80+F70),0)</f>
        <v>335674</v>
      </c>
      <c r="G82" s="43">
        <f>ROUND((G17+G27+G34+G39+G47+G52+G57+G64+G74+G79+G80+G70),0)</f>
        <v>0</v>
      </c>
      <c r="H82" s="43">
        <f>ROUND((H17+H27+H34+H39+H47+H52+H57+H64+H74+H79+H80+H70),0)</f>
        <v>0</v>
      </c>
      <c r="I82" s="43">
        <f>ROUND((I17+I27+I34+I39+I47+I52+I57+I64+I74+I79+I80+I70),0)</f>
        <v>0</v>
      </c>
      <c r="J82" s="48">
        <f>ROUND((J17+J27+J34+J39+J47+J52+J57+J64+J74+J79+J80+J70),8)</f>
        <v>0</v>
      </c>
      <c r="K82" s="48">
        <f>ROUND((K17+K27+K34+K39+K47+K52+K57+K64+K74+K79+K80+K70),8)</f>
        <v>0</v>
      </c>
      <c r="L82" s="43">
        <f>ROUND((L17+L27+L34+L39+L47+L52+L57+L64+L74+L79+L80+L70),0)</f>
        <v>0</v>
      </c>
      <c r="N82" s="44" t="s">
        <v>529</v>
      </c>
    </row>
    <row r="83" spans="1:14" ht="10.5">
      <c r="A83" s="36">
        <v>77</v>
      </c>
      <c r="B83" s="10" t="s">
        <v>291</v>
      </c>
      <c r="C83" s="44" t="s">
        <v>462</v>
      </c>
      <c r="D83" s="47">
        <v>0</v>
      </c>
      <c r="F83" s="43">
        <f>ROUND((F23+F31+F36+F43+F49+F54+F61+F76+F81),0)</f>
        <v>0</v>
      </c>
      <c r="G83" s="43"/>
      <c r="H83" s="43"/>
      <c r="I83" s="43"/>
      <c r="J83" s="48"/>
      <c r="K83" s="48"/>
      <c r="L83" s="43"/>
      <c r="N83" s="44" t="s">
        <v>530</v>
      </c>
    </row>
    <row r="84" spans="1:14" ht="10.5">
      <c r="A84" s="36">
        <v>78</v>
      </c>
      <c r="B84" s="10" t="s">
        <v>292</v>
      </c>
      <c r="C84" s="44" t="s">
        <v>462</v>
      </c>
      <c r="D84" s="47">
        <v>0</v>
      </c>
      <c r="F84" s="43">
        <f>ROUND((F24+F32+F37+F44+F50+F55+F62+F72+F77+F68),0)</f>
        <v>65770</v>
      </c>
      <c r="G84" s="43"/>
      <c r="H84" s="43"/>
      <c r="I84" s="43"/>
      <c r="J84" s="48"/>
      <c r="K84" s="48"/>
      <c r="L84" s="43"/>
      <c r="N84" s="44" t="s">
        <v>531</v>
      </c>
    </row>
    <row r="85" spans="1:14" ht="10.5">
      <c r="A85" s="36">
        <v>79</v>
      </c>
      <c r="B85" s="10" t="s">
        <v>293</v>
      </c>
      <c r="C85" s="44" t="s">
        <v>462</v>
      </c>
      <c r="D85" s="47">
        <v>0</v>
      </c>
      <c r="F85" s="43">
        <f>ROUND((F25+F33+F38+F45+F51+F56+F63+F73+F78+F69),0)</f>
        <v>28521</v>
      </c>
      <c r="G85" s="43"/>
      <c r="H85" s="43"/>
      <c r="I85" s="43"/>
      <c r="J85" s="48"/>
      <c r="K85" s="48"/>
      <c r="L85" s="43"/>
      <c r="N85" s="44" t="s">
        <v>532</v>
      </c>
    </row>
    <row r="86" spans="1:14" ht="10.5">
      <c r="A86" s="36">
        <v>80</v>
      </c>
      <c r="B86" s="10" t="s">
        <v>41</v>
      </c>
      <c r="C86" s="44" t="s">
        <v>533</v>
      </c>
      <c r="D86" s="47">
        <v>0</v>
      </c>
      <c r="F86" s="43">
        <f>ROUND(SUM('Текущие цены с учетом расхода'!X6:X24),0)</f>
        <v>0</v>
      </c>
      <c r="G86" s="43"/>
      <c r="H86" s="43"/>
      <c r="I86" s="43"/>
      <c r="J86" s="48"/>
      <c r="K86" s="48"/>
      <c r="L86" s="43">
        <f>ROUND(SUM('Текущие цены с учетом расхода'!X6:X24),0)</f>
        <v>0</v>
      </c>
      <c r="N86" s="44" t="s">
        <v>534</v>
      </c>
    </row>
    <row r="87" spans="1:14" ht="10.5">
      <c r="A87" s="36">
        <v>81</v>
      </c>
      <c r="B87" s="10" t="s">
        <v>294</v>
      </c>
      <c r="C87" s="44" t="s">
        <v>533</v>
      </c>
      <c r="D87" s="47">
        <v>0</v>
      </c>
      <c r="F87" s="43">
        <f>ROUND(SUM(G87:N87),0)</f>
        <v>0</v>
      </c>
      <c r="G87" s="43"/>
      <c r="H87" s="43"/>
      <c r="I87" s="43"/>
      <c r="J87" s="48"/>
      <c r="K87" s="48"/>
      <c r="L87" s="43">
        <f>ROUND(SUM('Текущие цены с учетом расхода'!AE6:AE24),0)</f>
        <v>0</v>
      </c>
      <c r="N87" s="44" t="s">
        <v>535</v>
      </c>
    </row>
    <row r="88" spans="1:14" ht="10.5">
      <c r="A88" s="36">
        <v>82</v>
      </c>
      <c r="B88" s="10" t="s">
        <v>295</v>
      </c>
      <c r="C88" s="44" t="s">
        <v>533</v>
      </c>
      <c r="D88" s="47">
        <v>0</v>
      </c>
      <c r="F88" s="43">
        <f>ROUND(SUM('Текущие цены с учетом расхода'!C6:C24),0)</f>
        <v>42200</v>
      </c>
      <c r="G88" s="43"/>
      <c r="H88" s="43"/>
      <c r="I88" s="43"/>
      <c r="J88" s="48"/>
      <c r="K88" s="48"/>
      <c r="L88" s="43"/>
      <c r="N88" s="44" t="s">
        <v>536</v>
      </c>
    </row>
    <row r="89" spans="1:14" ht="10.5">
      <c r="A89" s="36">
        <v>83</v>
      </c>
      <c r="B89" s="10" t="s">
        <v>296</v>
      </c>
      <c r="C89" s="44" t="s">
        <v>533</v>
      </c>
      <c r="D89" s="47">
        <v>0</v>
      </c>
      <c r="F89" s="43">
        <f>ROUND(SUM('Текущие цены с учетом расхода'!E6:E24),0)</f>
        <v>20211</v>
      </c>
      <c r="G89" s="43"/>
      <c r="H89" s="43"/>
      <c r="I89" s="43"/>
      <c r="J89" s="48"/>
      <c r="K89" s="48"/>
      <c r="L89" s="43"/>
      <c r="N89" s="44" t="s">
        <v>537</v>
      </c>
    </row>
    <row r="90" spans="1:14" ht="10.5">
      <c r="A90" s="36">
        <v>84</v>
      </c>
      <c r="B90" s="10" t="s">
        <v>297</v>
      </c>
      <c r="C90" s="44" t="s">
        <v>33</v>
      </c>
      <c r="D90" s="47">
        <v>0</v>
      </c>
      <c r="F90" s="43">
        <f>ROUND((F88+F89),0)</f>
        <v>62411</v>
      </c>
      <c r="G90" s="43"/>
      <c r="H90" s="43"/>
      <c r="I90" s="43"/>
      <c r="J90" s="48"/>
      <c r="K90" s="48"/>
      <c r="L90" s="43"/>
      <c r="N90" s="44" t="s">
        <v>538</v>
      </c>
    </row>
    <row r="91" spans="1:14" ht="10.5">
      <c r="A91" s="36">
        <v>85</v>
      </c>
      <c r="B91" s="10" t="s">
        <v>298</v>
      </c>
      <c r="C91" s="44" t="s">
        <v>533</v>
      </c>
      <c r="D91" s="47">
        <v>0</v>
      </c>
      <c r="F91" s="43"/>
      <c r="G91" s="43"/>
      <c r="H91" s="43"/>
      <c r="I91" s="43"/>
      <c r="J91" s="48">
        <f>ROUND(SUM('Текущие цены с учетом расхода'!I6:I24),8)</f>
        <v>205.0228582</v>
      </c>
      <c r="K91" s="48"/>
      <c r="L91" s="43"/>
      <c r="N91" s="44" t="s">
        <v>539</v>
      </c>
    </row>
    <row r="92" spans="1:14" ht="10.5">
      <c r="A92" s="36">
        <v>86</v>
      </c>
      <c r="B92" s="10" t="s">
        <v>299</v>
      </c>
      <c r="C92" s="44" t="s">
        <v>533</v>
      </c>
      <c r="D92" s="47">
        <v>0</v>
      </c>
      <c r="F92" s="43"/>
      <c r="G92" s="43"/>
      <c r="H92" s="43"/>
      <c r="I92" s="43"/>
      <c r="J92" s="48">
        <f>ROUND(SUM('Текущие цены с учетом расхода'!K6:K24),8)</f>
        <v>80.08212</v>
      </c>
      <c r="K92" s="48"/>
      <c r="L92" s="43"/>
      <c r="N92" s="44" t="s">
        <v>540</v>
      </c>
    </row>
    <row r="93" spans="1:14" ht="10.5">
      <c r="A93" s="36">
        <v>87</v>
      </c>
      <c r="B93" s="10" t="s">
        <v>300</v>
      </c>
      <c r="C93" s="44" t="s">
        <v>33</v>
      </c>
      <c r="D93" s="47">
        <v>0</v>
      </c>
      <c r="F93" s="43"/>
      <c r="G93" s="43"/>
      <c r="H93" s="43"/>
      <c r="I93" s="43"/>
      <c r="J93" s="48">
        <f>ROUND((J91+J92),8)</f>
        <v>285.1049782</v>
      </c>
      <c r="K93" s="48"/>
      <c r="L93" s="43"/>
      <c r="N93" s="44" t="s">
        <v>541</v>
      </c>
    </row>
    <row r="94" spans="1:14" ht="10.5">
      <c r="A94" s="36">
        <v>88</v>
      </c>
      <c r="B94" s="10" t="s">
        <v>301</v>
      </c>
      <c r="C94" s="44" t="s">
        <v>542</v>
      </c>
      <c r="D94" s="47">
        <v>0.94</v>
      </c>
      <c r="F94" s="43">
        <f>ROUND((F84)*D94,0)</f>
        <v>61824</v>
      </c>
      <c r="G94" s="43"/>
      <c r="H94" s="43"/>
      <c r="I94" s="43"/>
      <c r="J94" s="48"/>
      <c r="K94" s="48"/>
      <c r="L94" s="43"/>
      <c r="N94" s="44" t="s">
        <v>543</v>
      </c>
    </row>
    <row r="95" spans="1:14" ht="10.5">
      <c r="A95" s="36">
        <v>89</v>
      </c>
      <c r="B95" s="10" t="s">
        <v>302</v>
      </c>
      <c r="C95" s="44" t="s">
        <v>542</v>
      </c>
      <c r="D95" s="47">
        <v>0.9</v>
      </c>
      <c r="F95" s="43">
        <f>ROUND((F85)*D95,0)</f>
        <v>25669</v>
      </c>
      <c r="G95" s="43">
        <f>ROUND((F85)*D95,0)</f>
        <v>25669</v>
      </c>
      <c r="H95" s="43"/>
      <c r="I95" s="43"/>
      <c r="J95" s="48"/>
      <c r="K95" s="48"/>
      <c r="L95" s="43"/>
      <c r="N95" s="44" t="s">
        <v>544</v>
      </c>
    </row>
    <row r="96" spans="1:14" ht="10.5">
      <c r="A96" s="36">
        <v>90</v>
      </c>
      <c r="B96" s="10" t="s">
        <v>303</v>
      </c>
      <c r="C96" s="44" t="s">
        <v>545</v>
      </c>
      <c r="D96" s="47">
        <v>100</v>
      </c>
      <c r="F96" s="43">
        <f>ROUND((F94+F95+F7)*D96/100,0)</f>
        <v>328876</v>
      </c>
      <c r="G96" s="43">
        <f>ROUND((F94+F95+F7)*D96/100,0)</f>
        <v>328876</v>
      </c>
      <c r="H96" s="43"/>
      <c r="I96" s="43"/>
      <c r="J96" s="48"/>
      <c r="K96" s="48"/>
      <c r="L96" s="43"/>
      <c r="N96" s="44" t="s">
        <v>546</v>
      </c>
    </row>
    <row r="97" spans="1:14" ht="10.5">
      <c r="A97" s="36">
        <v>91</v>
      </c>
      <c r="B97" s="10" t="s">
        <v>304</v>
      </c>
      <c r="C97" s="44" t="s">
        <v>547</v>
      </c>
      <c r="D97" s="47">
        <v>1</v>
      </c>
      <c r="F97" s="43">
        <f>ROUND((L98)/D97,0)</f>
        <v>0</v>
      </c>
      <c r="G97" s="43"/>
      <c r="H97" s="43">
        <f>ROUND((H98)/D97,0)</f>
        <v>0</v>
      </c>
      <c r="I97" s="43">
        <f>ROUND((I98)/D97,0)</f>
        <v>0</v>
      </c>
      <c r="J97" s="48"/>
      <c r="K97" s="48"/>
      <c r="L97" s="43"/>
      <c r="N97" s="44" t="s">
        <v>548</v>
      </c>
    </row>
    <row r="98" spans="1:14" ht="10.5">
      <c r="A98" s="36">
        <v>92</v>
      </c>
      <c r="B98" s="10" t="s">
        <v>305</v>
      </c>
      <c r="C98" s="44" t="s">
        <v>33</v>
      </c>
      <c r="D98" s="47">
        <v>0</v>
      </c>
      <c r="F98" s="43">
        <f>ROUND((F96),0)</f>
        <v>328876</v>
      </c>
      <c r="G98" s="43">
        <f>ROUND((F96),0)</f>
        <v>328876</v>
      </c>
      <c r="H98" s="43"/>
      <c r="I98" s="43"/>
      <c r="J98" s="48"/>
      <c r="K98" s="48"/>
      <c r="L98" s="43"/>
      <c r="N98" s="44" t="s">
        <v>549</v>
      </c>
    </row>
  </sheetData>
  <sheetProtection/>
  <mergeCells count="4">
    <mergeCell ref="A2:H2"/>
    <mergeCell ref="B3:H3"/>
    <mergeCell ref="B4:H4"/>
    <mergeCell ref="A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16"/>
  <sheetViews>
    <sheetView zoomScalePageLayoutView="0" workbookViewId="0" topLeftCell="A1">
      <selection activeCell="A1" sqref="A1:A2"/>
    </sheetView>
  </sheetViews>
  <sheetFormatPr defaultColWidth="9.140625" defaultRowHeight="10.5"/>
  <cols>
    <col min="1" max="1" width="13.7109375" style="36" customWidth="1"/>
    <col min="2" max="2" width="32.7109375" style="36" customWidth="1"/>
    <col min="3" max="6" width="11.7109375" style="36" customWidth="1"/>
    <col min="7" max="7" width="17.28125" style="36" customWidth="1"/>
    <col min="8" max="8" width="17.28125" style="36" hidden="1" customWidth="1"/>
    <col min="9" max="16384" width="9.140625" style="36" customWidth="1"/>
  </cols>
  <sheetData>
    <row r="1" spans="1:8" s="37" customFormat="1" ht="10.5">
      <c r="A1" s="68" t="s">
        <v>309</v>
      </c>
      <c r="B1" s="68" t="s">
        <v>310</v>
      </c>
      <c r="C1" s="71" t="s">
        <v>311</v>
      </c>
      <c r="D1" s="72"/>
      <c r="E1" s="71" t="s">
        <v>312</v>
      </c>
      <c r="F1" s="72"/>
      <c r="G1" s="68" t="s">
        <v>313</v>
      </c>
      <c r="H1" s="68" t="s">
        <v>314</v>
      </c>
    </row>
    <row r="2" spans="1:8" ht="10.5">
      <c r="A2" s="69"/>
      <c r="B2" s="70"/>
      <c r="C2" s="38" t="s">
        <v>315</v>
      </c>
      <c r="D2" s="38" t="s">
        <v>316</v>
      </c>
      <c r="E2" s="38" t="s">
        <v>315</v>
      </c>
      <c r="F2" s="38" t="s">
        <v>316</v>
      </c>
      <c r="G2" s="70"/>
      <c r="H2" s="70"/>
    </row>
    <row r="3" spans="1:8" ht="10.5">
      <c r="A3" s="4" t="s">
        <v>317</v>
      </c>
      <c r="B3" s="4" t="s">
        <v>318</v>
      </c>
      <c r="C3" s="39">
        <v>7.8</v>
      </c>
      <c r="D3" s="39">
        <v>196</v>
      </c>
      <c r="E3" s="39"/>
      <c r="F3" s="39"/>
      <c r="G3" s="36">
        <v>0</v>
      </c>
      <c r="H3" s="7" t="s">
        <v>319</v>
      </c>
    </row>
    <row r="4" spans="1:8" ht="10.5">
      <c r="A4" s="4" t="s">
        <v>320</v>
      </c>
      <c r="B4" s="4" t="s">
        <v>321</v>
      </c>
      <c r="C4" s="39">
        <v>8.53</v>
      </c>
      <c r="D4" s="39">
        <v>214.87</v>
      </c>
      <c r="E4" s="39"/>
      <c r="F4" s="39"/>
      <c r="G4" s="36">
        <v>0</v>
      </c>
      <c r="H4" s="7" t="s">
        <v>319</v>
      </c>
    </row>
    <row r="5" spans="1:8" ht="10.5">
      <c r="A5" s="4" t="s">
        <v>322</v>
      </c>
      <c r="B5" s="4" t="s">
        <v>323</v>
      </c>
      <c r="C5" s="39">
        <v>9.62</v>
      </c>
      <c r="D5" s="39">
        <v>241.71</v>
      </c>
      <c r="E5" s="39"/>
      <c r="F5" s="39"/>
      <c r="G5" s="36">
        <v>0</v>
      </c>
      <c r="H5" s="7" t="s">
        <v>319</v>
      </c>
    </row>
    <row r="6" spans="1:8" ht="21">
      <c r="A6" s="4" t="s">
        <v>324</v>
      </c>
      <c r="B6" s="4" t="s">
        <v>325</v>
      </c>
      <c r="C6" s="39">
        <v>8.21</v>
      </c>
      <c r="D6" s="39">
        <v>193.04</v>
      </c>
      <c r="E6" s="39"/>
      <c r="F6" s="39"/>
      <c r="G6" s="36">
        <v>0</v>
      </c>
      <c r="H6" s="7" t="s">
        <v>319</v>
      </c>
    </row>
    <row r="7" spans="1:2" ht="10.5">
      <c r="A7" s="4" t="s">
        <v>27</v>
      </c>
      <c r="B7" s="4" t="s">
        <v>28</v>
      </c>
    </row>
    <row r="8" spans="1:8" ht="21">
      <c r="A8" s="4" t="s">
        <v>326</v>
      </c>
      <c r="B8" s="4" t="s">
        <v>327</v>
      </c>
      <c r="C8" s="40">
        <v>42189</v>
      </c>
      <c r="D8" s="40">
        <v>256038.04</v>
      </c>
      <c r="E8" s="40">
        <v>40650</v>
      </c>
      <c r="F8" s="40"/>
      <c r="G8" s="36">
        <v>0</v>
      </c>
      <c r="H8" s="7" t="s">
        <v>319</v>
      </c>
    </row>
    <row r="9" spans="1:8" ht="21">
      <c r="A9" s="4" t="s">
        <v>328</v>
      </c>
      <c r="B9" s="4" t="s">
        <v>329</v>
      </c>
      <c r="C9" s="40">
        <v>751.43</v>
      </c>
      <c r="D9" s="40">
        <v>52294.91</v>
      </c>
      <c r="E9" s="40">
        <v>437.82</v>
      </c>
      <c r="F9" s="40"/>
      <c r="G9" s="36">
        <v>0</v>
      </c>
      <c r="H9" s="7" t="s">
        <v>319</v>
      </c>
    </row>
    <row r="10" spans="1:8" ht="21">
      <c r="A10" s="4" t="s">
        <v>330</v>
      </c>
      <c r="B10" s="4" t="s">
        <v>331</v>
      </c>
      <c r="C10" s="40">
        <v>18998.63</v>
      </c>
      <c r="D10" s="40">
        <v>155500</v>
      </c>
      <c r="E10" s="40">
        <v>18230</v>
      </c>
      <c r="F10" s="40"/>
      <c r="G10" s="36">
        <v>0</v>
      </c>
      <c r="H10" s="7" t="s">
        <v>319</v>
      </c>
    </row>
    <row r="11" spans="1:8" ht="21">
      <c r="A11" s="4" t="s">
        <v>332</v>
      </c>
      <c r="B11" s="4" t="s">
        <v>333</v>
      </c>
      <c r="C11" s="40">
        <v>20494.04</v>
      </c>
      <c r="D11" s="40">
        <v>143750</v>
      </c>
      <c r="E11" s="40">
        <v>19696.1</v>
      </c>
      <c r="F11" s="40"/>
      <c r="G11" s="36">
        <v>0</v>
      </c>
      <c r="H11" s="7" t="s">
        <v>319</v>
      </c>
    </row>
    <row r="12" spans="1:8" ht="42">
      <c r="A12" s="4" t="s">
        <v>334</v>
      </c>
      <c r="B12" s="4" t="s">
        <v>335</v>
      </c>
      <c r="C12" s="40">
        <v>90</v>
      </c>
      <c r="D12" s="40">
        <v>1176.76</v>
      </c>
      <c r="E12" s="40">
        <v>10.06</v>
      </c>
      <c r="F12" s="40">
        <v>241.71</v>
      </c>
      <c r="G12" s="36">
        <v>1</v>
      </c>
      <c r="H12" s="7" t="s">
        <v>319</v>
      </c>
    </row>
    <row r="13" spans="1:8" ht="31.5">
      <c r="A13" s="4" t="s">
        <v>336</v>
      </c>
      <c r="B13" s="4" t="s">
        <v>337</v>
      </c>
      <c r="C13" s="40">
        <v>185.95</v>
      </c>
      <c r="D13" s="40">
        <v>1673.21</v>
      </c>
      <c r="E13" s="40">
        <v>13.5</v>
      </c>
      <c r="F13" s="40">
        <v>277.49</v>
      </c>
      <c r="G13" s="36">
        <v>1</v>
      </c>
      <c r="H13" s="7" t="s">
        <v>319</v>
      </c>
    </row>
    <row r="14" spans="1:8" ht="10.5">
      <c r="A14" s="4" t="s">
        <v>338</v>
      </c>
      <c r="B14" s="4" t="s">
        <v>339</v>
      </c>
      <c r="C14" s="40">
        <v>71.94</v>
      </c>
      <c r="D14" s="40">
        <v>861.73</v>
      </c>
      <c r="E14" s="40">
        <v>13.82</v>
      </c>
      <c r="F14" s="40">
        <v>277.49</v>
      </c>
      <c r="G14" s="36">
        <v>1</v>
      </c>
      <c r="H14" s="7" t="s">
        <v>319</v>
      </c>
    </row>
    <row r="15" spans="1:8" ht="21">
      <c r="A15" s="4" t="s">
        <v>340</v>
      </c>
      <c r="B15" s="4" t="s">
        <v>341</v>
      </c>
      <c r="C15" s="40">
        <v>86.5</v>
      </c>
      <c r="D15" s="40">
        <v>825.37</v>
      </c>
      <c r="E15" s="40">
        <v>11.6</v>
      </c>
      <c r="F15" s="40">
        <v>241.71</v>
      </c>
      <c r="G15" s="36">
        <v>1</v>
      </c>
      <c r="H15" s="7" t="s">
        <v>319</v>
      </c>
    </row>
    <row r="16" spans="1:8" ht="10.5">
      <c r="A16" s="4" t="s">
        <v>342</v>
      </c>
      <c r="B16" s="4" t="s">
        <v>343</v>
      </c>
      <c r="C16" s="40">
        <v>159.97</v>
      </c>
      <c r="D16" s="40">
        <v>1404.4</v>
      </c>
      <c r="E16" s="40">
        <v>11.86</v>
      </c>
      <c r="F16" s="40">
        <v>277.49</v>
      </c>
      <c r="G16" s="36">
        <v>1</v>
      </c>
      <c r="H16" s="7" t="s">
        <v>319</v>
      </c>
    </row>
  </sheetData>
  <sheetProtection/>
  <mergeCells count="6">
    <mergeCell ref="A1:A2"/>
    <mergeCell ref="B1:B2"/>
    <mergeCell ref="C1:D1"/>
    <mergeCell ref="E1:F1"/>
    <mergeCell ref="G1:G2"/>
    <mergeCell ref="H1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K24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36" customWidth="1"/>
    <col min="2" max="16384" width="9.140625" style="40" customWidth="1"/>
  </cols>
  <sheetData>
    <row r="1" spans="1:37" s="41" customFormat="1" ht="10.5">
      <c r="A1" s="8"/>
      <c r="B1" s="41" t="s">
        <v>344</v>
      </c>
      <c r="C1" s="41" t="s">
        <v>345</v>
      </c>
      <c r="D1" s="41" t="s">
        <v>346</v>
      </c>
      <c r="E1" s="41" t="s">
        <v>347</v>
      </c>
      <c r="F1" s="41" t="s">
        <v>348</v>
      </c>
      <c r="G1" s="41" t="s">
        <v>349</v>
      </c>
      <c r="H1" s="41" t="s">
        <v>350</v>
      </c>
      <c r="I1" s="41" t="s">
        <v>351</v>
      </c>
      <c r="J1" s="41" t="s">
        <v>352</v>
      </c>
      <c r="K1" s="41" t="s">
        <v>353</v>
      </c>
      <c r="L1" s="41" t="s">
        <v>354</v>
      </c>
      <c r="M1" s="41" t="s">
        <v>355</v>
      </c>
      <c r="N1" s="41" t="s">
        <v>356</v>
      </c>
      <c r="O1" s="41" t="s">
        <v>357</v>
      </c>
      <c r="P1" s="41" t="s">
        <v>358</v>
      </c>
      <c r="Q1" s="41" t="s">
        <v>359</v>
      </c>
      <c r="R1" s="41" t="s">
        <v>360</v>
      </c>
      <c r="S1" s="41" t="s">
        <v>361</v>
      </c>
      <c r="T1" s="41" t="s">
        <v>362</v>
      </c>
      <c r="U1" s="41" t="s">
        <v>363</v>
      </c>
      <c r="V1" s="41" t="s">
        <v>364</v>
      </c>
      <c r="X1" s="41" t="s">
        <v>365</v>
      </c>
      <c r="Y1" s="41" t="s">
        <v>366</v>
      </c>
      <c r="Z1" s="41" t="s">
        <v>367</v>
      </c>
      <c r="AA1" s="41" t="s">
        <v>368</v>
      </c>
      <c r="AB1" s="41" t="s">
        <v>369</v>
      </c>
      <c r="AC1" s="41" t="s">
        <v>370</v>
      </c>
      <c r="AD1" s="41" t="s">
        <v>371</v>
      </c>
      <c r="AE1" s="41" t="s">
        <v>372</v>
      </c>
      <c r="AF1" s="41" t="s">
        <v>373</v>
      </c>
      <c r="AG1" s="41" t="s">
        <v>374</v>
      </c>
      <c r="AH1" s="41" t="s">
        <v>375</v>
      </c>
      <c r="AI1" s="41" t="s">
        <v>376</v>
      </c>
      <c r="AJ1" s="41" t="s">
        <v>377</v>
      </c>
      <c r="AK1" s="41" t="s">
        <v>378</v>
      </c>
    </row>
    <row r="2" spans="1:8" ht="10.5">
      <c r="A2" s="73"/>
      <c r="B2" s="74"/>
      <c r="C2" s="74"/>
      <c r="D2" s="74"/>
      <c r="E2" s="74"/>
      <c r="F2" s="74"/>
      <c r="G2" s="74"/>
      <c r="H2" s="74"/>
    </row>
    <row r="3" spans="1:8" ht="10.5">
      <c r="A3" s="42"/>
      <c r="B3" s="75" t="s">
        <v>379</v>
      </c>
      <c r="C3" s="75"/>
      <c r="D3" s="75"/>
      <c r="E3" s="75"/>
      <c r="F3" s="75"/>
      <c r="G3" s="75"/>
      <c r="H3" s="75"/>
    </row>
    <row r="4" spans="1:8" ht="10.5">
      <c r="A4" s="42"/>
      <c r="B4" s="75" t="s">
        <v>380</v>
      </c>
      <c r="C4" s="75"/>
      <c r="D4" s="75"/>
      <c r="E4" s="75"/>
      <c r="F4" s="75"/>
      <c r="G4" s="75"/>
      <c r="H4" s="75"/>
    </row>
    <row r="5" spans="1:8" ht="10.5">
      <c r="A5" s="73"/>
      <c r="B5" s="74"/>
      <c r="C5" s="74"/>
      <c r="D5" s="74"/>
      <c r="E5" s="74"/>
      <c r="F5" s="74"/>
      <c r="G5" s="74"/>
      <c r="H5" s="74"/>
    </row>
    <row r="6" spans="1:37" ht="10.5">
      <c r="A6" s="40" t="str">
        <f>'Форма по МДС 81-35.2004'!A19</f>
        <v>1.</v>
      </c>
      <c r="B6" s="40">
        <f>'Форма по МДС 81-35.2004'!M19</f>
        <v>78.1</v>
      </c>
      <c r="C6" s="40">
        <f>ROUND(СУММПРОИЗВЕСЛИ(1,'Форма по МДС 81-35.2004'!J19:J37,"Г",'Форма по МДС 81-35.2004'!E19:E37,'Форма по МДС 81-35.2004'!M19:M37,0),2)</f>
        <v>0</v>
      </c>
      <c r="D6" s="40">
        <f>ROUND(СУММПРОИЗВЕСЛИ(1,'Форма по МДС 81-35.2004'!J19:J37,"IsMash",'Форма по МДС 81-35.2004'!E19:E37,'Форма по МДС 81-35.2004'!M19:M37,0),2)</f>
        <v>78.1</v>
      </c>
      <c r="E6" s="40">
        <f>ROUND(СУММПРОИЗВЕСЛИ(1,'Форма по МДС 81-35.2004'!J19:J37,"Ж",'Форма по МДС 81-35.2004'!E19:E37,'Форма по МДС 81-35.2004'!M19:M37,0),2)</f>
        <v>0</v>
      </c>
      <c r="F6" s="40">
        <f>ROUND(СУММПРОИЗВЕСЛИ(1,'Форма по МДС 81-35.2004'!J19:J37,"IsMater",'Форма по МДС 81-35.2004'!E19:E37,'Форма по МДС 81-35.2004'!M19:M37,0),2)</f>
        <v>0</v>
      </c>
      <c r="G6" s="40">
        <v>0</v>
      </c>
      <c r="H6" s="40">
        <v>0</v>
      </c>
      <c r="I6" s="36">
        <f>ОКРУГЛВСЕ(SUMIF('Форма по МДС 81-35.2004'!J19:J37,"Г",'Форма по МДС 81-35.2004'!E19:E37),8)</f>
        <v>0</v>
      </c>
      <c r="J6" s="36">
        <v>0</v>
      </c>
      <c r="K6" s="36">
        <f>ОКРУГЛВСЕ(SUMIF('Форма по МДС 81-35.2004'!J19:J37,"Ж",'Форма по МДС 81-35.2004'!E19:E37),8)</f>
        <v>0.42</v>
      </c>
      <c r="L6" s="40">
        <v>0</v>
      </c>
      <c r="M6" s="40">
        <v>0</v>
      </c>
      <c r="N6" s="40">
        <v>6.5772</v>
      </c>
      <c r="O6" s="40">
        <v>2.835</v>
      </c>
      <c r="P6" s="40">
        <v>0</v>
      </c>
      <c r="Q6" s="40">
        <v>6.5772</v>
      </c>
      <c r="R6" s="40">
        <v>0</v>
      </c>
      <c r="S6" s="40">
        <v>2.835</v>
      </c>
      <c r="T6" s="40">
        <v>0</v>
      </c>
      <c r="U6" s="40">
        <v>0</v>
      </c>
      <c r="V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0">
        <v>0</v>
      </c>
      <c r="AH6" s="40">
        <v>0</v>
      </c>
      <c r="AI6" s="40">
        <v>0</v>
      </c>
      <c r="AJ6" s="40">
        <v>0</v>
      </c>
      <c r="AK6" s="40">
        <v>0</v>
      </c>
    </row>
    <row r="7" spans="1:37" ht="10.5">
      <c r="A7" s="40" t="str">
        <f>'Форма по МДС 81-35.2004'!A38</f>
        <v>2.</v>
      </c>
      <c r="B7" s="40">
        <f>'Форма по МДС 81-35.2004'!M38</f>
        <v>1310.9</v>
      </c>
      <c r="C7" s="40">
        <f>ROUND(СУММПРОИЗВЕСЛИ(1,'Форма по МДС 81-35.2004'!J38:J64,"Г",'Форма по МДС 81-35.2004'!E38:E64,'Форма по МДС 81-35.2004'!M38:M64,0),2)</f>
        <v>41.47</v>
      </c>
      <c r="D7" s="40">
        <f>ROUND(СУММПРОИЗВЕСЛИ(1,'Форма по МДС 81-35.2004'!J38:J64,"IsMash",'Форма по МДС 81-35.2004'!E38:E64,'Форма по МДС 81-35.2004'!M38:M64,0),2)</f>
        <v>356.14</v>
      </c>
      <c r="E7" s="40">
        <f>ROUND(СУММПРОИЗВЕСЛИ(1,'Форма по МДС 81-35.2004'!J38:J64,"Ж",'Форма по МДС 81-35.2004'!E38:E64,'Форма по МДС 81-35.2004'!M38:M64,0),2)</f>
        <v>39.26</v>
      </c>
      <c r="F7" s="40">
        <f>ROUND(СУММПРОИЗВЕСЛИ(1,'Форма по МДС 81-35.2004'!J38:J64,"IsMater",'Форма по МДС 81-35.2004'!E38:E64,'Форма по МДС 81-35.2004'!M38:M64,0),2)</f>
        <v>913.29</v>
      </c>
      <c r="G7" s="40">
        <v>870.7</v>
      </c>
      <c r="H7" s="40">
        <v>0</v>
      </c>
      <c r="I7" s="36">
        <f>ОКРУГЛВСЕ(SUMIF('Форма по МДС 81-35.2004'!J38:J64,"Г",'Форма по МДС 81-35.2004'!E38:E64),8)</f>
        <v>5.0508</v>
      </c>
      <c r="J7" s="36">
        <v>0</v>
      </c>
      <c r="K7" s="36">
        <f>ОКРУГЛВСЕ(SUMIF('Форма по МДС 81-35.2004'!J38:J64,"Ж",'Форма по МДС 81-35.2004'!E38:E64),8)</f>
        <v>3.06</v>
      </c>
      <c r="L7" s="40">
        <v>0</v>
      </c>
      <c r="M7" s="40">
        <v>0</v>
      </c>
      <c r="N7" s="40">
        <v>120.2877</v>
      </c>
      <c r="O7" s="40">
        <v>65.3913</v>
      </c>
      <c r="P7" s="40">
        <v>61.7903</v>
      </c>
      <c r="Q7" s="40">
        <v>58.4974</v>
      </c>
      <c r="R7" s="40">
        <v>33.5907</v>
      </c>
      <c r="S7" s="40">
        <v>31.8006</v>
      </c>
      <c r="T7" s="40">
        <v>0</v>
      </c>
      <c r="U7" s="40">
        <v>0</v>
      </c>
      <c r="V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0">
        <v>0</v>
      </c>
      <c r="AE7" s="40">
        <v>0</v>
      </c>
      <c r="AH7" s="40">
        <v>0</v>
      </c>
      <c r="AI7" s="40">
        <v>0</v>
      </c>
      <c r="AJ7" s="40">
        <v>0</v>
      </c>
      <c r="AK7" s="40">
        <v>0</v>
      </c>
    </row>
    <row r="8" spans="1:37" ht="10.5">
      <c r="A8" s="40" t="str">
        <f>'Форма по МДС 81-35.2004'!A65</f>
        <v>3.</v>
      </c>
      <c r="B8" s="40">
        <f>'Форма по МДС 81-35.2004'!M65</f>
        <v>651.24</v>
      </c>
      <c r="C8" s="40">
        <f>ROUND(СУММПРОИЗВЕСЛИ(1,'Форма по МДС 81-35.2004'!J65:J91,"Г",'Форма по МДС 81-35.2004'!E65:E91,'Форма по МДС 81-35.2004'!M65:M91,0),2)</f>
        <v>41.47</v>
      </c>
      <c r="D8" s="40">
        <f>ROUND(СУММПРОИЗВЕСЛИ(1,'Форма по МДС 81-35.2004'!J65:J91,"IsMash",'Форма по МДС 81-35.2004'!E65:E91,'Форма по МДС 81-35.2004'!M65:M91,0),2)</f>
        <v>356.14</v>
      </c>
      <c r="E8" s="40">
        <f>ROUND(СУММПРОИЗВЕСЛИ(1,'Форма по МДС 81-35.2004'!J65:J91,"Ж",'Форма по МДС 81-35.2004'!E65:E91,'Форма по МДС 81-35.2004'!M65:M91,0),2)</f>
        <v>0</v>
      </c>
      <c r="F8" s="40">
        <f>ROUND(СУММПРОИЗВЕСЛИ(1,'Форма по МДС 81-35.2004'!J65:J91,"IsMater",'Форма по МДС 81-35.2004'!E65:E91,'Форма по МДС 81-35.2004'!M65:M91,0),2)</f>
        <v>253.63</v>
      </c>
      <c r="G8" s="40">
        <v>242.06</v>
      </c>
      <c r="H8" s="40">
        <v>0</v>
      </c>
      <c r="I8" s="36">
        <f>ОКРУГЛВСЕ(SUMIF('Форма по МДС 81-35.2004'!J65:J91,"Г",'Форма по МДС 81-35.2004'!E65:E91),8)</f>
        <v>5.0508</v>
      </c>
      <c r="J8" s="36">
        <v>0</v>
      </c>
      <c r="K8" s="36">
        <f>ОКРУГЛВСЕ(SUMIF('Форма по МДС 81-35.2004'!J65:J91,"Ж",'Форма по МДС 81-35.2004'!E65:E91),8)</f>
        <v>3.06</v>
      </c>
      <c r="L8" s="40">
        <v>0</v>
      </c>
      <c r="M8" s="40">
        <v>0</v>
      </c>
      <c r="N8" s="40">
        <v>120.2877</v>
      </c>
      <c r="O8" s="40">
        <v>65.3913</v>
      </c>
      <c r="P8" s="40">
        <v>61.7903</v>
      </c>
      <c r="Q8" s="40">
        <v>58.4974</v>
      </c>
      <c r="R8" s="40">
        <v>33.5907</v>
      </c>
      <c r="S8" s="40">
        <v>31.8006</v>
      </c>
      <c r="T8" s="40">
        <v>0</v>
      </c>
      <c r="U8" s="40">
        <v>0</v>
      </c>
      <c r="V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H8" s="40">
        <v>0</v>
      </c>
      <c r="AI8" s="40">
        <v>0</v>
      </c>
      <c r="AJ8" s="40">
        <v>0</v>
      </c>
      <c r="AK8" s="40">
        <v>0</v>
      </c>
    </row>
    <row r="9" spans="1:37" ht="10.5">
      <c r="A9" s="40" t="str">
        <f>'Форма по МДС 81-35.2004'!A92</f>
        <v>4.</v>
      </c>
      <c r="B9" s="40">
        <f>'Форма по МДС 81-35.2004'!M92</f>
        <v>1090.98</v>
      </c>
      <c r="C9" s="40">
        <f>ROUND(СУММПРОИЗВЕСЛИ(1,'Форма по МДС 81-35.2004'!J92:J118,"Г",'Форма по МДС 81-35.2004'!E92:E118,'Форма по МДС 81-35.2004'!M92:M118,0),2)</f>
        <v>41.47</v>
      </c>
      <c r="D9" s="40">
        <f>ROUND(СУММПРОИЗВЕСЛИ(1,'Форма по МДС 81-35.2004'!J92:J118,"IsMash",'Форма по МДС 81-35.2004'!E92:E118,'Форма по МДС 81-35.2004'!M92:M118,0),2)</f>
        <v>356.14</v>
      </c>
      <c r="E9" s="40">
        <f>ROUND(СУММПРОИЗВЕСЛИ(1,'Форма по МДС 81-35.2004'!J92:J118,"Ж",'Форма по МДС 81-35.2004'!E92:E118,'Форма по МДС 81-35.2004'!M92:M118,0),2)</f>
        <v>39.25</v>
      </c>
      <c r="F9" s="40">
        <f>ROUND(СУММПРОИЗВЕСЛИ(1,'Форма по МДС 81-35.2004'!J92:J118,"IsMater",'Форма по МДС 81-35.2004'!E92:E118,'Форма по МДС 81-35.2004'!M92:M118,0),2)</f>
        <v>693.37</v>
      </c>
      <c r="G9" s="40">
        <v>661.13</v>
      </c>
      <c r="H9" s="40">
        <v>0</v>
      </c>
      <c r="I9" s="36">
        <f>ОКРУГЛВСЕ(SUMIF('Форма по МДС 81-35.2004'!J92:J118,"Г",'Форма по МДС 81-35.2004'!E92:E118),8)</f>
        <v>5.0508</v>
      </c>
      <c r="J9" s="36">
        <v>0</v>
      </c>
      <c r="K9" s="36">
        <f>ОКРУГЛВСЕ(SUMIF('Форма по МДС 81-35.2004'!J92:J118,"Ж",'Форма по МДС 81-35.2004'!E92:E118),8)</f>
        <v>3.06</v>
      </c>
      <c r="L9" s="40">
        <v>0</v>
      </c>
      <c r="M9" s="40">
        <v>0</v>
      </c>
      <c r="N9" s="40">
        <v>120.2877</v>
      </c>
      <c r="O9" s="40">
        <v>65.3913</v>
      </c>
      <c r="P9" s="40">
        <v>61.7903</v>
      </c>
      <c r="Q9" s="40">
        <v>58.4974</v>
      </c>
      <c r="R9" s="40">
        <v>33.5907</v>
      </c>
      <c r="S9" s="40">
        <v>31.8006</v>
      </c>
      <c r="T9" s="40">
        <v>0</v>
      </c>
      <c r="U9" s="40">
        <v>0</v>
      </c>
      <c r="V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H9" s="40">
        <v>0</v>
      </c>
      <c r="AI9" s="40">
        <v>0</v>
      </c>
      <c r="AJ9" s="40">
        <v>0</v>
      </c>
      <c r="AK9" s="40">
        <v>0</v>
      </c>
    </row>
    <row r="10" spans="1:37" ht="10.5">
      <c r="A10" s="40" t="str">
        <f>'Форма по МДС 81-35.2004'!A119</f>
        <v>5.</v>
      </c>
      <c r="B10" s="40">
        <f>'Форма по МДС 81-35.2004'!M119</f>
        <v>871.13</v>
      </c>
      <c r="C10" s="40">
        <f>ROUND(СУММПРОИЗВЕСЛИ(1,'Форма по МДС 81-35.2004'!J119:J145,"Г",'Форма по МДС 81-35.2004'!E119:E145,'Форма по МДС 81-35.2004'!M119:M145,0),2)</f>
        <v>41.47</v>
      </c>
      <c r="D10" s="40">
        <f>ROUND(СУММПРОИЗВЕСЛИ(1,'Форма по МДС 81-35.2004'!J119:J145,"IsMash",'Форма по МДС 81-35.2004'!E119:E145,'Форма по МДС 81-35.2004'!M119:M145,0),2)</f>
        <v>356.14</v>
      </c>
      <c r="E10" s="40">
        <f>ROUND(СУММПРОИЗВЕСЛИ(1,'Форма по МДС 81-35.2004'!J119:J145,"Ж",'Форма по МДС 81-35.2004'!E119:E145,'Форма по МДС 81-35.2004'!M119:M145,0),2)</f>
        <v>39.26</v>
      </c>
      <c r="F10" s="40">
        <f>ROUND(СУММПРОИЗВЕСЛИ(1,'Форма по МДС 81-35.2004'!J119:J145,"IsMater",'Форма по МДС 81-35.2004'!E119:E145,'Форма по МДС 81-35.2004'!M119:M145,0),2)</f>
        <v>473.52</v>
      </c>
      <c r="G10" s="40">
        <v>451.61</v>
      </c>
      <c r="H10" s="40">
        <v>0</v>
      </c>
      <c r="I10" s="36">
        <f>ОКРУГЛВСЕ(SUMIF('Форма по МДС 81-35.2004'!J119:J145,"Г",'Форма по МДС 81-35.2004'!E119:E145),8)</f>
        <v>5.0508</v>
      </c>
      <c r="J10" s="36">
        <v>0</v>
      </c>
      <c r="K10" s="36">
        <f>ОКРУГЛВСЕ(SUMIF('Форма по МДС 81-35.2004'!J119:J145,"Ж",'Форма по МДС 81-35.2004'!E119:E145),8)</f>
        <v>3.06</v>
      </c>
      <c r="L10" s="40">
        <v>0</v>
      </c>
      <c r="M10" s="40">
        <v>0</v>
      </c>
      <c r="N10" s="40">
        <v>120.2877</v>
      </c>
      <c r="O10" s="40">
        <v>65.3913</v>
      </c>
      <c r="P10" s="40">
        <v>61.7903</v>
      </c>
      <c r="Q10" s="40">
        <v>58.4974</v>
      </c>
      <c r="R10" s="40">
        <v>33.5907</v>
      </c>
      <c r="S10" s="40">
        <v>31.8006</v>
      </c>
      <c r="T10" s="40">
        <v>0</v>
      </c>
      <c r="U10" s="40">
        <v>0</v>
      </c>
      <c r="V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H10" s="40">
        <v>0</v>
      </c>
      <c r="AI10" s="40">
        <v>0</v>
      </c>
      <c r="AJ10" s="40">
        <v>0</v>
      </c>
      <c r="AK10" s="40">
        <v>0</v>
      </c>
    </row>
    <row r="11" spans="1:37" ht="10.5">
      <c r="A11" s="40" t="str">
        <f>'Форма по МДС 81-35.2004'!A146</f>
        <v>6.</v>
      </c>
      <c r="B11" s="40">
        <f>'Форма по МДС 81-35.2004'!M146</f>
        <v>836.94</v>
      </c>
      <c r="C11" s="40">
        <f>ROUND(СУММПРОИЗВЕСЛИ(1,'Форма по МДС 81-35.2004'!J146:J171,"Г",'Форма по МДС 81-35.2004'!E146:E171,'Форма по МДС 81-35.2004'!M146:M171,0),2)</f>
        <v>25.17</v>
      </c>
      <c r="D11" s="40">
        <f>ROUND(СУММПРОИЗВЕСЛИ(1,'Форма по МДС 81-35.2004'!J146:J171,"IsMash",'Форма по МДС 81-35.2004'!E146:E171,'Форма по МДС 81-35.2004'!M146:M171,0),2)</f>
        <v>69.78</v>
      </c>
      <c r="E11" s="40">
        <f>ROUND(СУММПРОИЗВЕСЛИ(1,'Форма по МДС 81-35.2004'!J146:J171,"Ж",'Форма по МДС 81-35.2004'!E146:E171,'Форма по МДС 81-35.2004'!M146:M171,0),2)</f>
        <v>0</v>
      </c>
      <c r="F11" s="40">
        <f>ROUND(СУММПРОИЗВЕСЛИ(1,'Форма по МДС 81-35.2004'!J146:J171,"IsMater",'Форма по МДС 81-35.2004'!E146:E171,'Форма по МДС 81-35.2004'!M146:M171,0),2)</f>
        <v>741.99</v>
      </c>
      <c r="G11" s="40">
        <v>709.63</v>
      </c>
      <c r="H11" s="40">
        <v>0</v>
      </c>
      <c r="I11" s="36">
        <f>ОКРУГЛВСЕ(SUMIF('Форма по МДС 81-35.2004'!J146:J171,"Г",'Форма по МДС 81-35.2004'!E146:E171),8)</f>
        <v>2.91</v>
      </c>
      <c r="J11" s="36">
        <v>0</v>
      </c>
      <c r="K11" s="36">
        <f>ОКРУГЛВСЕ(SUMIF('Форма по МДС 81-35.2004'!J146:J171,"Ж",'Форма по МДС 81-35.2004'!E146:E171),8)</f>
        <v>0.97</v>
      </c>
      <c r="L11" s="40">
        <v>0</v>
      </c>
      <c r="M11" s="40">
        <v>0</v>
      </c>
      <c r="N11" s="40">
        <v>44.7528</v>
      </c>
      <c r="O11" s="40">
        <v>19.29</v>
      </c>
      <c r="P11" s="40">
        <v>29.1972</v>
      </c>
      <c r="Q11" s="40">
        <v>15.5556</v>
      </c>
      <c r="R11" s="40">
        <v>12.585</v>
      </c>
      <c r="S11" s="40">
        <v>6.705</v>
      </c>
      <c r="T11" s="40">
        <v>0</v>
      </c>
      <c r="U11" s="40">
        <v>0</v>
      </c>
      <c r="V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H11" s="40">
        <v>0</v>
      </c>
      <c r="AI11" s="40">
        <v>0</v>
      </c>
      <c r="AJ11" s="40">
        <v>0</v>
      </c>
      <c r="AK11" s="40">
        <v>0</v>
      </c>
    </row>
    <row r="12" spans="1:37" ht="10.5">
      <c r="A12" s="40" t="str">
        <f>'Форма по МДС 81-35.2004'!A172</f>
        <v>7.</v>
      </c>
      <c r="B12" s="40">
        <f>'Форма по МДС 81-35.2004'!M172</f>
        <v>2505.71</v>
      </c>
      <c r="C12" s="40">
        <f>ROUND(СУММПРОИЗВЕСЛИ(1,'Форма по МДС 81-35.2004'!J172:J197,"Г",'Форма по МДС 81-35.2004'!E172:E197,'Форма по МДС 81-35.2004'!M172:M197,0),2)</f>
        <v>21.8</v>
      </c>
      <c r="D12" s="40">
        <f>ROUND(СУММПРОИЗВЕСЛИ(1,'Форма по МДС 81-35.2004'!J172:J197,"IsMash",'Форма по МДС 81-35.2004'!E172:E197,'Форма по МДС 81-35.2004'!M172:M197,0),2)</f>
        <v>60.43</v>
      </c>
      <c r="E12" s="40">
        <f>ROUND(СУММПРОИЗВЕСЛИ(1,'Форма по МДС 81-35.2004'!J172:J197,"Ж",'Форма по МДС 81-35.2004'!E172:E197,'Форма по МДС 81-35.2004'!M172:M197,0),2)</f>
        <v>0</v>
      </c>
      <c r="F12" s="40">
        <f>ROUND(СУММПРОИЗВЕСЛИ(1,'Форма по МДС 81-35.2004'!J172:J197,"IsMater",'Форма по МДС 81-35.2004'!E172:E197,'Форма по МДС 81-35.2004'!M172:M197,0),2)</f>
        <v>2423.48</v>
      </c>
      <c r="G12" s="40">
        <v>2316.75</v>
      </c>
      <c r="H12" s="40">
        <v>0</v>
      </c>
      <c r="I12" s="36">
        <f>ОКРУГЛВСЕ(SUMIF('Форма по МДС 81-35.2004'!J172:J197,"Г",'Форма по МДС 81-35.2004'!E172:E197),8)</f>
        <v>2.52</v>
      </c>
      <c r="J12" s="36">
        <v>0</v>
      </c>
      <c r="K12" s="36">
        <f>ОКРУГЛВСЕ(SUMIF('Форма по МДС 81-35.2004'!J172:J197,"Ж",'Форма по МДС 81-35.2004'!E172:E197),8)</f>
        <v>0.84</v>
      </c>
      <c r="L12" s="40">
        <v>0</v>
      </c>
      <c r="M12" s="40">
        <v>0</v>
      </c>
      <c r="N12" s="40">
        <v>38.7556</v>
      </c>
      <c r="O12" s="40">
        <v>16.705</v>
      </c>
      <c r="P12" s="40">
        <v>25.288</v>
      </c>
      <c r="Q12" s="40">
        <v>13.4676</v>
      </c>
      <c r="R12" s="40">
        <v>10.9</v>
      </c>
      <c r="S12" s="40">
        <v>5.805</v>
      </c>
      <c r="T12" s="40">
        <v>0</v>
      </c>
      <c r="U12" s="40">
        <v>0</v>
      </c>
      <c r="V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H12" s="40">
        <v>0</v>
      </c>
      <c r="AI12" s="40">
        <v>0</v>
      </c>
      <c r="AJ12" s="40">
        <v>0</v>
      </c>
      <c r="AK12" s="40">
        <v>0</v>
      </c>
    </row>
    <row r="13" spans="1:37" ht="10.5">
      <c r="A13" s="40" t="str">
        <f>'Форма по МДС 81-35.2004'!A198</f>
        <v>8.</v>
      </c>
      <c r="B13" s="40">
        <f>'Форма по МДС 81-35.2004'!M198</f>
        <v>330.7</v>
      </c>
      <c r="C13" s="40">
        <f>ROUND(СУММПРОИЗВЕСЛИ(1,'Форма по МДС 81-35.2004'!J198:J221,"Г",'Форма по МДС 81-35.2004'!E198:E221,'Форма по МДС 81-35.2004'!M198:M221,0),2)</f>
        <v>28.59</v>
      </c>
      <c r="D13" s="40">
        <f>ROUND(СУММПРОИЗВЕСЛИ(1,'Форма по МДС 81-35.2004'!J198:J221,"IsMash",'Форма по МДС 81-35.2004'!E198:E221,'Форма по МДС 81-35.2004'!M198:M221,0),2)</f>
        <v>99.48</v>
      </c>
      <c r="E13" s="40">
        <f>ROUND(СУММПРОИЗВЕСЛИ(1,'Форма по МДС 81-35.2004'!J198:J221,"Ж",'Форма по МДС 81-35.2004'!E198:E221,'Форма по МДС 81-35.2004'!M198:M221,0),2)</f>
        <v>0</v>
      </c>
      <c r="F13" s="40">
        <f>ROUND(СУММПРОИЗВЕСЛИ(1,'Форма по МДС 81-35.2004'!J198:J221,"IsMater",'Форма по МДС 81-35.2004'!E198:E221,'Форма по МДС 81-35.2004'!M198:M221,0),2)</f>
        <v>202.63</v>
      </c>
      <c r="G13" s="40">
        <v>193.68</v>
      </c>
      <c r="H13" s="40">
        <v>0</v>
      </c>
      <c r="I13" s="36">
        <f>ОКРУГЛВСЕ(SUMIF('Форма по МДС 81-35.2004'!J198:J221,"Г",'Форма по МДС 81-35.2004'!E198:E221),8)</f>
        <v>3.45</v>
      </c>
      <c r="J13" s="36">
        <v>0</v>
      </c>
      <c r="K13" s="36">
        <f>ОКРУГЛВСЕ(SUMIF('Форма по МДС 81-35.2004'!J198:J221,"Ж",'Форма по МДС 81-35.2004'!E198:E221),8)</f>
        <v>1.15</v>
      </c>
      <c r="L13" s="40">
        <v>0</v>
      </c>
      <c r="M13" s="40">
        <v>0</v>
      </c>
      <c r="N13" s="40">
        <v>48.6388</v>
      </c>
      <c r="O13" s="40">
        <v>20.965</v>
      </c>
      <c r="P13" s="40">
        <v>33.1644</v>
      </c>
      <c r="Q13" s="40">
        <v>15.4744</v>
      </c>
      <c r="R13" s="40">
        <v>14.295</v>
      </c>
      <c r="S13" s="40">
        <v>6.67</v>
      </c>
      <c r="T13" s="40">
        <v>0</v>
      </c>
      <c r="U13" s="40">
        <v>0</v>
      </c>
      <c r="V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H13" s="40">
        <v>0</v>
      </c>
      <c r="AI13" s="40">
        <v>0</v>
      </c>
      <c r="AJ13" s="40">
        <v>0</v>
      </c>
      <c r="AK13" s="40">
        <v>0</v>
      </c>
    </row>
    <row r="14" spans="1:37" ht="10.5">
      <c r="A14" s="40" t="str">
        <f>'Форма по МДС 81-35.2004'!A222</f>
        <v>9.</v>
      </c>
      <c r="B14" s="40">
        <f>'Форма по МДС 81-35.2004'!M222</f>
        <v>4133.62</v>
      </c>
      <c r="C14" s="40">
        <f>ROUND(СУММПРОИЗВЕСЛИ(1,'Форма по МДС 81-35.2004'!J222:J245,"Г",'Форма по МДС 81-35.2004'!E222:E245,'Форма по МДС 81-35.2004'!M222:M245,0),2)</f>
        <v>440.27</v>
      </c>
      <c r="D14" s="40">
        <f>ROUND(СУММПРОИЗВЕСЛИ(1,'Форма по МДС 81-35.2004'!J222:J245,"IsMash",'Форма по МДС 81-35.2004'!E222:E245,'Форма по МДС 81-35.2004'!M222:M245,0),2)</f>
        <v>1531.92</v>
      </c>
      <c r="E14" s="40">
        <f>ROUND(СУММПРОИЗВЕСЛИ(1,'Форма по МДС 81-35.2004'!J222:J245,"Ж",'Форма по МДС 81-35.2004'!E222:E245,'Форма по МДС 81-35.2004'!M222:M245,0),2)</f>
        <v>205.44</v>
      </c>
      <c r="F14" s="40">
        <f>ROUND(СУММПРОИЗВЕСЛИ(1,'Форма по МДС 81-35.2004'!J222:J245,"IsMater",'Форма по МДС 81-35.2004'!E222:E245,'Форма по МДС 81-35.2004'!M222:M245,0),2)</f>
        <v>2161.44</v>
      </c>
      <c r="G14" s="40">
        <v>2065.91</v>
      </c>
      <c r="H14" s="40">
        <v>0</v>
      </c>
      <c r="I14" s="36">
        <f>ОКРУГЛВСЕ(SUMIF('Форма по МДС 81-35.2004'!J222:J245,"Г",'Форма по МДС 81-35.2004'!E222:E245),8)</f>
        <v>53.13</v>
      </c>
      <c r="J14" s="36">
        <v>0</v>
      </c>
      <c r="K14" s="36">
        <f>ОКРУГЛВСЕ(SUMIF('Форма по МДС 81-35.2004'!J222:J245,"Ж",'Форма по МДС 81-35.2004'!E222:E245),8)</f>
        <v>17.71</v>
      </c>
      <c r="L14" s="40">
        <v>0</v>
      </c>
      <c r="M14" s="40">
        <v>0</v>
      </c>
      <c r="N14" s="40">
        <v>749.0236</v>
      </c>
      <c r="O14" s="40">
        <v>322.855</v>
      </c>
      <c r="P14" s="40">
        <v>510.7132</v>
      </c>
      <c r="Q14" s="40">
        <v>238.3104</v>
      </c>
      <c r="R14" s="40">
        <v>220.135</v>
      </c>
      <c r="S14" s="40">
        <v>102.72</v>
      </c>
      <c r="T14" s="40">
        <v>0</v>
      </c>
      <c r="U14" s="40">
        <v>0</v>
      </c>
      <c r="V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H14" s="40">
        <v>0</v>
      </c>
      <c r="AI14" s="40">
        <v>0</v>
      </c>
      <c r="AJ14" s="40">
        <v>0</v>
      </c>
      <c r="AK14" s="40">
        <v>0</v>
      </c>
    </row>
    <row r="15" spans="1:37" ht="10.5">
      <c r="A15" s="40" t="str">
        <f>'Форма по МДС 81-35.2004'!A246</f>
        <v>10.</v>
      </c>
      <c r="B15" s="40">
        <f>'Форма по МДС 81-35.2004'!M246</f>
        <v>4966.03</v>
      </c>
      <c r="C15" s="40">
        <f>ROUND(СУММПРОИЗВЕСЛИ(1,'Форма по МДС 81-35.2004'!J246:J269,"Г",'Форма по МДС 81-35.2004'!E246:E269,'Форма по МДС 81-35.2004'!M246:M269,0),2)</f>
        <v>440.27</v>
      </c>
      <c r="D15" s="40">
        <f>ROUND(СУММПРОИЗВЕСЛИ(1,'Форма по МДС 81-35.2004'!J246:J269,"IsMash",'Форма по МДС 81-35.2004'!E246:E269,'Форма по МДС 81-35.2004'!M246:M269,0),2)</f>
        <v>1531.92</v>
      </c>
      <c r="E15" s="40">
        <f>ROUND(СУММПРОИЗВЕСЛИ(1,'Форма по МДС 81-35.2004'!J246:J269,"Ж",'Форма по МДС 81-35.2004'!E246:E269,'Форма по МДС 81-35.2004'!M246:M269,0),2)</f>
        <v>205.44</v>
      </c>
      <c r="F15" s="40">
        <f>ROUND(СУММПРОИЗВЕСЛИ(1,'Форма по МДС 81-35.2004'!J246:J269,"IsMater",'Форма по МДС 81-35.2004'!E246:E269,'Форма по МДС 81-35.2004'!M246:M269,0),2)</f>
        <v>2993.84</v>
      </c>
      <c r="G15" s="40">
        <v>2861.39</v>
      </c>
      <c r="H15" s="40">
        <v>0</v>
      </c>
      <c r="I15" s="36">
        <f>ОКРУГЛВСЕ(SUMIF('Форма по МДС 81-35.2004'!J246:J269,"Г",'Форма по МДС 81-35.2004'!E246:E269),8)</f>
        <v>53.13</v>
      </c>
      <c r="J15" s="36">
        <v>0</v>
      </c>
      <c r="K15" s="36">
        <f>ОКРУГЛВСЕ(SUMIF('Форма по МДС 81-35.2004'!J246:J269,"Ж",'Форма по МДС 81-35.2004'!E246:E269),8)</f>
        <v>17.71</v>
      </c>
      <c r="L15" s="40">
        <v>0</v>
      </c>
      <c r="M15" s="40">
        <v>0</v>
      </c>
      <c r="N15" s="40">
        <v>749.0236</v>
      </c>
      <c r="O15" s="40">
        <v>322.855</v>
      </c>
      <c r="P15" s="40">
        <v>510.7132</v>
      </c>
      <c r="Q15" s="40">
        <v>238.3104</v>
      </c>
      <c r="R15" s="40">
        <v>220.135</v>
      </c>
      <c r="S15" s="40">
        <v>102.72</v>
      </c>
      <c r="T15" s="40">
        <v>0</v>
      </c>
      <c r="U15" s="40">
        <v>0</v>
      </c>
      <c r="V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H15" s="40">
        <v>0</v>
      </c>
      <c r="AI15" s="40">
        <v>0</v>
      </c>
      <c r="AJ15" s="40">
        <v>0</v>
      </c>
      <c r="AK15" s="40">
        <v>0</v>
      </c>
    </row>
    <row r="16" spans="1:37" ht="10.5">
      <c r="A16" s="40" t="str">
        <f>'Форма по МДС 81-35.2004'!A270</f>
        <v>11.</v>
      </c>
      <c r="B16" s="40">
        <f>'Форма по МДС 81-35.2004'!M270</f>
        <v>2283.49</v>
      </c>
      <c r="C16" s="40">
        <f>ROUND(СУММПРОИЗВЕСЛИ(1,'Форма по МДС 81-35.2004'!J270:J295,"Г",'Форма по МДС 81-35.2004'!E270:E295,'Форма по МДС 81-35.2004'!M270:M295,0),2)</f>
        <v>122.46</v>
      </c>
      <c r="D16" s="40">
        <f>ROUND(СУММПРОИЗВЕСЛИ(1,'Форма по МДС 81-35.2004'!J270:J295,"IsMash",'Форма по МДС 81-35.2004'!E270:E295,'Форма по МДС 81-35.2004'!M270:M295,0),2)</f>
        <v>810.14</v>
      </c>
      <c r="E16" s="40">
        <f>ROUND(СУММПРОИЗВЕСЛИ(1,'Форма по МДС 81-35.2004'!J270:J295,"Ж",'Форма по МДС 81-35.2004'!E270:E295,'Форма по МДС 81-35.2004'!M270:M295,0),2)</f>
        <v>0</v>
      </c>
      <c r="F16" s="40">
        <f>ROUND(СУММПРОИЗВЕСЛИ(1,'Форма по МДС 81-35.2004'!J270:J295,"IsMater",'Форма по МДС 81-35.2004'!E270:E295,'Форма по МДС 81-35.2004'!M270:M295,0),2)</f>
        <v>1350.9</v>
      </c>
      <c r="G16" s="40">
        <v>1291.19</v>
      </c>
      <c r="H16" s="40">
        <v>0</v>
      </c>
      <c r="I16" s="36">
        <f>ОКРУГЛВСЕ(SUMIF('Форма по МДС 81-35.2004'!J270:J295,"Г",'Форма по МДС 81-35.2004'!E270:E295),8)</f>
        <v>13.77</v>
      </c>
      <c r="J16" s="36">
        <v>0</v>
      </c>
      <c r="K16" s="36">
        <f>ОКРУГЛВСЕ(SUMIF('Форма по МДС 81-35.2004'!J270:J295,"Ж",'Форма по МДС 81-35.2004'!E270:E295),8)</f>
        <v>9.18</v>
      </c>
      <c r="L16" s="40">
        <v>0</v>
      </c>
      <c r="M16" s="40">
        <v>0</v>
      </c>
      <c r="N16" s="40">
        <v>257.3808</v>
      </c>
      <c r="O16" s="40">
        <v>110.94</v>
      </c>
      <c r="P16" s="40">
        <v>142.0536</v>
      </c>
      <c r="Q16" s="40">
        <v>115.3272</v>
      </c>
      <c r="R16" s="40">
        <v>61.23</v>
      </c>
      <c r="S16" s="40">
        <v>49.71</v>
      </c>
      <c r="T16" s="40">
        <v>0</v>
      </c>
      <c r="U16" s="40">
        <v>0</v>
      </c>
      <c r="V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H16" s="40">
        <v>0</v>
      </c>
      <c r="AI16" s="40">
        <v>0</v>
      </c>
      <c r="AJ16" s="40">
        <v>0</v>
      </c>
      <c r="AK16" s="40">
        <v>0</v>
      </c>
    </row>
    <row r="17" spans="1:37" ht="10.5">
      <c r="A17" s="40" t="str">
        <f>'Форма по МДС 81-35.2004'!A296</f>
        <v>12.</v>
      </c>
      <c r="B17" s="40">
        <f>'Форма по МДС 81-35.2004'!M296</f>
        <v>321.58</v>
      </c>
      <c r="C17" s="40">
        <f>ROUND(СУММПРОИЗВЕСЛИ(1,'Форма по МДС 81-35.2004'!J296:J319,"Г",'Форма по МДС 81-35.2004'!E296:E319,'Форма по МДС 81-35.2004'!M296:M319,0),2)</f>
        <v>25.85</v>
      </c>
      <c r="D17" s="40">
        <f>ROUND(СУММПРОИЗВЕСЛИ(1,'Форма по МДС 81-35.2004'!J296:J319,"IsMash",'Форма по МДС 81-35.2004'!E296:E319,'Форма по МДС 81-35.2004'!M296:M319,0),2)</f>
        <v>89.96</v>
      </c>
      <c r="E17" s="40">
        <f>ROUND(СУММПРОИЗВЕСЛИ(1,'Форма по МДС 81-35.2004'!J296:J319,"Ж",'Форма по МДС 81-35.2004'!E296:E319,'Форма по МДС 81-35.2004'!M296:M319,0),2)</f>
        <v>0</v>
      </c>
      <c r="F17" s="40">
        <f>ROUND(СУММПРОИЗВЕСЛИ(1,'Форма по МДС 81-35.2004'!J296:J319,"IsMater",'Форма по МДС 81-35.2004'!E296:E319,'Форма по МДС 81-35.2004'!M296:M319,0),2)</f>
        <v>205.77</v>
      </c>
      <c r="G17" s="40">
        <v>196.67</v>
      </c>
      <c r="H17" s="40">
        <v>0</v>
      </c>
      <c r="I17" s="36">
        <f>ОКРУГЛВСЕ(SUMIF('Форма по МДС 81-35.2004'!J296:J319,"Г",'Форма по МДС 81-35.2004'!E296:E319),8)</f>
        <v>3.12</v>
      </c>
      <c r="J17" s="36">
        <v>0</v>
      </c>
      <c r="K17" s="36">
        <f>ОКРУГЛВСЕ(SUMIF('Форма по МДС 81-35.2004'!J296:J319,"Ж",'Форма по МДС 81-35.2004'!E296:E319),8)</f>
        <v>1.04</v>
      </c>
      <c r="L17" s="40">
        <v>0</v>
      </c>
      <c r="M17" s="40">
        <v>0</v>
      </c>
      <c r="N17" s="40">
        <v>43.9756</v>
      </c>
      <c r="O17" s="40">
        <v>18.955</v>
      </c>
      <c r="P17" s="40">
        <v>29.986</v>
      </c>
      <c r="Q17" s="40">
        <v>13.9896</v>
      </c>
      <c r="R17" s="40">
        <v>12.925</v>
      </c>
      <c r="S17" s="40">
        <v>6.03</v>
      </c>
      <c r="T17" s="40">
        <v>0</v>
      </c>
      <c r="U17" s="40">
        <v>0</v>
      </c>
      <c r="V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H17" s="40">
        <v>0</v>
      </c>
      <c r="AI17" s="40">
        <v>0</v>
      </c>
      <c r="AJ17" s="40">
        <v>0</v>
      </c>
      <c r="AK17" s="40">
        <v>0</v>
      </c>
    </row>
    <row r="18" spans="1:37" ht="10.5">
      <c r="A18" s="40" t="str">
        <f>'Форма по МДС 81-35.2004'!A320</f>
        <v>13.</v>
      </c>
      <c r="B18" s="40">
        <f>'Форма по МДС 81-35.2004'!M320</f>
        <v>2004.4</v>
      </c>
      <c r="C18" s="40">
        <f>ROUND(СУММПРОИЗВЕСЛИ(1,'Форма по МДС 81-35.2004'!J320:J345,"Г",'Форма по МДС 81-35.2004'!E320:E345,'Форма по МДС 81-35.2004'!M320:M345,0),2)</f>
        <v>2.13</v>
      </c>
      <c r="D18" s="40">
        <f>ROUND(СУММПРОИЗВЕСЛИ(1,'Форма по МДС 81-35.2004'!J320:J345,"IsMash",'Форма по МДС 81-35.2004'!E320:E345,'Форма по МДС 81-35.2004'!M320:M345,0),2)</f>
        <v>14.12</v>
      </c>
      <c r="E18" s="40">
        <f>ROUND(СУММПРОИЗВЕСЛИ(1,'Форма по МДС 81-35.2004'!J320:J345,"Ж",'Форма по МДС 81-35.2004'!E320:E345,'Форма по МДС 81-35.2004'!M320:M345,0),2)</f>
        <v>0</v>
      </c>
      <c r="F18" s="40">
        <f>ROUND(СУММПРОИЗВЕСЛИ(1,'Форма по МДС 81-35.2004'!J320:J345,"IsMater",'Форма по МДС 81-35.2004'!E320:E345,'Форма по МДС 81-35.2004'!M320:M345,0),2)</f>
        <v>1988.15</v>
      </c>
      <c r="G18" s="40">
        <v>1910.65</v>
      </c>
      <c r="H18" s="40">
        <v>0</v>
      </c>
      <c r="I18" s="36">
        <f>ОКРУГЛВСЕ(SUMIF('Форма по МДС 81-35.2004'!J320:J345,"Г",'Форма по МДС 81-35.2004'!E320:E345),8)</f>
        <v>0.24</v>
      </c>
      <c r="J18" s="36">
        <v>0</v>
      </c>
      <c r="K18" s="36">
        <f>ОКРУГЛВСЕ(SUMIF('Форма по МДС 81-35.2004'!J320:J345,"Ж",'Форма по МДС 81-35.2004'!E320:E345),8)</f>
        <v>0.16</v>
      </c>
      <c r="L18" s="40">
        <v>0</v>
      </c>
      <c r="M18" s="40">
        <v>0</v>
      </c>
      <c r="N18" s="40">
        <v>4.4776</v>
      </c>
      <c r="O18" s="40">
        <v>1.93</v>
      </c>
      <c r="P18" s="40">
        <v>2.4708</v>
      </c>
      <c r="Q18" s="40">
        <v>2.0068</v>
      </c>
      <c r="R18" s="40">
        <v>1.065</v>
      </c>
      <c r="S18" s="40">
        <v>0.865</v>
      </c>
      <c r="T18" s="40">
        <v>0</v>
      </c>
      <c r="U18" s="40">
        <v>0</v>
      </c>
      <c r="V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H18" s="40">
        <v>0</v>
      </c>
      <c r="AI18" s="40">
        <v>0</v>
      </c>
      <c r="AJ18" s="40">
        <v>0</v>
      </c>
      <c r="AK18" s="40">
        <v>0</v>
      </c>
    </row>
    <row r="19" spans="1:37" ht="10.5">
      <c r="A19" s="40" t="str">
        <f>'Форма по МДС 81-35.2004'!A346</f>
        <v>14.</v>
      </c>
      <c r="B19" s="40">
        <f>'Форма по МДС 81-35.2004'!M346</f>
        <v>45.2</v>
      </c>
      <c r="C19" s="40">
        <f>ROUND(СУММПРОИЗВЕСЛИ(1,'Форма по МДС 81-35.2004'!J346:J371,"Г",'Форма по МДС 81-35.2004'!E346:E371,'Форма по МДС 81-35.2004'!M346:M371,0),2)</f>
        <v>2.67</v>
      </c>
      <c r="D19" s="40">
        <f>ROUND(СУММПРОИЗВЕСЛИ(1,'Форма по МДС 81-35.2004'!J346:J371,"IsMash",'Форма по МДС 81-35.2004'!E346:E371,'Форма по МДС 81-35.2004'!M346:M371,0),2)</f>
        <v>17.65</v>
      </c>
      <c r="E19" s="40">
        <f>ROUND(СУММПРОИЗВЕСЛИ(1,'Форма по МДС 81-35.2004'!J346:J371,"Ж",'Форма по МДС 81-35.2004'!E346:E371,'Форма по МДС 81-35.2004'!M346:M371,0),2)</f>
        <v>0</v>
      </c>
      <c r="F19" s="40">
        <f>ROUND(СУММПРОИЗВЕСЛИ(1,'Форма по МДС 81-35.2004'!J346:J371,"IsMater",'Форма по МДС 81-35.2004'!E346:E371,'Форма по МДС 81-35.2004'!M346:M371,0),2)</f>
        <v>24.88</v>
      </c>
      <c r="G19" s="40">
        <v>23.8</v>
      </c>
      <c r="H19" s="40">
        <v>0</v>
      </c>
      <c r="I19" s="36">
        <f>ОКРУГЛВСЕ(SUMIF('Форма по МДС 81-35.2004'!J346:J371,"Г",'Форма по МДС 81-35.2004'!E346:E371),8)</f>
        <v>0.3</v>
      </c>
      <c r="J19" s="36">
        <v>0</v>
      </c>
      <c r="K19" s="36">
        <f>ОКРУГЛВСЕ(SUMIF('Форма по МДС 81-35.2004'!J346:J371,"Ж",'Форма по МДС 81-35.2004'!E346:E371),8)</f>
        <v>0.2</v>
      </c>
      <c r="L19" s="40">
        <v>0</v>
      </c>
      <c r="M19" s="40">
        <v>0</v>
      </c>
      <c r="N19" s="40">
        <v>5.6144</v>
      </c>
      <c r="O19" s="40">
        <v>2.42</v>
      </c>
      <c r="P19" s="40">
        <v>3.0972</v>
      </c>
      <c r="Q19" s="40">
        <v>2.5172</v>
      </c>
      <c r="R19" s="40">
        <v>1.335</v>
      </c>
      <c r="S19" s="40">
        <v>1.085</v>
      </c>
      <c r="T19" s="40">
        <v>0</v>
      </c>
      <c r="U19" s="40">
        <v>0</v>
      </c>
      <c r="V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H19" s="40">
        <v>0</v>
      </c>
      <c r="AI19" s="40">
        <v>0</v>
      </c>
      <c r="AJ19" s="40">
        <v>0</v>
      </c>
      <c r="AK19" s="40">
        <v>0</v>
      </c>
    </row>
    <row r="20" spans="1:37" ht="10.5">
      <c r="A20" s="40" t="str">
        <f>'Форма по МДС 81-35.2004'!A372</f>
        <v>15.</v>
      </c>
      <c r="B20" s="40">
        <f>'Форма по МДС 81-35.2004'!M372</f>
        <v>58.63</v>
      </c>
      <c r="C20" s="40">
        <f>ROUND(СУММПРОИЗВЕСЛИ(1,'Форма по МДС 81-35.2004'!J372:J397,"Г",'Форма по МДС 81-35.2004'!E372:E397,'Форма по МДС 81-35.2004'!M372:M397,0),2)</f>
        <v>2.93</v>
      </c>
      <c r="D20" s="40">
        <f>ROUND(СУММПРОИЗВЕСЛИ(1,'Форма по МДС 81-35.2004'!J372:J397,"IsMash",'Форма по МДС 81-35.2004'!E372:E397,'Форма по МДС 81-35.2004'!M372:M397,0),2)</f>
        <v>19.42</v>
      </c>
      <c r="E20" s="40">
        <f>ROUND(СУММПРОИЗВЕСЛИ(1,'Форма по МДС 81-35.2004'!J372:J397,"Ж",'Форма по МДС 81-35.2004'!E372:E397,'Форма по МДС 81-35.2004'!M372:M397,0),2)</f>
        <v>0</v>
      </c>
      <c r="F20" s="40">
        <f>ROUND(СУММПРОИЗВЕСЛИ(1,'Форма по МДС 81-35.2004'!J372:J397,"IsMater",'Форма по МДС 81-35.2004'!E372:E397,'Форма по МДС 81-35.2004'!M372:M397,0),2)</f>
        <v>36.28</v>
      </c>
      <c r="G20" s="40">
        <v>34.71</v>
      </c>
      <c r="H20" s="40">
        <v>0</v>
      </c>
      <c r="I20" s="36">
        <f>ОКРУГЛВСЕ(SUMIF('Форма по МДС 81-35.2004'!J372:J397,"Г",'Форма по МДС 81-35.2004'!E372:E397),8)</f>
        <v>0.33</v>
      </c>
      <c r="J20" s="36">
        <v>0</v>
      </c>
      <c r="K20" s="36">
        <f>ОКРУГЛВСЕ(SUMIF('Форма по МДС 81-35.2004'!J372:J397,"Ж",'Форма по МДС 81-35.2004'!E372:E397),8)</f>
        <v>0.22</v>
      </c>
      <c r="L20" s="40">
        <v>0</v>
      </c>
      <c r="M20" s="40">
        <v>0</v>
      </c>
      <c r="N20" s="40">
        <v>6.1596</v>
      </c>
      <c r="O20" s="40">
        <v>2.655</v>
      </c>
      <c r="P20" s="40">
        <v>3.3988</v>
      </c>
      <c r="Q20" s="40">
        <v>2.7608</v>
      </c>
      <c r="R20" s="40">
        <v>1.465</v>
      </c>
      <c r="S20" s="40">
        <v>1.19</v>
      </c>
      <c r="T20" s="40">
        <v>0</v>
      </c>
      <c r="U20" s="40">
        <v>0</v>
      </c>
      <c r="V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H20" s="40">
        <v>0</v>
      </c>
      <c r="AI20" s="40">
        <v>0</v>
      </c>
      <c r="AJ20" s="40">
        <v>0</v>
      </c>
      <c r="AK20" s="40">
        <v>0</v>
      </c>
    </row>
    <row r="21" spans="1:37" ht="10.5">
      <c r="A21" s="40" t="str">
        <f>'Форма по МДС 81-35.2004'!A398</f>
        <v>16.</v>
      </c>
      <c r="B21" s="40">
        <f>'Форма по МДС 81-35.2004'!M398</f>
        <v>68.28</v>
      </c>
      <c r="C21" s="40">
        <f>ROUND(СУММПРОИЗВЕСЛИ(1,'Форма по МДС 81-35.2004'!J398:J423,"Г",'Форма по МДС 81-35.2004'!E398:E423,'Форма по МДС 81-35.2004'!M398:M423,0),2)</f>
        <v>3.47</v>
      </c>
      <c r="D21" s="40">
        <f>ROUND(СУММПРОИЗВЕСЛИ(1,'Форма по МДС 81-35.2004'!J398:J423,"IsMash",'Форма по МДС 81-35.2004'!E398:E423,'Форма по МДС 81-35.2004'!M398:M423,0),2)</f>
        <v>22.95</v>
      </c>
      <c r="E21" s="40">
        <f>ROUND(СУММПРОИЗВЕСЛИ(1,'Форма по МДС 81-35.2004'!J398:J423,"Ж",'Форма по МДС 81-35.2004'!E398:E423,'Форма по МДС 81-35.2004'!M398:M423,0),2)</f>
        <v>0</v>
      </c>
      <c r="F21" s="40">
        <f>ROUND(СУММПРОИЗВЕСЛИ(1,'Форма по МДС 81-35.2004'!J398:J423,"IsMater",'Форма по МДС 81-35.2004'!E398:E423,'Форма по МДС 81-35.2004'!M398:M423,0),2)</f>
        <v>41.87</v>
      </c>
      <c r="G21" s="40">
        <v>40.06</v>
      </c>
      <c r="H21" s="40">
        <v>0</v>
      </c>
      <c r="I21" s="36">
        <f>ОКРУГЛВСЕ(SUMIF('Форма по МДС 81-35.2004'!J398:J423,"Г",'Форма по МДС 81-35.2004'!E398:E423),8)</f>
        <v>0.39</v>
      </c>
      <c r="J21" s="36">
        <v>0</v>
      </c>
      <c r="K21" s="36">
        <f>ОКРУГЛВСЕ(SUMIF('Форма по МДС 81-35.2004'!J398:J423,"Ж",'Форма по МДС 81-35.2004'!E398:E423),8)</f>
        <v>0.26</v>
      </c>
      <c r="L21" s="40">
        <v>0</v>
      </c>
      <c r="M21" s="40">
        <v>0</v>
      </c>
      <c r="N21" s="40">
        <v>7.2964</v>
      </c>
      <c r="O21" s="40">
        <v>3.145</v>
      </c>
      <c r="P21" s="40">
        <v>4.0252</v>
      </c>
      <c r="Q21" s="40">
        <v>3.2712</v>
      </c>
      <c r="R21" s="40">
        <v>1.735</v>
      </c>
      <c r="S21" s="40">
        <v>1.41</v>
      </c>
      <c r="T21" s="40">
        <v>0</v>
      </c>
      <c r="U21" s="40">
        <v>0</v>
      </c>
      <c r="V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H21" s="40">
        <v>0</v>
      </c>
      <c r="AI21" s="40">
        <v>0</v>
      </c>
      <c r="AJ21" s="40">
        <v>0</v>
      </c>
      <c r="AK21" s="40">
        <v>0</v>
      </c>
    </row>
    <row r="22" spans="1:37" ht="10.5">
      <c r="A22" s="40" t="str">
        <f>'Форма по МДС 81-35.2004'!A424</f>
        <v>17.</v>
      </c>
      <c r="B22" s="40">
        <f>'Форма по МДС 81-35.2004'!M424</f>
        <v>3450.55</v>
      </c>
      <c r="C22" s="40">
        <f>ROUND(СУММПРОИЗВЕСЛИ(1,'Форма по МДС 81-35.2004'!J424:J449,"Г",'Форма по МДС 81-35.2004'!E424:E449,'Форма по МДС 81-35.2004'!M424:M449,0),2)</f>
        <v>235.51</v>
      </c>
      <c r="D22" s="40">
        <f>ROUND(СУММПРОИЗВЕСЛИ(1,'Форма по МДС 81-35.2004'!J424:J449,"IsMash",'Форма по МДС 81-35.2004'!E424:E449,'Форма по МДС 81-35.2004'!M424:M449,0),2)</f>
        <v>1556.73</v>
      </c>
      <c r="E22" s="40">
        <f>ROUND(СУММПРОИЗВЕСЛИ(1,'Форма по МДС 81-35.2004'!J424:J449,"Ж",'Форма по МДС 81-35.2004'!E424:E449,'Форма по МДС 81-35.2004'!M424:M449,0),2)</f>
        <v>0</v>
      </c>
      <c r="F22" s="40">
        <f>ROUND(СУММПРОИЗВЕСЛИ(1,'Форма по МДС 81-35.2004'!J424:J449,"IsMater",'Форма по МДС 81-35.2004'!E424:E449,'Форма по МДС 81-35.2004'!M424:M449,0),2)</f>
        <v>1658.31</v>
      </c>
      <c r="G22" s="40">
        <v>1586.63</v>
      </c>
      <c r="H22" s="40">
        <v>0</v>
      </c>
      <c r="I22" s="36">
        <f>ОКРУГЛВСЕ(SUMIF('Форма по МДС 81-35.2004'!J424:J449,"Г",'Форма по МДС 81-35.2004'!E424:E449),8)</f>
        <v>26.48</v>
      </c>
      <c r="J22" s="36">
        <v>0</v>
      </c>
      <c r="K22" s="36">
        <f>ОКРУГЛВСЕ(SUMIF('Форма по МДС 81-35.2004'!J424:J449,"Ж",'Форма по МДС 81-35.2004'!E424:E449),8)</f>
        <v>17.64</v>
      </c>
      <c r="L22" s="40">
        <v>0</v>
      </c>
      <c r="M22" s="40">
        <v>0</v>
      </c>
      <c r="N22" s="40">
        <v>494.798</v>
      </c>
      <c r="O22" s="40">
        <v>213.275</v>
      </c>
      <c r="P22" s="40">
        <v>273.1916</v>
      </c>
      <c r="Q22" s="40">
        <v>221.6064</v>
      </c>
      <c r="R22" s="40">
        <v>117.755</v>
      </c>
      <c r="S22" s="40">
        <v>95.52</v>
      </c>
      <c r="T22" s="40">
        <v>0</v>
      </c>
      <c r="U22" s="40">
        <v>0</v>
      </c>
      <c r="V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H22" s="40">
        <v>0</v>
      </c>
      <c r="AI22" s="40">
        <v>0</v>
      </c>
      <c r="AJ22" s="40">
        <v>0</v>
      </c>
      <c r="AK22" s="40">
        <v>0</v>
      </c>
    </row>
    <row r="23" spans="1:37" ht="10.5">
      <c r="A23" s="40" t="str">
        <f>'Форма по МДС 81-35.2004'!A450</f>
        <v>18.</v>
      </c>
      <c r="B23" s="40">
        <f>'Форма по МДС 81-35.2004'!M450</f>
        <v>711.03</v>
      </c>
      <c r="C23" s="40">
        <f>ROUND(СУММПРОИЗВЕСЛИ(1,'Форма по МДС 81-35.2004'!J450:J475,"Г",'Форма по МДС 81-35.2004'!E450:E475,'Форма по МДС 81-35.2004'!M450:M475,0),2)</f>
        <v>22.41</v>
      </c>
      <c r="D23" s="40">
        <f>ROUND(СУММПРОИЗВЕСЛИ(1,'Форма по МДС 81-35.2004'!J450:J475,"IsMash",'Форма по МДС 81-35.2004'!E450:E475,'Форма по МДС 81-35.2004'!M450:M475,0),2)</f>
        <v>148.26</v>
      </c>
      <c r="E23" s="40">
        <f>ROUND(СУММПРОИЗВЕСЛИ(1,'Форма по МДС 81-35.2004'!J450:J475,"Ж",'Форма по МДС 81-35.2004'!E450:E475,'Форма по МДС 81-35.2004'!M450:M475,0),2)</f>
        <v>18.19</v>
      </c>
      <c r="F23" s="40">
        <f>ROUND(СУММПРОИЗВЕСЛИ(1,'Форма по МДС 81-35.2004'!J450:J475,"IsMater",'Форма по МДС 81-35.2004'!E450:E475,'Форма по МДС 81-35.2004'!M450:M475,0),2)</f>
        <v>540.36</v>
      </c>
      <c r="G23" s="40">
        <v>516.48</v>
      </c>
      <c r="H23" s="40">
        <v>0</v>
      </c>
      <c r="I23" s="36">
        <f>ОКРУГЛВСЕ(SUMIF('Форма по МДС 81-35.2004'!J450:J475,"Г",'Форма по МДС 81-35.2004'!E450:E475),8)</f>
        <v>2.52</v>
      </c>
      <c r="J23" s="36">
        <v>0</v>
      </c>
      <c r="K23" s="36">
        <f>ОКРУГЛВСЕ(SUMIF('Форма по МДС 81-35.2004'!J450:J475,"Ж",'Форма по МДС 81-35.2004'!E450:E475),8)</f>
        <v>1.68</v>
      </c>
      <c r="L23" s="40">
        <v>0</v>
      </c>
      <c r="M23" s="40">
        <v>0</v>
      </c>
      <c r="N23" s="40">
        <v>47.096</v>
      </c>
      <c r="O23" s="40">
        <v>20.3</v>
      </c>
      <c r="P23" s="40">
        <v>25.9956</v>
      </c>
      <c r="Q23" s="40">
        <v>21.1004</v>
      </c>
      <c r="R23" s="40">
        <v>11.205</v>
      </c>
      <c r="S23" s="40">
        <v>9.095</v>
      </c>
      <c r="T23" s="40">
        <v>0</v>
      </c>
      <c r="U23" s="40">
        <v>0</v>
      </c>
      <c r="V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H23" s="40">
        <v>0</v>
      </c>
      <c r="AI23" s="40">
        <v>0</v>
      </c>
      <c r="AJ23" s="40">
        <v>0</v>
      </c>
      <c r="AK23" s="40">
        <v>0</v>
      </c>
    </row>
    <row r="24" spans="1:37" ht="10.5">
      <c r="A24" s="40" t="str">
        <f>'Форма по МДС 81-35.2004'!A476</f>
        <v>19.</v>
      </c>
      <c r="B24" s="40">
        <f>'Форма по МДС 81-35.2004'!M476</f>
        <v>5573.29</v>
      </c>
      <c r="C24" s="40">
        <f>ROUND(СУММПРОИЗВЕСЛИ(1,'Форма по МДС 81-35.2004'!J476:J501,"Г",'Форма по МДС 81-35.2004'!E476:E501,'Форма по МДС 81-35.2004'!M476:M501,0),2)</f>
        <v>25.17</v>
      </c>
      <c r="D24" s="40">
        <f>ROUND(СУММПРОИЗВЕСЛИ(1,'Форма по МДС 81-35.2004'!J476:J501,"IsMash",'Форма по МДС 81-35.2004'!E476:E501,'Форма по МДС 81-35.2004'!M476:M501,0),2)</f>
        <v>69.78</v>
      </c>
      <c r="E24" s="40">
        <f>ROUND(СУММПРОИЗВЕСЛИ(1,'Форма по МДС 81-35.2004'!J476:J501,"Ж",'Форма по МДС 81-35.2004'!E476:E501,'Форма по МДС 81-35.2004'!M476:M501,0),2)</f>
        <v>13.33</v>
      </c>
      <c r="F24" s="40">
        <f>ROUND(СУММПРОИЗВЕСЛИ(1,'Форма по МДС 81-35.2004'!J476:J501,"IsMater",'Форма по МДС 81-35.2004'!E476:E501,'Форма по МДС 81-35.2004'!M476:M501,0),2)</f>
        <v>5478.33</v>
      </c>
      <c r="G24" s="40">
        <v>5236.68</v>
      </c>
      <c r="H24" s="40">
        <v>0</v>
      </c>
      <c r="I24" s="36">
        <f>ОКРУГЛВСЕ(SUMIF('Форма по МДС 81-35.2004'!J476:J501,"Г",'Форма по МДС 81-35.2004'!E476:E501),8)</f>
        <v>2.91</v>
      </c>
      <c r="J24" s="36">
        <v>0</v>
      </c>
      <c r="K24" s="36">
        <f>ОКРУГЛВСЕ(SUMIF('Форма по МДС 81-35.2004'!J476:J501,"Ж",'Форма по МДС 81-35.2004'!E476:E501),8)</f>
        <v>0.97</v>
      </c>
      <c r="L24" s="40">
        <v>0</v>
      </c>
      <c r="M24" s="40">
        <v>0</v>
      </c>
      <c r="N24" s="40">
        <v>44.7528</v>
      </c>
      <c r="O24" s="40">
        <v>19.29</v>
      </c>
      <c r="P24" s="40">
        <v>29.1972</v>
      </c>
      <c r="Q24" s="40">
        <v>15.5556</v>
      </c>
      <c r="R24" s="40">
        <v>12.585</v>
      </c>
      <c r="S24" s="40">
        <v>6.705</v>
      </c>
      <c r="T24" s="40">
        <v>0</v>
      </c>
      <c r="U24" s="40">
        <v>0</v>
      </c>
      <c r="V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H24" s="40">
        <v>0</v>
      </c>
      <c r="AI24" s="40">
        <v>0</v>
      </c>
      <c r="AJ24" s="40">
        <v>0</v>
      </c>
      <c r="AK24" s="40">
        <v>0</v>
      </c>
    </row>
  </sheetData>
  <sheetProtection/>
  <mergeCells count="4">
    <mergeCell ref="A2:H2"/>
    <mergeCell ref="B3:H3"/>
    <mergeCell ref="B4:H4"/>
    <mergeCell ref="A5:H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K24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36" customWidth="1"/>
    <col min="2" max="16384" width="9.140625" style="40" customWidth="1"/>
  </cols>
  <sheetData>
    <row r="1" spans="1:37" s="41" customFormat="1" ht="10.5">
      <c r="A1" s="8"/>
      <c r="B1" s="41" t="s">
        <v>344</v>
      </c>
      <c r="C1" s="41" t="s">
        <v>345</v>
      </c>
      <c r="D1" s="41" t="s">
        <v>346</v>
      </c>
      <c r="E1" s="41" t="s">
        <v>347</v>
      </c>
      <c r="F1" s="41" t="s">
        <v>348</v>
      </c>
      <c r="G1" s="41" t="s">
        <v>349</v>
      </c>
      <c r="H1" s="41" t="s">
        <v>350</v>
      </c>
      <c r="I1" s="41" t="s">
        <v>351</v>
      </c>
      <c r="J1" s="41" t="s">
        <v>352</v>
      </c>
      <c r="K1" s="41" t="s">
        <v>353</v>
      </c>
      <c r="L1" s="41" t="s">
        <v>354</v>
      </c>
      <c r="M1" s="41" t="s">
        <v>355</v>
      </c>
      <c r="N1" s="41" t="s">
        <v>356</v>
      </c>
      <c r="O1" s="41" t="s">
        <v>357</v>
      </c>
      <c r="P1" s="41" t="s">
        <v>358</v>
      </c>
      <c r="Q1" s="41" t="s">
        <v>359</v>
      </c>
      <c r="R1" s="41" t="s">
        <v>360</v>
      </c>
      <c r="S1" s="41" t="s">
        <v>361</v>
      </c>
      <c r="T1" s="41" t="s">
        <v>362</v>
      </c>
      <c r="U1" s="41" t="s">
        <v>363</v>
      </c>
      <c r="V1" s="41" t="s">
        <v>364</v>
      </c>
      <c r="X1" s="41" t="s">
        <v>365</v>
      </c>
      <c r="Y1" s="41" t="s">
        <v>366</v>
      </c>
      <c r="Z1" s="41" t="s">
        <v>367</v>
      </c>
      <c r="AA1" s="41" t="s">
        <v>368</v>
      </c>
      <c r="AB1" s="41" t="s">
        <v>369</v>
      </c>
      <c r="AC1" s="41" t="s">
        <v>370</v>
      </c>
      <c r="AD1" s="41" t="s">
        <v>371</v>
      </c>
      <c r="AE1" s="41" t="s">
        <v>372</v>
      </c>
      <c r="AF1" s="41" t="s">
        <v>373</v>
      </c>
      <c r="AG1" s="41" t="s">
        <v>374</v>
      </c>
      <c r="AH1" s="41" t="s">
        <v>375</v>
      </c>
      <c r="AI1" s="41" t="s">
        <v>376</v>
      </c>
      <c r="AJ1" s="41" t="s">
        <v>377</v>
      </c>
      <c r="AK1" s="41" t="s">
        <v>378</v>
      </c>
    </row>
    <row r="2" spans="1:8" ht="10.5">
      <c r="A2" s="73"/>
      <c r="B2" s="74"/>
      <c r="C2" s="74"/>
      <c r="D2" s="74"/>
      <c r="E2" s="74"/>
      <c r="F2" s="74"/>
      <c r="G2" s="74"/>
      <c r="H2" s="74"/>
    </row>
    <row r="3" spans="1:8" ht="10.5">
      <c r="A3" s="42"/>
      <c r="B3" s="75" t="s">
        <v>379</v>
      </c>
      <c r="C3" s="75"/>
      <c r="D3" s="75"/>
      <c r="E3" s="75"/>
      <c r="F3" s="75"/>
      <c r="G3" s="75"/>
      <c r="H3" s="75"/>
    </row>
    <row r="4" spans="1:8" ht="10.5">
      <c r="A4" s="42"/>
      <c r="B4" s="75" t="s">
        <v>380</v>
      </c>
      <c r="C4" s="75"/>
      <c r="D4" s="75"/>
      <c r="E4" s="75"/>
      <c r="F4" s="75"/>
      <c r="G4" s="75"/>
      <c r="H4" s="75"/>
    </row>
    <row r="5" spans="1:8" ht="10.5">
      <c r="A5" s="73"/>
      <c r="B5" s="74"/>
      <c r="C5" s="74"/>
      <c r="D5" s="74"/>
      <c r="E5" s="74"/>
      <c r="F5" s="74"/>
      <c r="G5" s="74"/>
      <c r="H5" s="74"/>
    </row>
    <row r="6" spans="1:37" ht="10.5">
      <c r="A6" s="40" t="str">
        <f>'Форма по МДС 81-35.2004'!A19</f>
        <v>1.</v>
      </c>
      <c r="B6" s="40">
        <f>'Форма по МДС 81-35.2004'!G19</f>
        <v>702.75</v>
      </c>
      <c r="C6" s="40">
        <f>ROUND(СУММПРОИЗВЕСЛИ(1,'Форма по МДС 81-35.2004'!J19:J37,"Г",'Форма по МДС 81-35.2004'!E19:E37,'Форма по МДС 81-35.2004'!G19:G37,0),1423636)</f>
        <v>0</v>
      </c>
      <c r="D6" s="40">
        <f>ROUND(СУММПРОИЗВЕСЛИ(1,'Форма по МДС 81-35.2004'!J19:J37,"IsMash",'Форма по МДС 81-35.2004'!E19:E37,'Форма по МДС 81-35.2004'!G19:G37,0),1423636)</f>
        <v>702.7482</v>
      </c>
      <c r="E6" s="40">
        <f>ROUND(СУММПРОИЗВЕСЛИ(1,'Форма по МДС 81-35.2004'!J19:J37,"Ж",'Форма по МДС 81-35.2004'!E19:E37,'Форма по МДС 81-35.2004'!G19:G37,0),1423636)</f>
        <v>0</v>
      </c>
      <c r="F6" s="40">
        <f>ROUND(СУММПРОИЗВЕСЛИ(1,'Форма по МДС 81-35.2004'!J19:J37,"IsMater",'Форма по МДС 81-35.2004'!E19:E37,'Форма по МДС 81-35.2004'!G19:G37,0),1423636)</f>
        <v>0</v>
      </c>
      <c r="G6" s="40">
        <v>0</v>
      </c>
      <c r="H6" s="40">
        <v>0</v>
      </c>
      <c r="I6" s="36">
        <f>ОКРУГЛВСЕ(SUMIF('Форма по МДС 81-35.2004'!J19:J37,"Г",'Форма по МДС 81-35.2004'!E19:E37),8)</f>
        <v>0</v>
      </c>
      <c r="J6" s="36">
        <v>0</v>
      </c>
      <c r="K6" s="36">
        <f>ОКРУГЛВСЕ(SUMIF('Форма по МДС 81-35.2004'!J19:J37,"Ж",'Форма по МДС 81-35.2004'!E19:E37),8)</f>
        <v>0.42</v>
      </c>
      <c r="L6" s="40">
        <v>0</v>
      </c>
      <c r="M6" s="40">
        <v>0</v>
      </c>
      <c r="N6" s="40">
        <v>115.3845</v>
      </c>
      <c r="O6" s="40">
        <v>46.62</v>
      </c>
      <c r="P6" s="40">
        <v>0</v>
      </c>
      <c r="Q6" s="40">
        <v>115.3845</v>
      </c>
      <c r="R6" s="40">
        <v>0</v>
      </c>
      <c r="S6" s="40">
        <v>46.62</v>
      </c>
      <c r="T6" s="40">
        <v>0</v>
      </c>
      <c r="U6" s="40">
        <v>0</v>
      </c>
      <c r="V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0">
        <v>0</v>
      </c>
      <c r="AH6" s="40">
        <v>0</v>
      </c>
      <c r="AI6" s="40">
        <v>0</v>
      </c>
      <c r="AJ6" s="40">
        <v>0</v>
      </c>
      <c r="AK6" s="40">
        <v>0</v>
      </c>
    </row>
    <row r="7" spans="1:37" ht="10.5">
      <c r="A7" s="40" t="str">
        <f>'Форма по МДС 81-35.2004'!A38</f>
        <v>2.</v>
      </c>
      <c r="B7" s="40">
        <f>'Форма по МДС 81-35.2004'!G38</f>
        <v>12000.03</v>
      </c>
      <c r="C7" s="40">
        <f>ROUND(СУММПРОИЗВЕСЛИ(1,'Форма по МДС 81-35.2004'!J38:J64,"Г",'Форма по МДС 81-35.2004'!E38:E64,'Форма по МДС 81-35.2004'!G38:G64,0),1423636)</f>
        <v>975.006432</v>
      </c>
      <c r="D7" s="40">
        <f>ROUND(СУММПРОИЗВЕСЛИ(1,'Форма по МДС 81-35.2004'!J38:J64,"IsMash",'Форма по МДС 81-35.2004'!E38:E64,'Форма по МДС 81-35.2004'!G38:G64,0),1423636)</f>
        <v>3475.31895</v>
      </c>
      <c r="E7" s="40">
        <f>ROUND(СУММПРОИЗВЕСЛИ(1,'Форма по МДС 81-35.2004'!J38:J64,"Ж",'Форма по МДС 81-35.2004'!E38:E64,'Форма по МДС 81-35.2004'!G38:G64,0),1423636)</f>
        <v>849.04902</v>
      </c>
      <c r="F7" s="40">
        <f>ROUND(СУММПРОИЗВЕСЛИ(1,'Форма по МДС 81-35.2004'!J38:J64,"IsMater",'Форма по МДС 81-35.2004'!E38:E64,'Форма по МДС 81-35.2004'!G38:G64,0),1423636)</f>
        <v>7549.703182</v>
      </c>
      <c r="G7" s="40">
        <v>0</v>
      </c>
      <c r="H7" s="40">
        <v>0</v>
      </c>
      <c r="I7" s="36">
        <f>ОКРУГЛВСЕ(SUMIF('Форма по МДС 81-35.2004'!J38:J64,"Г",'Форма по МДС 81-35.2004'!E38:E64),8)</f>
        <v>5.0508</v>
      </c>
      <c r="J7" s="36">
        <v>0</v>
      </c>
      <c r="K7" s="36">
        <f>ОКРУГЛВСЕ(SUMIF('Форма по МДС 81-35.2004'!J38:J64,"Ж",'Форма по МДС 81-35.2004'!E38:E64),8)</f>
        <v>3.06</v>
      </c>
      <c r="L7" s="40">
        <v>0</v>
      </c>
      <c r="M7" s="40">
        <v>0</v>
      </c>
      <c r="N7" s="40">
        <v>2316.6451</v>
      </c>
      <c r="O7" s="40">
        <v>1185.6845</v>
      </c>
      <c r="P7" s="40">
        <v>1238.2627</v>
      </c>
      <c r="Q7" s="40">
        <v>1078.3824</v>
      </c>
      <c r="R7" s="40">
        <v>633.7565</v>
      </c>
      <c r="S7" s="40">
        <v>551.928</v>
      </c>
      <c r="T7" s="40">
        <v>0</v>
      </c>
      <c r="U7" s="40">
        <v>0</v>
      </c>
      <c r="V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0">
        <v>0</v>
      </c>
      <c r="AE7" s="40">
        <v>0</v>
      </c>
      <c r="AH7" s="40">
        <v>0</v>
      </c>
      <c r="AI7" s="40">
        <v>0</v>
      </c>
      <c r="AJ7" s="40">
        <v>0</v>
      </c>
      <c r="AK7" s="40">
        <v>0</v>
      </c>
    </row>
    <row r="8" spans="1:37" ht="10.5">
      <c r="A8" s="40" t="str">
        <f>'Форма по МДС 81-35.2004'!A65</f>
        <v>3.</v>
      </c>
      <c r="B8" s="40">
        <f>'Форма по МДС 81-35.2004'!G65</f>
        <v>6490.85</v>
      </c>
      <c r="C8" s="40">
        <f>ROUND(СУММПРОИЗВЕСЛИ(1,'Форма по МДС 81-35.2004'!J65:J91,"Г",'Форма по МДС 81-35.2004'!E65:E91,'Форма по МДС 81-35.2004'!G65:G91,0),1423636)</f>
        <v>975.006432</v>
      </c>
      <c r="D8" s="40">
        <f>ROUND(СУММПРОИЗВЕСЛИ(1,'Форма по МДС 81-35.2004'!J65:J91,"IsMash",'Форма по МДС 81-35.2004'!E65:E91,'Форма по МДС 81-35.2004'!G65:G91,0),1423636)</f>
        <v>3475.31895</v>
      </c>
      <c r="E8" s="40">
        <f>ROUND(СУММПРОИЗВЕСЛИ(1,'Форма по МДС 81-35.2004'!J65:J91,"Ж",'Форма по МДС 81-35.2004'!E65:E91,'Форма по МДС 81-35.2004'!G65:G91,0),1423636)</f>
        <v>0</v>
      </c>
      <c r="F8" s="40">
        <f>ROUND(СУММПРОИЗВЕСЛИ(1,'Форма по МДС 81-35.2004'!J65:J91,"IsMater",'Форма по МДС 81-35.2004'!E65:E91,'Форма по МДС 81-35.2004'!G65:G91,0),1423636)</f>
        <v>2040.5256704</v>
      </c>
      <c r="G8" s="40">
        <v>0</v>
      </c>
      <c r="H8" s="40">
        <v>0</v>
      </c>
      <c r="I8" s="36">
        <f>ОКРУГЛВСЕ(SUMIF('Форма по МДС 81-35.2004'!J65:J91,"Г",'Форма по МДС 81-35.2004'!E65:E91),8)</f>
        <v>5.0508</v>
      </c>
      <c r="J8" s="36">
        <v>0</v>
      </c>
      <c r="K8" s="36">
        <f>ОКРУГЛВСЕ(SUMIF('Форма по МДС 81-35.2004'!J65:J91,"Ж",'Форма по МДС 81-35.2004'!E65:E91),8)</f>
        <v>3.06</v>
      </c>
      <c r="L8" s="40">
        <v>0</v>
      </c>
      <c r="M8" s="40">
        <v>0</v>
      </c>
      <c r="N8" s="40">
        <v>2316.6451</v>
      </c>
      <c r="O8" s="40">
        <v>1185.6845</v>
      </c>
      <c r="P8" s="40">
        <v>1238.2627</v>
      </c>
      <c r="Q8" s="40">
        <v>1078.3824</v>
      </c>
      <c r="R8" s="40">
        <v>633.7565</v>
      </c>
      <c r="S8" s="40">
        <v>551.928</v>
      </c>
      <c r="T8" s="40">
        <v>0</v>
      </c>
      <c r="U8" s="40">
        <v>0</v>
      </c>
      <c r="V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H8" s="40">
        <v>0</v>
      </c>
      <c r="AI8" s="40">
        <v>0</v>
      </c>
      <c r="AJ8" s="40">
        <v>0</v>
      </c>
      <c r="AK8" s="40">
        <v>0</v>
      </c>
    </row>
    <row r="9" spans="1:37" ht="10.5">
      <c r="A9" s="40" t="str">
        <f>'Форма по МДС 81-35.2004'!A92</f>
        <v>4.</v>
      </c>
      <c r="B9" s="40">
        <f>'Форма по МДС 81-35.2004'!G92</f>
        <v>10161.2</v>
      </c>
      <c r="C9" s="40">
        <f>ROUND(СУММПРОИЗВЕСЛИ(1,'Форма по МДС 81-35.2004'!J92:J118,"Г",'Форма по МДС 81-35.2004'!E92:E118,'Форма по МДС 81-35.2004'!G92:G118,0),1423636)</f>
        <v>975.006432</v>
      </c>
      <c r="D9" s="40">
        <f>ROUND(СУММПРОИЗВЕСЛИ(1,'Форма по МДС 81-35.2004'!J92:J118,"IsMash",'Форма по МДС 81-35.2004'!E92:E118,'Форма по МДС 81-35.2004'!G92:G118,0),1423636)</f>
        <v>3475.31895</v>
      </c>
      <c r="E9" s="40">
        <f>ROUND(СУММПРОИЗВЕСЛИ(1,'Форма по МДС 81-35.2004'!J92:J118,"Ж",'Форма по МДС 81-35.2004'!E92:E118,'Форма по МДС 81-35.2004'!G92:G118,0),1423636)</f>
        <v>848.7216</v>
      </c>
      <c r="F9" s="40">
        <f>ROUND(СУММПРОИЗВЕСЛИ(1,'Форма по МДС 81-35.2004'!J92:J118,"IsMater",'Форма по МДС 81-35.2004'!E92:E118,'Форма по МДС 81-35.2004'!G92:G118,0),1423636)</f>
        <v>5710.870249</v>
      </c>
      <c r="G9" s="40">
        <v>0</v>
      </c>
      <c r="H9" s="40">
        <v>0</v>
      </c>
      <c r="I9" s="36">
        <f>ОКРУГЛВСЕ(SUMIF('Форма по МДС 81-35.2004'!J92:J118,"Г",'Форма по МДС 81-35.2004'!E92:E118),8)</f>
        <v>5.0508</v>
      </c>
      <c r="J9" s="36">
        <v>0</v>
      </c>
      <c r="K9" s="36">
        <f>ОКРУГЛВСЕ(SUMIF('Форма по МДС 81-35.2004'!J92:J118,"Ж",'Форма по МДС 81-35.2004'!E92:E118),8)</f>
        <v>3.06</v>
      </c>
      <c r="L9" s="40">
        <v>0</v>
      </c>
      <c r="M9" s="40">
        <v>0</v>
      </c>
      <c r="N9" s="40">
        <v>2316.6451</v>
      </c>
      <c r="O9" s="40">
        <v>1185.6845</v>
      </c>
      <c r="P9" s="40">
        <v>1238.2627</v>
      </c>
      <c r="Q9" s="40">
        <v>1078.3824</v>
      </c>
      <c r="R9" s="40">
        <v>633.7565</v>
      </c>
      <c r="S9" s="40">
        <v>551.928</v>
      </c>
      <c r="T9" s="40">
        <v>0</v>
      </c>
      <c r="U9" s="40">
        <v>0</v>
      </c>
      <c r="V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H9" s="40">
        <v>0</v>
      </c>
      <c r="AI9" s="40">
        <v>0</v>
      </c>
      <c r="AJ9" s="40">
        <v>0</v>
      </c>
      <c r="AK9" s="40">
        <v>0</v>
      </c>
    </row>
    <row r="10" spans="1:37" ht="10.5">
      <c r="A10" s="40" t="str">
        <f>'Форма по МДС 81-35.2004'!A119</f>
        <v>5.</v>
      </c>
      <c r="B10" s="40">
        <f>'Форма по МДС 81-35.2004'!G119</f>
        <v>8327.59</v>
      </c>
      <c r="C10" s="40">
        <f>ROUND(СУММПРОИЗВЕСЛИ(1,'Форма по МДС 81-35.2004'!J119:J145,"Г",'Форма по МДС 81-35.2004'!E119:E145,'Форма по МДС 81-35.2004'!G119:G145,0),1423636)</f>
        <v>975.006432</v>
      </c>
      <c r="D10" s="40">
        <f>ROUND(СУММПРОИЗВЕСЛИ(1,'Форма по МДС 81-35.2004'!J119:J145,"IsMash",'Форма по МДС 81-35.2004'!E119:E145,'Форма по МДС 81-35.2004'!G119:G145,0),1423636)</f>
        <v>3475.31895</v>
      </c>
      <c r="E10" s="40">
        <f>ROUND(СУММПРОИЗВЕСЛИ(1,'Форма по МДС 81-35.2004'!J119:J145,"Ж",'Форма по МДС 81-35.2004'!E119:E145,'Форма по МДС 81-35.2004'!G119:G145,0),1423636)</f>
        <v>849.63654</v>
      </c>
      <c r="F10" s="40">
        <f>ROUND(СУММПРОИЗВЕСЛИ(1,'Форма по МДС 81-35.2004'!J119:J145,"IsMater",'Форма по МДС 81-35.2004'!E119:E145,'Форма по МДС 81-35.2004'!G119:G145,0),1423636)</f>
        <v>3877.266807</v>
      </c>
      <c r="G10" s="40">
        <v>0</v>
      </c>
      <c r="H10" s="40">
        <v>0</v>
      </c>
      <c r="I10" s="36">
        <f>ОКРУГЛВСЕ(SUMIF('Форма по МДС 81-35.2004'!J119:J145,"Г",'Форма по МДС 81-35.2004'!E119:E145),8)</f>
        <v>5.0508</v>
      </c>
      <c r="J10" s="36">
        <v>0</v>
      </c>
      <c r="K10" s="36">
        <f>ОКРУГЛВСЕ(SUMIF('Форма по МДС 81-35.2004'!J119:J145,"Ж",'Форма по МДС 81-35.2004'!E119:E145),8)</f>
        <v>3.06</v>
      </c>
      <c r="L10" s="40">
        <v>0</v>
      </c>
      <c r="M10" s="40">
        <v>0</v>
      </c>
      <c r="N10" s="40">
        <v>2316.6451</v>
      </c>
      <c r="O10" s="40">
        <v>1185.6845</v>
      </c>
      <c r="P10" s="40">
        <v>1238.2627</v>
      </c>
      <c r="Q10" s="40">
        <v>1078.3824</v>
      </c>
      <c r="R10" s="40">
        <v>633.7565</v>
      </c>
      <c r="S10" s="40">
        <v>551.928</v>
      </c>
      <c r="T10" s="40">
        <v>0</v>
      </c>
      <c r="U10" s="40">
        <v>0</v>
      </c>
      <c r="V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H10" s="40">
        <v>0</v>
      </c>
      <c r="AI10" s="40">
        <v>0</v>
      </c>
      <c r="AJ10" s="40">
        <v>0</v>
      </c>
      <c r="AK10" s="40">
        <v>0</v>
      </c>
    </row>
    <row r="11" spans="1:37" ht="10.5">
      <c r="A11" s="40" t="str">
        <f>'Форма по МДС 81-35.2004'!A146</f>
        <v>6.</v>
      </c>
      <c r="B11" s="40">
        <f>'Форма по МДС 81-35.2004'!G146</f>
        <v>7229.27</v>
      </c>
      <c r="C11" s="40">
        <f>ROUND(СУММПРОИЗВЕСЛИ(1,'Форма по МДС 81-35.2004'!J146:J171,"Г",'Форма по МДС 81-35.2004'!E146:E171,'Форма по МДС 81-35.2004'!G146:G171,0),1423636)</f>
        <v>633.0026</v>
      </c>
      <c r="D11" s="40">
        <f>ROUND(СУММПРОИЗВЕСЛИ(1,'Форма по МДС 81-35.2004'!J146:J171,"IsMash",'Форма по МДС 81-35.2004'!E146:E171,'Форма по МДС 81-35.2004'!G146:G171,0),1423636)</f>
        <v>835.8781</v>
      </c>
      <c r="E11" s="40">
        <f>ROUND(СУММПРОИЗВЕСЛИ(1,'Форма по МДС 81-35.2004'!J146:J171,"Ж",'Форма по МДС 81-35.2004'!E146:E171,'Форма по МДС 81-35.2004'!G146:G171,0),1423636)</f>
        <v>0</v>
      </c>
      <c r="F11" s="40">
        <f>ROUND(СУММПРОИЗВЕСЛИ(1,'Форма по МДС 81-35.2004'!J146:J171,"IsMater",'Форма по МДС 81-35.2004'!E146:E171,'Форма по МДС 81-35.2004'!G146:G171,0),1423636)</f>
        <v>5760.391807</v>
      </c>
      <c r="G11" s="40">
        <v>0</v>
      </c>
      <c r="H11" s="40">
        <v>0</v>
      </c>
      <c r="I11" s="36">
        <f>ОКРУГЛВСЕ(SUMIF('Форма по МДС 81-35.2004'!J146:J171,"Г",'Форма по МДС 81-35.2004'!E146:E171),8)</f>
        <v>2.91</v>
      </c>
      <c r="J11" s="36">
        <v>0</v>
      </c>
      <c r="K11" s="36">
        <f>ОКРУГЛВСЕ(SUMIF('Форма по МДС 81-35.2004'!J146:J171,"Ж",'Форма по МДС 81-35.2004'!E146:E171),8)</f>
        <v>0.97</v>
      </c>
      <c r="L11" s="40">
        <v>0</v>
      </c>
      <c r="M11" s="40">
        <v>0</v>
      </c>
      <c r="N11" s="40">
        <v>893.1483</v>
      </c>
      <c r="O11" s="40">
        <v>360.868</v>
      </c>
      <c r="P11" s="40">
        <v>626.67</v>
      </c>
      <c r="Q11" s="40">
        <v>266.4783</v>
      </c>
      <c r="R11" s="40">
        <v>253.2</v>
      </c>
      <c r="S11" s="40">
        <v>107.668</v>
      </c>
      <c r="T11" s="40">
        <v>0</v>
      </c>
      <c r="U11" s="40">
        <v>0</v>
      </c>
      <c r="V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H11" s="40">
        <v>0</v>
      </c>
      <c r="AI11" s="40">
        <v>0</v>
      </c>
      <c r="AJ11" s="40">
        <v>0</v>
      </c>
      <c r="AK11" s="40">
        <v>0</v>
      </c>
    </row>
    <row r="12" spans="1:37" ht="10.5">
      <c r="A12" s="40" t="str">
        <f>'Форма по МДС 81-35.2004'!A172</f>
        <v>7.</v>
      </c>
      <c r="B12" s="40">
        <f>'Форма по МДС 81-35.2004'!G172</f>
        <v>20298.62</v>
      </c>
      <c r="C12" s="40">
        <f>ROUND(СУММПРОИЗВЕСЛИ(1,'Форма по МДС 81-35.2004'!J172:J197,"Г",'Форма по МДС 81-35.2004'!E172:E197,'Форма по МДС 81-35.2004'!G172:G197,0),1423636)</f>
        <v>548.1672</v>
      </c>
      <c r="D12" s="40">
        <f>ROUND(СУММПРОИЗВЕСЛИ(1,'Форма по МДС 81-35.2004'!J172:J197,"IsMash",'Форма по МДС 81-35.2004'!E172:E197,'Форма по МДС 81-35.2004'!G172:G197,0),1423636)</f>
        <v>723.8532</v>
      </c>
      <c r="E12" s="40">
        <f>ROUND(СУММПРОИЗВЕСЛИ(1,'Форма по МДС 81-35.2004'!J172:J197,"Ж",'Форма по МДС 81-35.2004'!E172:E197,'Форма по МДС 81-35.2004'!G172:G197,0),1423636)</f>
        <v>0</v>
      </c>
      <c r="F12" s="40">
        <f>ROUND(СУММПРОИЗВЕСЛИ(1,'Форма по МДС 81-35.2004'!J172:J197,"IsMater",'Форма по МДС 81-35.2004'!E172:E197,'Форма по МДС 81-35.2004'!G172:G197,0),1423636)</f>
        <v>19026.59749</v>
      </c>
      <c r="G12" s="40">
        <v>0</v>
      </c>
      <c r="H12" s="40">
        <v>0</v>
      </c>
      <c r="I12" s="36">
        <f>ОКРУГЛВСЕ(SUMIF('Форма по МДС 81-35.2004'!J172:J197,"Г",'Форма по МДС 81-35.2004'!E172:E197),8)</f>
        <v>2.52</v>
      </c>
      <c r="J12" s="36">
        <v>0</v>
      </c>
      <c r="K12" s="36">
        <f>ОКРУГЛВСЕ(SUMIF('Форма по МДС 81-35.2004'!J172:J197,"Ж",'Форма по МДС 81-35.2004'!E172:E197),8)</f>
        <v>0.84</v>
      </c>
      <c r="L12" s="40">
        <v>0</v>
      </c>
      <c r="M12" s="40">
        <v>0</v>
      </c>
      <c r="N12" s="40">
        <v>773.4474</v>
      </c>
      <c r="O12" s="40">
        <v>312.504</v>
      </c>
      <c r="P12" s="40">
        <v>542.6883</v>
      </c>
      <c r="Q12" s="40">
        <v>230.7591</v>
      </c>
      <c r="R12" s="40">
        <v>219.268</v>
      </c>
      <c r="S12" s="40">
        <v>93.236</v>
      </c>
      <c r="T12" s="40">
        <v>0</v>
      </c>
      <c r="U12" s="40">
        <v>0</v>
      </c>
      <c r="V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H12" s="40">
        <v>0</v>
      </c>
      <c r="AI12" s="40">
        <v>0</v>
      </c>
      <c r="AJ12" s="40">
        <v>0</v>
      </c>
      <c r="AK12" s="40">
        <v>0</v>
      </c>
    </row>
    <row r="13" spans="1:37" ht="10.5">
      <c r="A13" s="40" t="str">
        <f>'Форма по МДС 81-35.2004'!A198</f>
        <v>8.</v>
      </c>
      <c r="B13" s="40">
        <f>'Форма по МДС 81-35.2004'!G198</f>
        <v>3266.44</v>
      </c>
      <c r="C13" s="40">
        <f>ROUND(СУММПРОИЗВЕСЛИ(1,'Форма по МДС 81-35.2004'!J198:J221,"Г",'Форма по МДС 81-35.2004'!E198:E221,'Форма по МДС 81-35.2004'!G198:G221,0),1423636)</f>
        <v>719.601</v>
      </c>
      <c r="D13" s="40">
        <f>ROUND(СУММПРОИЗВЕСЛИ(1,'Форма по МДС 81-35.2004'!J198:J221,"IsMash",'Форма по МДС 81-35.2004'!E198:E221,'Форма по МДС 81-35.2004'!G198:G221,0),1423636)</f>
        <v>949.1755</v>
      </c>
      <c r="E13" s="40">
        <f>ROUND(СУММПРОИЗВЕСЛИ(1,'Форма по МДС 81-35.2004'!J198:J221,"Ж",'Форма по МДС 81-35.2004'!E198:E221,'Форма по МДС 81-35.2004'!G198:G221,0),1423636)</f>
        <v>0</v>
      </c>
      <c r="F13" s="40">
        <f>ROUND(СУММПРОИЗВЕСЛИ(1,'Форма по МДС 81-35.2004'!J198:J221,"IsMater",'Форма по МДС 81-35.2004'!E198:E221,'Форма по МДС 81-35.2004'!G198:G221,0),1423636)</f>
        <v>1597.6684125</v>
      </c>
      <c r="G13" s="40">
        <v>0</v>
      </c>
      <c r="H13" s="40">
        <v>0</v>
      </c>
      <c r="I13" s="36">
        <f>ОКРУГЛВСЕ(SUMIF('Форма по МДС 81-35.2004'!J198:J221,"Г",'Форма по МДС 81-35.2004'!E198:E221),8)</f>
        <v>3.45</v>
      </c>
      <c r="J13" s="36">
        <v>0</v>
      </c>
      <c r="K13" s="36">
        <f>ОКРУГЛВСЕ(SUMIF('Форма по МДС 81-35.2004'!J198:J221,"Ж",'Форма по МДС 81-35.2004'!E198:E221),8)</f>
        <v>1.15</v>
      </c>
      <c r="L13" s="40">
        <v>0</v>
      </c>
      <c r="M13" s="40">
        <v>0</v>
      </c>
      <c r="N13" s="40">
        <v>987.5943</v>
      </c>
      <c r="O13" s="40">
        <v>399.028</v>
      </c>
      <c r="P13" s="40">
        <v>712.404</v>
      </c>
      <c r="Q13" s="40">
        <v>275.1903</v>
      </c>
      <c r="R13" s="40">
        <v>287.84</v>
      </c>
      <c r="S13" s="40">
        <v>111.188</v>
      </c>
      <c r="T13" s="40">
        <v>0</v>
      </c>
      <c r="U13" s="40">
        <v>0</v>
      </c>
      <c r="V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H13" s="40">
        <v>0</v>
      </c>
      <c r="AI13" s="40">
        <v>0</v>
      </c>
      <c r="AJ13" s="40">
        <v>0</v>
      </c>
      <c r="AK13" s="40">
        <v>0</v>
      </c>
    </row>
    <row r="14" spans="1:37" ht="10.5">
      <c r="A14" s="40" t="str">
        <f>'Форма по МДС 81-35.2004'!A222</f>
        <v>9.</v>
      </c>
      <c r="B14" s="40">
        <f>'Форма по МДС 81-35.2004'!G222</f>
        <v>42740.95</v>
      </c>
      <c r="C14" s="40">
        <f>ROUND(СУММПРОИЗВЕСЛИ(1,'Форма по МДС 81-35.2004'!J222:J245,"Г",'Форма по МДС 81-35.2004'!E222:E245,'Форма по МДС 81-35.2004'!G222:G245,0),1423636)</f>
        <v>11081.8554</v>
      </c>
      <c r="D14" s="40">
        <f>ROUND(СУММПРОИЗВЕСЛИ(1,'Форма по МДС 81-35.2004'!J222:J245,"IsMash",'Форма по МДС 81-35.2004'!E222:E245,'Форма по МДС 81-35.2004'!G222:G245,0),1423636)</f>
        <v>14617.3027</v>
      </c>
      <c r="E14" s="40">
        <f>ROUND(СУММПРОИЗВЕСЛИ(1,'Форма по МДС 81-35.2004'!J222:J245,"Ж",'Форма по МДС 81-35.2004'!E222:E245,'Форма по МДС 81-35.2004'!G222:G245,0),1423636)</f>
        <v>4280.94975</v>
      </c>
      <c r="F14" s="40">
        <f>ROUND(СУММПРОИЗВЕСЛИ(1,'Форма по МДС 81-35.2004'!J222:J245,"IsMater",'Форма по МДС 81-35.2004'!E222:E245,'Форма по МДС 81-35.2004'!G222:G245,0),1423636)</f>
        <v>17041.7964</v>
      </c>
      <c r="G14" s="40">
        <v>0</v>
      </c>
      <c r="H14" s="40">
        <v>0</v>
      </c>
      <c r="I14" s="36">
        <f>ОКРУГЛВСЕ(SUMIF('Форма по МДС 81-35.2004'!J222:J245,"Г",'Форма по МДС 81-35.2004'!E222:E245),8)</f>
        <v>53.13</v>
      </c>
      <c r="J14" s="36">
        <v>0</v>
      </c>
      <c r="K14" s="36">
        <f>ОКРУГЛВСЕ(SUMIF('Форма по МДС 81-35.2004'!J222:J245,"Ж",'Форма по МДС 81-35.2004'!E222:E245),8)</f>
        <v>17.71</v>
      </c>
      <c r="L14" s="40">
        <v>0</v>
      </c>
      <c r="M14" s="40">
        <v>0</v>
      </c>
      <c r="N14" s="40">
        <v>15208.9146</v>
      </c>
      <c r="O14" s="40">
        <v>6145.016</v>
      </c>
      <c r="P14" s="40">
        <v>10971.0414</v>
      </c>
      <c r="Q14" s="40">
        <v>4237.8732</v>
      </c>
      <c r="R14" s="40">
        <v>4432.744</v>
      </c>
      <c r="S14" s="40">
        <v>1712.272</v>
      </c>
      <c r="T14" s="40">
        <v>0</v>
      </c>
      <c r="U14" s="40">
        <v>0</v>
      </c>
      <c r="V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H14" s="40">
        <v>0</v>
      </c>
      <c r="AI14" s="40">
        <v>0</v>
      </c>
      <c r="AJ14" s="40">
        <v>0</v>
      </c>
      <c r="AK14" s="40">
        <v>0</v>
      </c>
    </row>
    <row r="15" spans="1:37" ht="10.5">
      <c r="A15" s="40" t="str">
        <f>'Форма по МДС 81-35.2004'!A246</f>
        <v>10.</v>
      </c>
      <c r="B15" s="40">
        <f>'Форма по МДС 81-35.2004'!G246</f>
        <v>52048.95</v>
      </c>
      <c r="C15" s="40">
        <f>ROUND(СУММПРОИЗВЕСЛИ(1,'Форма по МДС 81-35.2004'!J246:J269,"Г",'Форма по МДС 81-35.2004'!E246:E269,'Форма по МДС 81-35.2004'!G246:G269,0),1423636)</f>
        <v>11081.8554</v>
      </c>
      <c r="D15" s="40">
        <f>ROUND(СУММПРОИЗВЕСЛИ(1,'Форма по МДС 81-35.2004'!J246:J269,"IsMash",'Форма по МДС 81-35.2004'!E246:E269,'Форма по МДС 81-35.2004'!G246:G269,0),1423636)</f>
        <v>14617.3027</v>
      </c>
      <c r="E15" s="40">
        <f>ROUND(СУММПРОИЗВЕСЛИ(1,'Форма по МДС 81-35.2004'!J246:J269,"Ж",'Форма по МДС 81-35.2004'!E246:E269,'Форма по МДС 81-35.2004'!G246:G269,0),1423636)</f>
        <v>4280.43616</v>
      </c>
      <c r="F15" s="40">
        <f>ROUND(СУММПРОИЗВЕСЛИ(1,'Форма по МДС 81-35.2004'!J246:J269,"IsMater",'Форма по МДС 81-35.2004'!E246:E269,'Форма по МДС 81-35.2004'!G246:G269,0),1423636)</f>
        <v>26349.7964</v>
      </c>
      <c r="G15" s="40">
        <v>0</v>
      </c>
      <c r="H15" s="40">
        <v>0</v>
      </c>
      <c r="I15" s="36">
        <f>ОКРУГЛВСЕ(SUMIF('Форма по МДС 81-35.2004'!J246:J269,"Г",'Форма по МДС 81-35.2004'!E246:E269),8)</f>
        <v>53.13</v>
      </c>
      <c r="J15" s="36">
        <v>0</v>
      </c>
      <c r="K15" s="36">
        <f>ОКРУГЛВСЕ(SUMIF('Форма по МДС 81-35.2004'!J246:J269,"Ж",'Форма по МДС 81-35.2004'!E246:E269),8)</f>
        <v>17.71</v>
      </c>
      <c r="L15" s="40">
        <v>0</v>
      </c>
      <c r="M15" s="40">
        <v>0</v>
      </c>
      <c r="N15" s="40">
        <v>15208.9146</v>
      </c>
      <c r="O15" s="40">
        <v>6145.016</v>
      </c>
      <c r="P15" s="40">
        <v>10971.0414</v>
      </c>
      <c r="Q15" s="40">
        <v>4237.8732</v>
      </c>
      <c r="R15" s="40">
        <v>4432.744</v>
      </c>
      <c r="S15" s="40">
        <v>1712.272</v>
      </c>
      <c r="T15" s="40">
        <v>0</v>
      </c>
      <c r="U15" s="40">
        <v>0</v>
      </c>
      <c r="V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H15" s="40">
        <v>0</v>
      </c>
      <c r="AI15" s="40">
        <v>0</v>
      </c>
      <c r="AJ15" s="40">
        <v>0</v>
      </c>
      <c r="AK15" s="40">
        <v>0</v>
      </c>
    </row>
    <row r="16" spans="1:37" ht="10.5">
      <c r="A16" s="40" t="str">
        <f>'Форма по МДС 81-35.2004'!A270</f>
        <v>11.</v>
      </c>
      <c r="B16" s="40">
        <f>'Форма по МДС 81-35.2004'!G270</f>
        <v>22922.85</v>
      </c>
      <c r="C16" s="40">
        <f>ROUND(СУММПРОИЗВЕСЛИ(1,'Форма по МДС 81-35.2004'!J270:J295,"Г",'Форма по МДС 81-35.2004'!E270:E295,'Форма по МДС 81-35.2004'!G270:G295,0),1423636)</f>
        <v>3081.9555</v>
      </c>
      <c r="D16" s="40">
        <f>ROUND(СУММПРОИЗВЕСЛИ(1,'Форма по МДС 81-35.2004'!J270:J295,"IsMash",'Форма по МДС 81-35.2004'!E270:E295,'Форма по МДС 81-35.2004'!G270:G295,0),1423636)</f>
        <v>9189.7767</v>
      </c>
      <c r="E16" s="40">
        <f>ROUND(СУММПРОИЗВЕСЛИ(1,'Форма по МДС 81-35.2004'!J270:J295,"Ж",'Форма по МДС 81-35.2004'!E270:E295,'Форма по МДС 81-35.2004'!G270:G295,0),1423636)</f>
        <v>0</v>
      </c>
      <c r="F16" s="40">
        <f>ROUND(СУММПРОИЗВЕСЛИ(1,'Форма по МДС 81-35.2004'!J270:J295,"IsMater",'Форма по МДС 81-35.2004'!E270:E295,'Форма по МДС 81-35.2004'!G270:G295,0),1423636)</f>
        <v>10651.12275</v>
      </c>
      <c r="G16" s="40">
        <v>0</v>
      </c>
      <c r="H16" s="40">
        <v>0</v>
      </c>
      <c r="I16" s="36">
        <f>ОКРУГЛВСЕ(SUMIF('Форма по МДС 81-35.2004'!J270:J295,"Г",'Форма по МДС 81-35.2004'!E270:E295),8)</f>
        <v>13.77</v>
      </c>
      <c r="J16" s="36">
        <v>0</v>
      </c>
      <c r="K16" s="36">
        <f>ОКРУГЛВСЕ(SUMIF('Форма по МДС 81-35.2004'!J270:J295,"Ж",'Форма по МДС 81-35.2004'!E270:E295),8)</f>
        <v>9.18</v>
      </c>
      <c r="L16" s="40">
        <v>0</v>
      </c>
      <c r="M16" s="40">
        <v>0</v>
      </c>
      <c r="N16" s="40">
        <v>5247.8514</v>
      </c>
      <c r="O16" s="40">
        <v>2120.344</v>
      </c>
      <c r="P16" s="40">
        <v>3051.1404</v>
      </c>
      <c r="Q16" s="40">
        <v>2196.711</v>
      </c>
      <c r="R16" s="40">
        <v>1232.784</v>
      </c>
      <c r="S16" s="40">
        <v>887.56</v>
      </c>
      <c r="T16" s="40">
        <v>0</v>
      </c>
      <c r="U16" s="40">
        <v>0</v>
      </c>
      <c r="V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H16" s="40">
        <v>0</v>
      </c>
      <c r="AI16" s="40">
        <v>0</v>
      </c>
      <c r="AJ16" s="40">
        <v>0</v>
      </c>
      <c r="AK16" s="40">
        <v>0</v>
      </c>
    </row>
    <row r="17" spans="1:37" ht="10.5">
      <c r="A17" s="40" t="str">
        <f>'Форма по МДС 81-35.2004'!A296</f>
        <v>12.</v>
      </c>
      <c r="B17" s="40">
        <f>'Форма по МДС 81-35.2004'!G296</f>
        <v>3132.57</v>
      </c>
      <c r="C17" s="40">
        <f>ROUND(СУММПРОИЗВЕСЛИ(1,'Форма по МДС 81-35.2004'!J296:J319,"Г",'Форма по МДС 81-35.2004'!E296:E319,'Форма по МДС 81-35.2004'!G296:G319,0),1423636)</f>
        <v>650.7696</v>
      </c>
      <c r="D17" s="40">
        <f>ROUND(СУММПРОИЗВЕСЛИ(1,'Форма по МДС 81-35.2004'!J296:J319,"IsMash",'Форма по МДС 81-35.2004'!E296:E319,'Форма по МДС 81-35.2004'!G296:G319,0),1423636)</f>
        <v>858.3848</v>
      </c>
      <c r="E17" s="40">
        <f>ROUND(СУММПРОИЗВЕСЛИ(1,'Форма по МДС 81-35.2004'!J296:J319,"Ж",'Форма по МДС 81-35.2004'!E296:E319,'Форма по МДС 81-35.2004'!G296:G319,0),1423636)</f>
        <v>0</v>
      </c>
      <c r="F17" s="40">
        <f>ROUND(СУММПРОИЗВЕСЛИ(1,'Форма по МДС 81-35.2004'!J296:J319,"IsMater",'Форма по МДС 81-35.2004'!E296:E319,'Форма по МДС 81-35.2004'!G296:G319,0),1423636)</f>
        <v>1623.4145053</v>
      </c>
      <c r="G17" s="40">
        <v>0</v>
      </c>
      <c r="H17" s="40">
        <v>0</v>
      </c>
      <c r="I17" s="36">
        <f>ОКРУГЛВСЕ(SUMIF('Форма по МДС 81-35.2004'!J296:J319,"Г",'Форма по МДС 81-35.2004'!E296:E319),8)</f>
        <v>3.12</v>
      </c>
      <c r="J17" s="36">
        <v>0</v>
      </c>
      <c r="K17" s="36">
        <f>ОКРУГЛВСЕ(SUMIF('Форма по МДС 81-35.2004'!J296:J319,"Ж",'Форма по МДС 81-35.2004'!E296:E319),8)</f>
        <v>1.04</v>
      </c>
      <c r="L17" s="40">
        <v>0</v>
      </c>
      <c r="M17" s="40">
        <v>0</v>
      </c>
      <c r="N17" s="40">
        <v>893.1285</v>
      </c>
      <c r="O17" s="40">
        <v>360.86</v>
      </c>
      <c r="P17" s="40">
        <v>644.2623</v>
      </c>
      <c r="Q17" s="40">
        <v>248.8662</v>
      </c>
      <c r="R17" s="40">
        <v>260.308</v>
      </c>
      <c r="S17" s="40">
        <v>100.552</v>
      </c>
      <c r="T17" s="40">
        <v>0</v>
      </c>
      <c r="U17" s="40">
        <v>0</v>
      </c>
      <c r="V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H17" s="40">
        <v>0</v>
      </c>
      <c r="AI17" s="40">
        <v>0</v>
      </c>
      <c r="AJ17" s="40">
        <v>0</v>
      </c>
      <c r="AK17" s="40">
        <v>0</v>
      </c>
    </row>
    <row r="18" spans="1:37" ht="10.5">
      <c r="A18" s="40" t="str">
        <f>'Форма по МДС 81-35.2004'!A320</f>
        <v>13.</v>
      </c>
      <c r="B18" s="40">
        <f>'Форма по МДС 81-35.2004'!G320</f>
        <v>14173.32</v>
      </c>
      <c r="C18" s="40">
        <f>ROUND(СУММПРОИЗВЕСЛИ(1,'Форма по МДС 81-35.2004'!J320:J345,"Г",'Форма по МДС 81-35.2004'!E320:E345,'Форма по МДС 81-35.2004'!G320:G345,0),1423636)</f>
        <v>53.716</v>
      </c>
      <c r="D18" s="40">
        <f>ROUND(СУММПРОИЗВЕСЛИ(1,'Форма по МДС 81-35.2004'!J320:J345,"IsMash",'Форма по МДС 81-35.2004'!E320:E345,'Форма по МДС 81-35.2004'!G320:G345,0),1423636)</f>
        <v>160.1704</v>
      </c>
      <c r="E18" s="40">
        <f>ROUND(СУММПРОИЗВЕСЛИ(1,'Форма по МДС 81-35.2004'!J320:J345,"Ж",'Форма по МДС 81-35.2004'!E320:E345,'Форма по МДС 81-35.2004'!G320:G345,0),1423636)</f>
        <v>0</v>
      </c>
      <c r="F18" s="40">
        <f>ROUND(СУММПРОИЗВЕСЛИ(1,'Форма по МДС 81-35.2004'!J320:J345,"IsMater",'Форма по МДС 81-35.2004'!E320:E345,'Форма по МДС 81-35.2004'!G320:G345,0),1423636)</f>
        <v>13959.438473</v>
      </c>
      <c r="G18" s="40">
        <v>0</v>
      </c>
      <c r="H18" s="40">
        <v>0</v>
      </c>
      <c r="I18" s="36">
        <f>ОКРУГЛВСЕ(SUMIF('Форма по МДС 81-35.2004'!J320:J345,"Г",'Форма по МДС 81-35.2004'!E320:E345),8)</f>
        <v>0.24</v>
      </c>
      <c r="J18" s="36">
        <v>0</v>
      </c>
      <c r="K18" s="36">
        <f>ОКРУГЛВСЕ(SUMIF('Форма по МДС 81-35.2004'!J320:J345,"Ж",'Форма по МДС 81-35.2004'!E320:E345),8)</f>
        <v>0.16</v>
      </c>
      <c r="L18" s="40">
        <v>0</v>
      </c>
      <c r="M18" s="40">
        <v>0</v>
      </c>
      <c r="N18" s="40">
        <v>91.4661</v>
      </c>
      <c r="O18" s="40">
        <v>36.956</v>
      </c>
      <c r="P18" s="40">
        <v>53.1828</v>
      </c>
      <c r="Q18" s="40">
        <v>38.2833</v>
      </c>
      <c r="R18" s="40">
        <v>21.488</v>
      </c>
      <c r="S18" s="40">
        <v>15.468</v>
      </c>
      <c r="T18" s="40">
        <v>0</v>
      </c>
      <c r="U18" s="40">
        <v>0</v>
      </c>
      <c r="V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H18" s="40">
        <v>0</v>
      </c>
      <c r="AI18" s="40">
        <v>0</v>
      </c>
      <c r="AJ18" s="40">
        <v>0</v>
      </c>
      <c r="AK18" s="40">
        <v>0</v>
      </c>
    </row>
    <row r="19" spans="1:37" ht="10.5">
      <c r="A19" s="40" t="str">
        <f>'Форма по МДС 81-35.2004'!A346</f>
        <v>14.</v>
      </c>
      <c r="B19" s="40">
        <f>'Форма по МДС 81-35.2004'!G346</f>
        <v>459.73</v>
      </c>
      <c r="C19" s="40">
        <f>ROUND(СУММПРОИЗВЕСЛИ(1,'Форма по МДС 81-35.2004'!J346:J371,"Г",'Форма по МДС 81-35.2004'!E346:E371,'Форма по МДС 81-35.2004'!G346:G371,0),1423636)</f>
        <v>67.145</v>
      </c>
      <c r="D19" s="40">
        <f>ROUND(СУММПРОИЗВЕСЛИ(1,'Форма по МДС 81-35.2004'!J346:J371,"IsMash",'Форма по МДС 81-35.2004'!E346:E371,'Форма по МДС 81-35.2004'!G346:G371,0),1423636)</f>
        <v>200.213</v>
      </c>
      <c r="E19" s="40">
        <f>ROUND(СУММПРОИЗВЕСЛИ(1,'Форма по МДС 81-35.2004'!J346:J371,"Ж",'Форма по МДС 81-35.2004'!E346:E371,'Форма по МДС 81-35.2004'!G346:G371,0),1423636)</f>
        <v>0</v>
      </c>
      <c r="F19" s="40">
        <f>ROUND(СУММПРОИЗВЕСЛИ(1,'Форма по МДС 81-35.2004'!J346:J371,"IsMater",'Форма по МДС 81-35.2004'!E346:E371,'Форма по МДС 81-35.2004'!G346:G371,0),1423636)</f>
        <v>192.3720658</v>
      </c>
      <c r="G19" s="40">
        <v>0</v>
      </c>
      <c r="H19" s="40">
        <v>0</v>
      </c>
      <c r="I19" s="36">
        <f>ОКРУГЛВСЕ(SUMIF('Форма по МДС 81-35.2004'!J346:J371,"Г",'Форма по МДС 81-35.2004'!E346:E371),8)</f>
        <v>0.3</v>
      </c>
      <c r="J19" s="36">
        <v>0</v>
      </c>
      <c r="K19" s="36">
        <f>ОКРУГЛВСЕ(SUMIF('Форма по МДС 81-35.2004'!J346:J371,"Ж",'Форма по МДС 81-35.2004'!E346:E371),8)</f>
        <v>0.2</v>
      </c>
      <c r="L19" s="40">
        <v>0</v>
      </c>
      <c r="M19" s="40">
        <v>0</v>
      </c>
      <c r="N19" s="40">
        <v>114.3351</v>
      </c>
      <c r="O19" s="40">
        <v>46.196</v>
      </c>
      <c r="P19" s="40">
        <v>66.4785</v>
      </c>
      <c r="Q19" s="40">
        <v>47.8566</v>
      </c>
      <c r="R19" s="40">
        <v>26.86</v>
      </c>
      <c r="S19" s="40">
        <v>19.336</v>
      </c>
      <c r="T19" s="40">
        <v>0</v>
      </c>
      <c r="U19" s="40">
        <v>0</v>
      </c>
      <c r="V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H19" s="40">
        <v>0</v>
      </c>
      <c r="AI19" s="40">
        <v>0</v>
      </c>
      <c r="AJ19" s="40">
        <v>0</v>
      </c>
      <c r="AK19" s="40">
        <v>0</v>
      </c>
    </row>
    <row r="20" spans="1:37" ht="10.5">
      <c r="A20" s="40" t="str">
        <f>'Форма по МДС 81-35.2004'!A372</f>
        <v>15.</v>
      </c>
      <c r="B20" s="40">
        <f>'Форма по МДС 81-35.2004'!G372</f>
        <v>574.42</v>
      </c>
      <c r="C20" s="40">
        <f>ROUND(СУММПРОИЗВЕСЛИ(1,'Форма по МДС 81-35.2004'!J372:J397,"Г",'Форма по МДС 81-35.2004'!E372:E397,'Форма по МДС 81-35.2004'!G372:G397,0),1423636)</f>
        <v>73.8595</v>
      </c>
      <c r="D20" s="40">
        <f>ROUND(СУММПРОИЗВЕСЛИ(1,'Форма по МДС 81-35.2004'!J372:J397,"IsMash",'Форма по МДС 81-35.2004'!E372:E397,'Форма по МДС 81-35.2004'!G372:G397,0),1423636)</f>
        <v>220.2343</v>
      </c>
      <c r="E20" s="40">
        <f>ROUND(СУММПРОИЗВЕСЛИ(1,'Форма по МДС 81-35.2004'!J372:J397,"Ж",'Форма по МДС 81-35.2004'!E372:E397,'Форма по МДС 81-35.2004'!G372:G397,0),1423636)</f>
        <v>0</v>
      </c>
      <c r="F20" s="40">
        <f>ROUND(СУММПРОИЗВЕСЛИ(1,'Форма по МДС 81-35.2004'!J372:J397,"IsMater",'Форма по МДС 81-35.2004'!E372:E397,'Форма по МДС 81-35.2004'!G372:G397,0),1423636)</f>
        <v>280.3247005</v>
      </c>
      <c r="G20" s="40">
        <v>0</v>
      </c>
      <c r="H20" s="40">
        <v>0</v>
      </c>
      <c r="I20" s="36">
        <f>ОКРУГЛВСЕ(SUMIF('Форма по МДС 81-35.2004'!J372:J397,"Г",'Форма по МДС 81-35.2004'!E372:E397),8)</f>
        <v>0.33</v>
      </c>
      <c r="J20" s="36">
        <v>0</v>
      </c>
      <c r="K20" s="36">
        <f>ОКРУГЛВСЕ(SUMIF('Форма по МДС 81-35.2004'!J372:J397,"Ж",'Форма по МДС 81-35.2004'!E372:E397),8)</f>
        <v>0.22</v>
      </c>
      <c r="L20" s="40">
        <v>0</v>
      </c>
      <c r="M20" s="40">
        <v>0</v>
      </c>
      <c r="N20" s="40">
        <v>125.7696</v>
      </c>
      <c r="O20" s="40">
        <v>50.816</v>
      </c>
      <c r="P20" s="40">
        <v>73.1214</v>
      </c>
      <c r="Q20" s="40">
        <v>52.6482</v>
      </c>
      <c r="R20" s="40">
        <v>29.544</v>
      </c>
      <c r="S20" s="40">
        <v>21.272</v>
      </c>
      <c r="T20" s="40">
        <v>0</v>
      </c>
      <c r="U20" s="40">
        <v>0</v>
      </c>
      <c r="V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H20" s="40">
        <v>0</v>
      </c>
      <c r="AI20" s="40">
        <v>0</v>
      </c>
      <c r="AJ20" s="40">
        <v>0</v>
      </c>
      <c r="AK20" s="40">
        <v>0</v>
      </c>
    </row>
    <row r="21" spans="1:37" ht="10.5">
      <c r="A21" s="40" t="str">
        <f>'Форма по МДС 81-35.2004'!A398</f>
        <v>16.</v>
      </c>
      <c r="B21" s="40">
        <f>'Форма по МДС 81-35.2004'!G398</f>
        <v>670.89</v>
      </c>
      <c r="C21" s="40">
        <f>ROUND(СУММПРОИЗВЕСЛИ(1,'Форма по МДС 81-35.2004'!J398:J423,"Г",'Форма по МДС 81-35.2004'!E398:E423,'Форма по МДС 81-35.2004'!G398:G423,0),1423636)</f>
        <v>87.2885</v>
      </c>
      <c r="D21" s="40">
        <f>ROUND(СУММПРОИЗВЕСЛИ(1,'Форма по МДС 81-35.2004'!J398:J423,"IsMash",'Форма по МДС 81-35.2004'!E398:E423,'Форма по МДС 81-35.2004'!G398:G423,0),1423636)</f>
        <v>260.2769</v>
      </c>
      <c r="E21" s="40">
        <f>ROUND(СУММПРОИЗВЕСЛИ(1,'Форма по МДС 81-35.2004'!J398:J423,"Ж",'Форма по МДС 81-35.2004'!E398:E423,'Форма по МДС 81-35.2004'!G398:G423,0),1423636)</f>
        <v>0</v>
      </c>
      <c r="F21" s="40">
        <f>ROUND(СУММПРОИЗВЕСЛИ(1,'Форма по МДС 81-35.2004'!J398:J423,"IsMater",'Форма по МДС 81-35.2004'!E398:E423,'Форма по МДС 81-35.2004'!G398:G423,0),1423636)</f>
        <v>323.3207933</v>
      </c>
      <c r="G21" s="40">
        <v>0</v>
      </c>
      <c r="H21" s="40">
        <v>0</v>
      </c>
      <c r="I21" s="36">
        <f>ОКРУГЛВСЕ(SUMIF('Форма по МДС 81-35.2004'!J398:J423,"Г",'Форма по МДС 81-35.2004'!E398:E423),8)</f>
        <v>0.39</v>
      </c>
      <c r="J21" s="36">
        <v>0</v>
      </c>
      <c r="K21" s="36">
        <f>ОКРУГЛВСЕ(SUMIF('Форма по МДС 81-35.2004'!J398:J423,"Ж",'Форма по МДС 81-35.2004'!E398:E423),8)</f>
        <v>0.26</v>
      </c>
      <c r="L21" s="40">
        <v>0</v>
      </c>
      <c r="M21" s="40">
        <v>0</v>
      </c>
      <c r="N21" s="40">
        <v>148.6287</v>
      </c>
      <c r="O21" s="40">
        <v>60.052</v>
      </c>
      <c r="P21" s="40">
        <v>86.4171</v>
      </c>
      <c r="Q21" s="40">
        <v>62.2116</v>
      </c>
      <c r="R21" s="40">
        <v>34.916</v>
      </c>
      <c r="S21" s="40">
        <v>25.136</v>
      </c>
      <c r="T21" s="40">
        <v>0</v>
      </c>
      <c r="U21" s="40">
        <v>0</v>
      </c>
      <c r="V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H21" s="40">
        <v>0</v>
      </c>
      <c r="AI21" s="40">
        <v>0</v>
      </c>
      <c r="AJ21" s="40">
        <v>0</v>
      </c>
      <c r="AK21" s="40">
        <v>0</v>
      </c>
    </row>
    <row r="22" spans="1:37" ht="10.5">
      <c r="A22" s="40" t="str">
        <f>'Форма по МДС 81-35.2004'!A424</f>
        <v>17.</v>
      </c>
      <c r="B22" s="40">
        <f>'Форма по МДС 81-35.2004'!G424</f>
        <v>36393.18</v>
      </c>
      <c r="C22" s="40">
        <f>ROUND(СУММПРОИЗВЕСЛИ(1,'Форма по МДС 81-35.2004'!J424:J449,"Г",'Форма по МДС 81-35.2004'!E424:E449,'Форма по МДС 81-35.2004'!G424:G449,0),1423636)</f>
        <v>5927.0232</v>
      </c>
      <c r="D22" s="40">
        <f>ROUND(СУММПРОИЗВЕСЛИ(1,'Форма по МДС 81-35.2004'!J424:J449,"IsMash",'Форма по МДС 81-35.2004'!E424:E449,'Форма по МДС 81-35.2004'!G424:G449,0),1423636)</f>
        <v>17658.7866</v>
      </c>
      <c r="E22" s="40">
        <f>ROUND(СУММПРОИЗВЕСЛИ(1,'Форма по МДС 81-35.2004'!J424:J449,"Ж",'Форма по МДС 81-35.2004'!E424:E449,'Форма по МДС 81-35.2004'!G424:G449,0),1423636)</f>
        <v>0</v>
      </c>
      <c r="F22" s="40">
        <f>ROUND(СУММПРОИЗВЕСЛИ(1,'Форма по МДС 81-35.2004'!J424:J449,"IsMater",'Форма по МДС 81-35.2004'!E424:E449,'Форма по МДС 81-35.2004'!G424:G449,0),1423636)</f>
        <v>12807.37275</v>
      </c>
      <c r="G22" s="40">
        <v>0</v>
      </c>
      <c r="H22" s="40">
        <v>0</v>
      </c>
      <c r="I22" s="36">
        <f>ОКРУГЛВСЕ(SUMIF('Форма по МДС 81-35.2004'!J424:J449,"Г",'Форма по МДС 81-35.2004'!E424:E449),8)</f>
        <v>26.48</v>
      </c>
      <c r="J22" s="36">
        <v>0</v>
      </c>
      <c r="K22" s="36">
        <f>ОКРУГЛВСЕ(SUMIF('Форма по МДС 81-35.2004'!J424:J449,"Ж",'Форма по МДС 81-35.2004'!E424:E449),8)</f>
        <v>17.64</v>
      </c>
      <c r="L22" s="40">
        <v>0</v>
      </c>
      <c r="M22" s="40">
        <v>0</v>
      </c>
      <c r="N22" s="40">
        <v>10088.8722</v>
      </c>
      <c r="O22" s="40">
        <v>4076.312</v>
      </c>
      <c r="P22" s="40">
        <v>5867.7498</v>
      </c>
      <c r="Q22" s="40">
        <v>4221.1224</v>
      </c>
      <c r="R22" s="40">
        <v>2370.808</v>
      </c>
      <c r="S22" s="40">
        <v>1705.504</v>
      </c>
      <c r="T22" s="40">
        <v>0</v>
      </c>
      <c r="U22" s="40">
        <v>0</v>
      </c>
      <c r="V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H22" s="40">
        <v>0</v>
      </c>
      <c r="AI22" s="40">
        <v>0</v>
      </c>
      <c r="AJ22" s="40">
        <v>0</v>
      </c>
      <c r="AK22" s="40">
        <v>0</v>
      </c>
    </row>
    <row r="23" spans="1:37" ht="10.5">
      <c r="A23" s="40" t="str">
        <f>'Форма по МДС 81-35.2004'!A450</f>
        <v>18.</v>
      </c>
      <c r="B23" s="40">
        <f>'Форма по МДС 81-35.2004'!G450</f>
        <v>6506.26</v>
      </c>
      <c r="C23" s="40">
        <f>ROUND(СУММПРОИЗВЕСЛИ(1,'Форма по МДС 81-35.2004'!J450:J475,"Г",'Форма по МДС 81-35.2004'!E450:E475,'Форма по МДС 81-35.2004'!G450:G475,0),1423636)</f>
        <v>564.018</v>
      </c>
      <c r="D23" s="40">
        <f>ROUND(СУММПРОИЗВЕСЛИ(1,'Форма по МДС 81-35.2004'!J450:J475,"IsMash",'Форма по МДС 81-35.2004'!E450:E475,'Форма по МДС 81-35.2004'!G450:G475,0),1423636)</f>
        <v>1681.7892</v>
      </c>
      <c r="E23" s="40">
        <f>ROUND(СУММПРОИЗВЕСЛИ(1,'Форма по МДС 81-35.2004'!J450:J475,"Ж",'Форма по МДС 81-35.2004'!E450:E475,'Форма по МДС 81-35.2004'!G450:G475,0),1423636)</f>
        <v>406.66584</v>
      </c>
      <c r="F23" s="40">
        <f>ROUND(СУММПРОИЗВЕСЛИ(1,'Форма по МДС 81-35.2004'!J450:J475,"IsMater",'Форма по МДС 81-35.2004'!E450:E475,'Форма по МДС 81-35.2004'!G450:G475,0),1423636)</f>
        <v>4260.4491</v>
      </c>
      <c r="G23" s="40">
        <v>0</v>
      </c>
      <c r="H23" s="40">
        <v>0</v>
      </c>
      <c r="I23" s="36">
        <f>ОКРУГЛВСЕ(SUMIF('Форма по МДС 81-35.2004'!J450:J475,"Г",'Форма по МДС 81-35.2004'!E450:E475),8)</f>
        <v>2.52</v>
      </c>
      <c r="J23" s="36">
        <v>0</v>
      </c>
      <c r="K23" s="36">
        <f>ОКРУГЛВСЕ(SUMIF('Форма по МДС 81-35.2004'!J450:J475,"Ж",'Форма по МДС 81-35.2004'!E450:E475),8)</f>
        <v>1.68</v>
      </c>
      <c r="L23" s="40">
        <v>0</v>
      </c>
      <c r="M23" s="40">
        <v>0</v>
      </c>
      <c r="N23" s="40">
        <v>960.3891</v>
      </c>
      <c r="O23" s="40">
        <v>388.036</v>
      </c>
      <c r="P23" s="40">
        <v>558.3798</v>
      </c>
      <c r="Q23" s="40">
        <v>402.0093</v>
      </c>
      <c r="R23" s="40">
        <v>225.608</v>
      </c>
      <c r="S23" s="40">
        <v>162.428</v>
      </c>
      <c r="T23" s="40">
        <v>0</v>
      </c>
      <c r="U23" s="40">
        <v>0</v>
      </c>
      <c r="V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H23" s="40">
        <v>0</v>
      </c>
      <c r="AI23" s="40">
        <v>0</v>
      </c>
      <c r="AJ23" s="40">
        <v>0</v>
      </c>
      <c r="AK23" s="40">
        <v>0</v>
      </c>
    </row>
    <row r="24" spans="1:37" ht="10.5">
      <c r="A24" s="40" t="str">
        <f>'Форма по МДС 81-35.2004'!A476</f>
        <v>19.</v>
      </c>
      <c r="B24" s="40">
        <f>'Форма по МДС 81-35.2004'!G476</f>
        <v>44565.7</v>
      </c>
      <c r="C24" s="40">
        <f>ROUND(СУММПРОИЗВЕСЛИ(1,'Форма по МДС 81-35.2004'!J476:J501,"Г",'Форма по МДС 81-35.2004'!E476:E501,'Форма по МДС 81-35.2004'!G476:G501,0),1423636)</f>
        <v>633.0026</v>
      </c>
      <c r="D24" s="40">
        <f>ROUND(СУММПРОИЗВЕСЛИ(1,'Форма по МДС 81-35.2004'!J476:J501,"IsMash",'Форма по МДС 81-35.2004'!E476:E501,'Форма по МДС 81-35.2004'!G476:G501,0),1423636)</f>
        <v>835.8781</v>
      </c>
      <c r="E24" s="40">
        <f>ROUND(СУММПРОИЗВЕСЛИ(1,'Форма по МДС 81-35.2004'!J476:J501,"Ж",'Форма по МДС 81-35.2004'!E476:E501,'Форма по МДС 81-35.2004'!G476:G501,0),1423636)</f>
        <v>250.00004</v>
      </c>
      <c r="F24" s="40">
        <f>ROUND(СУММПРОИЗВЕСЛИ(1,'Форма по МДС 81-35.2004'!J476:J501,"IsMater",'Форма по МДС 81-35.2004'!E476:E501,'Форма по МДС 81-35.2004'!G476:G501,0),1423636)</f>
        <v>43096.821432</v>
      </c>
      <c r="G24" s="40">
        <v>0</v>
      </c>
      <c r="H24" s="40">
        <v>0</v>
      </c>
      <c r="I24" s="36">
        <f>ОКРУГЛВСЕ(SUMIF('Форма по МДС 81-35.2004'!J476:J501,"Г",'Форма по МДС 81-35.2004'!E476:E501),8)</f>
        <v>2.91</v>
      </c>
      <c r="J24" s="36">
        <v>0</v>
      </c>
      <c r="K24" s="36">
        <f>ОКРУГЛВСЕ(SUMIF('Форма по МДС 81-35.2004'!J476:J501,"Ж",'Форма по МДС 81-35.2004'!E476:E501),8)</f>
        <v>0.97</v>
      </c>
      <c r="L24" s="40">
        <v>0</v>
      </c>
      <c r="M24" s="40">
        <v>0</v>
      </c>
      <c r="N24" s="40">
        <v>893.1483</v>
      </c>
      <c r="O24" s="40">
        <v>360.868</v>
      </c>
      <c r="P24" s="40">
        <v>626.67</v>
      </c>
      <c r="Q24" s="40">
        <v>266.4783</v>
      </c>
      <c r="R24" s="40">
        <v>253.2</v>
      </c>
      <c r="S24" s="40">
        <v>107.668</v>
      </c>
      <c r="T24" s="40">
        <v>0</v>
      </c>
      <c r="U24" s="40">
        <v>0</v>
      </c>
      <c r="V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H24" s="40">
        <v>0</v>
      </c>
      <c r="AI24" s="40">
        <v>0</v>
      </c>
      <c r="AJ24" s="40">
        <v>0</v>
      </c>
      <c r="AK24" s="40">
        <v>0</v>
      </c>
    </row>
  </sheetData>
  <sheetProtection/>
  <mergeCells count="4">
    <mergeCell ref="A2:H2"/>
    <mergeCell ref="B3:H3"/>
    <mergeCell ref="B4:H4"/>
    <mergeCell ref="A5:H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K24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36" customWidth="1"/>
    <col min="2" max="16384" width="9.140625" style="40" customWidth="1"/>
  </cols>
  <sheetData>
    <row r="1" spans="1:37" s="41" customFormat="1" ht="10.5">
      <c r="A1" s="8"/>
      <c r="B1" s="41" t="s">
        <v>344</v>
      </c>
      <c r="C1" s="41" t="s">
        <v>345</v>
      </c>
      <c r="D1" s="41" t="s">
        <v>346</v>
      </c>
      <c r="E1" s="41" t="s">
        <v>347</v>
      </c>
      <c r="F1" s="41" t="s">
        <v>348</v>
      </c>
      <c r="G1" s="41" t="s">
        <v>349</v>
      </c>
      <c r="H1" s="41" t="s">
        <v>350</v>
      </c>
      <c r="I1" s="41" t="s">
        <v>351</v>
      </c>
      <c r="J1" s="41" t="s">
        <v>352</v>
      </c>
      <c r="K1" s="41" t="s">
        <v>353</v>
      </c>
      <c r="L1" s="41" t="s">
        <v>354</v>
      </c>
      <c r="M1" s="41" t="s">
        <v>355</v>
      </c>
      <c r="N1" s="41" t="s">
        <v>356</v>
      </c>
      <c r="O1" s="41" t="s">
        <v>357</v>
      </c>
      <c r="P1" s="41" t="s">
        <v>358</v>
      </c>
      <c r="Q1" s="41" t="s">
        <v>359</v>
      </c>
      <c r="R1" s="41" t="s">
        <v>360</v>
      </c>
      <c r="S1" s="41" t="s">
        <v>361</v>
      </c>
      <c r="T1" s="41" t="s">
        <v>362</v>
      </c>
      <c r="U1" s="41" t="s">
        <v>363</v>
      </c>
      <c r="V1" s="41" t="s">
        <v>364</v>
      </c>
      <c r="X1" s="41" t="s">
        <v>365</v>
      </c>
      <c r="Y1" s="41" t="s">
        <v>366</v>
      </c>
      <c r="Z1" s="41" t="s">
        <v>367</v>
      </c>
      <c r="AA1" s="41" t="s">
        <v>368</v>
      </c>
      <c r="AB1" s="41" t="s">
        <v>369</v>
      </c>
      <c r="AC1" s="41" t="s">
        <v>370</v>
      </c>
      <c r="AD1" s="41" t="s">
        <v>371</v>
      </c>
      <c r="AE1" s="41" t="s">
        <v>372</v>
      </c>
      <c r="AF1" s="41" t="s">
        <v>373</v>
      </c>
      <c r="AG1" s="41" t="s">
        <v>374</v>
      </c>
      <c r="AH1" s="41" t="s">
        <v>375</v>
      </c>
      <c r="AI1" s="41" t="s">
        <v>376</v>
      </c>
      <c r="AJ1" s="41" t="s">
        <v>377</v>
      </c>
      <c r="AK1" s="41" t="s">
        <v>378</v>
      </c>
    </row>
    <row r="2" spans="1:8" ht="10.5">
      <c r="A2" s="73"/>
      <c r="B2" s="74"/>
      <c r="C2" s="74"/>
      <c r="D2" s="74"/>
      <c r="E2" s="74"/>
      <c r="F2" s="74"/>
      <c r="G2" s="74"/>
      <c r="H2" s="74"/>
    </row>
    <row r="3" spans="1:8" ht="10.5">
      <c r="A3" s="42"/>
      <c r="B3" s="75" t="s">
        <v>379</v>
      </c>
      <c r="C3" s="75"/>
      <c r="D3" s="75"/>
      <c r="E3" s="75"/>
      <c r="F3" s="75"/>
      <c r="G3" s="75"/>
      <c r="H3" s="75"/>
    </row>
    <row r="4" spans="1:8" ht="10.5">
      <c r="A4" s="42"/>
      <c r="B4" s="75" t="s">
        <v>380</v>
      </c>
      <c r="C4" s="75"/>
      <c r="D4" s="75"/>
      <c r="E4" s="75"/>
      <c r="F4" s="75"/>
      <c r="G4" s="75"/>
      <c r="H4" s="75"/>
    </row>
    <row r="5" spans="1:8" ht="10.5">
      <c r="A5" s="73"/>
      <c r="B5" s="74"/>
      <c r="C5" s="74"/>
      <c r="D5" s="74"/>
      <c r="E5" s="74"/>
      <c r="F5" s="74"/>
      <c r="G5" s="74"/>
      <c r="H5" s="74"/>
    </row>
    <row r="6" spans="1:37" ht="10.5">
      <c r="A6" s="40" t="str">
        <f>'Форма по МДС 81-35.2004'!A19</f>
        <v>1.</v>
      </c>
      <c r="B6" s="40">
        <f>'Форма по МДС 81-35.2004'!N19</f>
        <v>0</v>
      </c>
      <c r="C6" s="40">
        <f>ROUND(SUMIF('Форма по МДС 81-35.2004'!J19:J37,"Г",'Форма по МДС 81-35.2004'!N19:N37),2)</f>
        <v>0</v>
      </c>
      <c r="D6" s="40">
        <f>ROUND(SUMIF('Форма по МДС 81-35.2004'!J19:J37,"IsMash",'Форма по МДС 81-35.2004'!N19:N37),2)</f>
        <v>0</v>
      </c>
      <c r="E6" s="40">
        <f>'Форма по МДС 81-35.2004'!N20</f>
        <v>0</v>
      </c>
      <c r="F6" s="40">
        <f>ROUND(SUMIF('Форма по МДС 81-35.2004'!J19:J37,"IsMater",'Форма по МДС 81-35.2004'!N19:N37),2)</f>
        <v>0</v>
      </c>
      <c r="G6" s="40">
        <f>ROUND('Форма по МДС 81-35.2004'!F19*'Базовые цены за единицу'!G6,2)</f>
        <v>0</v>
      </c>
      <c r="H6" s="40">
        <f>ROUND('Форма по МДС 81-35.2004'!F19*'Базовые цены за единицу'!H6,2)</f>
        <v>0</v>
      </c>
      <c r="I6" s="36">
        <f>ОКРУГЛВСЕ(SUMIF('Форма по МДС 81-35.2004'!J19:J37,"Г",'Форма по МДС 81-35.2004'!F19:F37),8)</f>
        <v>0</v>
      </c>
      <c r="J6" s="36">
        <f>ОКРУГЛВСЕ('Форма по МДС 81-35.2004'!F19*'Базовые цены за единицу'!J6,8)</f>
        <v>0</v>
      </c>
      <c r="K6" s="36">
        <f>ОКРУГЛВСЕ(SUMIF('Форма по МДС 81-35.2004'!J19:J37,"Ж",'Форма по МДС 81-35.2004'!F19:F37),8)</f>
        <v>0</v>
      </c>
      <c r="L6" s="40">
        <f>ROUND('Форма по МДС 81-35.2004'!F19*'Базовые цены за единицу'!L6,2)</f>
        <v>0</v>
      </c>
      <c r="M6" s="40">
        <f>ROUND('Форма по МДС 81-35.2004'!F19*'Базовые цены за единицу'!M6,2)</f>
        <v>0</v>
      </c>
      <c r="N6" s="40">
        <f>ROUND((C6+E6)*'Форма по МДС 81-35.2004'!M32/100,2)</f>
        <v>0</v>
      </c>
      <c r="O6" s="40">
        <f>ROUND((C6+E6)*'Форма по МДС 81-35.2004'!M35/100,2)</f>
        <v>0</v>
      </c>
      <c r="P6" s="40">
        <f>ROUND('Форма по МДС 81-35.2004'!F19*'Базовые цены за единицу'!P6,2)</f>
        <v>0</v>
      </c>
      <c r="Q6" s="40">
        <f>ROUND('Форма по МДС 81-35.2004'!F19*'Базовые цены за единицу'!Q6,2)</f>
        <v>0</v>
      </c>
      <c r="R6" s="40">
        <f>ROUND('Форма по МДС 81-35.2004'!F19*'Базовые цены за единицу'!R6,2)</f>
        <v>0</v>
      </c>
      <c r="S6" s="40">
        <f>ROUND('Форма по МДС 81-35.2004'!F19*'Базовые цены за единицу'!S6,2)</f>
        <v>0</v>
      </c>
      <c r="T6" s="40">
        <f>ROUND('Форма по МДС 81-35.2004'!F19*'Базовые цены за единицу'!T6,2)</f>
        <v>0</v>
      </c>
      <c r="U6" s="40">
        <f>ROUND('Форма по МДС 81-35.2004'!F19*'Базовые цены за единицу'!U6,2)</f>
        <v>0</v>
      </c>
      <c r="V6" s="40">
        <f>ROUND('Форма по МДС 81-35.2004'!F19*'Базовые цены за единицу'!V6,2)</f>
        <v>0</v>
      </c>
      <c r="X6" s="40">
        <f>ROUND('Форма по МДС 81-35.2004'!F19*'Базовые цены за единицу'!X6,2)</f>
        <v>0</v>
      </c>
      <c r="Y6" s="40">
        <f>IF(Определители!I6="9",ROUND((C6+E6)*(Начисления!M6/100)*('Форма по МДС 81-35.2004'!M32/100),2),0)</f>
        <v>0</v>
      </c>
      <c r="Z6" s="40">
        <f>IF(Определители!I6="9",ROUND((C6+E6)*(100-Начисления!M6/100)*('Форма по МДС 81-35.2004'!M32/100),2),0)</f>
        <v>0</v>
      </c>
      <c r="AA6" s="40">
        <f>IF(Определители!I6="9",ROUND((C6+E6)*(Начисления!M6/100)*('Форма по МДС 81-35.2004'!M35/100),2),0)</f>
        <v>0</v>
      </c>
      <c r="AB6" s="40">
        <f>IF(Определители!I6="9",ROUND((C6+E6)*(100-Начисления!M6/100)*('Форма по МДС 81-35.2004'!M35/100),2),0)</f>
        <v>0</v>
      </c>
      <c r="AC6" s="40">
        <f>IF(Определители!I6="9",ROUND(B6*Начисления!M6/100,2),0)</f>
        <v>0</v>
      </c>
      <c r="AD6" s="40">
        <f>IF(Определители!I6="9",ROUND(B6*(100-Начисления!M6)/100,2),0)</f>
        <v>0</v>
      </c>
      <c r="AE6" s="40">
        <f>ROUND('Форма по МДС 81-35.2004'!F19*'Базовые цены за единицу'!AE6,2)</f>
        <v>0</v>
      </c>
      <c r="AH6" s="40">
        <f>ROUND('Форма по МДС 81-35.2004'!F19*'Базовые цены за единицу'!AH6,2)</f>
        <v>0</v>
      </c>
      <c r="AI6" s="40">
        <f>ROUND('Форма по МДС 81-35.2004'!F19*'Базовые цены за единицу'!AI6,2)</f>
        <v>0</v>
      </c>
      <c r="AJ6" s="40">
        <f>ROUND('Форма по МДС 81-35.2004'!F19*'Базовые цены за единицу'!AJ6,2)</f>
        <v>0</v>
      </c>
      <c r="AK6" s="40">
        <f>ROUND('Форма по МДС 81-35.2004'!F19*'Базовые цены за единицу'!AK6,2)</f>
        <v>0</v>
      </c>
    </row>
    <row r="7" spans="1:37" ht="10.5">
      <c r="A7" s="40" t="str">
        <f>'Форма по МДС 81-35.2004'!A38</f>
        <v>2.</v>
      </c>
      <c r="B7" s="40">
        <f>'Форма по МДС 81-35.2004'!N38</f>
        <v>8145.91</v>
      </c>
      <c r="C7" s="40">
        <f>ROUND(SUMIF('Форма по МДС 81-35.2004'!J38:J64,"Г",'Форма по МДС 81-35.2004'!N38:N64),2)</f>
        <v>257.68</v>
      </c>
      <c r="D7" s="40">
        <f>ROUND(SUMIF('Форма по МДС 81-35.2004'!J38:J64,"IsMash",'Форма по МДС 81-35.2004'!N38:N64),2)</f>
        <v>2213.07</v>
      </c>
      <c r="E7" s="40">
        <f>'Форма по МДС 81-35.2004'!N41</f>
        <v>243.96</v>
      </c>
      <c r="F7" s="40">
        <f>ROUND(SUMIF('Форма по МДС 81-35.2004'!J38:J64,"IsMater",'Форма по МДС 81-35.2004'!N38:N64),2)</f>
        <v>5675.16</v>
      </c>
      <c r="G7" s="40">
        <f>ROUND('Форма по МДС 81-35.2004'!F38*'Базовые цены за единицу'!G7,2)</f>
        <v>5410.53</v>
      </c>
      <c r="H7" s="40">
        <f>ROUND('Форма по МДС 81-35.2004'!F38*'Базовые цены за единицу'!H7,2)</f>
        <v>0</v>
      </c>
      <c r="I7" s="36">
        <f>ОКРУГЛВСЕ(SUMIF('Форма по МДС 81-35.2004'!J38:J64,"Г",'Форма по МДС 81-35.2004'!F38:F64),8)</f>
        <v>31.385671</v>
      </c>
      <c r="J7" s="36">
        <f>ОКРУГЛВСЕ('Форма по МДС 81-35.2004'!F38*'Базовые цены за единицу'!J7,8)</f>
        <v>0</v>
      </c>
      <c r="K7" s="36">
        <f>ОКРУГЛВСЕ(SUMIF('Форма по МДС 81-35.2004'!J38:J64,"Ж",'Форма по МДС 81-35.2004'!F38:F64),8)</f>
        <v>19.01484</v>
      </c>
      <c r="L7" s="40">
        <f>ROUND('Форма по МДС 81-35.2004'!F38*'Базовые цены за единицу'!L7,2)</f>
        <v>0</v>
      </c>
      <c r="M7" s="40">
        <f>ROUND('Форма по МДС 81-35.2004'!F38*'Базовые цены за единицу'!M7,2)</f>
        <v>0</v>
      </c>
      <c r="N7" s="40">
        <f>ROUND((C7+E7)*'Форма по МДС 81-35.2004'!M58/100,2)</f>
        <v>747.44</v>
      </c>
      <c r="O7" s="40">
        <f>ROUND((C7+E7)*'Форма по МДС 81-35.2004'!M61/100,2)</f>
        <v>406.33</v>
      </c>
      <c r="P7" s="40">
        <f>ROUND('Форма по МДС 81-35.2004'!F38*'Базовые цены за единицу'!P7,2)</f>
        <v>383.96</v>
      </c>
      <c r="Q7" s="40">
        <f>ROUND('Форма по МДС 81-35.2004'!F38*'Базовые цены за единицу'!Q7,2)</f>
        <v>363.5</v>
      </c>
      <c r="R7" s="40">
        <f>ROUND('Форма по МДС 81-35.2004'!F38*'Базовые цены за единицу'!R7,2)</f>
        <v>208.73</v>
      </c>
      <c r="S7" s="40">
        <f>ROUND('Форма по МДС 81-35.2004'!F38*'Базовые цены за единицу'!S7,2)</f>
        <v>197.61</v>
      </c>
      <c r="T7" s="40">
        <f>ROUND('Форма по МДС 81-35.2004'!F38*'Базовые цены за единицу'!T7,2)</f>
        <v>0</v>
      </c>
      <c r="U7" s="40">
        <f>ROUND('Форма по МДС 81-35.2004'!F38*'Базовые цены за единицу'!U7,2)</f>
        <v>0</v>
      </c>
      <c r="V7" s="40">
        <f>ROUND('Форма по МДС 81-35.2004'!F38*'Базовые цены за единицу'!V7,2)</f>
        <v>0</v>
      </c>
      <c r="X7" s="40">
        <f>ROUND('Форма по МДС 81-35.2004'!F38*'Базовые цены за единицу'!X7,2)</f>
        <v>0</v>
      </c>
      <c r="Y7" s="40">
        <f>IF(Определители!I7="9",ROUND((C7+E7)*(Начисления!M7/100)*('Форма по МДС 81-35.2004'!M58/100),2),0)</f>
        <v>0</v>
      </c>
      <c r="Z7" s="40">
        <f>IF(Определители!I7="9",ROUND((C7+E7)*(100-Начисления!M7/100)*('Форма по МДС 81-35.2004'!M58/100),2),0)</f>
        <v>0</v>
      </c>
      <c r="AA7" s="40">
        <f>IF(Определители!I7="9",ROUND((C7+E7)*(Начисления!M7/100)*('Форма по МДС 81-35.2004'!M61/100),2),0)</f>
        <v>0</v>
      </c>
      <c r="AB7" s="40">
        <f>IF(Определители!I7="9",ROUND((C7+E7)*(100-Начисления!M7/100)*('Форма по МДС 81-35.2004'!M61/100),2),0)</f>
        <v>0</v>
      </c>
      <c r="AC7" s="40">
        <f>IF(Определители!I7="9",ROUND(B7*Начисления!M7/100,2),0)</f>
        <v>0</v>
      </c>
      <c r="AD7" s="40">
        <f>IF(Определители!I7="9",ROUND(B7*(100-Начисления!M7)/100,2),0)</f>
        <v>0</v>
      </c>
      <c r="AE7" s="40">
        <f>ROUND('Форма по МДС 81-35.2004'!F38*'Базовые цены за единицу'!AE7,2)</f>
        <v>0</v>
      </c>
      <c r="AH7" s="40">
        <f>ROUND('Форма по МДС 81-35.2004'!F38*'Базовые цены за единицу'!AH7,2)</f>
        <v>0</v>
      </c>
      <c r="AI7" s="40">
        <f>ROUND('Форма по МДС 81-35.2004'!F38*'Базовые цены за единицу'!AI7,2)</f>
        <v>0</v>
      </c>
      <c r="AJ7" s="40">
        <f>ROUND('Форма по МДС 81-35.2004'!F38*'Базовые цены за единицу'!AJ7,2)</f>
        <v>0</v>
      </c>
      <c r="AK7" s="40">
        <f>ROUND('Форма по МДС 81-35.2004'!F38*'Базовые цены за единицу'!AK7,2)</f>
        <v>0</v>
      </c>
    </row>
    <row r="8" spans="1:37" ht="10.5">
      <c r="A8" s="40" t="str">
        <f>'Форма по МДС 81-35.2004'!A65</f>
        <v>3.</v>
      </c>
      <c r="B8" s="40">
        <f>'Форма по МДС 81-35.2004'!N65</f>
        <v>0</v>
      </c>
      <c r="C8" s="40">
        <f>ROUND(SUMIF('Форма по МДС 81-35.2004'!J65:J91,"Г",'Форма по МДС 81-35.2004'!N65:N91),2)</f>
        <v>0</v>
      </c>
      <c r="D8" s="40">
        <f>ROUND(SUMIF('Форма по МДС 81-35.2004'!J65:J91,"IsMash",'Форма по МДС 81-35.2004'!N65:N91),2)</f>
        <v>0</v>
      </c>
      <c r="E8" s="40">
        <f>'Форма по МДС 81-35.2004'!N68</f>
        <v>0</v>
      </c>
      <c r="F8" s="40">
        <f>ROUND(SUMIF('Форма по МДС 81-35.2004'!J65:J91,"IsMater",'Форма по МДС 81-35.2004'!N65:N91),2)</f>
        <v>0</v>
      </c>
      <c r="G8" s="40">
        <f>ROUND('Форма по МДС 81-35.2004'!F65*'Базовые цены за единицу'!G8,2)</f>
        <v>0</v>
      </c>
      <c r="H8" s="40">
        <f>ROUND('Форма по МДС 81-35.2004'!F65*'Базовые цены за единицу'!H8,2)</f>
        <v>0</v>
      </c>
      <c r="I8" s="36">
        <f>ОКРУГЛВСЕ(SUMIF('Форма по МДС 81-35.2004'!J65:J91,"Г",'Форма по МДС 81-35.2004'!F65:F91),8)</f>
        <v>0</v>
      </c>
      <c r="J8" s="36">
        <f>ОКРУГЛВСЕ('Форма по МДС 81-35.2004'!F65*'Базовые цены за единицу'!J8,8)</f>
        <v>0</v>
      </c>
      <c r="K8" s="36">
        <f>ОКРУГЛВСЕ(SUMIF('Форма по МДС 81-35.2004'!J65:J91,"Ж",'Форма по МДС 81-35.2004'!F65:F91),8)</f>
        <v>0</v>
      </c>
      <c r="L8" s="40">
        <f>ROUND('Форма по МДС 81-35.2004'!F65*'Базовые цены за единицу'!L8,2)</f>
        <v>0</v>
      </c>
      <c r="M8" s="40">
        <f>ROUND('Форма по МДС 81-35.2004'!F65*'Базовые цены за единицу'!M8,2)</f>
        <v>0</v>
      </c>
      <c r="N8" s="40">
        <f>ROUND((C8+E8)*'Форма по МДС 81-35.2004'!M85/100,2)</f>
        <v>0</v>
      </c>
      <c r="O8" s="40">
        <f>ROUND((C8+E8)*'Форма по МДС 81-35.2004'!M88/100,2)</f>
        <v>0</v>
      </c>
      <c r="P8" s="40">
        <f>ROUND('Форма по МДС 81-35.2004'!F65*'Базовые цены за единицу'!P8,2)</f>
        <v>0</v>
      </c>
      <c r="Q8" s="40">
        <f>ROUND('Форма по МДС 81-35.2004'!F65*'Базовые цены за единицу'!Q8,2)</f>
        <v>0</v>
      </c>
      <c r="R8" s="40">
        <f>ROUND('Форма по МДС 81-35.2004'!F65*'Базовые цены за единицу'!R8,2)</f>
        <v>0</v>
      </c>
      <c r="S8" s="40">
        <f>ROUND('Форма по МДС 81-35.2004'!F65*'Базовые цены за единицу'!S8,2)</f>
        <v>0</v>
      </c>
      <c r="T8" s="40">
        <f>ROUND('Форма по МДС 81-35.2004'!F65*'Базовые цены за единицу'!T8,2)</f>
        <v>0</v>
      </c>
      <c r="U8" s="40">
        <f>ROUND('Форма по МДС 81-35.2004'!F65*'Базовые цены за единицу'!U8,2)</f>
        <v>0</v>
      </c>
      <c r="V8" s="40">
        <f>ROUND('Форма по МДС 81-35.2004'!F65*'Базовые цены за единицу'!V8,2)</f>
        <v>0</v>
      </c>
      <c r="X8" s="40">
        <f>ROUND('Форма по МДС 81-35.2004'!F65*'Базовые цены за единицу'!X8,2)</f>
        <v>0</v>
      </c>
      <c r="Y8" s="40">
        <f>IF(Определители!I8="9",ROUND((C8+E8)*(Начисления!M8/100)*('Форма по МДС 81-35.2004'!M85/100),2),0)</f>
        <v>0</v>
      </c>
      <c r="Z8" s="40">
        <f>IF(Определители!I8="9",ROUND((C8+E8)*(100-Начисления!M8/100)*('Форма по МДС 81-35.2004'!M85/100),2),0)</f>
        <v>0</v>
      </c>
      <c r="AA8" s="40">
        <f>IF(Определители!I8="9",ROUND((C8+E8)*(Начисления!M8/100)*('Форма по МДС 81-35.2004'!M88/100),2),0)</f>
        <v>0</v>
      </c>
      <c r="AB8" s="40">
        <f>IF(Определители!I8="9",ROUND((C8+E8)*(100-Начисления!M8/100)*('Форма по МДС 81-35.2004'!M88/100),2),0)</f>
        <v>0</v>
      </c>
      <c r="AC8" s="40">
        <f>IF(Определители!I8="9",ROUND(B8*Начисления!M8/100,2),0)</f>
        <v>0</v>
      </c>
      <c r="AD8" s="40">
        <f>IF(Определители!I8="9",ROUND(B8*(100-Начисления!M8)/100,2),0)</f>
        <v>0</v>
      </c>
      <c r="AE8" s="40">
        <f>ROUND('Форма по МДС 81-35.2004'!F65*'Базовые цены за единицу'!AE8,2)</f>
        <v>0</v>
      </c>
      <c r="AH8" s="40">
        <f>ROUND('Форма по МДС 81-35.2004'!F65*'Базовые цены за единицу'!AH8,2)</f>
        <v>0</v>
      </c>
      <c r="AI8" s="40">
        <f>ROUND('Форма по МДС 81-35.2004'!F65*'Базовые цены за единицу'!AI8,2)</f>
        <v>0</v>
      </c>
      <c r="AJ8" s="40">
        <f>ROUND('Форма по МДС 81-35.2004'!F65*'Базовые цены за единицу'!AJ8,2)</f>
        <v>0</v>
      </c>
      <c r="AK8" s="40">
        <f>ROUND('Форма по МДС 81-35.2004'!F65*'Базовые цены за единицу'!AK8,2)</f>
        <v>0</v>
      </c>
    </row>
    <row r="9" spans="1:37" ht="10.5">
      <c r="A9" s="40" t="str">
        <f>'Форма по МДС 81-35.2004'!A92</f>
        <v>4.</v>
      </c>
      <c r="B9" s="40">
        <f>'Форма по МДС 81-35.2004'!N92</f>
        <v>980.79</v>
      </c>
      <c r="C9" s="40">
        <f>ROUND(SUMIF('Форма по МДС 81-35.2004'!J92:J118,"Г",'Форма по МДС 81-35.2004'!N92:N118),2)</f>
        <v>37.28</v>
      </c>
      <c r="D9" s="40">
        <f>ROUND(SUMIF('Форма по МДС 81-35.2004'!J92:J118,"IsMash",'Форма по МДС 81-35.2004'!N92:N118),2)</f>
        <v>320.17</v>
      </c>
      <c r="E9" s="40">
        <f>'Форма по МДС 81-35.2004'!N95</f>
        <v>35.29</v>
      </c>
      <c r="F9" s="40">
        <f>ROUND(SUMIF('Форма по МДС 81-35.2004'!J92:J118,"IsMater",'Форма по МДС 81-35.2004'!N92:N118),2)</f>
        <v>623.33</v>
      </c>
      <c r="G9" s="40">
        <f>ROUND('Форма по МДС 81-35.2004'!F92*'Базовые цены за единицу'!G9,2)</f>
        <v>594.36</v>
      </c>
      <c r="H9" s="40">
        <f>ROUND('Форма по МДС 81-35.2004'!F92*'Базовые цены за единицу'!H9,2)</f>
        <v>0</v>
      </c>
      <c r="I9" s="36">
        <f>ОКРУГЛВСЕ(SUMIF('Форма по МДС 81-35.2004'!J92:J118,"Г",'Форма по МДС 81-35.2004'!F92:F118),8)</f>
        <v>4.5406692</v>
      </c>
      <c r="J9" s="36">
        <f>ОКРУГЛВСЕ('Форма по МДС 81-35.2004'!F92*'Базовые цены за единицу'!J9,8)</f>
        <v>0</v>
      </c>
      <c r="K9" s="36">
        <f>ОКРУГЛВСЕ(SUMIF('Форма по МДС 81-35.2004'!J92:J118,"Ж",'Форма по МДС 81-35.2004'!F92:F118),8)</f>
        <v>2.75094</v>
      </c>
      <c r="L9" s="40">
        <f>ROUND('Форма по МДС 81-35.2004'!F92*'Базовые цены за единицу'!L9,2)</f>
        <v>0</v>
      </c>
      <c r="M9" s="40">
        <f>ROUND('Форма по МДС 81-35.2004'!F92*'Базовые цены за единицу'!M9,2)</f>
        <v>0</v>
      </c>
      <c r="N9" s="40">
        <f>ROUND((C9+E9)*'Форма по МДС 81-35.2004'!M112/100,2)</f>
        <v>108.13</v>
      </c>
      <c r="O9" s="40">
        <f>ROUND((C9+E9)*'Форма по МДС 81-35.2004'!M115/100,2)</f>
        <v>58.78</v>
      </c>
      <c r="P9" s="40">
        <f>ROUND('Форма по МДС 81-35.2004'!F92*'Базовые цены за единицу'!P9,2)</f>
        <v>55.55</v>
      </c>
      <c r="Q9" s="40">
        <f>ROUND('Форма по МДС 81-35.2004'!F92*'Базовые цены за единицу'!Q9,2)</f>
        <v>52.59</v>
      </c>
      <c r="R9" s="40">
        <f>ROUND('Форма по МДС 81-35.2004'!F92*'Базовые цены за единицу'!R9,2)</f>
        <v>30.2</v>
      </c>
      <c r="S9" s="40">
        <f>ROUND('Форма по МДС 81-35.2004'!F92*'Базовые цены за единицу'!S9,2)</f>
        <v>28.59</v>
      </c>
      <c r="T9" s="40">
        <f>ROUND('Форма по МДС 81-35.2004'!F92*'Базовые цены за единицу'!T9,2)</f>
        <v>0</v>
      </c>
      <c r="U9" s="40">
        <f>ROUND('Форма по МДС 81-35.2004'!F92*'Базовые цены за единицу'!U9,2)</f>
        <v>0</v>
      </c>
      <c r="V9" s="40">
        <f>ROUND('Форма по МДС 81-35.2004'!F92*'Базовые цены за единицу'!V9,2)</f>
        <v>0</v>
      </c>
      <c r="X9" s="40">
        <f>ROUND('Форма по МДС 81-35.2004'!F92*'Базовые цены за единицу'!X9,2)</f>
        <v>0</v>
      </c>
      <c r="Y9" s="40">
        <f>IF(Определители!I9="9",ROUND((C9+E9)*(Начисления!M9/100)*('Форма по МДС 81-35.2004'!M112/100),2),0)</f>
        <v>0</v>
      </c>
      <c r="Z9" s="40">
        <f>IF(Определители!I9="9",ROUND((C9+E9)*(100-Начисления!M9/100)*('Форма по МДС 81-35.2004'!M112/100),2),0)</f>
        <v>0</v>
      </c>
      <c r="AA9" s="40">
        <f>IF(Определители!I9="9",ROUND((C9+E9)*(Начисления!M9/100)*('Форма по МДС 81-35.2004'!M115/100),2),0)</f>
        <v>0</v>
      </c>
      <c r="AB9" s="40">
        <f>IF(Определители!I9="9",ROUND((C9+E9)*(100-Начисления!M9/100)*('Форма по МДС 81-35.2004'!M115/100),2),0)</f>
        <v>0</v>
      </c>
      <c r="AC9" s="40">
        <f>IF(Определители!I9="9",ROUND(B9*Начисления!M9/100,2),0)</f>
        <v>0</v>
      </c>
      <c r="AD9" s="40">
        <f>IF(Определители!I9="9",ROUND(B9*(100-Начисления!M9)/100,2),0)</f>
        <v>0</v>
      </c>
      <c r="AE9" s="40">
        <f>ROUND('Форма по МДС 81-35.2004'!F92*'Базовые цены за единицу'!AE9,2)</f>
        <v>0</v>
      </c>
      <c r="AH9" s="40">
        <f>ROUND('Форма по МДС 81-35.2004'!F92*'Базовые цены за единицу'!AH9,2)</f>
        <v>0</v>
      </c>
      <c r="AI9" s="40">
        <f>ROUND('Форма по МДС 81-35.2004'!F92*'Базовые цены за единицу'!AI9,2)</f>
        <v>0</v>
      </c>
      <c r="AJ9" s="40">
        <f>ROUND('Форма по МДС 81-35.2004'!F92*'Базовые цены за единицу'!AJ9,2)</f>
        <v>0</v>
      </c>
      <c r="AK9" s="40">
        <f>ROUND('Форма по МДС 81-35.2004'!F92*'Базовые цены за единицу'!AK9,2)</f>
        <v>0</v>
      </c>
    </row>
    <row r="10" spans="1:37" ht="10.5">
      <c r="A10" s="40" t="str">
        <f>'Форма по МДС 81-35.2004'!A119</f>
        <v>5.</v>
      </c>
      <c r="B10" s="40">
        <f>'Форма по МДС 81-35.2004'!N119</f>
        <v>596.72</v>
      </c>
      <c r="C10" s="40">
        <f>ROUND(SUMIF('Форма по МДС 81-35.2004'!J119:J145,"Г",'Форма по МДС 81-35.2004'!N119:N145),2)</f>
        <v>28.4</v>
      </c>
      <c r="D10" s="40">
        <f>ROUND(SUMIF('Форма по МДС 81-35.2004'!J119:J145,"IsMash",'Форма по МДС 81-35.2004'!N119:N145),2)</f>
        <v>243.96</v>
      </c>
      <c r="E10" s="40">
        <f>'Форма по МДС 81-35.2004'!N122</f>
        <v>26.89</v>
      </c>
      <c r="F10" s="40">
        <f>ROUND(SUMIF('Форма по МДС 81-35.2004'!J119:J145,"IsMater",'Форма по МДС 81-35.2004'!N119:N145),2)</f>
        <v>324.36</v>
      </c>
      <c r="G10" s="40">
        <f>ROUND('Форма по МДС 81-35.2004'!F119*'Базовые цены за единицу'!G10,2)</f>
        <v>309.35</v>
      </c>
      <c r="H10" s="40">
        <f>ROUND('Форма по МДС 81-35.2004'!F119*'Базовые цены за единицу'!H10,2)</f>
        <v>0</v>
      </c>
      <c r="I10" s="36">
        <f>ОКРУГЛВСЕ(SUMIF('Форма по МДС 81-35.2004'!J119:J145,"Г",'Форма по МДС 81-35.2004'!F119:F145),8)</f>
        <v>3.459798</v>
      </c>
      <c r="J10" s="36">
        <f>ОКРУГЛВСЕ('Форма по МДС 81-35.2004'!F119*'Базовые цены за единицу'!J10,8)</f>
        <v>0</v>
      </c>
      <c r="K10" s="36">
        <f>ОКРУГЛВСЕ(SUMIF('Форма по МДС 81-35.2004'!J119:J145,"Ж",'Форма по МДС 81-35.2004'!F119:F145),8)</f>
        <v>2.0961</v>
      </c>
      <c r="L10" s="40">
        <f>ROUND('Форма по МДС 81-35.2004'!F119*'Базовые цены за единицу'!L10,2)</f>
        <v>0</v>
      </c>
      <c r="M10" s="40">
        <f>ROUND('Форма по МДС 81-35.2004'!F119*'Базовые цены за единицу'!M10,2)</f>
        <v>0</v>
      </c>
      <c r="N10" s="40">
        <f>ROUND((C10+E10)*'Форма по МДС 81-35.2004'!M139/100,2)</f>
        <v>82.38</v>
      </c>
      <c r="O10" s="40">
        <f>ROUND((C10+E10)*'Форма по МДС 81-35.2004'!M142/100,2)</f>
        <v>44.78</v>
      </c>
      <c r="P10" s="40">
        <f>ROUND('Форма по МДС 81-35.2004'!F119*'Базовые цены за единицу'!P10,2)</f>
        <v>42.33</v>
      </c>
      <c r="Q10" s="40">
        <f>ROUND('Форма по МДС 81-35.2004'!F119*'Базовые цены за единицу'!Q10,2)</f>
        <v>40.07</v>
      </c>
      <c r="R10" s="40">
        <f>ROUND('Форма по МДС 81-35.2004'!F119*'Базовые цены за единицу'!R10,2)</f>
        <v>23.01</v>
      </c>
      <c r="S10" s="40">
        <f>ROUND('Форма по МДС 81-35.2004'!F119*'Базовые цены за единицу'!S10,2)</f>
        <v>21.78</v>
      </c>
      <c r="T10" s="40">
        <f>ROUND('Форма по МДС 81-35.2004'!F119*'Базовые цены за единицу'!T10,2)</f>
        <v>0</v>
      </c>
      <c r="U10" s="40">
        <f>ROUND('Форма по МДС 81-35.2004'!F119*'Базовые цены за единицу'!U10,2)</f>
        <v>0</v>
      </c>
      <c r="V10" s="40">
        <f>ROUND('Форма по МДС 81-35.2004'!F119*'Базовые цены за единицу'!V10,2)</f>
        <v>0</v>
      </c>
      <c r="X10" s="40">
        <f>ROUND('Форма по МДС 81-35.2004'!F119*'Базовые цены за единицу'!X10,2)</f>
        <v>0</v>
      </c>
      <c r="Y10" s="40">
        <f>IF(Определители!I10="9",ROUND((C10+E10)*(Начисления!M10/100)*('Форма по МДС 81-35.2004'!M139/100),2),0)</f>
        <v>0</v>
      </c>
      <c r="Z10" s="40">
        <f>IF(Определители!I10="9",ROUND((C10+E10)*(100-Начисления!M10/100)*('Форма по МДС 81-35.2004'!M139/100),2),0)</f>
        <v>0</v>
      </c>
      <c r="AA10" s="40">
        <f>IF(Определители!I10="9",ROUND((C10+E10)*(Начисления!M10/100)*('Форма по МДС 81-35.2004'!M142/100),2),0)</f>
        <v>0</v>
      </c>
      <c r="AB10" s="40">
        <f>IF(Определители!I10="9",ROUND((C10+E10)*(100-Начисления!M10/100)*('Форма по МДС 81-35.2004'!M142/100),2),0)</f>
        <v>0</v>
      </c>
      <c r="AC10" s="40">
        <f>IF(Определители!I10="9",ROUND(B10*Начисления!M10/100,2),0)</f>
        <v>0</v>
      </c>
      <c r="AD10" s="40">
        <f>IF(Определители!I10="9",ROUND(B10*(100-Начисления!M10)/100,2),0)</f>
        <v>0</v>
      </c>
      <c r="AE10" s="40">
        <f>ROUND('Форма по МДС 81-35.2004'!F119*'Базовые цены за единицу'!AE10,2)</f>
        <v>0</v>
      </c>
      <c r="AH10" s="40">
        <f>ROUND('Форма по МДС 81-35.2004'!F119*'Базовые цены за единицу'!AH10,2)</f>
        <v>0</v>
      </c>
      <c r="AI10" s="40">
        <f>ROUND('Форма по МДС 81-35.2004'!F119*'Базовые цены за единицу'!AI10,2)</f>
        <v>0</v>
      </c>
      <c r="AJ10" s="40">
        <f>ROUND('Форма по МДС 81-35.2004'!F119*'Базовые цены за единицу'!AJ10,2)</f>
        <v>0</v>
      </c>
      <c r="AK10" s="40">
        <f>ROUND('Форма по МДС 81-35.2004'!F119*'Базовые цены за единицу'!AK10,2)</f>
        <v>0</v>
      </c>
    </row>
    <row r="11" spans="1:37" ht="10.5">
      <c r="A11" s="40" t="str">
        <f>'Форма по МДС 81-35.2004'!A146</f>
        <v>6.</v>
      </c>
      <c r="B11" s="40">
        <f>'Форма по МДС 81-35.2004'!N146</f>
        <v>0</v>
      </c>
      <c r="C11" s="40">
        <f>ROUND(SUMIF('Форма по МДС 81-35.2004'!J146:J171,"Г",'Форма по МДС 81-35.2004'!N146:N171),2)</f>
        <v>0</v>
      </c>
      <c r="D11" s="40">
        <f>ROUND(SUMIF('Форма по МДС 81-35.2004'!J146:J171,"IsMash",'Форма по МДС 81-35.2004'!N146:N171),2)</f>
        <v>0</v>
      </c>
      <c r="E11" s="40">
        <f>'Форма по МДС 81-35.2004'!N147</f>
        <v>0</v>
      </c>
      <c r="F11" s="40">
        <f>ROUND(SUMIF('Форма по МДС 81-35.2004'!J146:J171,"IsMater",'Форма по МДС 81-35.2004'!N146:N171),2)</f>
        <v>0</v>
      </c>
      <c r="G11" s="40">
        <f>ROUND('Форма по МДС 81-35.2004'!F146*'Базовые цены за единицу'!G11,2)</f>
        <v>0</v>
      </c>
      <c r="H11" s="40">
        <f>ROUND('Форма по МДС 81-35.2004'!F146*'Базовые цены за единицу'!H11,2)</f>
        <v>0</v>
      </c>
      <c r="I11" s="36">
        <f>ОКРУГЛВСЕ(SUMIF('Форма по МДС 81-35.2004'!J146:J171,"Г",'Форма по МДС 81-35.2004'!F146:F171),8)</f>
        <v>0</v>
      </c>
      <c r="J11" s="36">
        <f>ОКРУГЛВСЕ('Форма по МДС 81-35.2004'!F146*'Базовые цены за единицу'!J11,8)</f>
        <v>0</v>
      </c>
      <c r="K11" s="36">
        <f>ОКРУГЛВСЕ(SUMIF('Форма по МДС 81-35.2004'!J146:J171,"Ж",'Форма по МДС 81-35.2004'!F146:F171),8)</f>
        <v>0</v>
      </c>
      <c r="L11" s="40">
        <f>ROUND('Форма по МДС 81-35.2004'!F146*'Базовые цены за единицу'!L11,2)</f>
        <v>0</v>
      </c>
      <c r="M11" s="40">
        <f>ROUND('Форма по МДС 81-35.2004'!F146*'Базовые цены за единицу'!M11,2)</f>
        <v>0</v>
      </c>
      <c r="N11" s="40">
        <f>ROUND((C11+E11)*'Форма по МДС 81-35.2004'!M165/100,2)</f>
        <v>0</v>
      </c>
      <c r="O11" s="40">
        <f>ROUND((C11+E11)*'Форма по МДС 81-35.2004'!M168/100,2)</f>
        <v>0</v>
      </c>
      <c r="P11" s="40">
        <f>ROUND('Форма по МДС 81-35.2004'!F146*'Базовые цены за единицу'!P11,2)</f>
        <v>0</v>
      </c>
      <c r="Q11" s="40">
        <f>ROUND('Форма по МДС 81-35.2004'!F146*'Базовые цены за единицу'!Q11,2)</f>
        <v>0</v>
      </c>
      <c r="R11" s="40">
        <f>ROUND('Форма по МДС 81-35.2004'!F146*'Базовые цены за единицу'!R11,2)</f>
        <v>0</v>
      </c>
      <c r="S11" s="40">
        <f>ROUND('Форма по МДС 81-35.2004'!F146*'Базовые цены за единицу'!S11,2)</f>
        <v>0</v>
      </c>
      <c r="T11" s="40">
        <f>ROUND('Форма по МДС 81-35.2004'!F146*'Базовые цены за единицу'!T11,2)</f>
        <v>0</v>
      </c>
      <c r="U11" s="40">
        <f>ROUND('Форма по МДС 81-35.2004'!F146*'Базовые цены за единицу'!U11,2)</f>
        <v>0</v>
      </c>
      <c r="V11" s="40">
        <f>ROUND('Форма по МДС 81-35.2004'!F146*'Базовые цены за единицу'!V11,2)</f>
        <v>0</v>
      </c>
      <c r="X11" s="40">
        <f>ROUND('Форма по МДС 81-35.2004'!F146*'Базовые цены за единицу'!X11,2)</f>
        <v>0</v>
      </c>
      <c r="Y11" s="40">
        <f>IF(Определители!I11="9",ROUND((C11+E11)*(Начисления!M11/100)*('Форма по МДС 81-35.2004'!M165/100),2),0)</f>
        <v>0</v>
      </c>
      <c r="Z11" s="40">
        <f>IF(Определители!I11="9",ROUND((C11+E11)*(100-Начисления!M11/100)*('Форма по МДС 81-35.2004'!M165/100),2),0)</f>
        <v>0</v>
      </c>
      <c r="AA11" s="40">
        <f>IF(Определители!I11="9",ROUND((C11+E11)*(Начисления!M11/100)*('Форма по МДС 81-35.2004'!M168/100),2),0)</f>
        <v>0</v>
      </c>
      <c r="AB11" s="40">
        <f>IF(Определители!I11="9",ROUND((C11+E11)*(100-Начисления!M11/100)*('Форма по МДС 81-35.2004'!M168/100),2),0)</f>
        <v>0</v>
      </c>
      <c r="AC11" s="40">
        <f>IF(Определители!I11="9",ROUND(B11*Начисления!M11/100,2),0)</f>
        <v>0</v>
      </c>
      <c r="AD11" s="40">
        <f>IF(Определители!I11="9",ROUND(B11*(100-Начисления!M11)/100,2),0)</f>
        <v>0</v>
      </c>
      <c r="AE11" s="40">
        <f>ROUND('Форма по МДС 81-35.2004'!F146*'Базовые цены за единицу'!AE11,2)</f>
        <v>0</v>
      </c>
      <c r="AH11" s="40">
        <f>ROUND('Форма по МДС 81-35.2004'!F146*'Базовые цены за единицу'!AH11,2)</f>
        <v>0</v>
      </c>
      <c r="AI11" s="40">
        <f>ROUND('Форма по МДС 81-35.2004'!F146*'Базовые цены за единицу'!AI11,2)</f>
        <v>0</v>
      </c>
      <c r="AJ11" s="40">
        <f>ROUND('Форма по МДС 81-35.2004'!F146*'Базовые цены за единицу'!AJ11,2)</f>
        <v>0</v>
      </c>
      <c r="AK11" s="40">
        <f>ROUND('Форма по МДС 81-35.2004'!F146*'Базовые цены за единицу'!AK11,2)</f>
        <v>0</v>
      </c>
    </row>
    <row r="12" spans="1:37" ht="10.5">
      <c r="A12" s="40" t="str">
        <f>'Форма по МДС 81-35.2004'!A172</f>
        <v>7.</v>
      </c>
      <c r="B12" s="40">
        <f>'Форма по МДС 81-35.2004'!N172</f>
        <v>0</v>
      </c>
      <c r="C12" s="40">
        <f>ROUND(SUMIF('Форма по МДС 81-35.2004'!J172:J197,"Г",'Форма по МДС 81-35.2004'!N172:N197),2)</f>
        <v>0</v>
      </c>
      <c r="D12" s="40">
        <f>ROUND(SUMIF('Форма по МДС 81-35.2004'!J172:J197,"IsMash",'Форма по МДС 81-35.2004'!N172:N197),2)</f>
        <v>0</v>
      </c>
      <c r="E12" s="40">
        <f>'Форма по МДС 81-35.2004'!N173</f>
        <v>0</v>
      </c>
      <c r="F12" s="40">
        <f>ROUND(SUMIF('Форма по МДС 81-35.2004'!J172:J197,"IsMater",'Форма по МДС 81-35.2004'!N172:N197),2)</f>
        <v>0</v>
      </c>
      <c r="G12" s="40">
        <f>ROUND('Форма по МДС 81-35.2004'!F172*'Базовые цены за единицу'!G12,2)</f>
        <v>0</v>
      </c>
      <c r="H12" s="40">
        <f>ROUND('Форма по МДС 81-35.2004'!F172*'Базовые цены за единицу'!H12,2)</f>
        <v>0</v>
      </c>
      <c r="I12" s="36">
        <f>ОКРУГЛВСЕ(SUMIF('Форма по МДС 81-35.2004'!J172:J197,"Г",'Форма по МДС 81-35.2004'!F172:F197),8)</f>
        <v>0</v>
      </c>
      <c r="J12" s="36">
        <f>ОКРУГЛВСЕ('Форма по МДС 81-35.2004'!F172*'Базовые цены за единицу'!J12,8)</f>
        <v>0</v>
      </c>
      <c r="K12" s="36">
        <f>ОКРУГЛВСЕ(SUMIF('Форма по МДС 81-35.2004'!J172:J197,"Ж",'Форма по МДС 81-35.2004'!F172:F197),8)</f>
        <v>0</v>
      </c>
      <c r="L12" s="40">
        <f>ROUND('Форма по МДС 81-35.2004'!F172*'Базовые цены за единицу'!L12,2)</f>
        <v>0</v>
      </c>
      <c r="M12" s="40">
        <f>ROUND('Форма по МДС 81-35.2004'!F172*'Базовые цены за единицу'!M12,2)</f>
        <v>0</v>
      </c>
      <c r="N12" s="40">
        <f>ROUND((C12+E12)*'Форма по МДС 81-35.2004'!M191/100,2)</f>
        <v>0</v>
      </c>
      <c r="O12" s="40">
        <f>ROUND((C12+E12)*'Форма по МДС 81-35.2004'!M194/100,2)</f>
        <v>0</v>
      </c>
      <c r="P12" s="40">
        <f>ROUND('Форма по МДС 81-35.2004'!F172*'Базовые цены за единицу'!P12,2)</f>
        <v>0</v>
      </c>
      <c r="Q12" s="40">
        <f>ROUND('Форма по МДС 81-35.2004'!F172*'Базовые цены за единицу'!Q12,2)</f>
        <v>0</v>
      </c>
      <c r="R12" s="40">
        <f>ROUND('Форма по МДС 81-35.2004'!F172*'Базовые цены за единицу'!R12,2)</f>
        <v>0</v>
      </c>
      <c r="S12" s="40">
        <f>ROUND('Форма по МДС 81-35.2004'!F172*'Базовые цены за единицу'!S12,2)</f>
        <v>0</v>
      </c>
      <c r="T12" s="40">
        <f>ROUND('Форма по МДС 81-35.2004'!F172*'Базовые цены за единицу'!T12,2)</f>
        <v>0</v>
      </c>
      <c r="U12" s="40">
        <f>ROUND('Форма по МДС 81-35.2004'!F172*'Базовые цены за единицу'!U12,2)</f>
        <v>0</v>
      </c>
      <c r="V12" s="40">
        <f>ROUND('Форма по МДС 81-35.2004'!F172*'Базовые цены за единицу'!V12,2)</f>
        <v>0</v>
      </c>
      <c r="X12" s="40">
        <f>ROUND('Форма по МДС 81-35.2004'!F172*'Базовые цены за единицу'!X12,2)</f>
        <v>0</v>
      </c>
      <c r="Y12" s="40">
        <f>IF(Определители!I12="9",ROUND((C12+E12)*(Начисления!M12/100)*('Форма по МДС 81-35.2004'!M191/100),2),0)</f>
        <v>0</v>
      </c>
      <c r="Z12" s="40">
        <f>IF(Определители!I12="9",ROUND((C12+E12)*(100-Начисления!M12/100)*('Форма по МДС 81-35.2004'!M191/100),2),0)</f>
        <v>0</v>
      </c>
      <c r="AA12" s="40">
        <f>IF(Определители!I12="9",ROUND((C12+E12)*(Начисления!M12/100)*('Форма по МДС 81-35.2004'!M194/100),2),0)</f>
        <v>0</v>
      </c>
      <c r="AB12" s="40">
        <f>IF(Определители!I12="9",ROUND((C12+E12)*(100-Начисления!M12/100)*('Форма по МДС 81-35.2004'!M194/100),2),0)</f>
        <v>0</v>
      </c>
      <c r="AC12" s="40">
        <f>IF(Определители!I12="9",ROUND(B12*Начисления!M12/100,2),0)</f>
        <v>0</v>
      </c>
      <c r="AD12" s="40">
        <f>IF(Определители!I12="9",ROUND(B12*(100-Начисления!M12)/100,2),0)</f>
        <v>0</v>
      </c>
      <c r="AE12" s="40">
        <f>ROUND('Форма по МДС 81-35.2004'!F172*'Базовые цены за единицу'!AE12,2)</f>
        <v>0</v>
      </c>
      <c r="AH12" s="40">
        <f>ROUND('Форма по МДС 81-35.2004'!F172*'Базовые цены за единицу'!AH12,2)</f>
        <v>0</v>
      </c>
      <c r="AI12" s="40">
        <f>ROUND('Форма по МДС 81-35.2004'!F172*'Базовые цены за единицу'!AI12,2)</f>
        <v>0</v>
      </c>
      <c r="AJ12" s="40">
        <f>ROUND('Форма по МДС 81-35.2004'!F172*'Базовые цены за единицу'!AJ12,2)</f>
        <v>0</v>
      </c>
      <c r="AK12" s="40">
        <f>ROUND('Форма по МДС 81-35.2004'!F172*'Базовые цены за единицу'!AK12,2)</f>
        <v>0</v>
      </c>
    </row>
    <row r="13" spans="1:37" ht="10.5">
      <c r="A13" s="40" t="str">
        <f>'Форма по МДС 81-35.2004'!A198</f>
        <v>8.</v>
      </c>
      <c r="B13" s="40">
        <f>'Форма по МДС 81-35.2004'!N198</f>
        <v>0</v>
      </c>
      <c r="C13" s="40">
        <f>ROUND(SUMIF('Форма по МДС 81-35.2004'!J198:J221,"Г",'Форма по МДС 81-35.2004'!N198:N221),2)</f>
        <v>0</v>
      </c>
      <c r="D13" s="40">
        <f>ROUND(SUMIF('Форма по МДС 81-35.2004'!J198:J221,"IsMash",'Форма по МДС 81-35.2004'!N198:N221),2)</f>
        <v>0</v>
      </c>
      <c r="E13" s="40">
        <f>'Форма по МДС 81-35.2004'!N199</f>
        <v>0</v>
      </c>
      <c r="F13" s="40">
        <f>ROUND(SUMIF('Форма по МДС 81-35.2004'!J198:J221,"IsMater",'Форма по МДС 81-35.2004'!N198:N221),2)</f>
        <v>0</v>
      </c>
      <c r="G13" s="40">
        <f>ROUND('Форма по МДС 81-35.2004'!F198*'Базовые цены за единицу'!G13,2)</f>
        <v>0</v>
      </c>
      <c r="H13" s="40">
        <f>ROUND('Форма по МДС 81-35.2004'!F198*'Базовые цены за единицу'!H13,2)</f>
        <v>0</v>
      </c>
      <c r="I13" s="36">
        <f>ОКРУГЛВСЕ(SUMIF('Форма по МДС 81-35.2004'!J198:J221,"Г",'Форма по МДС 81-35.2004'!F198:F221),8)</f>
        <v>0</v>
      </c>
      <c r="J13" s="36">
        <f>ОКРУГЛВСЕ('Форма по МДС 81-35.2004'!F198*'Базовые цены за единицу'!J13,8)</f>
        <v>0</v>
      </c>
      <c r="K13" s="36">
        <f>ОКРУГЛВСЕ(SUMIF('Форма по МДС 81-35.2004'!J198:J221,"Ж",'Форма по МДС 81-35.2004'!F198:F221),8)</f>
        <v>0</v>
      </c>
      <c r="L13" s="40">
        <f>ROUND('Форма по МДС 81-35.2004'!F198*'Базовые цены за единицу'!L13,2)</f>
        <v>0</v>
      </c>
      <c r="M13" s="40">
        <f>ROUND('Форма по МДС 81-35.2004'!F198*'Базовые цены за единицу'!M13,2)</f>
        <v>0</v>
      </c>
      <c r="N13" s="40">
        <f>ROUND((C13+E13)*'Форма по МДС 81-35.2004'!M215/100,2)</f>
        <v>0</v>
      </c>
      <c r="O13" s="40">
        <f>ROUND((C13+E13)*'Форма по МДС 81-35.2004'!M218/100,2)</f>
        <v>0</v>
      </c>
      <c r="P13" s="40">
        <f>ROUND('Форма по МДС 81-35.2004'!F198*'Базовые цены за единицу'!P13,2)</f>
        <v>0</v>
      </c>
      <c r="Q13" s="40">
        <f>ROUND('Форма по МДС 81-35.2004'!F198*'Базовые цены за единицу'!Q13,2)</f>
        <v>0</v>
      </c>
      <c r="R13" s="40">
        <f>ROUND('Форма по МДС 81-35.2004'!F198*'Базовые цены за единицу'!R13,2)</f>
        <v>0</v>
      </c>
      <c r="S13" s="40">
        <f>ROUND('Форма по МДС 81-35.2004'!F198*'Базовые цены за единицу'!S13,2)</f>
        <v>0</v>
      </c>
      <c r="T13" s="40">
        <f>ROUND('Форма по МДС 81-35.2004'!F198*'Базовые цены за единицу'!T13,2)</f>
        <v>0</v>
      </c>
      <c r="U13" s="40">
        <f>ROUND('Форма по МДС 81-35.2004'!F198*'Базовые цены за единицу'!U13,2)</f>
        <v>0</v>
      </c>
      <c r="V13" s="40">
        <f>ROUND('Форма по МДС 81-35.2004'!F198*'Базовые цены за единицу'!V13,2)</f>
        <v>0</v>
      </c>
      <c r="X13" s="40">
        <f>ROUND('Форма по МДС 81-35.2004'!F198*'Базовые цены за единицу'!X13,2)</f>
        <v>0</v>
      </c>
      <c r="Y13" s="40">
        <f>IF(Определители!I13="9",ROUND((C13+E13)*(Начисления!M13/100)*('Форма по МДС 81-35.2004'!M215/100),2),0)</f>
        <v>0</v>
      </c>
      <c r="Z13" s="40">
        <f>IF(Определители!I13="9",ROUND((C13+E13)*(100-Начисления!M13/100)*('Форма по МДС 81-35.2004'!M215/100),2),0)</f>
        <v>0</v>
      </c>
      <c r="AA13" s="40">
        <f>IF(Определители!I13="9",ROUND((C13+E13)*(Начисления!M13/100)*('Форма по МДС 81-35.2004'!M218/100),2),0)</f>
        <v>0</v>
      </c>
      <c r="AB13" s="40">
        <f>IF(Определители!I13="9",ROUND((C13+E13)*(100-Начисления!M13/100)*('Форма по МДС 81-35.2004'!M218/100),2),0)</f>
        <v>0</v>
      </c>
      <c r="AC13" s="40">
        <f>IF(Определители!I13="9",ROUND(B13*Начисления!M13/100,2),0)</f>
        <v>0</v>
      </c>
      <c r="AD13" s="40">
        <f>IF(Определители!I13="9",ROUND(B13*(100-Начисления!M13)/100,2),0)</f>
        <v>0</v>
      </c>
      <c r="AE13" s="40">
        <f>ROUND('Форма по МДС 81-35.2004'!F198*'Базовые цены за единицу'!AE13,2)</f>
        <v>0</v>
      </c>
      <c r="AH13" s="40">
        <f>ROUND('Форма по МДС 81-35.2004'!F198*'Базовые цены за единицу'!AH13,2)</f>
        <v>0</v>
      </c>
      <c r="AI13" s="40">
        <f>ROUND('Форма по МДС 81-35.2004'!F198*'Базовые цены за единицу'!AI13,2)</f>
        <v>0</v>
      </c>
      <c r="AJ13" s="40">
        <f>ROUND('Форма по МДС 81-35.2004'!F198*'Базовые цены за единицу'!AJ13,2)</f>
        <v>0</v>
      </c>
      <c r="AK13" s="40">
        <f>ROUND('Форма по МДС 81-35.2004'!F198*'Базовые цены за единицу'!AK13,2)</f>
        <v>0</v>
      </c>
    </row>
    <row r="14" spans="1:37" ht="10.5">
      <c r="A14" s="40" t="str">
        <f>'Форма по МДС 81-35.2004'!A222</f>
        <v>9.</v>
      </c>
      <c r="B14" s="40">
        <f>'Форма по МДС 81-35.2004'!N222</f>
        <v>6944.49</v>
      </c>
      <c r="C14" s="40">
        <f>ROUND(SUMIF('Форма по МДС 81-35.2004'!J222:J245,"Г",'Форма по МДС 81-35.2004'!N222:N245),2)</f>
        <v>739.65</v>
      </c>
      <c r="D14" s="40">
        <f>ROUND(SUMIF('Форма по МДС 81-35.2004'!J222:J245,"IsMash",'Форма по МДС 81-35.2004'!N222:N245),2)</f>
        <v>2573.62</v>
      </c>
      <c r="E14" s="40">
        <f>'Форма по МДС 81-35.2004'!N223</f>
        <v>345.13</v>
      </c>
      <c r="F14" s="40">
        <f>ROUND(SUMIF('Форма по МДС 81-35.2004'!J222:J245,"IsMater",'Форма по МДС 81-35.2004'!N222:N245),2)</f>
        <v>3631.22</v>
      </c>
      <c r="G14" s="40">
        <f>ROUND('Форма по МДС 81-35.2004'!F222*'Базовые цены за единицу'!G14,2)</f>
        <v>3470.73</v>
      </c>
      <c r="H14" s="40">
        <f>ROUND('Форма по МДС 81-35.2004'!F222*'Базовые цены за единицу'!H14,2)</f>
        <v>0</v>
      </c>
      <c r="I14" s="36">
        <f>ОКРУГЛВСЕ(SUMIF('Форма по МДС 81-35.2004'!J222:J245,"Г",'Форма по МДС 81-35.2004'!F222:F245),8)</f>
        <v>89.2584</v>
      </c>
      <c r="J14" s="36">
        <f>ОКРУГЛВСЕ('Форма по МДС 81-35.2004'!F222*'Базовые цены за единицу'!J14,8)</f>
        <v>0</v>
      </c>
      <c r="K14" s="36">
        <f>ОКРУГЛВСЕ(SUMIF('Форма по МДС 81-35.2004'!J222:J245,"Ж",'Форма по МДС 81-35.2004'!F222:F245),8)</f>
        <v>29.7528</v>
      </c>
      <c r="L14" s="40">
        <f>ROUND('Форма по МДС 81-35.2004'!F222*'Базовые цены за единицу'!L14,2)</f>
        <v>0</v>
      </c>
      <c r="M14" s="40">
        <f>ROUND('Форма по МДС 81-35.2004'!F222*'Базовые цены за единицу'!M14,2)</f>
        <v>0</v>
      </c>
      <c r="N14" s="40">
        <f>ROUND((C14+E14)*'Форма по МДС 81-35.2004'!M239/100,2)</f>
        <v>1258.34</v>
      </c>
      <c r="O14" s="40">
        <f>ROUND((C14+E14)*'Форма по МДС 81-35.2004'!M242/100,2)</f>
        <v>542.39</v>
      </c>
      <c r="P14" s="40">
        <f>ROUND('Форма по МДС 81-35.2004'!F222*'Базовые цены за единицу'!P14,2)</f>
        <v>858</v>
      </c>
      <c r="Q14" s="40">
        <f>ROUND('Форма по МДС 81-35.2004'!F222*'Базовые цены за единицу'!Q14,2)</f>
        <v>400.36</v>
      </c>
      <c r="R14" s="40">
        <f>ROUND('Форма по МДС 81-35.2004'!F222*'Базовые цены за единицу'!R14,2)</f>
        <v>369.83</v>
      </c>
      <c r="S14" s="40">
        <f>ROUND('Форма по МДС 81-35.2004'!F222*'Базовые цены за единицу'!S14,2)</f>
        <v>172.57</v>
      </c>
      <c r="T14" s="40">
        <f>ROUND('Форма по МДС 81-35.2004'!F222*'Базовые цены за единицу'!T14,2)</f>
        <v>0</v>
      </c>
      <c r="U14" s="40">
        <f>ROUND('Форма по МДС 81-35.2004'!F222*'Базовые цены за единицу'!U14,2)</f>
        <v>0</v>
      </c>
      <c r="V14" s="40">
        <f>ROUND('Форма по МДС 81-35.2004'!F222*'Базовые цены за единицу'!V14,2)</f>
        <v>0</v>
      </c>
      <c r="X14" s="40">
        <f>ROUND('Форма по МДС 81-35.2004'!F222*'Базовые цены за единицу'!X14,2)</f>
        <v>0</v>
      </c>
      <c r="Y14" s="40">
        <f>IF(Определители!I14="9",ROUND((C14+E14)*(Начисления!M14/100)*('Форма по МДС 81-35.2004'!M239/100),2),0)</f>
        <v>0</v>
      </c>
      <c r="Z14" s="40">
        <f>IF(Определители!I14="9",ROUND((C14+E14)*(100-Начисления!M14/100)*('Форма по МДС 81-35.2004'!M239/100),2),0)</f>
        <v>0</v>
      </c>
      <c r="AA14" s="40">
        <f>IF(Определители!I14="9",ROUND((C14+E14)*(Начисления!M14/100)*('Форма по МДС 81-35.2004'!M242/100),2),0)</f>
        <v>0</v>
      </c>
      <c r="AB14" s="40">
        <f>IF(Определители!I14="9",ROUND((C14+E14)*(100-Начисления!M14/100)*('Форма по МДС 81-35.2004'!M242/100),2),0)</f>
        <v>0</v>
      </c>
      <c r="AC14" s="40">
        <f>IF(Определители!I14="9",ROUND(B14*Начисления!M14/100,2),0)</f>
        <v>0</v>
      </c>
      <c r="AD14" s="40">
        <f>IF(Определители!I14="9",ROUND(B14*(100-Начисления!M14)/100,2),0)</f>
        <v>0</v>
      </c>
      <c r="AE14" s="40">
        <f>ROUND('Форма по МДС 81-35.2004'!F222*'Базовые цены за единицу'!AE14,2)</f>
        <v>0</v>
      </c>
      <c r="AH14" s="40">
        <f>ROUND('Форма по МДС 81-35.2004'!F222*'Базовые цены за единицу'!AH14,2)</f>
        <v>0</v>
      </c>
      <c r="AI14" s="40">
        <f>ROUND('Форма по МДС 81-35.2004'!F222*'Базовые цены за единицу'!AI14,2)</f>
        <v>0</v>
      </c>
      <c r="AJ14" s="40">
        <f>ROUND('Форма по МДС 81-35.2004'!F222*'Базовые цены за единицу'!AJ14,2)</f>
        <v>0</v>
      </c>
      <c r="AK14" s="40">
        <f>ROUND('Форма по МДС 81-35.2004'!F222*'Базовые цены за единицу'!AK14,2)</f>
        <v>0</v>
      </c>
    </row>
    <row r="15" spans="1:37" ht="10.5">
      <c r="A15" s="40" t="str">
        <f>'Форма по МДС 81-35.2004'!A246</f>
        <v>10.</v>
      </c>
      <c r="B15" s="40">
        <f>'Форма по МДС 81-35.2004'!N246</f>
        <v>6853.12</v>
      </c>
      <c r="C15" s="40">
        <f>ROUND(SUMIF('Форма по МДС 81-35.2004'!J246:J269,"Г",'Форма по МДС 81-35.2004'!N246:N269),2)</f>
        <v>607.57</v>
      </c>
      <c r="D15" s="40">
        <f>ROUND(SUMIF('Форма по МДС 81-35.2004'!J246:J269,"IsMash",'Форма по МДС 81-35.2004'!N246:N269),2)</f>
        <v>2114.04</v>
      </c>
      <c r="E15" s="40">
        <f>'Форма по МДС 81-35.2004'!N247</f>
        <v>283.5</v>
      </c>
      <c r="F15" s="40">
        <f>ROUND(SUMIF('Форма по МДС 81-35.2004'!J246:J269,"IsMater",'Форма по МДС 81-35.2004'!N246:N269),2)</f>
        <v>4131.51</v>
      </c>
      <c r="G15" s="40">
        <f>ROUND('Форма по МДС 81-35.2004'!F246*'Базовые цены за единицу'!G15,2)</f>
        <v>3948.72</v>
      </c>
      <c r="H15" s="40">
        <f>ROUND('Форма по МДС 81-35.2004'!F246*'Базовые цены за единицу'!H15,2)</f>
        <v>0</v>
      </c>
      <c r="I15" s="36">
        <f>ОКРУГЛВСЕ(SUMIF('Форма по МДС 81-35.2004'!J246:J269,"Г",'Форма по МДС 81-35.2004'!F246:F269),8)</f>
        <v>73.3194</v>
      </c>
      <c r="J15" s="36">
        <f>ОКРУГЛВСЕ('Форма по МДС 81-35.2004'!F246*'Базовые цены за единицу'!J15,8)</f>
        <v>0</v>
      </c>
      <c r="K15" s="36">
        <f>ОКРУГЛВСЕ(SUMIF('Форма по МДС 81-35.2004'!J246:J269,"Ж",'Форма по МДС 81-35.2004'!F246:F269),8)</f>
        <v>24.4398</v>
      </c>
      <c r="L15" s="40">
        <f>ROUND('Форма по МДС 81-35.2004'!F246*'Базовые цены за единицу'!L15,2)</f>
        <v>0</v>
      </c>
      <c r="M15" s="40">
        <f>ROUND('Форма по МДС 81-35.2004'!F246*'Базовые цены за единицу'!M15,2)</f>
        <v>0</v>
      </c>
      <c r="N15" s="40">
        <f>ROUND((C15+E15)*'Форма по МДС 81-35.2004'!M263/100,2)</f>
        <v>1033.64</v>
      </c>
      <c r="O15" s="40">
        <f>ROUND((C15+E15)*'Форма по МДС 81-35.2004'!M266/100,2)</f>
        <v>445.54</v>
      </c>
      <c r="P15" s="40">
        <f>ROUND('Форма по МДС 81-35.2004'!F246*'Базовые цены за единицу'!P15,2)</f>
        <v>704.78</v>
      </c>
      <c r="Q15" s="40">
        <f>ROUND('Форма по МДС 81-35.2004'!F246*'Базовые цены за единицу'!Q15,2)</f>
        <v>328.87</v>
      </c>
      <c r="R15" s="40">
        <f>ROUND('Форма по МДС 81-35.2004'!F246*'Базовые цены за единицу'!R15,2)</f>
        <v>303.79</v>
      </c>
      <c r="S15" s="40">
        <f>ROUND('Форма по МДС 81-35.2004'!F246*'Базовые цены за единицу'!S15,2)</f>
        <v>141.75</v>
      </c>
      <c r="T15" s="40">
        <f>ROUND('Форма по МДС 81-35.2004'!F246*'Базовые цены за единицу'!T15,2)</f>
        <v>0</v>
      </c>
      <c r="U15" s="40">
        <f>ROUND('Форма по МДС 81-35.2004'!F246*'Базовые цены за единицу'!U15,2)</f>
        <v>0</v>
      </c>
      <c r="V15" s="40">
        <f>ROUND('Форма по МДС 81-35.2004'!F246*'Базовые цены за единицу'!V15,2)</f>
        <v>0</v>
      </c>
      <c r="X15" s="40">
        <f>ROUND('Форма по МДС 81-35.2004'!F246*'Базовые цены за единицу'!X15,2)</f>
        <v>0</v>
      </c>
      <c r="Y15" s="40">
        <f>IF(Определители!I15="9",ROUND((C15+E15)*(Начисления!M15/100)*('Форма по МДС 81-35.2004'!M263/100),2),0)</f>
        <v>0</v>
      </c>
      <c r="Z15" s="40">
        <f>IF(Определители!I15="9",ROUND((C15+E15)*(100-Начисления!M15/100)*('Форма по МДС 81-35.2004'!M263/100),2),0)</f>
        <v>0</v>
      </c>
      <c r="AA15" s="40">
        <f>IF(Определители!I15="9",ROUND((C15+E15)*(Начисления!M15/100)*('Форма по МДС 81-35.2004'!M266/100),2),0)</f>
        <v>0</v>
      </c>
      <c r="AB15" s="40">
        <f>IF(Определители!I15="9",ROUND((C15+E15)*(100-Начисления!M15/100)*('Форма по МДС 81-35.2004'!M266/100),2),0)</f>
        <v>0</v>
      </c>
      <c r="AC15" s="40">
        <f>IF(Определители!I15="9",ROUND(B15*Начисления!M15/100,2),0)</f>
        <v>0</v>
      </c>
      <c r="AD15" s="40">
        <f>IF(Определители!I15="9",ROUND(B15*(100-Начисления!M15)/100,2),0)</f>
        <v>0</v>
      </c>
      <c r="AE15" s="40">
        <f>ROUND('Форма по МДС 81-35.2004'!F246*'Базовые цены за единицу'!AE15,2)</f>
        <v>0</v>
      </c>
      <c r="AH15" s="40">
        <f>ROUND('Форма по МДС 81-35.2004'!F246*'Базовые цены за единицу'!AH15,2)</f>
        <v>0</v>
      </c>
      <c r="AI15" s="40">
        <f>ROUND('Форма по МДС 81-35.2004'!F246*'Базовые цены за единицу'!AI15,2)</f>
        <v>0</v>
      </c>
      <c r="AJ15" s="40">
        <f>ROUND('Форма по МДС 81-35.2004'!F246*'Базовые цены за единицу'!AJ15,2)</f>
        <v>0</v>
      </c>
      <c r="AK15" s="40">
        <f>ROUND('Форма по МДС 81-35.2004'!F246*'Базовые цены за единицу'!AK15,2)</f>
        <v>0</v>
      </c>
    </row>
    <row r="16" spans="1:37" ht="10.5">
      <c r="A16" s="40" t="str">
        <f>'Форма по МДС 81-35.2004'!A270</f>
        <v>11.</v>
      </c>
      <c r="B16" s="40">
        <f>'Форма по МДС 81-35.2004'!N270</f>
        <v>0</v>
      </c>
      <c r="C16" s="40">
        <f>ROUND(SUMIF('Форма по МДС 81-35.2004'!J270:J295,"Г",'Форма по МДС 81-35.2004'!N270:N295),2)</f>
        <v>0</v>
      </c>
      <c r="D16" s="40">
        <f>ROUND(SUMIF('Форма по МДС 81-35.2004'!J270:J295,"IsMash",'Форма по МДС 81-35.2004'!N270:N295),2)</f>
        <v>0</v>
      </c>
      <c r="E16" s="40">
        <f>'Форма по МДС 81-35.2004'!N271</f>
        <v>0</v>
      </c>
      <c r="F16" s="40">
        <f>ROUND(SUMIF('Форма по МДС 81-35.2004'!J270:J295,"IsMater",'Форма по МДС 81-35.2004'!N270:N295),2)</f>
        <v>0</v>
      </c>
      <c r="G16" s="40">
        <f>ROUND('Форма по МДС 81-35.2004'!F270*'Базовые цены за единицу'!G16,2)</f>
        <v>0</v>
      </c>
      <c r="H16" s="40">
        <f>ROUND('Форма по МДС 81-35.2004'!F270*'Базовые цены за единицу'!H16,2)</f>
        <v>0</v>
      </c>
      <c r="I16" s="36">
        <f>ОКРУГЛВСЕ(SUMIF('Форма по МДС 81-35.2004'!J270:J295,"Г",'Форма по МДС 81-35.2004'!F270:F295),8)</f>
        <v>0</v>
      </c>
      <c r="J16" s="36">
        <f>ОКРУГЛВСЕ('Форма по МДС 81-35.2004'!F270*'Базовые цены за единицу'!J16,8)</f>
        <v>0</v>
      </c>
      <c r="K16" s="36">
        <f>ОКРУГЛВСЕ(SUMIF('Форма по МДС 81-35.2004'!J270:J295,"Ж",'Форма по МДС 81-35.2004'!F270:F295),8)</f>
        <v>0</v>
      </c>
      <c r="L16" s="40">
        <f>ROUND('Форма по МДС 81-35.2004'!F270*'Базовые цены за единицу'!L16,2)</f>
        <v>0</v>
      </c>
      <c r="M16" s="40">
        <f>ROUND('Форма по МДС 81-35.2004'!F270*'Базовые цены за единицу'!M16,2)</f>
        <v>0</v>
      </c>
      <c r="N16" s="40">
        <f>ROUND((C16+E16)*'Форма по МДС 81-35.2004'!M289/100,2)</f>
        <v>0</v>
      </c>
      <c r="O16" s="40">
        <f>ROUND((C16+E16)*'Форма по МДС 81-35.2004'!M292/100,2)</f>
        <v>0</v>
      </c>
      <c r="P16" s="40">
        <f>ROUND('Форма по МДС 81-35.2004'!F270*'Базовые цены за единицу'!P16,2)</f>
        <v>0</v>
      </c>
      <c r="Q16" s="40">
        <f>ROUND('Форма по МДС 81-35.2004'!F270*'Базовые цены за единицу'!Q16,2)</f>
        <v>0</v>
      </c>
      <c r="R16" s="40">
        <f>ROUND('Форма по МДС 81-35.2004'!F270*'Базовые цены за единицу'!R16,2)</f>
        <v>0</v>
      </c>
      <c r="S16" s="40">
        <f>ROUND('Форма по МДС 81-35.2004'!F270*'Базовые цены за единицу'!S16,2)</f>
        <v>0</v>
      </c>
      <c r="T16" s="40">
        <f>ROUND('Форма по МДС 81-35.2004'!F270*'Базовые цены за единицу'!T16,2)</f>
        <v>0</v>
      </c>
      <c r="U16" s="40">
        <f>ROUND('Форма по МДС 81-35.2004'!F270*'Базовые цены за единицу'!U16,2)</f>
        <v>0</v>
      </c>
      <c r="V16" s="40">
        <f>ROUND('Форма по МДС 81-35.2004'!F270*'Базовые цены за единицу'!V16,2)</f>
        <v>0</v>
      </c>
      <c r="X16" s="40">
        <f>ROUND('Форма по МДС 81-35.2004'!F270*'Базовые цены за единицу'!X16,2)</f>
        <v>0</v>
      </c>
      <c r="Y16" s="40">
        <f>IF(Определители!I16="9",ROUND((C16+E16)*(Начисления!M16/100)*('Форма по МДС 81-35.2004'!M289/100),2),0)</f>
        <v>0</v>
      </c>
      <c r="Z16" s="40">
        <f>IF(Определители!I16="9",ROUND((C16+E16)*(100-Начисления!M16/100)*('Форма по МДС 81-35.2004'!M289/100),2),0)</f>
        <v>0</v>
      </c>
      <c r="AA16" s="40">
        <f>IF(Определители!I16="9",ROUND((C16+E16)*(Начисления!M16/100)*('Форма по МДС 81-35.2004'!M292/100),2),0)</f>
        <v>0</v>
      </c>
      <c r="AB16" s="40">
        <f>IF(Определители!I16="9",ROUND((C16+E16)*(100-Начисления!M16/100)*('Форма по МДС 81-35.2004'!M292/100),2),0)</f>
        <v>0</v>
      </c>
      <c r="AC16" s="40">
        <f>IF(Определители!I16="9",ROUND(B16*Начисления!M16/100,2),0)</f>
        <v>0</v>
      </c>
      <c r="AD16" s="40">
        <f>IF(Определители!I16="9",ROUND(B16*(100-Начисления!M16)/100,2),0)</f>
        <v>0</v>
      </c>
      <c r="AE16" s="40">
        <f>ROUND('Форма по МДС 81-35.2004'!F270*'Базовые цены за единицу'!AE16,2)</f>
        <v>0</v>
      </c>
      <c r="AH16" s="40">
        <f>ROUND('Форма по МДС 81-35.2004'!F270*'Базовые цены за единицу'!AH16,2)</f>
        <v>0</v>
      </c>
      <c r="AI16" s="40">
        <f>ROUND('Форма по МДС 81-35.2004'!F270*'Базовые цены за единицу'!AI16,2)</f>
        <v>0</v>
      </c>
      <c r="AJ16" s="40">
        <f>ROUND('Форма по МДС 81-35.2004'!F270*'Базовые цены за единицу'!AJ16,2)</f>
        <v>0</v>
      </c>
      <c r="AK16" s="40">
        <f>ROUND('Форма по МДС 81-35.2004'!F270*'Базовые цены за единицу'!AK16,2)</f>
        <v>0</v>
      </c>
    </row>
    <row r="17" spans="1:37" ht="10.5">
      <c r="A17" s="40" t="str">
        <f>'Форма по МДС 81-35.2004'!A296</f>
        <v>12.</v>
      </c>
      <c r="B17" s="40">
        <f>'Форма по МДС 81-35.2004'!N296</f>
        <v>0</v>
      </c>
      <c r="C17" s="40">
        <f>ROUND(SUMIF('Форма по МДС 81-35.2004'!J296:J319,"Г",'Форма по МДС 81-35.2004'!N296:N319),2)</f>
        <v>0</v>
      </c>
      <c r="D17" s="40">
        <f>ROUND(SUMIF('Форма по МДС 81-35.2004'!J296:J319,"IsMash",'Форма по МДС 81-35.2004'!N296:N319),2)</f>
        <v>0</v>
      </c>
      <c r="E17" s="40">
        <f>'Форма по МДС 81-35.2004'!N297</f>
        <v>0</v>
      </c>
      <c r="F17" s="40">
        <f>ROUND(SUMIF('Форма по МДС 81-35.2004'!J296:J319,"IsMater",'Форма по МДС 81-35.2004'!N296:N319),2)</f>
        <v>0</v>
      </c>
      <c r="G17" s="40">
        <f>ROUND('Форма по МДС 81-35.2004'!F296*'Базовые цены за единицу'!G17,2)</f>
        <v>0</v>
      </c>
      <c r="H17" s="40">
        <f>ROUND('Форма по МДС 81-35.2004'!F296*'Базовые цены за единицу'!H17,2)</f>
        <v>0</v>
      </c>
      <c r="I17" s="36">
        <f>ОКРУГЛВСЕ(SUMIF('Форма по МДС 81-35.2004'!J296:J319,"Г",'Форма по МДС 81-35.2004'!F296:F319),8)</f>
        <v>0</v>
      </c>
      <c r="J17" s="36">
        <f>ОКРУГЛВСЕ('Форма по МДС 81-35.2004'!F296*'Базовые цены за единицу'!J17,8)</f>
        <v>0</v>
      </c>
      <c r="K17" s="36">
        <f>ОКРУГЛВСЕ(SUMIF('Форма по МДС 81-35.2004'!J296:J319,"Ж",'Форма по МДС 81-35.2004'!F296:F319),8)</f>
        <v>0</v>
      </c>
      <c r="L17" s="40">
        <f>ROUND('Форма по МДС 81-35.2004'!F296*'Базовые цены за единицу'!L17,2)</f>
        <v>0</v>
      </c>
      <c r="M17" s="40">
        <f>ROUND('Форма по МДС 81-35.2004'!F296*'Базовые цены за единицу'!M17,2)</f>
        <v>0</v>
      </c>
      <c r="N17" s="40">
        <f>ROUND((C17+E17)*'Форма по МДС 81-35.2004'!M313/100,2)</f>
        <v>0</v>
      </c>
      <c r="O17" s="40">
        <f>ROUND((C17+E17)*'Форма по МДС 81-35.2004'!M316/100,2)</f>
        <v>0</v>
      </c>
      <c r="P17" s="40">
        <f>ROUND('Форма по МДС 81-35.2004'!F296*'Базовые цены за единицу'!P17,2)</f>
        <v>0</v>
      </c>
      <c r="Q17" s="40">
        <f>ROUND('Форма по МДС 81-35.2004'!F296*'Базовые цены за единицу'!Q17,2)</f>
        <v>0</v>
      </c>
      <c r="R17" s="40">
        <f>ROUND('Форма по МДС 81-35.2004'!F296*'Базовые цены за единицу'!R17,2)</f>
        <v>0</v>
      </c>
      <c r="S17" s="40">
        <f>ROUND('Форма по МДС 81-35.2004'!F296*'Базовые цены за единицу'!S17,2)</f>
        <v>0</v>
      </c>
      <c r="T17" s="40">
        <f>ROUND('Форма по МДС 81-35.2004'!F296*'Базовые цены за единицу'!T17,2)</f>
        <v>0</v>
      </c>
      <c r="U17" s="40">
        <f>ROUND('Форма по МДС 81-35.2004'!F296*'Базовые цены за единицу'!U17,2)</f>
        <v>0</v>
      </c>
      <c r="V17" s="40">
        <f>ROUND('Форма по МДС 81-35.2004'!F296*'Базовые цены за единицу'!V17,2)</f>
        <v>0</v>
      </c>
      <c r="X17" s="40">
        <f>ROUND('Форма по МДС 81-35.2004'!F296*'Базовые цены за единицу'!X17,2)</f>
        <v>0</v>
      </c>
      <c r="Y17" s="40">
        <f>IF(Определители!I17="9",ROUND((C17+E17)*(Начисления!M17/100)*('Форма по МДС 81-35.2004'!M313/100),2),0)</f>
        <v>0</v>
      </c>
      <c r="Z17" s="40">
        <f>IF(Определители!I17="9",ROUND((C17+E17)*(100-Начисления!M17/100)*('Форма по МДС 81-35.2004'!M313/100),2),0)</f>
        <v>0</v>
      </c>
      <c r="AA17" s="40">
        <f>IF(Определители!I17="9",ROUND((C17+E17)*(Начисления!M17/100)*('Форма по МДС 81-35.2004'!M316/100),2),0)</f>
        <v>0</v>
      </c>
      <c r="AB17" s="40">
        <f>IF(Определители!I17="9",ROUND((C17+E17)*(100-Начисления!M17/100)*('Форма по МДС 81-35.2004'!M316/100),2),0)</f>
        <v>0</v>
      </c>
      <c r="AC17" s="40">
        <f>IF(Определители!I17="9",ROUND(B17*Начисления!M17/100,2),0)</f>
        <v>0</v>
      </c>
      <c r="AD17" s="40">
        <f>IF(Определители!I17="9",ROUND(B17*(100-Начисления!M17)/100,2),0)</f>
        <v>0</v>
      </c>
      <c r="AE17" s="40">
        <f>ROUND('Форма по МДС 81-35.2004'!F296*'Базовые цены за единицу'!AE17,2)</f>
        <v>0</v>
      </c>
      <c r="AH17" s="40">
        <f>ROUND('Форма по МДС 81-35.2004'!F296*'Базовые цены за единицу'!AH17,2)</f>
        <v>0</v>
      </c>
      <c r="AI17" s="40">
        <f>ROUND('Форма по МДС 81-35.2004'!F296*'Базовые цены за единицу'!AI17,2)</f>
        <v>0</v>
      </c>
      <c r="AJ17" s="40">
        <f>ROUND('Форма по МДС 81-35.2004'!F296*'Базовые цены за единицу'!AJ17,2)</f>
        <v>0</v>
      </c>
      <c r="AK17" s="40">
        <f>ROUND('Форма по МДС 81-35.2004'!F296*'Базовые цены за единицу'!AK17,2)</f>
        <v>0</v>
      </c>
    </row>
    <row r="18" spans="1:37" ht="10.5">
      <c r="A18" s="40" t="str">
        <f>'Форма по МДС 81-35.2004'!A320</f>
        <v>13.</v>
      </c>
      <c r="B18" s="40">
        <f>'Форма по МДС 81-35.2004'!N320</f>
        <v>0</v>
      </c>
      <c r="C18" s="40">
        <f>ROUND(SUMIF('Форма по МДС 81-35.2004'!J320:J345,"Г",'Форма по МДС 81-35.2004'!N320:N345),2)</f>
        <v>0</v>
      </c>
      <c r="D18" s="40">
        <f>ROUND(SUMIF('Форма по МДС 81-35.2004'!J320:J345,"IsMash",'Форма по МДС 81-35.2004'!N320:N345),2)</f>
        <v>0</v>
      </c>
      <c r="E18" s="40">
        <f>'Форма по МДС 81-35.2004'!N321</f>
        <v>0</v>
      </c>
      <c r="F18" s="40">
        <f>ROUND(SUMIF('Форма по МДС 81-35.2004'!J320:J345,"IsMater",'Форма по МДС 81-35.2004'!N320:N345),2)</f>
        <v>0</v>
      </c>
      <c r="G18" s="40">
        <f>ROUND('Форма по МДС 81-35.2004'!F320*'Базовые цены за единицу'!G18,2)</f>
        <v>0</v>
      </c>
      <c r="H18" s="40">
        <f>ROUND('Форма по МДС 81-35.2004'!F320*'Базовые цены за единицу'!H18,2)</f>
        <v>0</v>
      </c>
      <c r="I18" s="36">
        <f>ОКРУГЛВСЕ(SUMIF('Форма по МДС 81-35.2004'!J320:J345,"Г",'Форма по МДС 81-35.2004'!F320:F345),8)</f>
        <v>0</v>
      </c>
      <c r="J18" s="36">
        <f>ОКРУГЛВСЕ('Форма по МДС 81-35.2004'!F320*'Базовые цены за единицу'!J18,8)</f>
        <v>0</v>
      </c>
      <c r="K18" s="36">
        <f>ОКРУГЛВСЕ(SUMIF('Форма по МДС 81-35.2004'!J320:J345,"Ж",'Форма по МДС 81-35.2004'!F320:F345),8)</f>
        <v>0</v>
      </c>
      <c r="L18" s="40">
        <f>ROUND('Форма по МДС 81-35.2004'!F320*'Базовые цены за единицу'!L18,2)</f>
        <v>0</v>
      </c>
      <c r="M18" s="40">
        <f>ROUND('Форма по МДС 81-35.2004'!F320*'Базовые цены за единицу'!M18,2)</f>
        <v>0</v>
      </c>
      <c r="N18" s="40">
        <f>ROUND((C18+E18)*'Форма по МДС 81-35.2004'!M339/100,2)</f>
        <v>0</v>
      </c>
      <c r="O18" s="40">
        <f>ROUND((C18+E18)*'Форма по МДС 81-35.2004'!M342/100,2)</f>
        <v>0</v>
      </c>
      <c r="P18" s="40">
        <f>ROUND('Форма по МДС 81-35.2004'!F320*'Базовые цены за единицу'!P18,2)</f>
        <v>0</v>
      </c>
      <c r="Q18" s="40">
        <f>ROUND('Форма по МДС 81-35.2004'!F320*'Базовые цены за единицу'!Q18,2)</f>
        <v>0</v>
      </c>
      <c r="R18" s="40">
        <f>ROUND('Форма по МДС 81-35.2004'!F320*'Базовые цены за единицу'!R18,2)</f>
        <v>0</v>
      </c>
      <c r="S18" s="40">
        <f>ROUND('Форма по МДС 81-35.2004'!F320*'Базовые цены за единицу'!S18,2)</f>
        <v>0</v>
      </c>
      <c r="T18" s="40">
        <f>ROUND('Форма по МДС 81-35.2004'!F320*'Базовые цены за единицу'!T18,2)</f>
        <v>0</v>
      </c>
      <c r="U18" s="40">
        <f>ROUND('Форма по МДС 81-35.2004'!F320*'Базовые цены за единицу'!U18,2)</f>
        <v>0</v>
      </c>
      <c r="V18" s="40">
        <f>ROUND('Форма по МДС 81-35.2004'!F320*'Базовые цены за единицу'!V18,2)</f>
        <v>0</v>
      </c>
      <c r="X18" s="40">
        <f>ROUND('Форма по МДС 81-35.2004'!F320*'Базовые цены за единицу'!X18,2)</f>
        <v>0</v>
      </c>
      <c r="Y18" s="40">
        <f>IF(Определители!I18="9",ROUND((C18+E18)*(Начисления!M18/100)*('Форма по МДС 81-35.2004'!M339/100),2),0)</f>
        <v>0</v>
      </c>
      <c r="Z18" s="40">
        <f>IF(Определители!I18="9",ROUND((C18+E18)*(100-Начисления!M18/100)*('Форма по МДС 81-35.2004'!M339/100),2),0)</f>
        <v>0</v>
      </c>
      <c r="AA18" s="40">
        <f>IF(Определители!I18="9",ROUND((C18+E18)*(Начисления!M18/100)*('Форма по МДС 81-35.2004'!M342/100),2),0)</f>
        <v>0</v>
      </c>
      <c r="AB18" s="40">
        <f>IF(Определители!I18="9",ROUND((C18+E18)*(100-Начисления!M18/100)*('Форма по МДС 81-35.2004'!M342/100),2),0)</f>
        <v>0</v>
      </c>
      <c r="AC18" s="40">
        <f>IF(Определители!I18="9",ROUND(B18*Начисления!M18/100,2),0)</f>
        <v>0</v>
      </c>
      <c r="AD18" s="40">
        <f>IF(Определители!I18="9",ROUND(B18*(100-Начисления!M18)/100,2),0)</f>
        <v>0</v>
      </c>
      <c r="AE18" s="40">
        <f>ROUND('Форма по МДС 81-35.2004'!F320*'Базовые цены за единицу'!AE18,2)</f>
        <v>0</v>
      </c>
      <c r="AH18" s="40">
        <f>ROUND('Форма по МДС 81-35.2004'!F320*'Базовые цены за единицу'!AH18,2)</f>
        <v>0</v>
      </c>
      <c r="AI18" s="40">
        <f>ROUND('Форма по МДС 81-35.2004'!F320*'Базовые цены за единицу'!AI18,2)</f>
        <v>0</v>
      </c>
      <c r="AJ18" s="40">
        <f>ROUND('Форма по МДС 81-35.2004'!F320*'Базовые цены за единицу'!AJ18,2)</f>
        <v>0</v>
      </c>
      <c r="AK18" s="40">
        <f>ROUND('Форма по МДС 81-35.2004'!F320*'Базовые цены за единицу'!AK18,2)</f>
        <v>0</v>
      </c>
    </row>
    <row r="19" spans="1:37" ht="10.5">
      <c r="A19" s="40" t="str">
        <f>'Форма по МДС 81-35.2004'!A346</f>
        <v>14.</v>
      </c>
      <c r="B19" s="40">
        <f>'Форма по МДС 81-35.2004'!N346</f>
        <v>0</v>
      </c>
      <c r="C19" s="40">
        <f>ROUND(SUMIF('Форма по МДС 81-35.2004'!J346:J371,"Г",'Форма по МДС 81-35.2004'!N346:N371),2)</f>
        <v>0</v>
      </c>
      <c r="D19" s="40">
        <f>ROUND(SUMIF('Форма по МДС 81-35.2004'!J346:J371,"IsMash",'Форма по МДС 81-35.2004'!N346:N371),2)</f>
        <v>0</v>
      </c>
      <c r="E19" s="40">
        <f>'Форма по МДС 81-35.2004'!N347</f>
        <v>0</v>
      </c>
      <c r="F19" s="40">
        <f>ROUND(SUMIF('Форма по МДС 81-35.2004'!J346:J371,"IsMater",'Форма по МДС 81-35.2004'!N346:N371),2)</f>
        <v>0</v>
      </c>
      <c r="G19" s="40">
        <f>ROUND('Форма по МДС 81-35.2004'!F346*'Базовые цены за единицу'!G19,2)</f>
        <v>0</v>
      </c>
      <c r="H19" s="40">
        <f>ROUND('Форма по МДС 81-35.2004'!F346*'Базовые цены за единицу'!H19,2)</f>
        <v>0</v>
      </c>
      <c r="I19" s="36">
        <f>ОКРУГЛВСЕ(SUMIF('Форма по МДС 81-35.2004'!J346:J371,"Г",'Форма по МДС 81-35.2004'!F346:F371),8)</f>
        <v>0</v>
      </c>
      <c r="J19" s="36">
        <f>ОКРУГЛВСЕ('Форма по МДС 81-35.2004'!F346*'Базовые цены за единицу'!J19,8)</f>
        <v>0</v>
      </c>
      <c r="K19" s="36">
        <f>ОКРУГЛВСЕ(SUMIF('Форма по МДС 81-35.2004'!J346:J371,"Ж",'Форма по МДС 81-35.2004'!F346:F371),8)</f>
        <v>0</v>
      </c>
      <c r="L19" s="40">
        <f>ROUND('Форма по МДС 81-35.2004'!F346*'Базовые цены за единицу'!L19,2)</f>
        <v>0</v>
      </c>
      <c r="M19" s="40">
        <f>ROUND('Форма по МДС 81-35.2004'!F346*'Базовые цены за единицу'!M19,2)</f>
        <v>0</v>
      </c>
      <c r="N19" s="40">
        <f>ROUND((C19+E19)*'Форма по МДС 81-35.2004'!M365/100,2)</f>
        <v>0</v>
      </c>
      <c r="O19" s="40">
        <f>ROUND((C19+E19)*'Форма по МДС 81-35.2004'!M368/100,2)</f>
        <v>0</v>
      </c>
      <c r="P19" s="40">
        <f>ROUND('Форма по МДС 81-35.2004'!F346*'Базовые цены за единицу'!P19,2)</f>
        <v>0</v>
      </c>
      <c r="Q19" s="40">
        <f>ROUND('Форма по МДС 81-35.2004'!F346*'Базовые цены за единицу'!Q19,2)</f>
        <v>0</v>
      </c>
      <c r="R19" s="40">
        <f>ROUND('Форма по МДС 81-35.2004'!F346*'Базовые цены за единицу'!R19,2)</f>
        <v>0</v>
      </c>
      <c r="S19" s="40">
        <f>ROUND('Форма по МДС 81-35.2004'!F346*'Базовые цены за единицу'!S19,2)</f>
        <v>0</v>
      </c>
      <c r="T19" s="40">
        <f>ROUND('Форма по МДС 81-35.2004'!F346*'Базовые цены за единицу'!T19,2)</f>
        <v>0</v>
      </c>
      <c r="U19" s="40">
        <f>ROUND('Форма по МДС 81-35.2004'!F346*'Базовые цены за единицу'!U19,2)</f>
        <v>0</v>
      </c>
      <c r="V19" s="40">
        <f>ROUND('Форма по МДС 81-35.2004'!F346*'Базовые цены за единицу'!V19,2)</f>
        <v>0</v>
      </c>
      <c r="X19" s="40">
        <f>ROUND('Форма по МДС 81-35.2004'!F346*'Базовые цены за единицу'!X19,2)</f>
        <v>0</v>
      </c>
      <c r="Y19" s="40">
        <f>IF(Определители!I19="9",ROUND((C19+E19)*(Начисления!M19/100)*('Форма по МДС 81-35.2004'!M365/100),2),0)</f>
        <v>0</v>
      </c>
      <c r="Z19" s="40">
        <f>IF(Определители!I19="9",ROUND((C19+E19)*(100-Начисления!M19/100)*('Форма по МДС 81-35.2004'!M365/100),2),0)</f>
        <v>0</v>
      </c>
      <c r="AA19" s="40">
        <f>IF(Определители!I19="9",ROUND((C19+E19)*(Начисления!M19/100)*('Форма по МДС 81-35.2004'!M368/100),2),0)</f>
        <v>0</v>
      </c>
      <c r="AB19" s="40">
        <f>IF(Определители!I19="9",ROUND((C19+E19)*(100-Начисления!M19/100)*('Форма по МДС 81-35.2004'!M368/100),2),0)</f>
        <v>0</v>
      </c>
      <c r="AC19" s="40">
        <f>IF(Определители!I19="9",ROUND(B19*Начисления!M19/100,2),0)</f>
        <v>0</v>
      </c>
      <c r="AD19" s="40">
        <f>IF(Определители!I19="9",ROUND(B19*(100-Начисления!M19)/100,2),0)</f>
        <v>0</v>
      </c>
      <c r="AE19" s="40">
        <f>ROUND('Форма по МДС 81-35.2004'!F346*'Базовые цены за единицу'!AE19,2)</f>
        <v>0</v>
      </c>
      <c r="AH19" s="40">
        <f>ROUND('Форма по МДС 81-35.2004'!F346*'Базовые цены за единицу'!AH19,2)</f>
        <v>0</v>
      </c>
      <c r="AI19" s="40">
        <f>ROUND('Форма по МДС 81-35.2004'!F346*'Базовые цены за единицу'!AI19,2)</f>
        <v>0</v>
      </c>
      <c r="AJ19" s="40">
        <f>ROUND('Форма по МДС 81-35.2004'!F346*'Базовые цены за единицу'!AJ19,2)</f>
        <v>0</v>
      </c>
      <c r="AK19" s="40">
        <f>ROUND('Форма по МДС 81-35.2004'!F346*'Базовые цены за единицу'!AK19,2)</f>
        <v>0</v>
      </c>
    </row>
    <row r="20" spans="1:37" ht="10.5">
      <c r="A20" s="40" t="str">
        <f>'Форма по МДС 81-35.2004'!A372</f>
        <v>15.</v>
      </c>
      <c r="B20" s="40">
        <f>'Форма по МДС 81-35.2004'!N372</f>
        <v>0</v>
      </c>
      <c r="C20" s="40">
        <f>ROUND(SUMIF('Форма по МДС 81-35.2004'!J372:J397,"Г",'Форма по МДС 81-35.2004'!N372:N397),2)</f>
        <v>0</v>
      </c>
      <c r="D20" s="40">
        <f>ROUND(SUMIF('Форма по МДС 81-35.2004'!J372:J397,"IsMash",'Форма по МДС 81-35.2004'!N372:N397),2)</f>
        <v>0</v>
      </c>
      <c r="E20" s="40">
        <f>'Форма по МДС 81-35.2004'!N373</f>
        <v>0</v>
      </c>
      <c r="F20" s="40">
        <f>ROUND(SUMIF('Форма по МДС 81-35.2004'!J372:J397,"IsMater",'Форма по МДС 81-35.2004'!N372:N397),2)</f>
        <v>0</v>
      </c>
      <c r="G20" s="40">
        <f>ROUND('Форма по МДС 81-35.2004'!F372*'Базовые цены за единицу'!G20,2)</f>
        <v>0</v>
      </c>
      <c r="H20" s="40">
        <f>ROUND('Форма по МДС 81-35.2004'!F372*'Базовые цены за единицу'!H20,2)</f>
        <v>0</v>
      </c>
      <c r="I20" s="36">
        <f>ОКРУГЛВСЕ(SUMIF('Форма по МДС 81-35.2004'!J372:J397,"Г",'Форма по МДС 81-35.2004'!F372:F397),8)</f>
        <v>0</v>
      </c>
      <c r="J20" s="36">
        <f>ОКРУГЛВСЕ('Форма по МДС 81-35.2004'!F372*'Базовые цены за единицу'!J20,8)</f>
        <v>0</v>
      </c>
      <c r="K20" s="36">
        <f>ОКРУГЛВСЕ(SUMIF('Форма по МДС 81-35.2004'!J372:J397,"Ж",'Форма по МДС 81-35.2004'!F372:F397),8)</f>
        <v>0</v>
      </c>
      <c r="L20" s="40">
        <f>ROUND('Форма по МДС 81-35.2004'!F372*'Базовые цены за единицу'!L20,2)</f>
        <v>0</v>
      </c>
      <c r="M20" s="40">
        <f>ROUND('Форма по МДС 81-35.2004'!F372*'Базовые цены за единицу'!M20,2)</f>
        <v>0</v>
      </c>
      <c r="N20" s="40">
        <f>ROUND((C20+E20)*'Форма по МДС 81-35.2004'!M391/100,2)</f>
        <v>0</v>
      </c>
      <c r="O20" s="40">
        <f>ROUND((C20+E20)*'Форма по МДС 81-35.2004'!M394/100,2)</f>
        <v>0</v>
      </c>
      <c r="P20" s="40">
        <f>ROUND('Форма по МДС 81-35.2004'!F372*'Базовые цены за единицу'!P20,2)</f>
        <v>0</v>
      </c>
      <c r="Q20" s="40">
        <f>ROUND('Форма по МДС 81-35.2004'!F372*'Базовые цены за единицу'!Q20,2)</f>
        <v>0</v>
      </c>
      <c r="R20" s="40">
        <f>ROUND('Форма по МДС 81-35.2004'!F372*'Базовые цены за единицу'!R20,2)</f>
        <v>0</v>
      </c>
      <c r="S20" s="40">
        <f>ROUND('Форма по МДС 81-35.2004'!F372*'Базовые цены за единицу'!S20,2)</f>
        <v>0</v>
      </c>
      <c r="T20" s="40">
        <f>ROUND('Форма по МДС 81-35.2004'!F372*'Базовые цены за единицу'!T20,2)</f>
        <v>0</v>
      </c>
      <c r="U20" s="40">
        <f>ROUND('Форма по МДС 81-35.2004'!F372*'Базовые цены за единицу'!U20,2)</f>
        <v>0</v>
      </c>
      <c r="V20" s="40">
        <f>ROUND('Форма по МДС 81-35.2004'!F372*'Базовые цены за единицу'!V20,2)</f>
        <v>0</v>
      </c>
      <c r="X20" s="40">
        <f>ROUND('Форма по МДС 81-35.2004'!F372*'Базовые цены за единицу'!X20,2)</f>
        <v>0</v>
      </c>
      <c r="Y20" s="40">
        <f>IF(Определители!I20="9",ROUND((C20+E20)*(Начисления!M20/100)*('Форма по МДС 81-35.2004'!M391/100),2),0)</f>
        <v>0</v>
      </c>
      <c r="Z20" s="40">
        <f>IF(Определители!I20="9",ROUND((C20+E20)*(100-Начисления!M20/100)*('Форма по МДС 81-35.2004'!M391/100),2),0)</f>
        <v>0</v>
      </c>
      <c r="AA20" s="40">
        <f>IF(Определители!I20="9",ROUND((C20+E20)*(Начисления!M20/100)*('Форма по МДС 81-35.2004'!M394/100),2),0)</f>
        <v>0</v>
      </c>
      <c r="AB20" s="40">
        <f>IF(Определители!I20="9",ROUND((C20+E20)*(100-Начисления!M20/100)*('Форма по МДС 81-35.2004'!M394/100),2),0)</f>
        <v>0</v>
      </c>
      <c r="AC20" s="40">
        <f>IF(Определители!I20="9",ROUND(B20*Начисления!M20/100,2),0)</f>
        <v>0</v>
      </c>
      <c r="AD20" s="40">
        <f>IF(Определители!I20="9",ROUND(B20*(100-Начисления!M20)/100,2),0)</f>
        <v>0</v>
      </c>
      <c r="AE20" s="40">
        <f>ROUND('Форма по МДС 81-35.2004'!F372*'Базовые цены за единицу'!AE20,2)</f>
        <v>0</v>
      </c>
      <c r="AH20" s="40">
        <f>ROUND('Форма по МДС 81-35.2004'!F372*'Базовые цены за единицу'!AH20,2)</f>
        <v>0</v>
      </c>
      <c r="AI20" s="40">
        <f>ROUND('Форма по МДС 81-35.2004'!F372*'Базовые цены за единицу'!AI20,2)</f>
        <v>0</v>
      </c>
      <c r="AJ20" s="40">
        <f>ROUND('Форма по МДС 81-35.2004'!F372*'Базовые цены за единицу'!AJ20,2)</f>
        <v>0</v>
      </c>
      <c r="AK20" s="40">
        <f>ROUND('Форма по МДС 81-35.2004'!F372*'Базовые цены за единицу'!AK20,2)</f>
        <v>0</v>
      </c>
    </row>
    <row r="21" spans="1:37" ht="10.5">
      <c r="A21" s="40" t="str">
        <f>'Форма по МДС 81-35.2004'!A398</f>
        <v>16.</v>
      </c>
      <c r="B21" s="40">
        <f>'Форма по МДС 81-35.2004'!N398</f>
        <v>0</v>
      </c>
      <c r="C21" s="40">
        <f>ROUND(SUMIF('Форма по МДС 81-35.2004'!J398:J423,"Г",'Форма по МДС 81-35.2004'!N398:N423),2)</f>
        <v>0</v>
      </c>
      <c r="D21" s="40">
        <f>ROUND(SUMIF('Форма по МДС 81-35.2004'!J398:J423,"IsMash",'Форма по МДС 81-35.2004'!N398:N423),2)</f>
        <v>0</v>
      </c>
      <c r="E21" s="40">
        <f>'Форма по МДС 81-35.2004'!N399</f>
        <v>0</v>
      </c>
      <c r="F21" s="40">
        <f>ROUND(SUMIF('Форма по МДС 81-35.2004'!J398:J423,"IsMater",'Форма по МДС 81-35.2004'!N398:N423),2)</f>
        <v>0</v>
      </c>
      <c r="G21" s="40">
        <f>ROUND('Форма по МДС 81-35.2004'!F398*'Базовые цены за единицу'!G21,2)</f>
        <v>0</v>
      </c>
      <c r="H21" s="40">
        <f>ROUND('Форма по МДС 81-35.2004'!F398*'Базовые цены за единицу'!H21,2)</f>
        <v>0</v>
      </c>
      <c r="I21" s="36">
        <f>ОКРУГЛВСЕ(SUMIF('Форма по МДС 81-35.2004'!J398:J423,"Г",'Форма по МДС 81-35.2004'!F398:F423),8)</f>
        <v>0</v>
      </c>
      <c r="J21" s="36">
        <f>ОКРУГЛВСЕ('Форма по МДС 81-35.2004'!F398*'Базовые цены за единицу'!J21,8)</f>
        <v>0</v>
      </c>
      <c r="K21" s="36">
        <f>ОКРУГЛВСЕ(SUMIF('Форма по МДС 81-35.2004'!J398:J423,"Ж",'Форма по МДС 81-35.2004'!F398:F423),8)</f>
        <v>0</v>
      </c>
      <c r="L21" s="40">
        <f>ROUND('Форма по МДС 81-35.2004'!F398*'Базовые цены за единицу'!L21,2)</f>
        <v>0</v>
      </c>
      <c r="M21" s="40">
        <f>ROUND('Форма по МДС 81-35.2004'!F398*'Базовые цены за единицу'!M21,2)</f>
        <v>0</v>
      </c>
      <c r="N21" s="40">
        <f>ROUND((C21+E21)*'Форма по МДС 81-35.2004'!M417/100,2)</f>
        <v>0</v>
      </c>
      <c r="O21" s="40">
        <f>ROUND((C21+E21)*'Форма по МДС 81-35.2004'!M420/100,2)</f>
        <v>0</v>
      </c>
      <c r="P21" s="40">
        <f>ROUND('Форма по МДС 81-35.2004'!F398*'Базовые цены за единицу'!P21,2)</f>
        <v>0</v>
      </c>
      <c r="Q21" s="40">
        <f>ROUND('Форма по МДС 81-35.2004'!F398*'Базовые цены за единицу'!Q21,2)</f>
        <v>0</v>
      </c>
      <c r="R21" s="40">
        <f>ROUND('Форма по МДС 81-35.2004'!F398*'Базовые цены за единицу'!R21,2)</f>
        <v>0</v>
      </c>
      <c r="S21" s="40">
        <f>ROUND('Форма по МДС 81-35.2004'!F398*'Базовые цены за единицу'!S21,2)</f>
        <v>0</v>
      </c>
      <c r="T21" s="40">
        <f>ROUND('Форма по МДС 81-35.2004'!F398*'Базовые цены за единицу'!T21,2)</f>
        <v>0</v>
      </c>
      <c r="U21" s="40">
        <f>ROUND('Форма по МДС 81-35.2004'!F398*'Базовые цены за единицу'!U21,2)</f>
        <v>0</v>
      </c>
      <c r="V21" s="40">
        <f>ROUND('Форма по МДС 81-35.2004'!F398*'Базовые цены за единицу'!V21,2)</f>
        <v>0</v>
      </c>
      <c r="X21" s="40">
        <f>ROUND('Форма по МДС 81-35.2004'!F398*'Базовые цены за единицу'!X21,2)</f>
        <v>0</v>
      </c>
      <c r="Y21" s="40">
        <f>IF(Определители!I21="9",ROUND((C21+E21)*(Начисления!M21/100)*('Форма по МДС 81-35.2004'!M417/100),2),0)</f>
        <v>0</v>
      </c>
      <c r="Z21" s="40">
        <f>IF(Определители!I21="9",ROUND((C21+E21)*(100-Начисления!M21/100)*('Форма по МДС 81-35.2004'!M417/100),2),0)</f>
        <v>0</v>
      </c>
      <c r="AA21" s="40">
        <f>IF(Определители!I21="9",ROUND((C21+E21)*(Начисления!M21/100)*('Форма по МДС 81-35.2004'!M420/100),2),0)</f>
        <v>0</v>
      </c>
      <c r="AB21" s="40">
        <f>IF(Определители!I21="9",ROUND((C21+E21)*(100-Начисления!M21/100)*('Форма по МДС 81-35.2004'!M420/100),2),0)</f>
        <v>0</v>
      </c>
      <c r="AC21" s="40">
        <f>IF(Определители!I21="9",ROUND(B21*Начисления!M21/100,2),0)</f>
        <v>0</v>
      </c>
      <c r="AD21" s="40">
        <f>IF(Определители!I21="9",ROUND(B21*(100-Начисления!M21)/100,2),0)</f>
        <v>0</v>
      </c>
      <c r="AE21" s="40">
        <f>ROUND('Форма по МДС 81-35.2004'!F398*'Базовые цены за единицу'!AE21,2)</f>
        <v>0</v>
      </c>
      <c r="AH21" s="40">
        <f>ROUND('Форма по МДС 81-35.2004'!F398*'Базовые цены за единицу'!AH21,2)</f>
        <v>0</v>
      </c>
      <c r="AI21" s="40">
        <f>ROUND('Форма по МДС 81-35.2004'!F398*'Базовые цены за единицу'!AI21,2)</f>
        <v>0</v>
      </c>
      <c r="AJ21" s="40">
        <f>ROUND('Форма по МДС 81-35.2004'!F398*'Базовые цены за единицу'!AJ21,2)</f>
        <v>0</v>
      </c>
      <c r="AK21" s="40">
        <f>ROUND('Форма по МДС 81-35.2004'!F398*'Базовые цены за единицу'!AK21,2)</f>
        <v>0</v>
      </c>
    </row>
    <row r="22" spans="1:37" ht="10.5">
      <c r="A22" s="40" t="str">
        <f>'Форма по МДС 81-35.2004'!A424</f>
        <v>17.</v>
      </c>
      <c r="B22" s="40">
        <f>'Форма по МДС 81-35.2004'!N424</f>
        <v>0</v>
      </c>
      <c r="C22" s="40">
        <f>ROUND(SUMIF('Форма по МДС 81-35.2004'!J424:J449,"Г",'Форма по МДС 81-35.2004'!N424:N449),2)</f>
        <v>0</v>
      </c>
      <c r="D22" s="40">
        <f>ROUND(SUMIF('Форма по МДС 81-35.2004'!J424:J449,"IsMash",'Форма по МДС 81-35.2004'!N424:N449),2)</f>
        <v>0</v>
      </c>
      <c r="E22" s="40">
        <f>'Форма по МДС 81-35.2004'!N425</f>
        <v>0</v>
      </c>
      <c r="F22" s="40">
        <f>ROUND(SUMIF('Форма по МДС 81-35.2004'!J424:J449,"IsMater",'Форма по МДС 81-35.2004'!N424:N449),2)</f>
        <v>0</v>
      </c>
      <c r="G22" s="40">
        <f>ROUND('Форма по МДС 81-35.2004'!F424*'Базовые цены за единицу'!G22,2)</f>
        <v>0</v>
      </c>
      <c r="H22" s="40">
        <f>ROUND('Форма по МДС 81-35.2004'!F424*'Базовые цены за единицу'!H22,2)</f>
        <v>0</v>
      </c>
      <c r="I22" s="36">
        <f>ОКРУГЛВСЕ(SUMIF('Форма по МДС 81-35.2004'!J424:J449,"Г",'Форма по МДС 81-35.2004'!F424:F449),8)</f>
        <v>0</v>
      </c>
      <c r="J22" s="36">
        <f>ОКРУГЛВСЕ('Форма по МДС 81-35.2004'!F424*'Базовые цены за единицу'!J22,8)</f>
        <v>0</v>
      </c>
      <c r="K22" s="36">
        <f>ОКРУГЛВСЕ(SUMIF('Форма по МДС 81-35.2004'!J424:J449,"Ж",'Форма по МДС 81-35.2004'!F424:F449),8)</f>
        <v>0</v>
      </c>
      <c r="L22" s="40">
        <f>ROUND('Форма по МДС 81-35.2004'!F424*'Базовые цены за единицу'!L22,2)</f>
        <v>0</v>
      </c>
      <c r="M22" s="40">
        <f>ROUND('Форма по МДС 81-35.2004'!F424*'Базовые цены за единицу'!M22,2)</f>
        <v>0</v>
      </c>
      <c r="N22" s="40">
        <f>ROUND((C22+E22)*'Форма по МДС 81-35.2004'!M443/100,2)</f>
        <v>0</v>
      </c>
      <c r="O22" s="40">
        <f>ROUND((C22+E22)*'Форма по МДС 81-35.2004'!M446/100,2)</f>
        <v>0</v>
      </c>
      <c r="P22" s="40">
        <f>ROUND('Форма по МДС 81-35.2004'!F424*'Базовые цены за единицу'!P22,2)</f>
        <v>0</v>
      </c>
      <c r="Q22" s="40">
        <f>ROUND('Форма по МДС 81-35.2004'!F424*'Базовые цены за единицу'!Q22,2)</f>
        <v>0</v>
      </c>
      <c r="R22" s="40">
        <f>ROUND('Форма по МДС 81-35.2004'!F424*'Базовые цены за единицу'!R22,2)</f>
        <v>0</v>
      </c>
      <c r="S22" s="40">
        <f>ROUND('Форма по МДС 81-35.2004'!F424*'Базовые цены за единицу'!S22,2)</f>
        <v>0</v>
      </c>
      <c r="T22" s="40">
        <f>ROUND('Форма по МДС 81-35.2004'!F424*'Базовые цены за единицу'!T22,2)</f>
        <v>0</v>
      </c>
      <c r="U22" s="40">
        <f>ROUND('Форма по МДС 81-35.2004'!F424*'Базовые цены за единицу'!U22,2)</f>
        <v>0</v>
      </c>
      <c r="V22" s="40">
        <f>ROUND('Форма по МДС 81-35.2004'!F424*'Базовые цены за единицу'!V22,2)</f>
        <v>0</v>
      </c>
      <c r="X22" s="40">
        <f>ROUND('Форма по МДС 81-35.2004'!F424*'Базовые цены за единицу'!X22,2)</f>
        <v>0</v>
      </c>
      <c r="Y22" s="40">
        <f>IF(Определители!I22="9",ROUND((C22+E22)*(Начисления!M22/100)*('Форма по МДС 81-35.2004'!M443/100),2),0)</f>
        <v>0</v>
      </c>
      <c r="Z22" s="40">
        <f>IF(Определители!I22="9",ROUND((C22+E22)*(100-Начисления!M22/100)*('Форма по МДС 81-35.2004'!M443/100),2),0)</f>
        <v>0</v>
      </c>
      <c r="AA22" s="40">
        <f>IF(Определители!I22="9",ROUND((C22+E22)*(Начисления!M22/100)*('Форма по МДС 81-35.2004'!M446/100),2),0)</f>
        <v>0</v>
      </c>
      <c r="AB22" s="40">
        <f>IF(Определители!I22="9",ROUND((C22+E22)*(100-Начисления!M22/100)*('Форма по МДС 81-35.2004'!M446/100),2),0)</f>
        <v>0</v>
      </c>
      <c r="AC22" s="40">
        <f>IF(Определители!I22="9",ROUND(B22*Начисления!M22/100,2),0)</f>
        <v>0</v>
      </c>
      <c r="AD22" s="40">
        <f>IF(Определители!I22="9",ROUND(B22*(100-Начисления!M22)/100,2),0)</f>
        <v>0</v>
      </c>
      <c r="AE22" s="40">
        <f>ROUND('Форма по МДС 81-35.2004'!F424*'Базовые цены за единицу'!AE22,2)</f>
        <v>0</v>
      </c>
      <c r="AH22" s="40">
        <f>ROUND('Форма по МДС 81-35.2004'!F424*'Базовые цены за единицу'!AH22,2)</f>
        <v>0</v>
      </c>
      <c r="AI22" s="40">
        <f>ROUND('Форма по МДС 81-35.2004'!F424*'Базовые цены за единицу'!AI22,2)</f>
        <v>0</v>
      </c>
      <c r="AJ22" s="40">
        <f>ROUND('Форма по МДС 81-35.2004'!F424*'Базовые цены за единицу'!AJ22,2)</f>
        <v>0</v>
      </c>
      <c r="AK22" s="40">
        <f>ROUND('Форма по МДС 81-35.2004'!F424*'Базовые цены за единицу'!AK22,2)</f>
        <v>0</v>
      </c>
    </row>
    <row r="23" spans="1:37" ht="10.5">
      <c r="A23" s="40" t="str">
        <f>'Форма по МДС 81-35.2004'!A450</f>
        <v>18.</v>
      </c>
      <c r="B23" s="40">
        <f>'Форма по МДС 81-35.2004'!N450</f>
        <v>853.24</v>
      </c>
      <c r="C23" s="40">
        <f>ROUND(SUMIF('Форма по МДС 81-35.2004'!J450:J475,"Г",'Форма по МДС 81-35.2004'!N450:N475),2)</f>
        <v>26.9</v>
      </c>
      <c r="D23" s="40">
        <f>ROUND(SUMIF('Форма по МДС 81-35.2004'!J450:J475,"IsMash",'Форма по МДС 81-35.2004'!N450:N475),2)</f>
        <v>177.91</v>
      </c>
      <c r="E23" s="40">
        <f>'Форма по МДС 81-35.2004'!N451</f>
        <v>21.83</v>
      </c>
      <c r="F23" s="40">
        <f>ROUND(SUMIF('Форма по МДС 81-35.2004'!J450:J475,"IsMater",'Форма по МДС 81-35.2004'!N450:N475),2)</f>
        <v>648.43</v>
      </c>
      <c r="G23" s="40">
        <f>ROUND('Форма по МДС 81-35.2004'!F450*'Базовые цены за единицу'!G23,2)</f>
        <v>619.78</v>
      </c>
      <c r="H23" s="40">
        <f>ROUND('Форма по МДС 81-35.2004'!F450*'Базовые цены за единицу'!H23,2)</f>
        <v>0</v>
      </c>
      <c r="I23" s="36">
        <f>ОКРУГЛВСЕ(SUMIF('Форма по МДС 81-35.2004'!J450:J475,"Г",'Форма по МДС 81-35.2004'!F450:F475),8)</f>
        <v>3.024</v>
      </c>
      <c r="J23" s="36">
        <f>ОКРУГЛВСЕ('Форма по МДС 81-35.2004'!F450*'Базовые цены за единицу'!J23,8)</f>
        <v>0</v>
      </c>
      <c r="K23" s="36">
        <f>ОКРУГЛВСЕ(SUMIF('Форма по МДС 81-35.2004'!J450:J475,"Ж",'Форма по МДС 81-35.2004'!F450:F475),8)</f>
        <v>2.016</v>
      </c>
      <c r="L23" s="40">
        <f>ROUND('Форма по МДС 81-35.2004'!F450*'Базовые цены за единицу'!L23,2)</f>
        <v>0</v>
      </c>
      <c r="M23" s="40">
        <f>ROUND('Форма по МДС 81-35.2004'!F450*'Базовые цены за единицу'!M23,2)</f>
        <v>0</v>
      </c>
      <c r="N23" s="40">
        <f>ROUND((C23+E23)*'Форма по МДС 81-35.2004'!M469/100,2)</f>
        <v>56.53</v>
      </c>
      <c r="O23" s="40">
        <f>ROUND((C23+E23)*'Форма по МДС 81-35.2004'!M472/100,2)</f>
        <v>24.37</v>
      </c>
      <c r="P23" s="40">
        <f>ROUND('Форма по МДС 81-35.2004'!F450*'Базовые цены за единицу'!P23,2)</f>
        <v>31.19</v>
      </c>
      <c r="Q23" s="40">
        <f>ROUND('Форма по МДС 81-35.2004'!F450*'Базовые цены за единицу'!Q23,2)</f>
        <v>25.32</v>
      </c>
      <c r="R23" s="40">
        <f>ROUND('Форма по МДС 81-35.2004'!F450*'Базовые цены за единицу'!R23,2)</f>
        <v>13.45</v>
      </c>
      <c r="S23" s="40">
        <f>ROUND('Форма по МДС 81-35.2004'!F450*'Базовые цены за единицу'!S23,2)</f>
        <v>10.91</v>
      </c>
      <c r="T23" s="40">
        <f>ROUND('Форма по МДС 81-35.2004'!F450*'Базовые цены за единицу'!T23,2)</f>
        <v>0</v>
      </c>
      <c r="U23" s="40">
        <f>ROUND('Форма по МДС 81-35.2004'!F450*'Базовые цены за единицу'!U23,2)</f>
        <v>0</v>
      </c>
      <c r="V23" s="40">
        <f>ROUND('Форма по МДС 81-35.2004'!F450*'Базовые цены за единицу'!V23,2)</f>
        <v>0</v>
      </c>
      <c r="X23" s="40">
        <f>ROUND('Форма по МДС 81-35.2004'!F450*'Базовые цены за единицу'!X23,2)</f>
        <v>0</v>
      </c>
      <c r="Y23" s="40">
        <f>IF(Определители!I23="9",ROUND((C23+E23)*(Начисления!M23/100)*('Форма по МДС 81-35.2004'!M469/100),2),0)</f>
        <v>0</v>
      </c>
      <c r="Z23" s="40">
        <f>IF(Определители!I23="9",ROUND((C23+E23)*(100-Начисления!M23/100)*('Форма по МДС 81-35.2004'!M469/100),2),0)</f>
        <v>0</v>
      </c>
      <c r="AA23" s="40">
        <f>IF(Определители!I23="9",ROUND((C23+E23)*(Начисления!M23/100)*('Форма по МДС 81-35.2004'!M472/100),2),0)</f>
        <v>0</v>
      </c>
      <c r="AB23" s="40">
        <f>IF(Определители!I23="9",ROUND((C23+E23)*(100-Начисления!M23/100)*('Форма по МДС 81-35.2004'!M472/100),2),0)</f>
        <v>0</v>
      </c>
      <c r="AC23" s="40">
        <f>IF(Определители!I23="9",ROUND(B23*Начисления!M23/100,2),0)</f>
        <v>0</v>
      </c>
      <c r="AD23" s="40">
        <f>IF(Определители!I23="9",ROUND(B23*(100-Начисления!M23)/100,2),0)</f>
        <v>0</v>
      </c>
      <c r="AE23" s="40">
        <f>ROUND('Форма по МДС 81-35.2004'!F450*'Базовые цены за единицу'!AE23,2)</f>
        <v>0</v>
      </c>
      <c r="AH23" s="40">
        <f>ROUND('Форма по МДС 81-35.2004'!F450*'Базовые цены за единицу'!AH23,2)</f>
        <v>0</v>
      </c>
      <c r="AI23" s="40">
        <f>ROUND('Форма по МДС 81-35.2004'!F450*'Базовые цены за единицу'!AI23,2)</f>
        <v>0</v>
      </c>
      <c r="AJ23" s="40">
        <f>ROUND('Форма по МДС 81-35.2004'!F450*'Базовые цены за единицу'!AJ23,2)</f>
        <v>0</v>
      </c>
      <c r="AK23" s="40">
        <f>ROUND('Форма по МДС 81-35.2004'!F450*'Базовые цены за единицу'!AK23,2)</f>
        <v>0</v>
      </c>
    </row>
    <row r="24" spans="1:37" ht="10.5">
      <c r="A24" s="40" t="str">
        <f>'Форма по МДС 81-35.2004'!A476</f>
        <v>19.</v>
      </c>
      <c r="B24" s="40">
        <f>'Форма по МДС 81-35.2004'!N476</f>
        <v>66.88</v>
      </c>
      <c r="C24" s="40">
        <f>ROUND(SUMIF('Форма по МДС 81-35.2004'!J476:J501,"Г",'Форма по МДС 81-35.2004'!N476:N501),2)</f>
        <v>0.3</v>
      </c>
      <c r="D24" s="40">
        <f>ROUND(SUMIF('Форма по МДС 81-35.2004'!J476:J501,"IsMash",'Форма по МДС 81-35.2004'!N476:N501),2)</f>
        <v>0.84</v>
      </c>
      <c r="E24" s="40">
        <f>'Форма по МДС 81-35.2004'!N477</f>
        <v>0.16</v>
      </c>
      <c r="F24" s="40">
        <f>ROUND(SUMIF('Форма по МДС 81-35.2004'!J476:J501,"IsMater",'Форма по МДС 81-35.2004'!N476:N501),2)</f>
        <v>65.74</v>
      </c>
      <c r="G24" s="40">
        <f>ROUND('Форма по МДС 81-35.2004'!F476*'Базовые цены за единицу'!G24,2)</f>
        <v>62.84</v>
      </c>
      <c r="H24" s="40">
        <f>ROUND('Форма по МДС 81-35.2004'!F476*'Базовые цены за единицу'!H24,2)</f>
        <v>0</v>
      </c>
      <c r="I24" s="36">
        <f>ОКРУГЛВСЕ(SUMIF('Форма по МДС 81-35.2004'!J476:J501,"Г",'Форма по МДС 81-35.2004'!F476:F501),8)</f>
        <v>0.03492</v>
      </c>
      <c r="J24" s="36">
        <f>ОКРУГЛВСЕ('Форма по МДС 81-35.2004'!F476*'Базовые цены за единицу'!J24,8)</f>
        <v>0</v>
      </c>
      <c r="K24" s="36">
        <f>ОКРУГЛВСЕ(SUMIF('Форма по МДС 81-35.2004'!J476:J501,"Ж",'Форма по МДС 81-35.2004'!F476:F501),8)</f>
        <v>0.01164</v>
      </c>
      <c r="L24" s="40">
        <f>ROUND('Форма по МДС 81-35.2004'!F476*'Базовые цены за единицу'!L24,2)</f>
        <v>0</v>
      </c>
      <c r="M24" s="40">
        <f>ROUND('Форма по МДС 81-35.2004'!F476*'Базовые цены за единицу'!M24,2)</f>
        <v>0</v>
      </c>
      <c r="N24" s="40">
        <f>ROUND((C24+E24)*'Форма по МДС 81-35.2004'!M495/100,2)</f>
        <v>0.53</v>
      </c>
      <c r="O24" s="40">
        <f>ROUND((C24+E24)*'Форма по МДС 81-35.2004'!M498/100,2)</f>
        <v>0.23</v>
      </c>
      <c r="P24" s="40">
        <f>ROUND('Форма по МДС 81-35.2004'!F476*'Базовые цены за единицу'!P24,2)</f>
        <v>0.35</v>
      </c>
      <c r="Q24" s="40">
        <f>ROUND('Форма по МДС 81-35.2004'!F476*'Базовые цены за единицу'!Q24,2)</f>
        <v>0.19</v>
      </c>
      <c r="R24" s="40">
        <f>ROUND('Форма по МДС 81-35.2004'!F476*'Базовые цены за единицу'!R24,2)</f>
        <v>0.15</v>
      </c>
      <c r="S24" s="40">
        <f>ROUND('Форма по МДС 81-35.2004'!F476*'Базовые цены за единицу'!S24,2)</f>
        <v>0.08</v>
      </c>
      <c r="T24" s="40">
        <f>ROUND('Форма по МДС 81-35.2004'!F476*'Базовые цены за единицу'!T24,2)</f>
        <v>0</v>
      </c>
      <c r="U24" s="40">
        <f>ROUND('Форма по МДС 81-35.2004'!F476*'Базовые цены за единицу'!U24,2)</f>
        <v>0</v>
      </c>
      <c r="V24" s="40">
        <f>ROUND('Форма по МДС 81-35.2004'!F476*'Базовые цены за единицу'!V24,2)</f>
        <v>0</v>
      </c>
      <c r="X24" s="40">
        <f>ROUND('Форма по МДС 81-35.2004'!F476*'Базовые цены за единицу'!X24,2)</f>
        <v>0</v>
      </c>
      <c r="Y24" s="40">
        <f>IF(Определители!I24="9",ROUND((C24+E24)*(Начисления!M24/100)*('Форма по МДС 81-35.2004'!M495/100),2),0)</f>
        <v>0</v>
      </c>
      <c r="Z24" s="40">
        <f>IF(Определители!I24="9",ROUND((C24+E24)*(100-Начисления!M24/100)*('Форма по МДС 81-35.2004'!M495/100),2),0)</f>
        <v>0</v>
      </c>
      <c r="AA24" s="40">
        <f>IF(Определители!I24="9",ROUND((C24+E24)*(Начисления!M24/100)*('Форма по МДС 81-35.2004'!M498/100),2),0)</f>
        <v>0</v>
      </c>
      <c r="AB24" s="40">
        <f>IF(Определители!I24="9",ROUND((C24+E24)*(100-Начисления!M24/100)*('Форма по МДС 81-35.2004'!M498/100),2),0)</f>
        <v>0</v>
      </c>
      <c r="AC24" s="40">
        <f>IF(Определители!I24="9",ROUND(B24*Начисления!M24/100,2),0)</f>
        <v>0</v>
      </c>
      <c r="AD24" s="40">
        <f>IF(Определители!I24="9",ROUND(B24*(100-Начисления!M24)/100,2),0)</f>
        <v>0</v>
      </c>
      <c r="AE24" s="40">
        <f>ROUND('Форма по МДС 81-35.2004'!F476*'Базовые цены за единицу'!AE24,2)</f>
        <v>0</v>
      </c>
      <c r="AH24" s="40">
        <f>ROUND('Форма по МДС 81-35.2004'!F476*'Базовые цены за единицу'!AH24,2)</f>
        <v>0</v>
      </c>
      <c r="AI24" s="40">
        <f>ROUND('Форма по МДС 81-35.2004'!F476*'Базовые цены за единицу'!AI24,2)</f>
        <v>0</v>
      </c>
      <c r="AJ24" s="40">
        <f>ROUND('Форма по МДС 81-35.2004'!F476*'Базовые цены за единицу'!AJ24,2)</f>
        <v>0</v>
      </c>
      <c r="AK24" s="40">
        <f>ROUND('Форма по МДС 81-35.2004'!F476*'Базовые цены за единицу'!AK24,2)</f>
        <v>0</v>
      </c>
    </row>
  </sheetData>
  <sheetProtection/>
  <mergeCells count="4">
    <mergeCell ref="A2:H2"/>
    <mergeCell ref="B3:H3"/>
    <mergeCell ref="B4:H4"/>
    <mergeCell ref="A5:H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K24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36" customWidth="1"/>
    <col min="2" max="16384" width="9.140625" style="40" customWidth="1"/>
  </cols>
  <sheetData>
    <row r="1" spans="1:37" s="41" customFormat="1" ht="10.5">
      <c r="A1" s="8"/>
      <c r="B1" s="41" t="s">
        <v>344</v>
      </c>
      <c r="C1" s="41" t="s">
        <v>345</v>
      </c>
      <c r="D1" s="41" t="s">
        <v>346</v>
      </c>
      <c r="E1" s="41" t="s">
        <v>347</v>
      </c>
      <c r="F1" s="41" t="s">
        <v>348</v>
      </c>
      <c r="G1" s="41" t="s">
        <v>349</v>
      </c>
      <c r="H1" s="41" t="s">
        <v>350</v>
      </c>
      <c r="I1" s="41" t="s">
        <v>351</v>
      </c>
      <c r="J1" s="41" t="s">
        <v>352</v>
      </c>
      <c r="K1" s="41" t="s">
        <v>353</v>
      </c>
      <c r="L1" s="41" t="s">
        <v>354</v>
      </c>
      <c r="M1" s="41" t="s">
        <v>355</v>
      </c>
      <c r="N1" s="41" t="s">
        <v>356</v>
      </c>
      <c r="O1" s="41" t="s">
        <v>357</v>
      </c>
      <c r="P1" s="41" t="s">
        <v>358</v>
      </c>
      <c r="Q1" s="41" t="s">
        <v>359</v>
      </c>
      <c r="R1" s="41" t="s">
        <v>360</v>
      </c>
      <c r="S1" s="41" t="s">
        <v>361</v>
      </c>
      <c r="T1" s="41" t="s">
        <v>362</v>
      </c>
      <c r="U1" s="41" t="s">
        <v>363</v>
      </c>
      <c r="V1" s="41" t="s">
        <v>364</v>
      </c>
      <c r="X1" s="41" t="s">
        <v>365</v>
      </c>
      <c r="Y1" s="41" t="s">
        <v>366</v>
      </c>
      <c r="Z1" s="41" t="s">
        <v>367</v>
      </c>
      <c r="AA1" s="41" t="s">
        <v>368</v>
      </c>
      <c r="AB1" s="41" t="s">
        <v>369</v>
      </c>
      <c r="AC1" s="41" t="s">
        <v>370</v>
      </c>
      <c r="AD1" s="41" t="s">
        <v>371</v>
      </c>
      <c r="AE1" s="41" t="s">
        <v>372</v>
      </c>
      <c r="AF1" s="41" t="s">
        <v>373</v>
      </c>
      <c r="AG1" s="41" t="s">
        <v>374</v>
      </c>
      <c r="AH1" s="41" t="s">
        <v>375</v>
      </c>
      <c r="AI1" s="41" t="s">
        <v>376</v>
      </c>
      <c r="AJ1" s="41" t="s">
        <v>377</v>
      </c>
      <c r="AK1" s="41" t="s">
        <v>378</v>
      </c>
    </row>
    <row r="2" spans="1:8" ht="10.5">
      <c r="A2" s="73"/>
      <c r="B2" s="74"/>
      <c r="C2" s="74"/>
      <c r="D2" s="74"/>
      <c r="E2" s="74"/>
      <c r="F2" s="74"/>
      <c r="G2" s="74"/>
      <c r="H2" s="74"/>
    </row>
    <row r="3" spans="1:8" ht="10.5">
      <c r="A3" s="42"/>
      <c r="B3" s="75" t="s">
        <v>379</v>
      </c>
      <c r="C3" s="75"/>
      <c r="D3" s="75"/>
      <c r="E3" s="75"/>
      <c r="F3" s="75"/>
      <c r="G3" s="75"/>
      <c r="H3" s="75"/>
    </row>
    <row r="4" spans="1:8" ht="10.5">
      <c r="A4" s="42"/>
      <c r="B4" s="75" t="s">
        <v>380</v>
      </c>
      <c r="C4" s="75"/>
      <c r="D4" s="75"/>
      <c r="E4" s="75"/>
      <c r="F4" s="75"/>
      <c r="G4" s="75"/>
      <c r="H4" s="75"/>
    </row>
    <row r="5" spans="1:8" ht="10.5">
      <c r="A5" s="73"/>
      <c r="B5" s="74"/>
      <c r="C5" s="74"/>
      <c r="D5" s="74"/>
      <c r="E5" s="74"/>
      <c r="F5" s="74"/>
      <c r="G5" s="74"/>
      <c r="H5" s="74"/>
    </row>
    <row r="6" spans="1:37" ht="10.5">
      <c r="A6" s="43" t="str">
        <f>'Форма по МДС 81-35.2004'!A19</f>
        <v>1.</v>
      </c>
      <c r="B6" s="43">
        <f>'Форма по МДС 81-35.2004'!H19</f>
        <v>0</v>
      </c>
      <c r="C6" s="43">
        <f>ROUND(SUMIF('Форма по МДС 81-35.2004'!J19:J37,"Г",'Форма по МДС 81-35.2004'!H19:H37),0)</f>
        <v>0</v>
      </c>
      <c r="D6" s="43">
        <f>ROUND(SUMIF('Форма по МДС 81-35.2004'!J19:J37,"IsMash",'Форма по МДС 81-35.2004'!H19:H37),0)</f>
        <v>0</v>
      </c>
      <c r="E6" s="43">
        <f>'Форма по МДС 81-35.2004'!H20</f>
        <v>0</v>
      </c>
      <c r="F6" s="43">
        <f>ROUND(SUMIF('Форма по МДС 81-35.2004'!J19:J37,"IsMater",'Форма по МДС 81-35.2004'!H19:H37),0)</f>
        <v>0</v>
      </c>
      <c r="G6" s="43">
        <f>ROUND('Форма по МДС 81-35.2004'!F19*'Текущие цены за единицу'!G6,0)</f>
        <v>0</v>
      </c>
      <c r="H6" s="43">
        <f>ROUND('Форма по МДС 81-35.2004'!F19*'Текущие цены за единицу'!H6,0)</f>
        <v>0</v>
      </c>
      <c r="I6" s="36">
        <f>ОКРУГЛВСЕ(SUMIF('Форма по МДС 81-35.2004'!J19:J37,"Г",'Форма по МДС 81-35.2004'!F19:F37),8)</f>
        <v>0</v>
      </c>
      <c r="J6" s="36">
        <f>ОКРУГЛВСЕ('Форма по МДС 81-35.2004'!F19*'Текущие цены за единицу'!J6,8)</f>
        <v>0</v>
      </c>
      <c r="K6" s="36">
        <f>ОКРУГЛВСЕ(SUMIF('Форма по МДС 81-35.2004'!J19:J37,"Ж",'Форма по МДС 81-35.2004'!F19:F37),8)</f>
        <v>0</v>
      </c>
      <c r="L6" s="43">
        <f>ROUND('Форма по МДС 81-35.2004'!F19*'Текущие цены за единицу'!L6,0)</f>
        <v>0</v>
      </c>
      <c r="M6" s="43">
        <f>ROUND('Форма по МДС 81-35.2004'!F19*'Текущие цены за единицу'!M6,0)</f>
        <v>0</v>
      </c>
      <c r="N6" s="43">
        <f>ROUND((C6+E6)*'Форма по МДС 81-35.2004'!G32/100,0)</f>
        <v>0</v>
      </c>
      <c r="O6" s="43">
        <f>ROUND((C6+E6)*'Форма по МДС 81-35.2004'!G35/100,0)</f>
        <v>0</v>
      </c>
      <c r="P6" s="43">
        <f>ROUND('Форма по МДС 81-35.2004'!F19*'Текущие цены за единицу'!P6,0)</f>
        <v>0</v>
      </c>
      <c r="Q6" s="43">
        <f>ROUND('Форма по МДС 81-35.2004'!F19*'Текущие цены за единицу'!Q6,0)</f>
        <v>0</v>
      </c>
      <c r="R6" s="43">
        <f>ROUND('Форма по МДС 81-35.2004'!F19*'Текущие цены за единицу'!R6,0)</f>
        <v>0</v>
      </c>
      <c r="S6" s="43">
        <f>ROUND('Форма по МДС 81-35.2004'!F19*'Текущие цены за единицу'!S6,0)</f>
        <v>0</v>
      </c>
      <c r="T6" s="43">
        <f>ROUND('Форма по МДС 81-35.2004'!F19*'Текущие цены за единицу'!T6,0)</f>
        <v>0</v>
      </c>
      <c r="U6" s="43">
        <f>ROUND('Форма по МДС 81-35.2004'!F19*'Текущие цены за единицу'!U6,0)</f>
        <v>0</v>
      </c>
      <c r="V6" s="43">
        <f>ROUND('Форма по МДС 81-35.2004'!F19*'Текущие цены за единицу'!V6,0)</f>
        <v>0</v>
      </c>
      <c r="X6" s="40">
        <f>ROUND('Форма по МДС 81-35.2004'!F19*'Текущие цены за единицу'!X6,0)</f>
        <v>0</v>
      </c>
      <c r="Y6" s="40">
        <f>IF(Определители!I6="9",ROUND((C6+E6)*(Начисления!M6/100)*('Форма по МДС 81-35.2004'!G32/100),0),0)</f>
        <v>0</v>
      </c>
      <c r="Z6" s="40">
        <f>IF(Определители!I6="9",ROUND((C6+E6)*(100-Начисления!M6/100)*('Форма по МДС 81-35.2004'!G32/100),0),0)</f>
        <v>0</v>
      </c>
      <c r="AA6" s="40">
        <f>IF(Определители!I6="9",ROUND((C6+E6)*(Начисления!M6/100)*('Форма по МДС 81-35.2004'!G35/100),0),0)</f>
        <v>0</v>
      </c>
      <c r="AB6" s="40">
        <f>IF(Определители!I6="9",ROUND((C6+E6)*(100-Начисления!M6/100)*('Форма по МДС 81-35.2004'!G35/100),0),0)</f>
        <v>0</v>
      </c>
      <c r="AC6" s="40">
        <f>IF(Определители!I6="9",ROUND(B6*Начисления!M6/100,0),0)</f>
        <v>0</v>
      </c>
      <c r="AD6" s="40">
        <f>IF(Определители!I6="9",ROUND(B6*(100-Начисления!M6)/100,0),0)</f>
        <v>0</v>
      </c>
      <c r="AE6" s="40">
        <f>ROUND('Форма по МДС 81-35.2004'!F19*'Текущие цены за единицу'!AE6,0)</f>
        <v>0</v>
      </c>
      <c r="AH6" s="40">
        <f>ROUND('Форма по МДС 81-35.2004'!F19*'Текущие цены за единицу'!AH6,0)</f>
        <v>0</v>
      </c>
      <c r="AI6" s="40">
        <f>ROUND('Форма по МДС 81-35.2004'!F19*'Текущие цены за единицу'!AI6,0)</f>
        <v>0</v>
      </c>
      <c r="AJ6" s="40">
        <f>ROUND('Форма по МДС 81-35.2004'!F19*'Текущие цены за единицу'!AJ6,0)</f>
        <v>0</v>
      </c>
      <c r="AK6" s="40">
        <f>ROUND('Форма по МДС 81-35.2004'!F19*'Текущие цены за единицу'!AK6,0)</f>
        <v>0</v>
      </c>
    </row>
    <row r="7" spans="1:37" ht="10.5">
      <c r="A7" s="43" t="str">
        <f>'Форма по МДС 81-35.2004'!A38</f>
        <v>2.</v>
      </c>
      <c r="B7" s="43">
        <f>'Форма по МДС 81-35.2004'!H38</f>
        <v>74568</v>
      </c>
      <c r="C7" s="43">
        <f>ROUND(SUMIF('Форма по МДС 81-35.2004'!J38:J64,"Г",'Форма по МДС 81-35.2004'!H38:H64),0)</f>
        <v>6059</v>
      </c>
      <c r="D7" s="43">
        <f>ROUND(SUMIF('Форма по МДС 81-35.2004'!J38:J64,"IsMash",'Форма по МДС 81-35.2004'!H38:H64),0)</f>
        <v>21596</v>
      </c>
      <c r="E7" s="43">
        <f>'Форма по МДС 81-35.2004'!H41</f>
        <v>5276</v>
      </c>
      <c r="F7" s="43">
        <f>ROUND(SUMIF('Форма по МДС 81-35.2004'!J38:J64,"IsMater",'Форма по МДС 81-35.2004'!H38:H64),0)</f>
        <v>46914</v>
      </c>
      <c r="G7" s="43">
        <f>ROUND('Форма по МДС 81-35.2004'!F38*'Текущие цены за единицу'!G7,0)</f>
        <v>0</v>
      </c>
      <c r="H7" s="43">
        <f>ROUND('Форма по МДС 81-35.2004'!F38*'Текущие цены за единицу'!H7,0)</f>
        <v>0</v>
      </c>
      <c r="I7" s="36">
        <f>ОКРУГЛВСЕ(SUMIF('Форма по МДС 81-35.2004'!J38:J64,"Г",'Форма по МДС 81-35.2004'!F38:F64),8)</f>
        <v>31.385671</v>
      </c>
      <c r="J7" s="36">
        <f>ОКРУГЛВСЕ('Форма по МДС 81-35.2004'!F38*'Текущие цены за единицу'!J7,8)</f>
        <v>0</v>
      </c>
      <c r="K7" s="36">
        <f>ОКРУГЛВСЕ(SUMIF('Форма по МДС 81-35.2004'!J38:J64,"Ж",'Форма по МДС 81-35.2004'!F38:F64),8)</f>
        <v>19.01484</v>
      </c>
      <c r="L7" s="43">
        <f>ROUND('Форма по МДС 81-35.2004'!F38*'Текущие цены за единицу'!L7,0)</f>
        <v>0</v>
      </c>
      <c r="M7" s="43">
        <f>ROUND('Форма по МДС 81-35.2004'!F38*'Текущие цены за единицу'!M7,0)</f>
        <v>0</v>
      </c>
      <c r="N7" s="43">
        <f>ROUND((C7+E7)*'Форма по МДС 81-35.2004'!G58/100,0)</f>
        <v>14395</v>
      </c>
      <c r="O7" s="43">
        <f>ROUND((C7+E7)*'Форма по МДС 81-35.2004'!G61/100,0)</f>
        <v>7368</v>
      </c>
      <c r="P7" s="43">
        <f>ROUND('Форма по МДС 81-35.2004'!F38*'Текущие цены за единицу'!P7,0)</f>
        <v>7695</v>
      </c>
      <c r="Q7" s="43">
        <f>ROUND('Форма по МДС 81-35.2004'!F38*'Текущие цены за единицу'!Q7,0)</f>
        <v>6701</v>
      </c>
      <c r="R7" s="43">
        <f>ROUND('Форма по МДС 81-35.2004'!F38*'Текущие цены за единицу'!R7,0)</f>
        <v>3938</v>
      </c>
      <c r="S7" s="43">
        <f>ROUND('Форма по МДС 81-35.2004'!F38*'Текущие цены за единицу'!S7,0)</f>
        <v>3430</v>
      </c>
      <c r="T7" s="43">
        <f>ROUND('Форма по МДС 81-35.2004'!F38*'Текущие цены за единицу'!T7,0)</f>
        <v>0</v>
      </c>
      <c r="U7" s="43">
        <f>ROUND('Форма по МДС 81-35.2004'!F38*'Текущие цены за единицу'!U7,0)</f>
        <v>0</v>
      </c>
      <c r="V7" s="43">
        <f>ROUND('Форма по МДС 81-35.2004'!F38*'Текущие цены за единицу'!V7,0)</f>
        <v>0</v>
      </c>
      <c r="X7" s="40">
        <f>ROUND('Форма по МДС 81-35.2004'!F38*'Текущие цены за единицу'!X7,0)</f>
        <v>0</v>
      </c>
      <c r="Y7" s="40">
        <f>IF(Определители!I7="9",ROUND((C7+E7)*(Начисления!M7/100)*('Форма по МДС 81-35.2004'!G58/100),0),0)</f>
        <v>0</v>
      </c>
      <c r="Z7" s="40">
        <f>IF(Определители!I7="9",ROUND((C7+E7)*(100-Начисления!M7/100)*('Форма по МДС 81-35.2004'!G58/100),0),0)</f>
        <v>0</v>
      </c>
      <c r="AA7" s="40">
        <f>IF(Определители!I7="9",ROUND((C7+E7)*(Начисления!M7/100)*('Форма по МДС 81-35.2004'!G61/100),0),0)</f>
        <v>0</v>
      </c>
      <c r="AB7" s="40">
        <f>IF(Определители!I7="9",ROUND((C7+E7)*(100-Начисления!M7/100)*('Форма по МДС 81-35.2004'!G61/100),0),0)</f>
        <v>0</v>
      </c>
      <c r="AC7" s="40">
        <f>IF(Определители!I7="9",ROUND(B7*Начисления!M7/100,0),0)</f>
        <v>0</v>
      </c>
      <c r="AD7" s="40">
        <f>IF(Определители!I7="9",ROUND(B7*(100-Начисления!M7)/100,0),0)</f>
        <v>0</v>
      </c>
      <c r="AE7" s="40">
        <f>ROUND('Форма по МДС 81-35.2004'!F38*'Текущие цены за единицу'!AE7,0)</f>
        <v>0</v>
      </c>
      <c r="AH7" s="40">
        <f>ROUND('Форма по МДС 81-35.2004'!F38*'Текущие цены за единицу'!AH7,0)</f>
        <v>0</v>
      </c>
      <c r="AI7" s="40">
        <f>ROUND('Форма по МДС 81-35.2004'!F38*'Текущие цены за единицу'!AI7,0)</f>
        <v>0</v>
      </c>
      <c r="AJ7" s="40">
        <f>ROUND('Форма по МДС 81-35.2004'!F38*'Текущие цены за единицу'!AJ7,0)</f>
        <v>0</v>
      </c>
      <c r="AK7" s="40">
        <f>ROUND('Форма по МДС 81-35.2004'!F38*'Текущие цены за единицу'!AK7,0)</f>
        <v>0</v>
      </c>
    </row>
    <row r="8" spans="1:37" ht="10.5">
      <c r="A8" s="43" t="str">
        <f>'Форма по МДС 81-35.2004'!A65</f>
        <v>3.</v>
      </c>
      <c r="B8" s="43">
        <f>'Форма по МДС 81-35.2004'!H65</f>
        <v>0</v>
      </c>
      <c r="C8" s="43">
        <f>ROUND(SUMIF('Форма по МДС 81-35.2004'!J65:J91,"Г",'Форма по МДС 81-35.2004'!H65:H91),0)</f>
        <v>0</v>
      </c>
      <c r="D8" s="43">
        <f>ROUND(SUMIF('Форма по МДС 81-35.2004'!J65:J91,"IsMash",'Форма по МДС 81-35.2004'!H65:H91),0)</f>
        <v>0</v>
      </c>
      <c r="E8" s="43">
        <f>'Форма по МДС 81-35.2004'!H68</f>
        <v>0</v>
      </c>
      <c r="F8" s="43">
        <f>ROUND(SUMIF('Форма по МДС 81-35.2004'!J65:J91,"IsMater",'Форма по МДС 81-35.2004'!H65:H91),0)</f>
        <v>0</v>
      </c>
      <c r="G8" s="43">
        <f>ROUND('Форма по МДС 81-35.2004'!F65*'Текущие цены за единицу'!G8,0)</f>
        <v>0</v>
      </c>
      <c r="H8" s="43">
        <f>ROUND('Форма по МДС 81-35.2004'!F65*'Текущие цены за единицу'!H8,0)</f>
        <v>0</v>
      </c>
      <c r="I8" s="36">
        <f>ОКРУГЛВСЕ(SUMIF('Форма по МДС 81-35.2004'!J65:J91,"Г",'Форма по МДС 81-35.2004'!F65:F91),8)</f>
        <v>0</v>
      </c>
      <c r="J8" s="36">
        <f>ОКРУГЛВСЕ('Форма по МДС 81-35.2004'!F65*'Текущие цены за единицу'!J8,8)</f>
        <v>0</v>
      </c>
      <c r="K8" s="36">
        <f>ОКРУГЛВСЕ(SUMIF('Форма по МДС 81-35.2004'!J65:J91,"Ж",'Форма по МДС 81-35.2004'!F65:F91),8)</f>
        <v>0</v>
      </c>
      <c r="L8" s="43">
        <f>ROUND('Форма по МДС 81-35.2004'!F65*'Текущие цены за единицу'!L8,0)</f>
        <v>0</v>
      </c>
      <c r="M8" s="43">
        <f>ROUND('Форма по МДС 81-35.2004'!F65*'Текущие цены за единицу'!M8,0)</f>
        <v>0</v>
      </c>
      <c r="N8" s="43">
        <f>ROUND((C8+E8)*'Форма по МДС 81-35.2004'!G85/100,0)</f>
        <v>0</v>
      </c>
      <c r="O8" s="43">
        <f>ROUND((C8+E8)*'Форма по МДС 81-35.2004'!G88/100,0)</f>
        <v>0</v>
      </c>
      <c r="P8" s="43">
        <f>ROUND('Форма по МДС 81-35.2004'!F65*'Текущие цены за единицу'!P8,0)</f>
        <v>0</v>
      </c>
      <c r="Q8" s="43">
        <f>ROUND('Форма по МДС 81-35.2004'!F65*'Текущие цены за единицу'!Q8,0)</f>
        <v>0</v>
      </c>
      <c r="R8" s="43">
        <f>ROUND('Форма по МДС 81-35.2004'!F65*'Текущие цены за единицу'!R8,0)</f>
        <v>0</v>
      </c>
      <c r="S8" s="43">
        <f>ROUND('Форма по МДС 81-35.2004'!F65*'Текущие цены за единицу'!S8,0)</f>
        <v>0</v>
      </c>
      <c r="T8" s="43">
        <f>ROUND('Форма по МДС 81-35.2004'!F65*'Текущие цены за единицу'!T8,0)</f>
        <v>0</v>
      </c>
      <c r="U8" s="43">
        <f>ROUND('Форма по МДС 81-35.2004'!F65*'Текущие цены за единицу'!U8,0)</f>
        <v>0</v>
      </c>
      <c r="V8" s="43">
        <f>ROUND('Форма по МДС 81-35.2004'!F65*'Текущие цены за единицу'!V8,0)</f>
        <v>0</v>
      </c>
      <c r="X8" s="40">
        <f>ROUND('Форма по МДС 81-35.2004'!F65*'Текущие цены за единицу'!X8,0)</f>
        <v>0</v>
      </c>
      <c r="Y8" s="40">
        <f>IF(Определители!I8="9",ROUND((C8+E8)*(Начисления!M8/100)*('Форма по МДС 81-35.2004'!G85/100),0),0)</f>
        <v>0</v>
      </c>
      <c r="Z8" s="40">
        <f>IF(Определители!I8="9",ROUND((C8+E8)*(100-Начисления!M8/100)*('Форма по МДС 81-35.2004'!G85/100),0),0)</f>
        <v>0</v>
      </c>
      <c r="AA8" s="40">
        <f>IF(Определители!I8="9",ROUND((C8+E8)*(Начисления!M8/100)*('Форма по МДС 81-35.2004'!G88/100),0),0)</f>
        <v>0</v>
      </c>
      <c r="AB8" s="40">
        <f>IF(Определители!I8="9",ROUND((C8+E8)*(100-Начисления!M8/100)*('Форма по МДС 81-35.2004'!G88/100),0),0)</f>
        <v>0</v>
      </c>
      <c r="AC8" s="40">
        <f>IF(Определители!I8="9",ROUND(B8*Начисления!M8/100,0),0)</f>
        <v>0</v>
      </c>
      <c r="AD8" s="40">
        <f>IF(Определители!I8="9",ROUND(B8*(100-Начисления!M8)/100,0),0)</f>
        <v>0</v>
      </c>
      <c r="AE8" s="40">
        <f>ROUND('Форма по МДС 81-35.2004'!F65*'Текущие цены за единицу'!AE8,0)</f>
        <v>0</v>
      </c>
      <c r="AH8" s="40">
        <f>ROUND('Форма по МДС 81-35.2004'!F65*'Текущие цены за единицу'!AH8,0)</f>
        <v>0</v>
      </c>
      <c r="AI8" s="40">
        <f>ROUND('Форма по МДС 81-35.2004'!F65*'Текущие цены за единицу'!AI8,0)</f>
        <v>0</v>
      </c>
      <c r="AJ8" s="40">
        <f>ROUND('Форма по МДС 81-35.2004'!F65*'Текущие цены за единицу'!AJ8,0)</f>
        <v>0</v>
      </c>
      <c r="AK8" s="40">
        <f>ROUND('Форма по МДС 81-35.2004'!F65*'Текущие цены за единицу'!AK8,0)</f>
        <v>0</v>
      </c>
    </row>
    <row r="9" spans="1:37" ht="10.5">
      <c r="A9" s="43" t="str">
        <f>'Форма по МДС 81-35.2004'!A92</f>
        <v>4.</v>
      </c>
      <c r="B9" s="43">
        <f>'Форма по МДС 81-35.2004'!H92</f>
        <v>9135</v>
      </c>
      <c r="C9" s="43">
        <f>ROUND(SUMIF('Форма по МДС 81-35.2004'!J92:J118,"Г",'Форма по МДС 81-35.2004'!H92:H118),0)</f>
        <v>877</v>
      </c>
      <c r="D9" s="43">
        <f>ROUND(SUMIF('Форма по МДС 81-35.2004'!J92:J118,"IsMash",'Форма по МДС 81-35.2004'!H92:H118),0)</f>
        <v>3125</v>
      </c>
      <c r="E9" s="43">
        <f>'Форма по МДС 81-35.2004'!H95</f>
        <v>763</v>
      </c>
      <c r="F9" s="43">
        <f>ROUND(SUMIF('Форма по МДС 81-35.2004'!J92:J118,"IsMater",'Форма по МДС 81-35.2004'!H92:H118),0)</f>
        <v>5134</v>
      </c>
      <c r="G9" s="43">
        <f>ROUND('Форма по МДС 81-35.2004'!F92*'Текущие цены за единицу'!G9,0)</f>
        <v>0</v>
      </c>
      <c r="H9" s="43">
        <f>ROUND('Форма по МДС 81-35.2004'!F92*'Текущие цены за единицу'!H9,0)</f>
        <v>0</v>
      </c>
      <c r="I9" s="36">
        <f>ОКРУГЛВСЕ(SUMIF('Форма по МДС 81-35.2004'!J92:J118,"Г",'Форма по МДС 81-35.2004'!F92:F118),8)</f>
        <v>4.5406692</v>
      </c>
      <c r="J9" s="36">
        <f>ОКРУГЛВСЕ('Форма по МДС 81-35.2004'!F92*'Текущие цены за единицу'!J9,8)</f>
        <v>0</v>
      </c>
      <c r="K9" s="36">
        <f>ОКРУГЛВСЕ(SUMIF('Форма по МДС 81-35.2004'!J92:J118,"Ж",'Форма по МДС 81-35.2004'!F92:F118),8)</f>
        <v>2.75094</v>
      </c>
      <c r="L9" s="43">
        <f>ROUND('Форма по МДС 81-35.2004'!F92*'Текущие цены за единицу'!L9,0)</f>
        <v>0</v>
      </c>
      <c r="M9" s="43">
        <f>ROUND('Форма по МДС 81-35.2004'!F92*'Текущие цены за единицу'!M9,0)</f>
        <v>0</v>
      </c>
      <c r="N9" s="43">
        <f>ROUND((C9+E9)*'Форма по МДС 81-35.2004'!G112/100,0)</f>
        <v>2083</v>
      </c>
      <c r="O9" s="43">
        <f>ROUND((C9+E9)*'Форма по МДС 81-35.2004'!G115/100,0)</f>
        <v>1066</v>
      </c>
      <c r="P9" s="43">
        <f>ROUND('Форма по МДС 81-35.2004'!F92*'Текущие цены за единицу'!P9,0)</f>
        <v>1113</v>
      </c>
      <c r="Q9" s="43">
        <f>ROUND('Форма по МДС 81-35.2004'!F92*'Текущие цены за единицу'!Q9,0)</f>
        <v>969</v>
      </c>
      <c r="R9" s="43">
        <f>ROUND('Форма по МДС 81-35.2004'!F92*'Текущие цены за единицу'!R9,0)</f>
        <v>570</v>
      </c>
      <c r="S9" s="43">
        <f>ROUND('Форма по МДС 81-35.2004'!F92*'Текущие цены за единицу'!S9,0)</f>
        <v>496</v>
      </c>
      <c r="T9" s="43">
        <f>ROUND('Форма по МДС 81-35.2004'!F92*'Текущие цены за единицу'!T9,0)</f>
        <v>0</v>
      </c>
      <c r="U9" s="43">
        <f>ROUND('Форма по МДС 81-35.2004'!F92*'Текущие цены за единицу'!U9,0)</f>
        <v>0</v>
      </c>
      <c r="V9" s="43">
        <f>ROUND('Форма по МДС 81-35.2004'!F92*'Текущие цены за единицу'!V9,0)</f>
        <v>0</v>
      </c>
      <c r="X9" s="40">
        <f>ROUND('Форма по МДС 81-35.2004'!F92*'Текущие цены за единицу'!X9,0)</f>
        <v>0</v>
      </c>
      <c r="Y9" s="40">
        <f>IF(Определители!I9="9",ROUND((C9+E9)*(Начисления!M9/100)*('Форма по МДС 81-35.2004'!G112/100),0),0)</f>
        <v>0</v>
      </c>
      <c r="Z9" s="40">
        <f>IF(Определители!I9="9",ROUND((C9+E9)*(100-Начисления!M9/100)*('Форма по МДС 81-35.2004'!G112/100),0),0)</f>
        <v>0</v>
      </c>
      <c r="AA9" s="40">
        <f>IF(Определители!I9="9",ROUND((C9+E9)*(Начисления!M9/100)*('Форма по МДС 81-35.2004'!G115/100),0),0)</f>
        <v>0</v>
      </c>
      <c r="AB9" s="40">
        <f>IF(Определители!I9="9",ROUND((C9+E9)*(100-Начисления!M9/100)*('Форма по МДС 81-35.2004'!G115/100),0),0)</f>
        <v>0</v>
      </c>
      <c r="AC9" s="40">
        <f>IF(Определители!I9="9",ROUND(B9*Начисления!M9/100,0),0)</f>
        <v>0</v>
      </c>
      <c r="AD9" s="40">
        <f>IF(Определители!I9="9",ROUND(B9*(100-Начисления!M9)/100,0),0)</f>
        <v>0</v>
      </c>
      <c r="AE9" s="40">
        <f>ROUND('Форма по МДС 81-35.2004'!F92*'Текущие цены за единицу'!AE9,0)</f>
        <v>0</v>
      </c>
      <c r="AH9" s="40">
        <f>ROUND('Форма по МДС 81-35.2004'!F92*'Текущие цены за единицу'!AH9,0)</f>
        <v>0</v>
      </c>
      <c r="AI9" s="40">
        <f>ROUND('Форма по МДС 81-35.2004'!F92*'Текущие цены за единицу'!AI9,0)</f>
        <v>0</v>
      </c>
      <c r="AJ9" s="40">
        <f>ROUND('Форма по МДС 81-35.2004'!F92*'Текущие цены за единицу'!AJ9,0)</f>
        <v>0</v>
      </c>
      <c r="AK9" s="40">
        <f>ROUND('Форма по МДС 81-35.2004'!F92*'Текущие цены за единицу'!AK9,0)</f>
        <v>0</v>
      </c>
    </row>
    <row r="10" spans="1:37" ht="10.5">
      <c r="A10" s="43" t="str">
        <f>'Форма по МДС 81-35.2004'!A119</f>
        <v>5.</v>
      </c>
      <c r="B10" s="43">
        <f>'Форма по МДС 81-35.2004'!H119</f>
        <v>5704</v>
      </c>
      <c r="C10" s="43">
        <f>ROUND(SUMIF('Форма по МДС 81-35.2004'!J119:J145,"Г",'Форма по МДС 81-35.2004'!H119:H145),0)</f>
        <v>668</v>
      </c>
      <c r="D10" s="43">
        <f>ROUND(SUMIF('Форма по МДС 81-35.2004'!J119:J145,"IsMash",'Форма по МДС 81-35.2004'!H119:H145),0)</f>
        <v>2380</v>
      </c>
      <c r="E10" s="43">
        <f>'Форма по МДС 81-35.2004'!H122</f>
        <v>582</v>
      </c>
      <c r="F10" s="43">
        <f>ROUND(SUMIF('Форма по МДС 81-35.2004'!J119:J145,"IsMater",'Форма по МДС 81-35.2004'!H119:H145),0)</f>
        <v>2656</v>
      </c>
      <c r="G10" s="43">
        <f>ROUND('Форма по МДС 81-35.2004'!F119*'Текущие цены за единицу'!G10,0)</f>
        <v>0</v>
      </c>
      <c r="H10" s="43">
        <f>ROUND('Форма по МДС 81-35.2004'!F119*'Текущие цены за единицу'!H10,0)</f>
        <v>0</v>
      </c>
      <c r="I10" s="36">
        <f>ОКРУГЛВСЕ(SUMIF('Форма по МДС 81-35.2004'!J119:J145,"Г",'Форма по МДС 81-35.2004'!F119:F145),8)</f>
        <v>3.459798</v>
      </c>
      <c r="J10" s="36">
        <f>ОКРУГЛВСЕ('Форма по МДС 81-35.2004'!F119*'Текущие цены за единицу'!J10,8)</f>
        <v>0</v>
      </c>
      <c r="K10" s="36">
        <f>ОКРУГЛВСЕ(SUMIF('Форма по МДС 81-35.2004'!J119:J145,"Ж",'Форма по МДС 81-35.2004'!F119:F145),8)</f>
        <v>2.0961</v>
      </c>
      <c r="L10" s="43">
        <f>ROUND('Форма по МДС 81-35.2004'!F119*'Текущие цены за единицу'!L10,0)</f>
        <v>0</v>
      </c>
      <c r="M10" s="43">
        <f>ROUND('Форма по МДС 81-35.2004'!F119*'Текущие цены за единицу'!M10,0)</f>
        <v>0</v>
      </c>
      <c r="N10" s="43">
        <f>ROUND((C10+E10)*'Форма по МДС 81-35.2004'!G139/100,0)</f>
        <v>1588</v>
      </c>
      <c r="O10" s="43">
        <f>ROUND((C10+E10)*'Форма по МДС 81-35.2004'!G142/100,0)</f>
        <v>813</v>
      </c>
      <c r="P10" s="43">
        <f>ROUND('Форма по МДС 81-35.2004'!F119*'Текущие цены за единицу'!P10,0)</f>
        <v>848</v>
      </c>
      <c r="Q10" s="43">
        <f>ROUND('Форма по МДС 81-35.2004'!F119*'Текущие цены за единицу'!Q10,0)</f>
        <v>739</v>
      </c>
      <c r="R10" s="43">
        <f>ROUND('Форма по МДС 81-35.2004'!F119*'Текущие цены за единицу'!R10,0)</f>
        <v>434</v>
      </c>
      <c r="S10" s="43">
        <f>ROUND('Форма по МДС 81-35.2004'!F119*'Текущие цены за единицу'!S10,0)</f>
        <v>378</v>
      </c>
      <c r="T10" s="43">
        <f>ROUND('Форма по МДС 81-35.2004'!F119*'Текущие цены за единицу'!T10,0)</f>
        <v>0</v>
      </c>
      <c r="U10" s="43">
        <f>ROUND('Форма по МДС 81-35.2004'!F119*'Текущие цены за единицу'!U10,0)</f>
        <v>0</v>
      </c>
      <c r="V10" s="43">
        <f>ROUND('Форма по МДС 81-35.2004'!F119*'Текущие цены за единицу'!V10,0)</f>
        <v>0</v>
      </c>
      <c r="X10" s="40">
        <f>ROUND('Форма по МДС 81-35.2004'!F119*'Текущие цены за единицу'!X10,0)</f>
        <v>0</v>
      </c>
      <c r="Y10" s="40">
        <f>IF(Определители!I10="9",ROUND((C10+E10)*(Начисления!M10/100)*('Форма по МДС 81-35.2004'!G139/100),0),0)</f>
        <v>0</v>
      </c>
      <c r="Z10" s="40">
        <f>IF(Определители!I10="9",ROUND((C10+E10)*(100-Начисления!M10/100)*('Форма по МДС 81-35.2004'!G139/100),0),0)</f>
        <v>0</v>
      </c>
      <c r="AA10" s="40">
        <f>IF(Определители!I10="9",ROUND((C10+E10)*(Начисления!M10/100)*('Форма по МДС 81-35.2004'!G142/100),0),0)</f>
        <v>0</v>
      </c>
      <c r="AB10" s="40">
        <f>IF(Определители!I10="9",ROUND((C10+E10)*(100-Начисления!M10/100)*('Форма по МДС 81-35.2004'!G142/100),0),0)</f>
        <v>0</v>
      </c>
      <c r="AC10" s="40">
        <f>IF(Определители!I10="9",ROUND(B10*Начисления!M10/100,0),0)</f>
        <v>0</v>
      </c>
      <c r="AD10" s="40">
        <f>IF(Определители!I10="9",ROUND(B10*(100-Начисления!M10)/100,0),0)</f>
        <v>0</v>
      </c>
      <c r="AE10" s="40">
        <f>ROUND('Форма по МДС 81-35.2004'!F119*'Текущие цены за единицу'!AE10,0)</f>
        <v>0</v>
      </c>
      <c r="AH10" s="40">
        <f>ROUND('Форма по МДС 81-35.2004'!F119*'Текущие цены за единицу'!AH10,0)</f>
        <v>0</v>
      </c>
      <c r="AI10" s="40">
        <f>ROUND('Форма по МДС 81-35.2004'!F119*'Текущие цены за единицу'!AI10,0)</f>
        <v>0</v>
      </c>
      <c r="AJ10" s="40">
        <f>ROUND('Форма по МДС 81-35.2004'!F119*'Текущие цены за единицу'!AJ10,0)</f>
        <v>0</v>
      </c>
      <c r="AK10" s="40">
        <f>ROUND('Форма по МДС 81-35.2004'!F119*'Текущие цены за единицу'!AK10,0)</f>
        <v>0</v>
      </c>
    </row>
    <row r="11" spans="1:37" ht="10.5">
      <c r="A11" s="43" t="str">
        <f>'Форма по МДС 81-35.2004'!A146</f>
        <v>6.</v>
      </c>
      <c r="B11" s="43">
        <f>'Форма по МДС 81-35.2004'!H146</f>
        <v>0</v>
      </c>
      <c r="C11" s="43">
        <f>ROUND(SUMIF('Форма по МДС 81-35.2004'!J146:J171,"Г",'Форма по МДС 81-35.2004'!H146:H171),0)</f>
        <v>0</v>
      </c>
      <c r="D11" s="43">
        <f>ROUND(SUMIF('Форма по МДС 81-35.2004'!J146:J171,"IsMash",'Форма по МДС 81-35.2004'!H146:H171),0)</f>
        <v>0</v>
      </c>
      <c r="E11" s="43">
        <f>'Форма по МДС 81-35.2004'!H147</f>
        <v>0</v>
      </c>
      <c r="F11" s="43">
        <f>ROUND(SUMIF('Форма по МДС 81-35.2004'!J146:J171,"IsMater",'Форма по МДС 81-35.2004'!H146:H171),0)</f>
        <v>0</v>
      </c>
      <c r="G11" s="43">
        <f>ROUND('Форма по МДС 81-35.2004'!F146*'Текущие цены за единицу'!G11,0)</f>
        <v>0</v>
      </c>
      <c r="H11" s="43">
        <f>ROUND('Форма по МДС 81-35.2004'!F146*'Текущие цены за единицу'!H11,0)</f>
        <v>0</v>
      </c>
      <c r="I11" s="36">
        <f>ОКРУГЛВСЕ(SUMIF('Форма по МДС 81-35.2004'!J146:J171,"Г",'Форма по МДС 81-35.2004'!F146:F171),8)</f>
        <v>0</v>
      </c>
      <c r="J11" s="36">
        <f>ОКРУГЛВСЕ('Форма по МДС 81-35.2004'!F146*'Текущие цены за единицу'!J11,8)</f>
        <v>0</v>
      </c>
      <c r="K11" s="36">
        <f>ОКРУГЛВСЕ(SUMIF('Форма по МДС 81-35.2004'!J146:J171,"Ж",'Форма по МДС 81-35.2004'!F146:F171),8)</f>
        <v>0</v>
      </c>
      <c r="L11" s="43">
        <f>ROUND('Форма по МДС 81-35.2004'!F146*'Текущие цены за единицу'!L11,0)</f>
        <v>0</v>
      </c>
      <c r="M11" s="43">
        <f>ROUND('Форма по МДС 81-35.2004'!F146*'Текущие цены за единицу'!M11,0)</f>
        <v>0</v>
      </c>
      <c r="N11" s="43">
        <f>ROUND((C11+E11)*'Форма по МДС 81-35.2004'!G165/100,0)</f>
        <v>0</v>
      </c>
      <c r="O11" s="43">
        <f>ROUND((C11+E11)*'Форма по МДС 81-35.2004'!G168/100,0)</f>
        <v>0</v>
      </c>
      <c r="P11" s="43">
        <f>ROUND('Форма по МДС 81-35.2004'!F146*'Текущие цены за единицу'!P11,0)</f>
        <v>0</v>
      </c>
      <c r="Q11" s="43">
        <f>ROUND('Форма по МДС 81-35.2004'!F146*'Текущие цены за единицу'!Q11,0)</f>
        <v>0</v>
      </c>
      <c r="R11" s="43">
        <f>ROUND('Форма по МДС 81-35.2004'!F146*'Текущие цены за единицу'!R11,0)</f>
        <v>0</v>
      </c>
      <c r="S11" s="43">
        <f>ROUND('Форма по МДС 81-35.2004'!F146*'Текущие цены за единицу'!S11,0)</f>
        <v>0</v>
      </c>
      <c r="T11" s="43">
        <f>ROUND('Форма по МДС 81-35.2004'!F146*'Текущие цены за единицу'!T11,0)</f>
        <v>0</v>
      </c>
      <c r="U11" s="43">
        <f>ROUND('Форма по МДС 81-35.2004'!F146*'Текущие цены за единицу'!U11,0)</f>
        <v>0</v>
      </c>
      <c r="V11" s="43">
        <f>ROUND('Форма по МДС 81-35.2004'!F146*'Текущие цены за единицу'!V11,0)</f>
        <v>0</v>
      </c>
      <c r="X11" s="40">
        <f>ROUND('Форма по МДС 81-35.2004'!F146*'Текущие цены за единицу'!X11,0)</f>
        <v>0</v>
      </c>
      <c r="Y11" s="40">
        <f>IF(Определители!I11="9",ROUND((C11+E11)*(Начисления!M11/100)*('Форма по МДС 81-35.2004'!G165/100),0),0)</f>
        <v>0</v>
      </c>
      <c r="Z11" s="40">
        <f>IF(Определители!I11="9",ROUND((C11+E11)*(100-Начисления!M11/100)*('Форма по МДС 81-35.2004'!G165/100),0),0)</f>
        <v>0</v>
      </c>
      <c r="AA11" s="40">
        <f>IF(Определители!I11="9",ROUND((C11+E11)*(Начисления!M11/100)*('Форма по МДС 81-35.2004'!G168/100),0),0)</f>
        <v>0</v>
      </c>
      <c r="AB11" s="40">
        <f>IF(Определители!I11="9",ROUND((C11+E11)*(100-Начисления!M11/100)*('Форма по МДС 81-35.2004'!G168/100),0),0)</f>
        <v>0</v>
      </c>
      <c r="AC11" s="40">
        <f>IF(Определители!I11="9",ROUND(B11*Начисления!M11/100,0),0)</f>
        <v>0</v>
      </c>
      <c r="AD11" s="40">
        <f>IF(Определители!I11="9",ROUND(B11*(100-Начисления!M11)/100,0),0)</f>
        <v>0</v>
      </c>
      <c r="AE11" s="40">
        <f>ROUND('Форма по МДС 81-35.2004'!F146*'Текущие цены за единицу'!AE11,0)</f>
        <v>0</v>
      </c>
      <c r="AH11" s="40">
        <f>ROUND('Форма по МДС 81-35.2004'!F146*'Текущие цены за единицу'!AH11,0)</f>
        <v>0</v>
      </c>
      <c r="AI11" s="40">
        <f>ROUND('Форма по МДС 81-35.2004'!F146*'Текущие цены за единицу'!AI11,0)</f>
        <v>0</v>
      </c>
      <c r="AJ11" s="40">
        <f>ROUND('Форма по МДС 81-35.2004'!F146*'Текущие цены за единицу'!AJ11,0)</f>
        <v>0</v>
      </c>
      <c r="AK11" s="40">
        <f>ROUND('Форма по МДС 81-35.2004'!F146*'Текущие цены за единицу'!AK11,0)</f>
        <v>0</v>
      </c>
    </row>
    <row r="12" spans="1:37" ht="10.5">
      <c r="A12" s="43" t="str">
        <f>'Форма по МДС 81-35.2004'!A172</f>
        <v>7.</v>
      </c>
      <c r="B12" s="43">
        <f>'Форма по МДС 81-35.2004'!H172</f>
        <v>0</v>
      </c>
      <c r="C12" s="43">
        <f>ROUND(SUMIF('Форма по МДС 81-35.2004'!J172:J197,"Г",'Форма по МДС 81-35.2004'!H172:H197),0)</f>
        <v>0</v>
      </c>
      <c r="D12" s="43">
        <f>ROUND(SUMIF('Форма по МДС 81-35.2004'!J172:J197,"IsMash",'Форма по МДС 81-35.2004'!H172:H197),0)</f>
        <v>0</v>
      </c>
      <c r="E12" s="43">
        <f>'Форма по МДС 81-35.2004'!H173</f>
        <v>0</v>
      </c>
      <c r="F12" s="43">
        <f>ROUND(SUMIF('Форма по МДС 81-35.2004'!J172:J197,"IsMater",'Форма по МДС 81-35.2004'!H172:H197),0)</f>
        <v>0</v>
      </c>
      <c r="G12" s="43">
        <f>ROUND('Форма по МДС 81-35.2004'!F172*'Текущие цены за единицу'!G12,0)</f>
        <v>0</v>
      </c>
      <c r="H12" s="43">
        <f>ROUND('Форма по МДС 81-35.2004'!F172*'Текущие цены за единицу'!H12,0)</f>
        <v>0</v>
      </c>
      <c r="I12" s="36">
        <f>ОКРУГЛВСЕ(SUMIF('Форма по МДС 81-35.2004'!J172:J197,"Г",'Форма по МДС 81-35.2004'!F172:F197),8)</f>
        <v>0</v>
      </c>
      <c r="J12" s="36">
        <f>ОКРУГЛВСЕ('Форма по МДС 81-35.2004'!F172*'Текущие цены за единицу'!J12,8)</f>
        <v>0</v>
      </c>
      <c r="K12" s="36">
        <f>ОКРУГЛВСЕ(SUMIF('Форма по МДС 81-35.2004'!J172:J197,"Ж",'Форма по МДС 81-35.2004'!F172:F197),8)</f>
        <v>0</v>
      </c>
      <c r="L12" s="43">
        <f>ROUND('Форма по МДС 81-35.2004'!F172*'Текущие цены за единицу'!L12,0)</f>
        <v>0</v>
      </c>
      <c r="M12" s="43">
        <f>ROUND('Форма по МДС 81-35.2004'!F172*'Текущие цены за единицу'!M12,0)</f>
        <v>0</v>
      </c>
      <c r="N12" s="43">
        <f>ROUND((C12+E12)*'Форма по МДС 81-35.2004'!G191/100,0)</f>
        <v>0</v>
      </c>
      <c r="O12" s="43">
        <f>ROUND((C12+E12)*'Форма по МДС 81-35.2004'!G194/100,0)</f>
        <v>0</v>
      </c>
      <c r="P12" s="43">
        <f>ROUND('Форма по МДС 81-35.2004'!F172*'Текущие цены за единицу'!P12,0)</f>
        <v>0</v>
      </c>
      <c r="Q12" s="43">
        <f>ROUND('Форма по МДС 81-35.2004'!F172*'Текущие цены за единицу'!Q12,0)</f>
        <v>0</v>
      </c>
      <c r="R12" s="43">
        <f>ROUND('Форма по МДС 81-35.2004'!F172*'Текущие цены за единицу'!R12,0)</f>
        <v>0</v>
      </c>
      <c r="S12" s="43">
        <f>ROUND('Форма по МДС 81-35.2004'!F172*'Текущие цены за единицу'!S12,0)</f>
        <v>0</v>
      </c>
      <c r="T12" s="43">
        <f>ROUND('Форма по МДС 81-35.2004'!F172*'Текущие цены за единицу'!T12,0)</f>
        <v>0</v>
      </c>
      <c r="U12" s="43">
        <f>ROUND('Форма по МДС 81-35.2004'!F172*'Текущие цены за единицу'!U12,0)</f>
        <v>0</v>
      </c>
      <c r="V12" s="43">
        <f>ROUND('Форма по МДС 81-35.2004'!F172*'Текущие цены за единицу'!V12,0)</f>
        <v>0</v>
      </c>
      <c r="X12" s="40">
        <f>ROUND('Форма по МДС 81-35.2004'!F172*'Текущие цены за единицу'!X12,0)</f>
        <v>0</v>
      </c>
      <c r="Y12" s="40">
        <f>IF(Определители!I12="9",ROUND((C12+E12)*(Начисления!M12/100)*('Форма по МДС 81-35.2004'!G191/100),0),0)</f>
        <v>0</v>
      </c>
      <c r="Z12" s="40">
        <f>IF(Определители!I12="9",ROUND((C12+E12)*(100-Начисления!M12/100)*('Форма по МДС 81-35.2004'!G191/100),0),0)</f>
        <v>0</v>
      </c>
      <c r="AA12" s="40">
        <f>IF(Определители!I12="9",ROUND((C12+E12)*(Начисления!M12/100)*('Форма по МДС 81-35.2004'!G194/100),0),0)</f>
        <v>0</v>
      </c>
      <c r="AB12" s="40">
        <f>IF(Определители!I12="9",ROUND((C12+E12)*(100-Начисления!M12/100)*('Форма по МДС 81-35.2004'!G194/100),0),0)</f>
        <v>0</v>
      </c>
      <c r="AC12" s="40">
        <f>IF(Определители!I12="9",ROUND(B12*Начисления!M12/100,0),0)</f>
        <v>0</v>
      </c>
      <c r="AD12" s="40">
        <f>IF(Определители!I12="9",ROUND(B12*(100-Начисления!M12)/100,0),0)</f>
        <v>0</v>
      </c>
      <c r="AE12" s="40">
        <f>ROUND('Форма по МДС 81-35.2004'!F172*'Текущие цены за единицу'!AE12,0)</f>
        <v>0</v>
      </c>
      <c r="AH12" s="40">
        <f>ROUND('Форма по МДС 81-35.2004'!F172*'Текущие цены за единицу'!AH12,0)</f>
        <v>0</v>
      </c>
      <c r="AI12" s="40">
        <f>ROUND('Форма по МДС 81-35.2004'!F172*'Текущие цены за единицу'!AI12,0)</f>
        <v>0</v>
      </c>
      <c r="AJ12" s="40">
        <f>ROUND('Форма по МДС 81-35.2004'!F172*'Текущие цены за единицу'!AJ12,0)</f>
        <v>0</v>
      </c>
      <c r="AK12" s="40">
        <f>ROUND('Форма по МДС 81-35.2004'!F172*'Текущие цены за единицу'!AK12,0)</f>
        <v>0</v>
      </c>
    </row>
    <row r="13" spans="1:37" ht="10.5">
      <c r="A13" s="43" t="str">
        <f>'Форма по МДС 81-35.2004'!A198</f>
        <v>8.</v>
      </c>
      <c r="B13" s="43">
        <f>'Форма по МДС 81-35.2004'!H198</f>
        <v>0</v>
      </c>
      <c r="C13" s="43">
        <f>ROUND(SUMIF('Форма по МДС 81-35.2004'!J198:J221,"Г",'Форма по МДС 81-35.2004'!H198:H221),0)</f>
        <v>0</v>
      </c>
      <c r="D13" s="43">
        <f>ROUND(SUMIF('Форма по МДС 81-35.2004'!J198:J221,"IsMash",'Форма по МДС 81-35.2004'!H198:H221),0)</f>
        <v>0</v>
      </c>
      <c r="E13" s="43">
        <f>'Форма по МДС 81-35.2004'!H199</f>
        <v>0</v>
      </c>
      <c r="F13" s="43">
        <f>ROUND(SUMIF('Форма по МДС 81-35.2004'!J198:J221,"IsMater",'Форма по МДС 81-35.2004'!H198:H221),0)</f>
        <v>0</v>
      </c>
      <c r="G13" s="43">
        <f>ROUND('Форма по МДС 81-35.2004'!F198*'Текущие цены за единицу'!G13,0)</f>
        <v>0</v>
      </c>
      <c r="H13" s="43">
        <f>ROUND('Форма по МДС 81-35.2004'!F198*'Текущие цены за единицу'!H13,0)</f>
        <v>0</v>
      </c>
      <c r="I13" s="36">
        <f>ОКРУГЛВСЕ(SUMIF('Форма по МДС 81-35.2004'!J198:J221,"Г",'Форма по МДС 81-35.2004'!F198:F221),8)</f>
        <v>0</v>
      </c>
      <c r="J13" s="36">
        <f>ОКРУГЛВСЕ('Форма по МДС 81-35.2004'!F198*'Текущие цены за единицу'!J13,8)</f>
        <v>0</v>
      </c>
      <c r="K13" s="36">
        <f>ОКРУГЛВСЕ(SUMIF('Форма по МДС 81-35.2004'!J198:J221,"Ж",'Форма по МДС 81-35.2004'!F198:F221),8)</f>
        <v>0</v>
      </c>
      <c r="L13" s="43">
        <f>ROUND('Форма по МДС 81-35.2004'!F198*'Текущие цены за единицу'!L13,0)</f>
        <v>0</v>
      </c>
      <c r="M13" s="43">
        <f>ROUND('Форма по МДС 81-35.2004'!F198*'Текущие цены за единицу'!M13,0)</f>
        <v>0</v>
      </c>
      <c r="N13" s="43">
        <f>ROUND((C13+E13)*'Форма по МДС 81-35.2004'!G215/100,0)</f>
        <v>0</v>
      </c>
      <c r="O13" s="43">
        <f>ROUND((C13+E13)*'Форма по МДС 81-35.2004'!G218/100,0)</f>
        <v>0</v>
      </c>
      <c r="P13" s="43">
        <f>ROUND('Форма по МДС 81-35.2004'!F198*'Текущие цены за единицу'!P13,0)</f>
        <v>0</v>
      </c>
      <c r="Q13" s="43">
        <f>ROUND('Форма по МДС 81-35.2004'!F198*'Текущие цены за единицу'!Q13,0)</f>
        <v>0</v>
      </c>
      <c r="R13" s="43">
        <f>ROUND('Форма по МДС 81-35.2004'!F198*'Текущие цены за единицу'!R13,0)</f>
        <v>0</v>
      </c>
      <c r="S13" s="43">
        <f>ROUND('Форма по МДС 81-35.2004'!F198*'Текущие цены за единицу'!S13,0)</f>
        <v>0</v>
      </c>
      <c r="T13" s="43">
        <f>ROUND('Форма по МДС 81-35.2004'!F198*'Текущие цены за единицу'!T13,0)</f>
        <v>0</v>
      </c>
      <c r="U13" s="43">
        <f>ROUND('Форма по МДС 81-35.2004'!F198*'Текущие цены за единицу'!U13,0)</f>
        <v>0</v>
      </c>
      <c r="V13" s="43">
        <f>ROUND('Форма по МДС 81-35.2004'!F198*'Текущие цены за единицу'!V13,0)</f>
        <v>0</v>
      </c>
      <c r="X13" s="40">
        <f>ROUND('Форма по МДС 81-35.2004'!F198*'Текущие цены за единицу'!X13,0)</f>
        <v>0</v>
      </c>
      <c r="Y13" s="40">
        <f>IF(Определители!I13="9",ROUND((C13+E13)*(Начисления!M13/100)*('Форма по МДС 81-35.2004'!G215/100),0),0)</f>
        <v>0</v>
      </c>
      <c r="Z13" s="40">
        <f>IF(Определители!I13="9",ROUND((C13+E13)*(100-Начисления!M13/100)*('Форма по МДС 81-35.2004'!G215/100),0),0)</f>
        <v>0</v>
      </c>
      <c r="AA13" s="40">
        <f>IF(Определители!I13="9",ROUND((C13+E13)*(Начисления!M13/100)*('Форма по МДС 81-35.2004'!G218/100),0),0)</f>
        <v>0</v>
      </c>
      <c r="AB13" s="40">
        <f>IF(Определители!I13="9",ROUND((C13+E13)*(100-Начисления!M13/100)*('Форма по МДС 81-35.2004'!G218/100),0),0)</f>
        <v>0</v>
      </c>
      <c r="AC13" s="40">
        <f>IF(Определители!I13="9",ROUND(B13*Начисления!M13/100,0),0)</f>
        <v>0</v>
      </c>
      <c r="AD13" s="40">
        <f>IF(Определители!I13="9",ROUND(B13*(100-Начисления!M13)/100,0),0)</f>
        <v>0</v>
      </c>
      <c r="AE13" s="40">
        <f>ROUND('Форма по МДС 81-35.2004'!F198*'Текущие цены за единицу'!AE13,0)</f>
        <v>0</v>
      </c>
      <c r="AH13" s="40">
        <f>ROUND('Форма по МДС 81-35.2004'!F198*'Текущие цены за единицу'!AH13,0)</f>
        <v>0</v>
      </c>
      <c r="AI13" s="40">
        <f>ROUND('Форма по МДС 81-35.2004'!F198*'Текущие цены за единицу'!AI13,0)</f>
        <v>0</v>
      </c>
      <c r="AJ13" s="40">
        <f>ROUND('Форма по МДС 81-35.2004'!F198*'Текущие цены за единицу'!AJ13,0)</f>
        <v>0</v>
      </c>
      <c r="AK13" s="40">
        <f>ROUND('Форма по МДС 81-35.2004'!F198*'Текущие цены за единицу'!AK13,0)</f>
        <v>0</v>
      </c>
    </row>
    <row r="14" spans="1:37" ht="10.5">
      <c r="A14" s="43" t="str">
        <f>'Форма по МДС 81-35.2004'!A222</f>
        <v>9.</v>
      </c>
      <c r="B14" s="43">
        <f>'Форма по МДС 81-35.2004'!H222</f>
        <v>71805</v>
      </c>
      <c r="C14" s="43">
        <f>ROUND(SUMIF('Форма по МДС 81-35.2004'!J222:J245,"Г",'Форма по МДС 81-35.2004'!H222:H245),0)</f>
        <v>18618</v>
      </c>
      <c r="D14" s="43">
        <f>ROUND(SUMIF('Форма по МДС 81-35.2004'!J222:J245,"IsMash",'Форма по МДС 81-35.2004'!H222:H245),0)</f>
        <v>24557</v>
      </c>
      <c r="E14" s="43">
        <f>'Форма по МДС 81-35.2004'!H223</f>
        <v>7192</v>
      </c>
      <c r="F14" s="43">
        <f>ROUND(SUMIF('Форма по МДС 81-35.2004'!J222:J245,"IsMater",'Форма по МДС 81-35.2004'!H222:H245),0)</f>
        <v>28630</v>
      </c>
      <c r="G14" s="43">
        <f>ROUND('Форма по МДС 81-35.2004'!F222*'Текущие цены за единицу'!G14,0)</f>
        <v>0</v>
      </c>
      <c r="H14" s="43">
        <f>ROUND('Форма по МДС 81-35.2004'!F222*'Текущие цены за единицу'!H14,0)</f>
        <v>0</v>
      </c>
      <c r="I14" s="36">
        <f>ОКРУГЛВСЕ(SUMIF('Форма по МДС 81-35.2004'!J222:J245,"Г",'Форма по МДС 81-35.2004'!F222:F245),8)</f>
        <v>89.2584</v>
      </c>
      <c r="J14" s="36">
        <f>ОКРУГЛВСЕ('Форма по МДС 81-35.2004'!F222*'Текущие цены за единицу'!J14,8)</f>
        <v>0</v>
      </c>
      <c r="K14" s="36">
        <f>ОКРУГЛВСЕ(SUMIF('Форма по МДС 81-35.2004'!J222:J245,"Ж",'Форма по МДС 81-35.2004'!F222:F245),8)</f>
        <v>29.7528</v>
      </c>
      <c r="L14" s="43">
        <f>ROUND('Форма по МДС 81-35.2004'!F222*'Текущие цены за единицу'!L14,0)</f>
        <v>0</v>
      </c>
      <c r="M14" s="43">
        <f>ROUND('Форма по МДС 81-35.2004'!F222*'Текущие цены за единицу'!M14,0)</f>
        <v>0</v>
      </c>
      <c r="N14" s="43">
        <f>ROUND((C14+E14)*'Форма по МДС 81-35.2004'!G239/100,0)</f>
        <v>25552</v>
      </c>
      <c r="O14" s="43">
        <f>ROUND((C14+E14)*'Форма по МДС 81-35.2004'!G242/100,0)</f>
        <v>10324</v>
      </c>
      <c r="P14" s="43">
        <f>ROUND('Форма по МДС 81-35.2004'!F222*'Текущие цены за единицу'!P14,0)</f>
        <v>18431</v>
      </c>
      <c r="Q14" s="43">
        <f>ROUND('Форма по МДС 81-35.2004'!F222*'Текущие цены за единицу'!Q14,0)</f>
        <v>7120</v>
      </c>
      <c r="R14" s="43">
        <f>ROUND('Форма по МДС 81-35.2004'!F222*'Текущие цены за единицу'!R14,0)</f>
        <v>7447</v>
      </c>
      <c r="S14" s="43">
        <f>ROUND('Форма по МДС 81-35.2004'!F222*'Текущие цены за единицу'!S14,0)</f>
        <v>2877</v>
      </c>
      <c r="T14" s="43">
        <f>ROUND('Форма по МДС 81-35.2004'!F222*'Текущие цены за единицу'!T14,0)</f>
        <v>0</v>
      </c>
      <c r="U14" s="43">
        <f>ROUND('Форма по МДС 81-35.2004'!F222*'Текущие цены за единицу'!U14,0)</f>
        <v>0</v>
      </c>
      <c r="V14" s="43">
        <f>ROUND('Форма по МДС 81-35.2004'!F222*'Текущие цены за единицу'!V14,0)</f>
        <v>0</v>
      </c>
      <c r="X14" s="40">
        <f>ROUND('Форма по МДС 81-35.2004'!F222*'Текущие цены за единицу'!X14,0)</f>
        <v>0</v>
      </c>
      <c r="Y14" s="40">
        <f>IF(Определители!I14="9",ROUND((C14+E14)*(Начисления!M14/100)*('Форма по МДС 81-35.2004'!G239/100),0),0)</f>
        <v>0</v>
      </c>
      <c r="Z14" s="40">
        <f>IF(Определители!I14="9",ROUND((C14+E14)*(100-Начисления!M14/100)*('Форма по МДС 81-35.2004'!G239/100),0),0)</f>
        <v>0</v>
      </c>
      <c r="AA14" s="40">
        <f>IF(Определители!I14="9",ROUND((C14+E14)*(Начисления!M14/100)*('Форма по МДС 81-35.2004'!G242/100),0),0)</f>
        <v>0</v>
      </c>
      <c r="AB14" s="40">
        <f>IF(Определители!I14="9",ROUND((C14+E14)*(100-Начисления!M14/100)*('Форма по МДС 81-35.2004'!G242/100),0),0)</f>
        <v>0</v>
      </c>
      <c r="AC14" s="40">
        <f>IF(Определители!I14="9",ROUND(B14*Начисления!M14/100,0),0)</f>
        <v>0</v>
      </c>
      <c r="AD14" s="40">
        <f>IF(Определители!I14="9",ROUND(B14*(100-Начисления!M14)/100,0),0)</f>
        <v>0</v>
      </c>
      <c r="AE14" s="40">
        <f>ROUND('Форма по МДС 81-35.2004'!F222*'Текущие цены за единицу'!AE14,0)</f>
        <v>0</v>
      </c>
      <c r="AH14" s="40">
        <f>ROUND('Форма по МДС 81-35.2004'!F222*'Текущие цены за единицу'!AH14,0)</f>
        <v>0</v>
      </c>
      <c r="AI14" s="40">
        <f>ROUND('Форма по МДС 81-35.2004'!F222*'Текущие цены за единицу'!AI14,0)</f>
        <v>0</v>
      </c>
      <c r="AJ14" s="40">
        <f>ROUND('Форма по МДС 81-35.2004'!F222*'Текущие цены за единицу'!AJ14,0)</f>
        <v>0</v>
      </c>
      <c r="AK14" s="40">
        <f>ROUND('Форма по МДС 81-35.2004'!F222*'Текущие цены за единицу'!AK14,0)</f>
        <v>0</v>
      </c>
    </row>
    <row r="15" spans="1:37" ht="10.5">
      <c r="A15" s="43" t="str">
        <f>'Форма по МДС 81-35.2004'!A246</f>
        <v>10.</v>
      </c>
      <c r="B15" s="43">
        <f>'Форма по МДС 81-35.2004'!H246</f>
        <v>71828</v>
      </c>
      <c r="C15" s="43">
        <f>ROUND(SUMIF('Форма по МДС 81-35.2004'!J246:J269,"Г",'Форма по МДС 81-35.2004'!H246:H269),0)</f>
        <v>15293</v>
      </c>
      <c r="D15" s="43">
        <f>ROUND(SUMIF('Форма по МДС 81-35.2004'!J246:J269,"IsMash",'Форма по МДС 81-35.2004'!H246:H269),0)</f>
        <v>20172</v>
      </c>
      <c r="E15" s="43">
        <f>'Форма по МДС 81-35.2004'!H247</f>
        <v>5907</v>
      </c>
      <c r="F15" s="43">
        <f>ROUND(SUMIF('Форма по МДС 81-35.2004'!J246:J269,"IsMater",'Форма по МДС 81-35.2004'!H246:H269),0)</f>
        <v>36363</v>
      </c>
      <c r="G15" s="43">
        <f>ROUND('Форма по МДС 81-35.2004'!F246*'Текущие цены за единицу'!G15,0)</f>
        <v>0</v>
      </c>
      <c r="H15" s="43">
        <f>ROUND('Форма по МДС 81-35.2004'!F246*'Текущие цены за единицу'!H15,0)</f>
        <v>0</v>
      </c>
      <c r="I15" s="36">
        <f>ОКРУГЛВСЕ(SUMIF('Форма по МДС 81-35.2004'!J246:J269,"Г",'Форма по МДС 81-35.2004'!F246:F269),8)</f>
        <v>73.3194</v>
      </c>
      <c r="J15" s="36">
        <f>ОКРУГЛВСЕ('Форма по МДС 81-35.2004'!F246*'Текущие цены за единицу'!J15,8)</f>
        <v>0</v>
      </c>
      <c r="K15" s="36">
        <f>ОКРУГЛВСЕ(SUMIF('Форма по МДС 81-35.2004'!J246:J269,"Ж",'Форма по МДС 81-35.2004'!F246:F269),8)</f>
        <v>24.4398</v>
      </c>
      <c r="L15" s="43">
        <f>ROUND('Форма по МДС 81-35.2004'!F246*'Текущие цены за единицу'!L15,0)</f>
        <v>0</v>
      </c>
      <c r="M15" s="43">
        <f>ROUND('Форма по МДС 81-35.2004'!F246*'Текущие цены за единицу'!M15,0)</f>
        <v>0</v>
      </c>
      <c r="N15" s="43">
        <f>ROUND((C15+E15)*'Форма по МДС 81-35.2004'!G263/100,0)</f>
        <v>20988</v>
      </c>
      <c r="O15" s="43">
        <f>ROUND((C15+E15)*'Форма по МДС 81-35.2004'!G266/100,0)</f>
        <v>8480</v>
      </c>
      <c r="P15" s="43">
        <f>ROUND('Форма по МДС 81-35.2004'!F246*'Текущие цены за единицу'!P15,0)</f>
        <v>15140</v>
      </c>
      <c r="Q15" s="43">
        <f>ROUND('Форма по МДС 81-35.2004'!F246*'Текущие цены за единицу'!Q15,0)</f>
        <v>5848</v>
      </c>
      <c r="R15" s="43">
        <f>ROUND('Форма по МДС 81-35.2004'!F246*'Текущие цены за единицу'!R15,0)</f>
        <v>6117</v>
      </c>
      <c r="S15" s="43">
        <f>ROUND('Форма по МДС 81-35.2004'!F246*'Текущие цены за единицу'!S15,0)</f>
        <v>2363</v>
      </c>
      <c r="T15" s="43">
        <f>ROUND('Форма по МДС 81-35.2004'!F246*'Текущие цены за единицу'!T15,0)</f>
        <v>0</v>
      </c>
      <c r="U15" s="43">
        <f>ROUND('Форма по МДС 81-35.2004'!F246*'Текущие цены за единицу'!U15,0)</f>
        <v>0</v>
      </c>
      <c r="V15" s="43">
        <f>ROUND('Форма по МДС 81-35.2004'!F246*'Текущие цены за единицу'!V15,0)</f>
        <v>0</v>
      </c>
      <c r="X15" s="40">
        <f>ROUND('Форма по МДС 81-35.2004'!F246*'Текущие цены за единицу'!X15,0)</f>
        <v>0</v>
      </c>
      <c r="Y15" s="40">
        <f>IF(Определители!I15="9",ROUND((C15+E15)*(Начисления!M15/100)*('Форма по МДС 81-35.2004'!G263/100),0),0)</f>
        <v>0</v>
      </c>
      <c r="Z15" s="40">
        <f>IF(Определители!I15="9",ROUND((C15+E15)*(100-Начисления!M15/100)*('Форма по МДС 81-35.2004'!G263/100),0),0)</f>
        <v>0</v>
      </c>
      <c r="AA15" s="40">
        <f>IF(Определители!I15="9",ROUND((C15+E15)*(Начисления!M15/100)*('Форма по МДС 81-35.2004'!G266/100),0),0)</f>
        <v>0</v>
      </c>
      <c r="AB15" s="40">
        <f>IF(Определители!I15="9",ROUND((C15+E15)*(100-Начисления!M15/100)*('Форма по МДС 81-35.2004'!G266/100),0),0)</f>
        <v>0</v>
      </c>
      <c r="AC15" s="40">
        <f>IF(Определители!I15="9",ROUND(B15*Начисления!M15/100,0),0)</f>
        <v>0</v>
      </c>
      <c r="AD15" s="40">
        <f>IF(Определители!I15="9",ROUND(B15*(100-Начисления!M15)/100,0),0)</f>
        <v>0</v>
      </c>
      <c r="AE15" s="40">
        <f>ROUND('Форма по МДС 81-35.2004'!F246*'Текущие цены за единицу'!AE15,0)</f>
        <v>0</v>
      </c>
      <c r="AH15" s="40">
        <f>ROUND('Форма по МДС 81-35.2004'!F246*'Текущие цены за единицу'!AH15,0)</f>
        <v>0</v>
      </c>
      <c r="AI15" s="40">
        <f>ROUND('Форма по МДС 81-35.2004'!F246*'Текущие цены за единицу'!AI15,0)</f>
        <v>0</v>
      </c>
      <c r="AJ15" s="40">
        <f>ROUND('Форма по МДС 81-35.2004'!F246*'Текущие цены за единицу'!AJ15,0)</f>
        <v>0</v>
      </c>
      <c r="AK15" s="40">
        <f>ROUND('Форма по МДС 81-35.2004'!F246*'Текущие цены за единицу'!AK15,0)</f>
        <v>0</v>
      </c>
    </row>
    <row r="16" spans="1:37" ht="10.5">
      <c r="A16" s="43" t="str">
        <f>'Форма по МДС 81-35.2004'!A270</f>
        <v>11.</v>
      </c>
      <c r="B16" s="43">
        <f>'Форма по МДС 81-35.2004'!H270</f>
        <v>0</v>
      </c>
      <c r="C16" s="43">
        <f>ROUND(SUMIF('Форма по МДС 81-35.2004'!J270:J295,"Г",'Форма по МДС 81-35.2004'!H270:H295),0)</f>
        <v>0</v>
      </c>
      <c r="D16" s="43">
        <f>ROUND(SUMIF('Форма по МДС 81-35.2004'!J270:J295,"IsMash",'Форма по МДС 81-35.2004'!H270:H295),0)</f>
        <v>0</v>
      </c>
      <c r="E16" s="43">
        <f>'Форма по МДС 81-35.2004'!H271</f>
        <v>0</v>
      </c>
      <c r="F16" s="43">
        <f>ROUND(SUMIF('Форма по МДС 81-35.2004'!J270:J295,"IsMater",'Форма по МДС 81-35.2004'!H270:H295),0)</f>
        <v>0</v>
      </c>
      <c r="G16" s="43">
        <f>ROUND('Форма по МДС 81-35.2004'!F270*'Текущие цены за единицу'!G16,0)</f>
        <v>0</v>
      </c>
      <c r="H16" s="43">
        <f>ROUND('Форма по МДС 81-35.2004'!F270*'Текущие цены за единицу'!H16,0)</f>
        <v>0</v>
      </c>
      <c r="I16" s="36">
        <f>ОКРУГЛВСЕ(SUMIF('Форма по МДС 81-35.2004'!J270:J295,"Г",'Форма по МДС 81-35.2004'!F270:F295),8)</f>
        <v>0</v>
      </c>
      <c r="J16" s="36">
        <f>ОКРУГЛВСЕ('Форма по МДС 81-35.2004'!F270*'Текущие цены за единицу'!J16,8)</f>
        <v>0</v>
      </c>
      <c r="K16" s="36">
        <f>ОКРУГЛВСЕ(SUMIF('Форма по МДС 81-35.2004'!J270:J295,"Ж",'Форма по МДС 81-35.2004'!F270:F295),8)</f>
        <v>0</v>
      </c>
      <c r="L16" s="43">
        <f>ROUND('Форма по МДС 81-35.2004'!F270*'Текущие цены за единицу'!L16,0)</f>
        <v>0</v>
      </c>
      <c r="M16" s="43">
        <f>ROUND('Форма по МДС 81-35.2004'!F270*'Текущие цены за единицу'!M16,0)</f>
        <v>0</v>
      </c>
      <c r="N16" s="43">
        <f>ROUND((C16+E16)*'Форма по МДС 81-35.2004'!G289/100,0)</f>
        <v>0</v>
      </c>
      <c r="O16" s="43">
        <f>ROUND((C16+E16)*'Форма по МДС 81-35.2004'!G292/100,0)</f>
        <v>0</v>
      </c>
      <c r="P16" s="43">
        <f>ROUND('Форма по МДС 81-35.2004'!F270*'Текущие цены за единицу'!P16,0)</f>
        <v>0</v>
      </c>
      <c r="Q16" s="43">
        <f>ROUND('Форма по МДС 81-35.2004'!F270*'Текущие цены за единицу'!Q16,0)</f>
        <v>0</v>
      </c>
      <c r="R16" s="43">
        <f>ROUND('Форма по МДС 81-35.2004'!F270*'Текущие цены за единицу'!R16,0)</f>
        <v>0</v>
      </c>
      <c r="S16" s="43">
        <f>ROUND('Форма по МДС 81-35.2004'!F270*'Текущие цены за единицу'!S16,0)</f>
        <v>0</v>
      </c>
      <c r="T16" s="43">
        <f>ROUND('Форма по МДС 81-35.2004'!F270*'Текущие цены за единицу'!T16,0)</f>
        <v>0</v>
      </c>
      <c r="U16" s="43">
        <f>ROUND('Форма по МДС 81-35.2004'!F270*'Текущие цены за единицу'!U16,0)</f>
        <v>0</v>
      </c>
      <c r="V16" s="43">
        <f>ROUND('Форма по МДС 81-35.2004'!F270*'Текущие цены за единицу'!V16,0)</f>
        <v>0</v>
      </c>
      <c r="X16" s="40">
        <f>ROUND('Форма по МДС 81-35.2004'!F270*'Текущие цены за единицу'!X16,0)</f>
        <v>0</v>
      </c>
      <c r="Y16" s="40">
        <f>IF(Определители!I16="9",ROUND((C16+E16)*(Начисления!M16/100)*('Форма по МДС 81-35.2004'!G289/100),0),0)</f>
        <v>0</v>
      </c>
      <c r="Z16" s="40">
        <f>IF(Определители!I16="9",ROUND((C16+E16)*(100-Начисления!M16/100)*('Форма по МДС 81-35.2004'!G289/100),0),0)</f>
        <v>0</v>
      </c>
      <c r="AA16" s="40">
        <f>IF(Определители!I16="9",ROUND((C16+E16)*(Начисления!M16/100)*('Форма по МДС 81-35.2004'!G292/100),0),0)</f>
        <v>0</v>
      </c>
      <c r="AB16" s="40">
        <f>IF(Определители!I16="9",ROUND((C16+E16)*(100-Начисления!M16/100)*('Форма по МДС 81-35.2004'!G292/100),0),0)</f>
        <v>0</v>
      </c>
      <c r="AC16" s="40">
        <f>IF(Определители!I16="9",ROUND(B16*Начисления!M16/100,0),0)</f>
        <v>0</v>
      </c>
      <c r="AD16" s="40">
        <f>IF(Определители!I16="9",ROUND(B16*(100-Начисления!M16)/100,0),0)</f>
        <v>0</v>
      </c>
      <c r="AE16" s="40">
        <f>ROUND('Форма по МДС 81-35.2004'!F270*'Текущие цены за единицу'!AE16,0)</f>
        <v>0</v>
      </c>
      <c r="AH16" s="40">
        <f>ROUND('Форма по МДС 81-35.2004'!F270*'Текущие цены за единицу'!AH16,0)</f>
        <v>0</v>
      </c>
      <c r="AI16" s="40">
        <f>ROUND('Форма по МДС 81-35.2004'!F270*'Текущие цены за единицу'!AI16,0)</f>
        <v>0</v>
      </c>
      <c r="AJ16" s="40">
        <f>ROUND('Форма по МДС 81-35.2004'!F270*'Текущие цены за единицу'!AJ16,0)</f>
        <v>0</v>
      </c>
      <c r="AK16" s="40">
        <f>ROUND('Форма по МДС 81-35.2004'!F270*'Текущие цены за единицу'!AK16,0)</f>
        <v>0</v>
      </c>
    </row>
    <row r="17" spans="1:37" ht="10.5">
      <c r="A17" s="43" t="str">
        <f>'Форма по МДС 81-35.2004'!A296</f>
        <v>12.</v>
      </c>
      <c r="B17" s="43">
        <f>'Форма по МДС 81-35.2004'!H296</f>
        <v>0</v>
      </c>
      <c r="C17" s="43">
        <f>ROUND(SUMIF('Форма по МДС 81-35.2004'!J296:J319,"Г",'Форма по МДС 81-35.2004'!H296:H319),0)</f>
        <v>0</v>
      </c>
      <c r="D17" s="43">
        <f>ROUND(SUMIF('Форма по МДС 81-35.2004'!J296:J319,"IsMash",'Форма по МДС 81-35.2004'!H296:H319),0)</f>
        <v>0</v>
      </c>
      <c r="E17" s="43">
        <f>'Форма по МДС 81-35.2004'!H297</f>
        <v>0</v>
      </c>
      <c r="F17" s="43">
        <f>ROUND(SUMIF('Форма по МДС 81-35.2004'!J296:J319,"IsMater",'Форма по МДС 81-35.2004'!H296:H319),0)</f>
        <v>0</v>
      </c>
      <c r="G17" s="43">
        <f>ROUND('Форма по МДС 81-35.2004'!F296*'Текущие цены за единицу'!G17,0)</f>
        <v>0</v>
      </c>
      <c r="H17" s="43">
        <f>ROUND('Форма по МДС 81-35.2004'!F296*'Текущие цены за единицу'!H17,0)</f>
        <v>0</v>
      </c>
      <c r="I17" s="36">
        <f>ОКРУГЛВСЕ(SUMIF('Форма по МДС 81-35.2004'!J296:J319,"Г",'Форма по МДС 81-35.2004'!F296:F319),8)</f>
        <v>0</v>
      </c>
      <c r="J17" s="36">
        <f>ОКРУГЛВСЕ('Форма по МДС 81-35.2004'!F296*'Текущие цены за единицу'!J17,8)</f>
        <v>0</v>
      </c>
      <c r="K17" s="36">
        <f>ОКРУГЛВСЕ(SUMIF('Форма по МДС 81-35.2004'!J296:J319,"Ж",'Форма по МДС 81-35.2004'!F296:F319),8)</f>
        <v>0</v>
      </c>
      <c r="L17" s="43">
        <f>ROUND('Форма по МДС 81-35.2004'!F296*'Текущие цены за единицу'!L17,0)</f>
        <v>0</v>
      </c>
      <c r="M17" s="43">
        <f>ROUND('Форма по МДС 81-35.2004'!F296*'Текущие цены за единицу'!M17,0)</f>
        <v>0</v>
      </c>
      <c r="N17" s="43">
        <f>ROUND((C17+E17)*'Форма по МДС 81-35.2004'!G313/100,0)</f>
        <v>0</v>
      </c>
      <c r="O17" s="43">
        <f>ROUND((C17+E17)*'Форма по МДС 81-35.2004'!G316/100,0)</f>
        <v>0</v>
      </c>
      <c r="P17" s="43">
        <f>ROUND('Форма по МДС 81-35.2004'!F296*'Текущие цены за единицу'!P17,0)</f>
        <v>0</v>
      </c>
      <c r="Q17" s="43">
        <f>ROUND('Форма по МДС 81-35.2004'!F296*'Текущие цены за единицу'!Q17,0)</f>
        <v>0</v>
      </c>
      <c r="R17" s="43">
        <f>ROUND('Форма по МДС 81-35.2004'!F296*'Текущие цены за единицу'!R17,0)</f>
        <v>0</v>
      </c>
      <c r="S17" s="43">
        <f>ROUND('Форма по МДС 81-35.2004'!F296*'Текущие цены за единицу'!S17,0)</f>
        <v>0</v>
      </c>
      <c r="T17" s="43">
        <f>ROUND('Форма по МДС 81-35.2004'!F296*'Текущие цены за единицу'!T17,0)</f>
        <v>0</v>
      </c>
      <c r="U17" s="43">
        <f>ROUND('Форма по МДС 81-35.2004'!F296*'Текущие цены за единицу'!U17,0)</f>
        <v>0</v>
      </c>
      <c r="V17" s="43">
        <f>ROUND('Форма по МДС 81-35.2004'!F296*'Текущие цены за единицу'!V17,0)</f>
        <v>0</v>
      </c>
      <c r="X17" s="40">
        <f>ROUND('Форма по МДС 81-35.2004'!F296*'Текущие цены за единицу'!X17,0)</f>
        <v>0</v>
      </c>
      <c r="Y17" s="40">
        <f>IF(Определители!I17="9",ROUND((C17+E17)*(Начисления!M17/100)*('Форма по МДС 81-35.2004'!G313/100),0),0)</f>
        <v>0</v>
      </c>
      <c r="Z17" s="40">
        <f>IF(Определители!I17="9",ROUND((C17+E17)*(100-Начисления!M17/100)*('Форма по МДС 81-35.2004'!G313/100),0),0)</f>
        <v>0</v>
      </c>
      <c r="AA17" s="40">
        <f>IF(Определители!I17="9",ROUND((C17+E17)*(Начисления!M17/100)*('Форма по МДС 81-35.2004'!G316/100),0),0)</f>
        <v>0</v>
      </c>
      <c r="AB17" s="40">
        <f>IF(Определители!I17="9",ROUND((C17+E17)*(100-Начисления!M17/100)*('Форма по МДС 81-35.2004'!G316/100),0),0)</f>
        <v>0</v>
      </c>
      <c r="AC17" s="40">
        <f>IF(Определители!I17="9",ROUND(B17*Начисления!M17/100,0),0)</f>
        <v>0</v>
      </c>
      <c r="AD17" s="40">
        <f>IF(Определители!I17="9",ROUND(B17*(100-Начисления!M17)/100,0),0)</f>
        <v>0</v>
      </c>
      <c r="AE17" s="40">
        <f>ROUND('Форма по МДС 81-35.2004'!F296*'Текущие цены за единицу'!AE17,0)</f>
        <v>0</v>
      </c>
      <c r="AH17" s="40">
        <f>ROUND('Форма по МДС 81-35.2004'!F296*'Текущие цены за единицу'!AH17,0)</f>
        <v>0</v>
      </c>
      <c r="AI17" s="40">
        <f>ROUND('Форма по МДС 81-35.2004'!F296*'Текущие цены за единицу'!AI17,0)</f>
        <v>0</v>
      </c>
      <c r="AJ17" s="40">
        <f>ROUND('Форма по МДС 81-35.2004'!F296*'Текущие цены за единицу'!AJ17,0)</f>
        <v>0</v>
      </c>
      <c r="AK17" s="40">
        <f>ROUND('Форма по МДС 81-35.2004'!F296*'Текущие цены за единицу'!AK17,0)</f>
        <v>0</v>
      </c>
    </row>
    <row r="18" spans="1:37" ht="10.5">
      <c r="A18" s="43" t="str">
        <f>'Форма по МДС 81-35.2004'!A320</f>
        <v>13.</v>
      </c>
      <c r="B18" s="43">
        <f>'Форма по МДС 81-35.2004'!H320</f>
        <v>0</v>
      </c>
      <c r="C18" s="43">
        <f>ROUND(SUMIF('Форма по МДС 81-35.2004'!J320:J345,"Г",'Форма по МДС 81-35.2004'!H320:H345),0)</f>
        <v>0</v>
      </c>
      <c r="D18" s="43">
        <f>ROUND(SUMIF('Форма по МДС 81-35.2004'!J320:J345,"IsMash",'Форма по МДС 81-35.2004'!H320:H345),0)</f>
        <v>0</v>
      </c>
      <c r="E18" s="43">
        <f>'Форма по МДС 81-35.2004'!H321</f>
        <v>0</v>
      </c>
      <c r="F18" s="43">
        <f>ROUND(SUMIF('Форма по МДС 81-35.2004'!J320:J345,"IsMater",'Форма по МДС 81-35.2004'!H320:H345),0)</f>
        <v>0</v>
      </c>
      <c r="G18" s="43">
        <f>ROUND('Форма по МДС 81-35.2004'!F320*'Текущие цены за единицу'!G18,0)</f>
        <v>0</v>
      </c>
      <c r="H18" s="43">
        <f>ROUND('Форма по МДС 81-35.2004'!F320*'Текущие цены за единицу'!H18,0)</f>
        <v>0</v>
      </c>
      <c r="I18" s="36">
        <f>ОКРУГЛВСЕ(SUMIF('Форма по МДС 81-35.2004'!J320:J345,"Г",'Форма по МДС 81-35.2004'!F320:F345),8)</f>
        <v>0</v>
      </c>
      <c r="J18" s="36">
        <f>ОКРУГЛВСЕ('Форма по МДС 81-35.2004'!F320*'Текущие цены за единицу'!J18,8)</f>
        <v>0</v>
      </c>
      <c r="K18" s="36">
        <f>ОКРУГЛВСЕ(SUMIF('Форма по МДС 81-35.2004'!J320:J345,"Ж",'Форма по МДС 81-35.2004'!F320:F345),8)</f>
        <v>0</v>
      </c>
      <c r="L18" s="43">
        <f>ROUND('Форма по МДС 81-35.2004'!F320*'Текущие цены за единицу'!L18,0)</f>
        <v>0</v>
      </c>
      <c r="M18" s="43">
        <f>ROUND('Форма по МДС 81-35.2004'!F320*'Текущие цены за единицу'!M18,0)</f>
        <v>0</v>
      </c>
      <c r="N18" s="43">
        <f>ROUND((C18+E18)*'Форма по МДС 81-35.2004'!G339/100,0)</f>
        <v>0</v>
      </c>
      <c r="O18" s="43">
        <f>ROUND((C18+E18)*'Форма по МДС 81-35.2004'!G342/100,0)</f>
        <v>0</v>
      </c>
      <c r="P18" s="43">
        <f>ROUND('Форма по МДС 81-35.2004'!F320*'Текущие цены за единицу'!P18,0)</f>
        <v>0</v>
      </c>
      <c r="Q18" s="43">
        <f>ROUND('Форма по МДС 81-35.2004'!F320*'Текущие цены за единицу'!Q18,0)</f>
        <v>0</v>
      </c>
      <c r="R18" s="43">
        <f>ROUND('Форма по МДС 81-35.2004'!F320*'Текущие цены за единицу'!R18,0)</f>
        <v>0</v>
      </c>
      <c r="S18" s="43">
        <f>ROUND('Форма по МДС 81-35.2004'!F320*'Текущие цены за единицу'!S18,0)</f>
        <v>0</v>
      </c>
      <c r="T18" s="43">
        <f>ROUND('Форма по МДС 81-35.2004'!F320*'Текущие цены за единицу'!T18,0)</f>
        <v>0</v>
      </c>
      <c r="U18" s="43">
        <f>ROUND('Форма по МДС 81-35.2004'!F320*'Текущие цены за единицу'!U18,0)</f>
        <v>0</v>
      </c>
      <c r="V18" s="43">
        <f>ROUND('Форма по МДС 81-35.2004'!F320*'Текущие цены за единицу'!V18,0)</f>
        <v>0</v>
      </c>
      <c r="X18" s="40">
        <f>ROUND('Форма по МДС 81-35.2004'!F320*'Текущие цены за единицу'!X18,0)</f>
        <v>0</v>
      </c>
      <c r="Y18" s="40">
        <f>IF(Определители!I18="9",ROUND((C18+E18)*(Начисления!M18/100)*('Форма по МДС 81-35.2004'!G339/100),0),0)</f>
        <v>0</v>
      </c>
      <c r="Z18" s="40">
        <f>IF(Определители!I18="9",ROUND((C18+E18)*(100-Начисления!M18/100)*('Форма по МДС 81-35.2004'!G339/100),0),0)</f>
        <v>0</v>
      </c>
      <c r="AA18" s="40">
        <f>IF(Определители!I18="9",ROUND((C18+E18)*(Начисления!M18/100)*('Форма по МДС 81-35.2004'!G342/100),0),0)</f>
        <v>0</v>
      </c>
      <c r="AB18" s="40">
        <f>IF(Определители!I18="9",ROUND((C18+E18)*(100-Начисления!M18/100)*('Форма по МДС 81-35.2004'!G342/100),0),0)</f>
        <v>0</v>
      </c>
      <c r="AC18" s="40">
        <f>IF(Определители!I18="9",ROUND(B18*Начисления!M18/100,0),0)</f>
        <v>0</v>
      </c>
      <c r="AD18" s="40">
        <f>IF(Определители!I18="9",ROUND(B18*(100-Начисления!M18)/100,0),0)</f>
        <v>0</v>
      </c>
      <c r="AE18" s="40">
        <f>ROUND('Форма по МДС 81-35.2004'!F320*'Текущие цены за единицу'!AE18,0)</f>
        <v>0</v>
      </c>
      <c r="AH18" s="40">
        <f>ROUND('Форма по МДС 81-35.2004'!F320*'Текущие цены за единицу'!AH18,0)</f>
        <v>0</v>
      </c>
      <c r="AI18" s="40">
        <f>ROUND('Форма по МДС 81-35.2004'!F320*'Текущие цены за единицу'!AI18,0)</f>
        <v>0</v>
      </c>
      <c r="AJ18" s="40">
        <f>ROUND('Форма по МДС 81-35.2004'!F320*'Текущие цены за единицу'!AJ18,0)</f>
        <v>0</v>
      </c>
      <c r="AK18" s="40">
        <f>ROUND('Форма по МДС 81-35.2004'!F320*'Текущие цены за единицу'!AK18,0)</f>
        <v>0</v>
      </c>
    </row>
    <row r="19" spans="1:37" ht="10.5">
      <c r="A19" s="43" t="str">
        <f>'Форма по МДС 81-35.2004'!A346</f>
        <v>14.</v>
      </c>
      <c r="B19" s="43">
        <f>'Форма по МДС 81-35.2004'!H346</f>
        <v>0</v>
      </c>
      <c r="C19" s="43">
        <f>ROUND(SUMIF('Форма по МДС 81-35.2004'!J346:J371,"Г",'Форма по МДС 81-35.2004'!H346:H371),0)</f>
        <v>0</v>
      </c>
      <c r="D19" s="43">
        <f>ROUND(SUMIF('Форма по МДС 81-35.2004'!J346:J371,"IsMash",'Форма по МДС 81-35.2004'!H346:H371),0)</f>
        <v>0</v>
      </c>
      <c r="E19" s="43">
        <f>'Форма по МДС 81-35.2004'!H347</f>
        <v>0</v>
      </c>
      <c r="F19" s="43">
        <f>ROUND(SUMIF('Форма по МДС 81-35.2004'!J346:J371,"IsMater",'Форма по МДС 81-35.2004'!H346:H371),0)</f>
        <v>0</v>
      </c>
      <c r="G19" s="43">
        <f>ROUND('Форма по МДС 81-35.2004'!F346*'Текущие цены за единицу'!G19,0)</f>
        <v>0</v>
      </c>
      <c r="H19" s="43">
        <f>ROUND('Форма по МДС 81-35.2004'!F346*'Текущие цены за единицу'!H19,0)</f>
        <v>0</v>
      </c>
      <c r="I19" s="36">
        <f>ОКРУГЛВСЕ(SUMIF('Форма по МДС 81-35.2004'!J346:J371,"Г",'Форма по МДС 81-35.2004'!F346:F371),8)</f>
        <v>0</v>
      </c>
      <c r="J19" s="36">
        <f>ОКРУГЛВСЕ('Форма по МДС 81-35.2004'!F346*'Текущие цены за единицу'!J19,8)</f>
        <v>0</v>
      </c>
      <c r="K19" s="36">
        <f>ОКРУГЛВСЕ(SUMIF('Форма по МДС 81-35.2004'!J346:J371,"Ж",'Форма по МДС 81-35.2004'!F346:F371),8)</f>
        <v>0</v>
      </c>
      <c r="L19" s="43">
        <f>ROUND('Форма по МДС 81-35.2004'!F346*'Текущие цены за единицу'!L19,0)</f>
        <v>0</v>
      </c>
      <c r="M19" s="43">
        <f>ROUND('Форма по МДС 81-35.2004'!F346*'Текущие цены за единицу'!M19,0)</f>
        <v>0</v>
      </c>
      <c r="N19" s="43">
        <f>ROUND((C19+E19)*'Форма по МДС 81-35.2004'!G365/100,0)</f>
        <v>0</v>
      </c>
      <c r="O19" s="43">
        <f>ROUND((C19+E19)*'Форма по МДС 81-35.2004'!G368/100,0)</f>
        <v>0</v>
      </c>
      <c r="P19" s="43">
        <f>ROUND('Форма по МДС 81-35.2004'!F346*'Текущие цены за единицу'!P19,0)</f>
        <v>0</v>
      </c>
      <c r="Q19" s="43">
        <f>ROUND('Форма по МДС 81-35.2004'!F346*'Текущие цены за единицу'!Q19,0)</f>
        <v>0</v>
      </c>
      <c r="R19" s="43">
        <f>ROUND('Форма по МДС 81-35.2004'!F346*'Текущие цены за единицу'!R19,0)</f>
        <v>0</v>
      </c>
      <c r="S19" s="43">
        <f>ROUND('Форма по МДС 81-35.2004'!F346*'Текущие цены за единицу'!S19,0)</f>
        <v>0</v>
      </c>
      <c r="T19" s="43">
        <f>ROUND('Форма по МДС 81-35.2004'!F346*'Текущие цены за единицу'!T19,0)</f>
        <v>0</v>
      </c>
      <c r="U19" s="43">
        <f>ROUND('Форма по МДС 81-35.2004'!F346*'Текущие цены за единицу'!U19,0)</f>
        <v>0</v>
      </c>
      <c r="V19" s="43">
        <f>ROUND('Форма по МДС 81-35.2004'!F346*'Текущие цены за единицу'!V19,0)</f>
        <v>0</v>
      </c>
      <c r="X19" s="40">
        <f>ROUND('Форма по МДС 81-35.2004'!F346*'Текущие цены за единицу'!X19,0)</f>
        <v>0</v>
      </c>
      <c r="Y19" s="40">
        <f>IF(Определители!I19="9",ROUND((C19+E19)*(Начисления!M19/100)*('Форма по МДС 81-35.2004'!G365/100),0),0)</f>
        <v>0</v>
      </c>
      <c r="Z19" s="40">
        <f>IF(Определители!I19="9",ROUND((C19+E19)*(100-Начисления!M19/100)*('Форма по МДС 81-35.2004'!G365/100),0),0)</f>
        <v>0</v>
      </c>
      <c r="AA19" s="40">
        <f>IF(Определители!I19="9",ROUND((C19+E19)*(Начисления!M19/100)*('Форма по МДС 81-35.2004'!G368/100),0),0)</f>
        <v>0</v>
      </c>
      <c r="AB19" s="40">
        <f>IF(Определители!I19="9",ROUND((C19+E19)*(100-Начисления!M19/100)*('Форма по МДС 81-35.2004'!G368/100),0),0)</f>
        <v>0</v>
      </c>
      <c r="AC19" s="40">
        <f>IF(Определители!I19="9",ROUND(B19*Начисления!M19/100,0),0)</f>
        <v>0</v>
      </c>
      <c r="AD19" s="40">
        <f>IF(Определители!I19="9",ROUND(B19*(100-Начисления!M19)/100,0),0)</f>
        <v>0</v>
      </c>
      <c r="AE19" s="40">
        <f>ROUND('Форма по МДС 81-35.2004'!F346*'Текущие цены за единицу'!AE19,0)</f>
        <v>0</v>
      </c>
      <c r="AH19" s="40">
        <f>ROUND('Форма по МДС 81-35.2004'!F346*'Текущие цены за единицу'!AH19,0)</f>
        <v>0</v>
      </c>
      <c r="AI19" s="40">
        <f>ROUND('Форма по МДС 81-35.2004'!F346*'Текущие цены за единицу'!AI19,0)</f>
        <v>0</v>
      </c>
      <c r="AJ19" s="40">
        <f>ROUND('Форма по МДС 81-35.2004'!F346*'Текущие цены за единицу'!AJ19,0)</f>
        <v>0</v>
      </c>
      <c r="AK19" s="40">
        <f>ROUND('Форма по МДС 81-35.2004'!F346*'Текущие цены за единицу'!AK19,0)</f>
        <v>0</v>
      </c>
    </row>
    <row r="20" spans="1:37" ht="10.5">
      <c r="A20" s="43" t="str">
        <f>'Форма по МДС 81-35.2004'!A372</f>
        <v>15.</v>
      </c>
      <c r="B20" s="43">
        <f>'Форма по МДС 81-35.2004'!H372</f>
        <v>0</v>
      </c>
      <c r="C20" s="43">
        <f>ROUND(SUMIF('Форма по МДС 81-35.2004'!J372:J397,"Г",'Форма по МДС 81-35.2004'!H372:H397),0)</f>
        <v>0</v>
      </c>
      <c r="D20" s="43">
        <f>ROUND(SUMIF('Форма по МДС 81-35.2004'!J372:J397,"IsMash",'Форма по МДС 81-35.2004'!H372:H397),0)</f>
        <v>0</v>
      </c>
      <c r="E20" s="43">
        <f>'Форма по МДС 81-35.2004'!H373</f>
        <v>0</v>
      </c>
      <c r="F20" s="43">
        <f>ROUND(SUMIF('Форма по МДС 81-35.2004'!J372:J397,"IsMater",'Форма по МДС 81-35.2004'!H372:H397),0)</f>
        <v>0</v>
      </c>
      <c r="G20" s="43">
        <f>ROUND('Форма по МДС 81-35.2004'!F372*'Текущие цены за единицу'!G20,0)</f>
        <v>0</v>
      </c>
      <c r="H20" s="43">
        <f>ROUND('Форма по МДС 81-35.2004'!F372*'Текущие цены за единицу'!H20,0)</f>
        <v>0</v>
      </c>
      <c r="I20" s="36">
        <f>ОКРУГЛВСЕ(SUMIF('Форма по МДС 81-35.2004'!J372:J397,"Г",'Форма по МДС 81-35.2004'!F372:F397),8)</f>
        <v>0</v>
      </c>
      <c r="J20" s="36">
        <f>ОКРУГЛВСЕ('Форма по МДС 81-35.2004'!F372*'Текущие цены за единицу'!J20,8)</f>
        <v>0</v>
      </c>
      <c r="K20" s="36">
        <f>ОКРУГЛВСЕ(SUMIF('Форма по МДС 81-35.2004'!J372:J397,"Ж",'Форма по МДС 81-35.2004'!F372:F397),8)</f>
        <v>0</v>
      </c>
      <c r="L20" s="43">
        <f>ROUND('Форма по МДС 81-35.2004'!F372*'Текущие цены за единицу'!L20,0)</f>
        <v>0</v>
      </c>
      <c r="M20" s="43">
        <f>ROUND('Форма по МДС 81-35.2004'!F372*'Текущие цены за единицу'!M20,0)</f>
        <v>0</v>
      </c>
      <c r="N20" s="43">
        <f>ROUND((C20+E20)*'Форма по МДС 81-35.2004'!G391/100,0)</f>
        <v>0</v>
      </c>
      <c r="O20" s="43">
        <f>ROUND((C20+E20)*'Форма по МДС 81-35.2004'!G394/100,0)</f>
        <v>0</v>
      </c>
      <c r="P20" s="43">
        <f>ROUND('Форма по МДС 81-35.2004'!F372*'Текущие цены за единицу'!P20,0)</f>
        <v>0</v>
      </c>
      <c r="Q20" s="43">
        <f>ROUND('Форма по МДС 81-35.2004'!F372*'Текущие цены за единицу'!Q20,0)</f>
        <v>0</v>
      </c>
      <c r="R20" s="43">
        <f>ROUND('Форма по МДС 81-35.2004'!F372*'Текущие цены за единицу'!R20,0)</f>
        <v>0</v>
      </c>
      <c r="S20" s="43">
        <f>ROUND('Форма по МДС 81-35.2004'!F372*'Текущие цены за единицу'!S20,0)</f>
        <v>0</v>
      </c>
      <c r="T20" s="43">
        <f>ROUND('Форма по МДС 81-35.2004'!F372*'Текущие цены за единицу'!T20,0)</f>
        <v>0</v>
      </c>
      <c r="U20" s="43">
        <f>ROUND('Форма по МДС 81-35.2004'!F372*'Текущие цены за единицу'!U20,0)</f>
        <v>0</v>
      </c>
      <c r="V20" s="43">
        <f>ROUND('Форма по МДС 81-35.2004'!F372*'Текущие цены за единицу'!V20,0)</f>
        <v>0</v>
      </c>
      <c r="X20" s="40">
        <f>ROUND('Форма по МДС 81-35.2004'!F372*'Текущие цены за единицу'!X20,0)</f>
        <v>0</v>
      </c>
      <c r="Y20" s="40">
        <f>IF(Определители!I20="9",ROUND((C20+E20)*(Начисления!M20/100)*('Форма по МДС 81-35.2004'!G391/100),0),0)</f>
        <v>0</v>
      </c>
      <c r="Z20" s="40">
        <f>IF(Определители!I20="9",ROUND((C20+E20)*(100-Начисления!M20/100)*('Форма по МДС 81-35.2004'!G391/100),0),0)</f>
        <v>0</v>
      </c>
      <c r="AA20" s="40">
        <f>IF(Определители!I20="9",ROUND((C20+E20)*(Начисления!M20/100)*('Форма по МДС 81-35.2004'!G394/100),0),0)</f>
        <v>0</v>
      </c>
      <c r="AB20" s="40">
        <f>IF(Определители!I20="9",ROUND((C20+E20)*(100-Начисления!M20/100)*('Форма по МДС 81-35.2004'!G394/100),0),0)</f>
        <v>0</v>
      </c>
      <c r="AC20" s="40">
        <f>IF(Определители!I20="9",ROUND(B20*Начисления!M20/100,0),0)</f>
        <v>0</v>
      </c>
      <c r="AD20" s="40">
        <f>IF(Определители!I20="9",ROUND(B20*(100-Начисления!M20)/100,0),0)</f>
        <v>0</v>
      </c>
      <c r="AE20" s="40">
        <f>ROUND('Форма по МДС 81-35.2004'!F372*'Текущие цены за единицу'!AE20,0)</f>
        <v>0</v>
      </c>
      <c r="AH20" s="40">
        <f>ROUND('Форма по МДС 81-35.2004'!F372*'Текущие цены за единицу'!AH20,0)</f>
        <v>0</v>
      </c>
      <c r="AI20" s="40">
        <f>ROUND('Форма по МДС 81-35.2004'!F372*'Текущие цены за единицу'!AI20,0)</f>
        <v>0</v>
      </c>
      <c r="AJ20" s="40">
        <f>ROUND('Форма по МДС 81-35.2004'!F372*'Текущие цены за единицу'!AJ20,0)</f>
        <v>0</v>
      </c>
      <c r="AK20" s="40">
        <f>ROUND('Форма по МДС 81-35.2004'!F372*'Текущие цены за единицу'!AK20,0)</f>
        <v>0</v>
      </c>
    </row>
    <row r="21" spans="1:37" ht="10.5">
      <c r="A21" s="43" t="str">
        <f>'Форма по МДС 81-35.2004'!A398</f>
        <v>16.</v>
      </c>
      <c r="B21" s="43">
        <f>'Форма по МДС 81-35.2004'!H398</f>
        <v>0</v>
      </c>
      <c r="C21" s="43">
        <f>ROUND(SUMIF('Форма по МДС 81-35.2004'!J398:J423,"Г",'Форма по МДС 81-35.2004'!H398:H423),0)</f>
        <v>0</v>
      </c>
      <c r="D21" s="43">
        <f>ROUND(SUMIF('Форма по МДС 81-35.2004'!J398:J423,"IsMash",'Форма по МДС 81-35.2004'!H398:H423),0)</f>
        <v>0</v>
      </c>
      <c r="E21" s="43">
        <f>'Форма по МДС 81-35.2004'!H399</f>
        <v>0</v>
      </c>
      <c r="F21" s="43">
        <f>ROUND(SUMIF('Форма по МДС 81-35.2004'!J398:J423,"IsMater",'Форма по МДС 81-35.2004'!H398:H423),0)</f>
        <v>0</v>
      </c>
      <c r="G21" s="43">
        <f>ROUND('Форма по МДС 81-35.2004'!F398*'Текущие цены за единицу'!G21,0)</f>
        <v>0</v>
      </c>
      <c r="H21" s="43">
        <f>ROUND('Форма по МДС 81-35.2004'!F398*'Текущие цены за единицу'!H21,0)</f>
        <v>0</v>
      </c>
      <c r="I21" s="36">
        <f>ОКРУГЛВСЕ(SUMIF('Форма по МДС 81-35.2004'!J398:J423,"Г",'Форма по МДС 81-35.2004'!F398:F423),8)</f>
        <v>0</v>
      </c>
      <c r="J21" s="36">
        <f>ОКРУГЛВСЕ('Форма по МДС 81-35.2004'!F398*'Текущие цены за единицу'!J21,8)</f>
        <v>0</v>
      </c>
      <c r="K21" s="36">
        <f>ОКРУГЛВСЕ(SUMIF('Форма по МДС 81-35.2004'!J398:J423,"Ж",'Форма по МДС 81-35.2004'!F398:F423),8)</f>
        <v>0</v>
      </c>
      <c r="L21" s="43">
        <f>ROUND('Форма по МДС 81-35.2004'!F398*'Текущие цены за единицу'!L21,0)</f>
        <v>0</v>
      </c>
      <c r="M21" s="43">
        <f>ROUND('Форма по МДС 81-35.2004'!F398*'Текущие цены за единицу'!M21,0)</f>
        <v>0</v>
      </c>
      <c r="N21" s="43">
        <f>ROUND((C21+E21)*'Форма по МДС 81-35.2004'!G417/100,0)</f>
        <v>0</v>
      </c>
      <c r="O21" s="43">
        <f>ROUND((C21+E21)*'Форма по МДС 81-35.2004'!G420/100,0)</f>
        <v>0</v>
      </c>
      <c r="P21" s="43">
        <f>ROUND('Форма по МДС 81-35.2004'!F398*'Текущие цены за единицу'!P21,0)</f>
        <v>0</v>
      </c>
      <c r="Q21" s="43">
        <f>ROUND('Форма по МДС 81-35.2004'!F398*'Текущие цены за единицу'!Q21,0)</f>
        <v>0</v>
      </c>
      <c r="R21" s="43">
        <f>ROUND('Форма по МДС 81-35.2004'!F398*'Текущие цены за единицу'!R21,0)</f>
        <v>0</v>
      </c>
      <c r="S21" s="43">
        <f>ROUND('Форма по МДС 81-35.2004'!F398*'Текущие цены за единицу'!S21,0)</f>
        <v>0</v>
      </c>
      <c r="T21" s="43">
        <f>ROUND('Форма по МДС 81-35.2004'!F398*'Текущие цены за единицу'!T21,0)</f>
        <v>0</v>
      </c>
      <c r="U21" s="43">
        <f>ROUND('Форма по МДС 81-35.2004'!F398*'Текущие цены за единицу'!U21,0)</f>
        <v>0</v>
      </c>
      <c r="V21" s="43">
        <f>ROUND('Форма по МДС 81-35.2004'!F398*'Текущие цены за единицу'!V21,0)</f>
        <v>0</v>
      </c>
      <c r="X21" s="40">
        <f>ROUND('Форма по МДС 81-35.2004'!F398*'Текущие цены за единицу'!X21,0)</f>
        <v>0</v>
      </c>
      <c r="Y21" s="40">
        <f>IF(Определители!I21="9",ROUND((C21+E21)*(Начисления!M21/100)*('Форма по МДС 81-35.2004'!G417/100),0),0)</f>
        <v>0</v>
      </c>
      <c r="Z21" s="40">
        <f>IF(Определители!I21="9",ROUND((C21+E21)*(100-Начисления!M21/100)*('Форма по МДС 81-35.2004'!G417/100),0),0)</f>
        <v>0</v>
      </c>
      <c r="AA21" s="40">
        <f>IF(Определители!I21="9",ROUND((C21+E21)*(Начисления!M21/100)*('Форма по МДС 81-35.2004'!G420/100),0),0)</f>
        <v>0</v>
      </c>
      <c r="AB21" s="40">
        <f>IF(Определители!I21="9",ROUND((C21+E21)*(100-Начисления!M21/100)*('Форма по МДС 81-35.2004'!G420/100),0),0)</f>
        <v>0</v>
      </c>
      <c r="AC21" s="40">
        <f>IF(Определители!I21="9",ROUND(B21*Начисления!M21/100,0),0)</f>
        <v>0</v>
      </c>
      <c r="AD21" s="40">
        <f>IF(Определители!I21="9",ROUND(B21*(100-Начисления!M21)/100,0),0)</f>
        <v>0</v>
      </c>
      <c r="AE21" s="40">
        <f>ROUND('Форма по МДС 81-35.2004'!F398*'Текущие цены за единицу'!AE21,0)</f>
        <v>0</v>
      </c>
      <c r="AH21" s="40">
        <f>ROUND('Форма по МДС 81-35.2004'!F398*'Текущие цены за единицу'!AH21,0)</f>
        <v>0</v>
      </c>
      <c r="AI21" s="40">
        <f>ROUND('Форма по МДС 81-35.2004'!F398*'Текущие цены за единицу'!AI21,0)</f>
        <v>0</v>
      </c>
      <c r="AJ21" s="40">
        <f>ROUND('Форма по МДС 81-35.2004'!F398*'Текущие цены за единицу'!AJ21,0)</f>
        <v>0</v>
      </c>
      <c r="AK21" s="40">
        <f>ROUND('Форма по МДС 81-35.2004'!F398*'Текущие цены за единицу'!AK21,0)</f>
        <v>0</v>
      </c>
    </row>
    <row r="22" spans="1:37" ht="10.5">
      <c r="A22" s="43" t="str">
        <f>'Форма по МДС 81-35.2004'!A424</f>
        <v>17.</v>
      </c>
      <c r="B22" s="43">
        <f>'Форма по МДС 81-35.2004'!H424</f>
        <v>0</v>
      </c>
      <c r="C22" s="43">
        <f>ROUND(SUMIF('Форма по МДС 81-35.2004'!J424:J449,"Г",'Форма по МДС 81-35.2004'!H424:H449),0)</f>
        <v>0</v>
      </c>
      <c r="D22" s="43">
        <f>ROUND(SUMIF('Форма по МДС 81-35.2004'!J424:J449,"IsMash",'Форма по МДС 81-35.2004'!H424:H449),0)</f>
        <v>0</v>
      </c>
      <c r="E22" s="43">
        <f>'Форма по МДС 81-35.2004'!H425</f>
        <v>0</v>
      </c>
      <c r="F22" s="43">
        <f>ROUND(SUMIF('Форма по МДС 81-35.2004'!J424:J449,"IsMater",'Форма по МДС 81-35.2004'!H424:H449),0)</f>
        <v>0</v>
      </c>
      <c r="G22" s="43">
        <f>ROUND('Форма по МДС 81-35.2004'!F424*'Текущие цены за единицу'!G22,0)</f>
        <v>0</v>
      </c>
      <c r="H22" s="43">
        <f>ROUND('Форма по МДС 81-35.2004'!F424*'Текущие цены за единицу'!H22,0)</f>
        <v>0</v>
      </c>
      <c r="I22" s="36">
        <f>ОКРУГЛВСЕ(SUMIF('Форма по МДС 81-35.2004'!J424:J449,"Г",'Форма по МДС 81-35.2004'!F424:F449),8)</f>
        <v>0</v>
      </c>
      <c r="J22" s="36">
        <f>ОКРУГЛВСЕ('Форма по МДС 81-35.2004'!F424*'Текущие цены за единицу'!J22,8)</f>
        <v>0</v>
      </c>
      <c r="K22" s="36">
        <f>ОКРУГЛВСЕ(SUMIF('Форма по МДС 81-35.2004'!J424:J449,"Ж",'Форма по МДС 81-35.2004'!F424:F449),8)</f>
        <v>0</v>
      </c>
      <c r="L22" s="43">
        <f>ROUND('Форма по МДС 81-35.2004'!F424*'Текущие цены за единицу'!L22,0)</f>
        <v>0</v>
      </c>
      <c r="M22" s="43">
        <f>ROUND('Форма по МДС 81-35.2004'!F424*'Текущие цены за единицу'!M22,0)</f>
        <v>0</v>
      </c>
      <c r="N22" s="43">
        <f>ROUND((C22+E22)*'Форма по МДС 81-35.2004'!G443/100,0)</f>
        <v>0</v>
      </c>
      <c r="O22" s="43">
        <f>ROUND((C22+E22)*'Форма по МДС 81-35.2004'!G446/100,0)</f>
        <v>0</v>
      </c>
      <c r="P22" s="43">
        <f>ROUND('Форма по МДС 81-35.2004'!F424*'Текущие цены за единицу'!P22,0)</f>
        <v>0</v>
      </c>
      <c r="Q22" s="43">
        <f>ROUND('Форма по МДС 81-35.2004'!F424*'Текущие цены за единицу'!Q22,0)</f>
        <v>0</v>
      </c>
      <c r="R22" s="43">
        <f>ROUND('Форма по МДС 81-35.2004'!F424*'Текущие цены за единицу'!R22,0)</f>
        <v>0</v>
      </c>
      <c r="S22" s="43">
        <f>ROUND('Форма по МДС 81-35.2004'!F424*'Текущие цены за единицу'!S22,0)</f>
        <v>0</v>
      </c>
      <c r="T22" s="43">
        <f>ROUND('Форма по МДС 81-35.2004'!F424*'Текущие цены за единицу'!T22,0)</f>
        <v>0</v>
      </c>
      <c r="U22" s="43">
        <f>ROUND('Форма по МДС 81-35.2004'!F424*'Текущие цены за единицу'!U22,0)</f>
        <v>0</v>
      </c>
      <c r="V22" s="43">
        <f>ROUND('Форма по МДС 81-35.2004'!F424*'Текущие цены за единицу'!V22,0)</f>
        <v>0</v>
      </c>
      <c r="X22" s="40">
        <f>ROUND('Форма по МДС 81-35.2004'!F424*'Текущие цены за единицу'!X22,0)</f>
        <v>0</v>
      </c>
      <c r="Y22" s="40">
        <f>IF(Определители!I22="9",ROUND((C22+E22)*(Начисления!M22/100)*('Форма по МДС 81-35.2004'!G443/100),0),0)</f>
        <v>0</v>
      </c>
      <c r="Z22" s="40">
        <f>IF(Определители!I22="9",ROUND((C22+E22)*(100-Начисления!M22/100)*('Форма по МДС 81-35.2004'!G443/100),0),0)</f>
        <v>0</v>
      </c>
      <c r="AA22" s="40">
        <f>IF(Определители!I22="9",ROUND((C22+E22)*(Начисления!M22/100)*('Форма по МДС 81-35.2004'!G446/100),0),0)</f>
        <v>0</v>
      </c>
      <c r="AB22" s="40">
        <f>IF(Определители!I22="9",ROUND((C22+E22)*(100-Начисления!M22/100)*('Форма по МДС 81-35.2004'!G446/100),0),0)</f>
        <v>0</v>
      </c>
      <c r="AC22" s="40">
        <f>IF(Определители!I22="9",ROUND(B22*Начисления!M22/100,0),0)</f>
        <v>0</v>
      </c>
      <c r="AD22" s="40">
        <f>IF(Определители!I22="9",ROUND(B22*(100-Начисления!M22)/100,0),0)</f>
        <v>0</v>
      </c>
      <c r="AE22" s="40">
        <f>ROUND('Форма по МДС 81-35.2004'!F424*'Текущие цены за единицу'!AE22,0)</f>
        <v>0</v>
      </c>
      <c r="AH22" s="40">
        <f>ROUND('Форма по МДС 81-35.2004'!F424*'Текущие цены за единицу'!AH22,0)</f>
        <v>0</v>
      </c>
      <c r="AI22" s="40">
        <f>ROUND('Форма по МДС 81-35.2004'!F424*'Текущие цены за единицу'!AI22,0)</f>
        <v>0</v>
      </c>
      <c r="AJ22" s="40">
        <f>ROUND('Форма по МДС 81-35.2004'!F424*'Текущие цены за единицу'!AJ22,0)</f>
        <v>0</v>
      </c>
      <c r="AK22" s="40">
        <f>ROUND('Форма по МДС 81-35.2004'!F424*'Текущие цены за единицу'!AK22,0)</f>
        <v>0</v>
      </c>
    </row>
    <row r="23" spans="1:37" ht="10.5">
      <c r="A23" s="43" t="str">
        <f>'Форма по МДС 81-35.2004'!A450</f>
        <v>18.</v>
      </c>
      <c r="B23" s="43">
        <f>'Форма по МДС 81-35.2004'!H450</f>
        <v>7808</v>
      </c>
      <c r="C23" s="43">
        <f>ROUND(SUMIF('Форма по МДС 81-35.2004'!J450:J475,"Г",'Форма по МДС 81-35.2004'!H450:H475),0)</f>
        <v>677</v>
      </c>
      <c r="D23" s="43">
        <f>ROUND(SUMIF('Форма по МДС 81-35.2004'!J450:J475,"IsMash",'Форма по МДС 81-35.2004'!H450:H475),0)</f>
        <v>2018</v>
      </c>
      <c r="E23" s="43">
        <f>'Форма по МДС 81-35.2004'!H451</f>
        <v>488</v>
      </c>
      <c r="F23" s="43">
        <f>ROUND(SUMIF('Форма по МДС 81-35.2004'!J450:J475,"IsMater",'Форма по МДС 81-35.2004'!H450:H475),0)</f>
        <v>5113</v>
      </c>
      <c r="G23" s="43">
        <f>ROUND('Форма по МДС 81-35.2004'!F450*'Текущие цены за единицу'!G23,0)</f>
        <v>0</v>
      </c>
      <c r="H23" s="43">
        <f>ROUND('Форма по МДС 81-35.2004'!F450*'Текущие цены за единицу'!H23,0)</f>
        <v>0</v>
      </c>
      <c r="I23" s="36">
        <f>ОКРУГЛВСЕ(SUMIF('Форма по МДС 81-35.2004'!J450:J475,"Г",'Форма по МДС 81-35.2004'!F450:F475),8)</f>
        <v>3.024</v>
      </c>
      <c r="J23" s="36">
        <f>ОКРУГЛВСЕ('Форма по МДС 81-35.2004'!F450*'Текущие цены за единицу'!J23,8)</f>
        <v>0</v>
      </c>
      <c r="K23" s="36">
        <f>ОКРУГЛВСЕ(SUMIF('Форма по МДС 81-35.2004'!J450:J475,"Ж",'Форма по МДС 81-35.2004'!F450:F475),8)</f>
        <v>2.016</v>
      </c>
      <c r="L23" s="43">
        <f>ROUND('Форма по МДС 81-35.2004'!F450*'Текущие цены за единицу'!L23,0)</f>
        <v>0</v>
      </c>
      <c r="M23" s="43">
        <f>ROUND('Форма по МДС 81-35.2004'!F450*'Текущие цены за единицу'!M23,0)</f>
        <v>0</v>
      </c>
      <c r="N23" s="43">
        <f>ROUND((C23+E23)*'Форма по МДС 81-35.2004'!G469/100,0)</f>
        <v>1153</v>
      </c>
      <c r="O23" s="43">
        <f>ROUND((C23+E23)*'Форма по МДС 81-35.2004'!G472/100,0)</f>
        <v>466</v>
      </c>
      <c r="P23" s="43">
        <f>ROUND('Форма по МДС 81-35.2004'!F450*'Текущие цены за единицу'!P23,0)</f>
        <v>670</v>
      </c>
      <c r="Q23" s="43">
        <f>ROUND('Форма по МДС 81-35.2004'!F450*'Текущие цены за единицу'!Q23,0)</f>
        <v>482</v>
      </c>
      <c r="R23" s="43">
        <f>ROUND('Форма по МДС 81-35.2004'!F450*'Текущие цены за единицу'!R23,0)</f>
        <v>271</v>
      </c>
      <c r="S23" s="43">
        <f>ROUND('Форма по МДС 81-35.2004'!F450*'Текущие цены за единицу'!S23,0)</f>
        <v>195</v>
      </c>
      <c r="T23" s="43">
        <f>ROUND('Форма по МДС 81-35.2004'!F450*'Текущие цены за единицу'!T23,0)</f>
        <v>0</v>
      </c>
      <c r="U23" s="43">
        <f>ROUND('Форма по МДС 81-35.2004'!F450*'Текущие цены за единицу'!U23,0)</f>
        <v>0</v>
      </c>
      <c r="V23" s="43">
        <f>ROUND('Форма по МДС 81-35.2004'!F450*'Текущие цены за единицу'!V23,0)</f>
        <v>0</v>
      </c>
      <c r="X23" s="40">
        <f>ROUND('Форма по МДС 81-35.2004'!F450*'Текущие цены за единицу'!X23,0)</f>
        <v>0</v>
      </c>
      <c r="Y23" s="40">
        <f>IF(Определители!I23="9",ROUND((C23+E23)*(Начисления!M23/100)*('Форма по МДС 81-35.2004'!G469/100),0),0)</f>
        <v>0</v>
      </c>
      <c r="Z23" s="40">
        <f>IF(Определители!I23="9",ROUND((C23+E23)*(100-Начисления!M23/100)*('Форма по МДС 81-35.2004'!G469/100),0),0)</f>
        <v>0</v>
      </c>
      <c r="AA23" s="40">
        <f>IF(Определители!I23="9",ROUND((C23+E23)*(Начисления!M23/100)*('Форма по МДС 81-35.2004'!G472/100),0),0)</f>
        <v>0</v>
      </c>
      <c r="AB23" s="40">
        <f>IF(Определители!I23="9",ROUND((C23+E23)*(100-Начисления!M23/100)*('Форма по МДС 81-35.2004'!G472/100),0),0)</f>
        <v>0</v>
      </c>
      <c r="AC23" s="40">
        <f>IF(Определители!I23="9",ROUND(B23*Начисления!M23/100,0),0)</f>
        <v>0</v>
      </c>
      <c r="AD23" s="40">
        <f>IF(Определители!I23="9",ROUND(B23*(100-Начисления!M23)/100,0),0)</f>
        <v>0</v>
      </c>
      <c r="AE23" s="40">
        <f>ROUND('Форма по МДС 81-35.2004'!F450*'Текущие цены за единицу'!AE23,0)</f>
        <v>0</v>
      </c>
      <c r="AH23" s="40">
        <f>ROUND('Форма по МДС 81-35.2004'!F450*'Текущие цены за единицу'!AH23,0)</f>
        <v>0</v>
      </c>
      <c r="AI23" s="40">
        <f>ROUND('Форма по МДС 81-35.2004'!F450*'Текущие цены за единицу'!AI23,0)</f>
        <v>0</v>
      </c>
      <c r="AJ23" s="40">
        <f>ROUND('Форма по МДС 81-35.2004'!F450*'Текущие цены за единицу'!AJ23,0)</f>
        <v>0</v>
      </c>
      <c r="AK23" s="40">
        <f>ROUND('Форма по МДС 81-35.2004'!F450*'Текущие цены за единицу'!AK23,0)</f>
        <v>0</v>
      </c>
    </row>
    <row r="24" spans="1:37" ht="10.5">
      <c r="A24" s="43" t="str">
        <f>'Форма по МДС 81-35.2004'!A476</f>
        <v>19.</v>
      </c>
      <c r="B24" s="43">
        <f>'Форма по МДС 81-35.2004'!H476</f>
        <v>535</v>
      </c>
      <c r="C24" s="43">
        <f>ROUND(SUMIF('Форма по МДС 81-35.2004'!J476:J501,"Г",'Форма по МДС 81-35.2004'!H476:H501),0)</f>
        <v>8</v>
      </c>
      <c r="D24" s="43">
        <f>ROUND(SUMIF('Форма по МДС 81-35.2004'!J476:J501,"IsMash",'Форма по МДС 81-35.2004'!H476:H501),0)</f>
        <v>10</v>
      </c>
      <c r="E24" s="43">
        <f>'Форма по МДС 81-35.2004'!H477</f>
        <v>3</v>
      </c>
      <c r="F24" s="43">
        <f>ROUND(SUMIF('Форма по МДС 81-35.2004'!J476:J501,"IsMater",'Форма по МДС 81-35.2004'!H476:H501),0)</f>
        <v>517</v>
      </c>
      <c r="G24" s="43">
        <f>ROUND('Форма по МДС 81-35.2004'!F476*'Текущие цены за единицу'!G24,0)</f>
        <v>0</v>
      </c>
      <c r="H24" s="43">
        <f>ROUND('Форма по МДС 81-35.2004'!F476*'Текущие цены за единицу'!H24,0)</f>
        <v>0</v>
      </c>
      <c r="I24" s="36">
        <f>ОКРУГЛВСЕ(SUMIF('Форма по МДС 81-35.2004'!J476:J501,"Г",'Форма по МДС 81-35.2004'!F476:F501),8)</f>
        <v>0.03492</v>
      </c>
      <c r="J24" s="36">
        <f>ОКРУГЛВСЕ('Форма по МДС 81-35.2004'!F476*'Текущие цены за единицу'!J24,8)</f>
        <v>0</v>
      </c>
      <c r="K24" s="36">
        <f>ОКРУГЛВСЕ(SUMIF('Форма по МДС 81-35.2004'!J476:J501,"Ж",'Форма по МДС 81-35.2004'!F476:F501),8)</f>
        <v>0.01164</v>
      </c>
      <c r="L24" s="43">
        <f>ROUND('Форма по МДС 81-35.2004'!F476*'Текущие цены за единицу'!L24,0)</f>
        <v>0</v>
      </c>
      <c r="M24" s="43">
        <f>ROUND('Форма по МДС 81-35.2004'!F476*'Текущие цены за единицу'!M24,0)</f>
        <v>0</v>
      </c>
      <c r="N24" s="43">
        <f>ROUND((C24+E24)*'Форма по МДС 81-35.2004'!G495/100,0)</f>
        <v>11</v>
      </c>
      <c r="O24" s="43">
        <f>ROUND((C24+E24)*'Форма по МДС 81-35.2004'!G498/100,0)</f>
        <v>4</v>
      </c>
      <c r="P24" s="43">
        <f>ROUND('Форма по МДС 81-35.2004'!F476*'Текущие цены за единицу'!P24,0)</f>
        <v>8</v>
      </c>
      <c r="Q24" s="43">
        <f>ROUND('Форма по МДС 81-35.2004'!F476*'Текущие цены за единицу'!Q24,0)</f>
        <v>3</v>
      </c>
      <c r="R24" s="43">
        <f>ROUND('Форма по МДС 81-35.2004'!F476*'Текущие цены за единицу'!R24,0)</f>
        <v>3</v>
      </c>
      <c r="S24" s="43">
        <f>ROUND('Форма по МДС 81-35.2004'!F476*'Текущие цены за единицу'!S24,0)</f>
        <v>1</v>
      </c>
      <c r="T24" s="43">
        <f>ROUND('Форма по МДС 81-35.2004'!F476*'Текущие цены за единицу'!T24,0)</f>
        <v>0</v>
      </c>
      <c r="U24" s="43">
        <f>ROUND('Форма по МДС 81-35.2004'!F476*'Текущие цены за единицу'!U24,0)</f>
        <v>0</v>
      </c>
      <c r="V24" s="43">
        <f>ROUND('Форма по МДС 81-35.2004'!F476*'Текущие цены за единицу'!V24,0)</f>
        <v>0</v>
      </c>
      <c r="X24" s="40">
        <f>ROUND('Форма по МДС 81-35.2004'!F476*'Текущие цены за единицу'!X24,0)</f>
        <v>0</v>
      </c>
      <c r="Y24" s="40">
        <f>IF(Определители!I24="9",ROUND((C24+E24)*(Начисления!M24/100)*('Форма по МДС 81-35.2004'!G495/100),0),0)</f>
        <v>0</v>
      </c>
      <c r="Z24" s="40">
        <f>IF(Определители!I24="9",ROUND((C24+E24)*(100-Начисления!M24/100)*('Форма по МДС 81-35.2004'!G495/100),0),0)</f>
        <v>0</v>
      </c>
      <c r="AA24" s="40">
        <f>IF(Определители!I24="9",ROUND((C24+E24)*(Начисления!M24/100)*('Форма по МДС 81-35.2004'!G498/100),0),0)</f>
        <v>0</v>
      </c>
      <c r="AB24" s="40">
        <f>IF(Определители!I24="9",ROUND((C24+E24)*(100-Начисления!M24/100)*('Форма по МДС 81-35.2004'!G498/100),0),0)</f>
        <v>0</v>
      </c>
      <c r="AC24" s="40">
        <f>IF(Определители!I24="9",ROUND(B24*Начисления!M24/100,0),0)</f>
        <v>0</v>
      </c>
      <c r="AD24" s="40">
        <f>IF(Определители!I24="9",ROUND(B24*(100-Начисления!M24)/100,0),0)</f>
        <v>0</v>
      </c>
      <c r="AE24" s="40">
        <f>ROUND('Форма по МДС 81-35.2004'!F476*'Текущие цены за единицу'!AE24,0)</f>
        <v>0</v>
      </c>
      <c r="AH24" s="40">
        <f>ROUND('Форма по МДС 81-35.2004'!F476*'Текущие цены за единицу'!AH24,0)</f>
        <v>0</v>
      </c>
      <c r="AI24" s="40">
        <f>ROUND('Форма по МДС 81-35.2004'!F476*'Текущие цены за единицу'!AI24,0)</f>
        <v>0</v>
      </c>
      <c r="AJ24" s="40">
        <f>ROUND('Форма по МДС 81-35.2004'!F476*'Текущие цены за единицу'!AJ24,0)</f>
        <v>0</v>
      </c>
      <c r="AK24" s="40">
        <f>ROUND('Форма по МДС 81-35.2004'!F476*'Текущие цены за единицу'!AK24,0)</f>
        <v>0</v>
      </c>
    </row>
  </sheetData>
  <sheetProtection/>
  <mergeCells count="4">
    <mergeCell ref="A2:H2"/>
    <mergeCell ref="B3:H3"/>
    <mergeCell ref="B4:H4"/>
    <mergeCell ref="A5:H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X24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36" customWidth="1"/>
    <col min="2" max="16384" width="9.140625" style="40" customWidth="1"/>
  </cols>
  <sheetData>
    <row r="1" spans="1:50" s="41" customFormat="1" ht="10.5">
      <c r="A1" s="8"/>
      <c r="B1" s="41" t="s">
        <v>381</v>
      </c>
      <c r="C1" s="41" t="s">
        <v>382</v>
      </c>
      <c r="D1" s="41" t="s">
        <v>383</v>
      </c>
      <c r="E1" s="41" t="s">
        <v>384</v>
      </c>
      <c r="F1" s="41" t="s">
        <v>385</v>
      </c>
      <c r="G1" s="41" t="s">
        <v>386</v>
      </c>
      <c r="H1" s="41" t="s">
        <v>387</v>
      </c>
      <c r="I1" s="41" t="s">
        <v>388</v>
      </c>
      <c r="J1" s="41" t="s">
        <v>389</v>
      </c>
      <c r="K1" s="41" t="s">
        <v>390</v>
      </c>
      <c r="L1" s="41" t="s">
        <v>391</v>
      </c>
      <c r="M1" s="41" t="s">
        <v>392</v>
      </c>
      <c r="N1" s="41" t="s">
        <v>393</v>
      </c>
      <c r="O1" s="41" t="s">
        <v>394</v>
      </c>
      <c r="P1" s="41" t="s">
        <v>395</v>
      </c>
      <c r="Q1" s="41" t="s">
        <v>396</v>
      </c>
      <c r="R1" s="41" t="s">
        <v>397</v>
      </c>
      <c r="S1" s="41" t="s">
        <v>398</v>
      </c>
      <c r="T1" s="41" t="s">
        <v>399</v>
      </c>
      <c r="U1" s="41" t="s">
        <v>400</v>
      </c>
      <c r="V1" s="41" t="s">
        <v>401</v>
      </c>
      <c r="W1" s="41" t="s">
        <v>402</v>
      </c>
      <c r="X1" s="41" t="s">
        <v>403</v>
      </c>
      <c r="Y1" s="41" t="s">
        <v>404</v>
      </c>
      <c r="Z1" s="41" t="s">
        <v>405</v>
      </c>
      <c r="AA1" s="41" t="s">
        <v>406</v>
      </c>
      <c r="AB1" s="41" t="s">
        <v>407</v>
      </c>
      <c r="AC1" s="41" t="s">
        <v>408</v>
      </c>
      <c r="AD1" s="41" t="s">
        <v>409</v>
      </c>
      <c r="AE1" s="41" t="s">
        <v>410</v>
      </c>
      <c r="AF1" s="41" t="s">
        <v>411</v>
      </c>
      <c r="AG1" s="41" t="s">
        <v>412</v>
      </c>
      <c r="AH1" s="41" t="s">
        <v>413</v>
      </c>
      <c r="AI1" s="41" t="s">
        <v>414</v>
      </c>
      <c r="AJ1" s="41" t="s">
        <v>415</v>
      </c>
      <c r="AK1" s="41" t="s">
        <v>416</v>
      </c>
      <c r="AL1" s="41" t="s">
        <v>417</v>
      </c>
      <c r="AM1" s="41" t="s">
        <v>418</v>
      </c>
      <c r="AN1" s="41" t="s">
        <v>419</v>
      </c>
      <c r="AO1" s="41" t="s">
        <v>420</v>
      </c>
      <c r="AP1" s="41" t="s">
        <v>421</v>
      </c>
      <c r="AQ1" s="41" t="s">
        <v>422</v>
      </c>
      <c r="AR1" s="41" t="s">
        <v>423</v>
      </c>
      <c r="AS1" s="41" t="s">
        <v>424</v>
      </c>
      <c r="AT1" s="41" t="s">
        <v>425</v>
      </c>
      <c r="AU1" s="41" t="s">
        <v>426</v>
      </c>
      <c r="AV1" s="41" t="s">
        <v>427</v>
      </c>
      <c r="AW1" s="41" t="s">
        <v>428</v>
      </c>
      <c r="AX1" s="41" t="s">
        <v>429</v>
      </c>
    </row>
    <row r="2" spans="1:8" ht="10.5">
      <c r="A2" s="73"/>
      <c r="B2" s="74"/>
      <c r="C2" s="74"/>
      <c r="D2" s="74"/>
      <c r="E2" s="74"/>
      <c r="F2" s="74"/>
      <c r="G2" s="74"/>
      <c r="H2" s="74"/>
    </row>
    <row r="3" spans="1:8" ht="10.5">
      <c r="A3" s="42"/>
      <c r="B3" s="75" t="s">
        <v>379</v>
      </c>
      <c r="C3" s="75"/>
      <c r="D3" s="75"/>
      <c r="E3" s="75"/>
      <c r="F3" s="75"/>
      <c r="G3" s="75"/>
      <c r="H3" s="75"/>
    </row>
    <row r="4" spans="1:8" ht="10.5">
      <c r="A4" s="42"/>
      <c r="B4" s="75" t="s">
        <v>380</v>
      </c>
      <c r="C4" s="75"/>
      <c r="D4" s="75"/>
      <c r="E4" s="75"/>
      <c r="F4" s="75"/>
      <c r="G4" s="75"/>
      <c r="H4" s="75"/>
    </row>
    <row r="5" spans="1:8" ht="10.5">
      <c r="A5" s="73"/>
      <c r="B5" s="74"/>
      <c r="C5" s="74"/>
      <c r="D5" s="74"/>
      <c r="E5" s="74"/>
      <c r="F5" s="74"/>
      <c r="G5" s="74"/>
      <c r="H5" s="74"/>
    </row>
    <row r="6" spans="1:50" ht="10.5">
      <c r="A6" s="36" t="str">
        <f>'Форма по МДС 81-35.2004'!A19</f>
        <v>1.</v>
      </c>
      <c r="B6" s="36">
        <v>1</v>
      </c>
      <c r="C6" s="36">
        <v>1</v>
      </c>
      <c r="D6" s="36">
        <v>1</v>
      </c>
      <c r="E6" s="36">
        <v>1</v>
      </c>
      <c r="F6" s="36">
        <v>1</v>
      </c>
      <c r="G6" s="36">
        <v>1</v>
      </c>
      <c r="H6" s="36">
        <v>1</v>
      </c>
      <c r="I6" s="36">
        <v>1</v>
      </c>
      <c r="J6" s="36">
        <v>1</v>
      </c>
      <c r="K6" s="36">
        <v>0</v>
      </c>
      <c r="L6" s="36">
        <v>0</v>
      </c>
      <c r="M6" s="36">
        <v>100</v>
      </c>
      <c r="N6" s="36">
        <v>0</v>
      </c>
      <c r="O6" s="36">
        <v>0</v>
      </c>
      <c r="P6" s="36">
        <v>1</v>
      </c>
      <c r="Q6" s="36">
        <v>1</v>
      </c>
      <c r="R6" s="36">
        <v>0</v>
      </c>
      <c r="S6" s="36">
        <v>0</v>
      </c>
      <c r="T6" s="36">
        <v>1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0</v>
      </c>
      <c r="AF6" s="36">
        <v>0</v>
      </c>
      <c r="AG6" s="36">
        <v>1.7</v>
      </c>
      <c r="AH6" s="36">
        <v>1.6</v>
      </c>
      <c r="AI6" s="36">
        <v>1.29</v>
      </c>
      <c r="AJ6" s="36">
        <v>0.092</v>
      </c>
      <c r="AK6" s="36">
        <v>0.18</v>
      </c>
      <c r="AL6" s="36">
        <v>1</v>
      </c>
      <c r="AM6" s="36">
        <v>1</v>
      </c>
      <c r="AN6" s="36">
        <v>0.2</v>
      </c>
      <c r="AO6" s="36">
        <v>1.5</v>
      </c>
      <c r="AP6" s="36">
        <v>1</v>
      </c>
      <c r="AQ6" s="36">
        <v>1</v>
      </c>
      <c r="AR6" s="36">
        <v>1</v>
      </c>
      <c r="AS6" s="36">
        <v>1</v>
      </c>
      <c r="AT6" s="36">
        <v>1</v>
      </c>
      <c r="AU6" s="36">
        <v>100</v>
      </c>
      <c r="AV6" s="36">
        <v>1</v>
      </c>
      <c r="AW6" s="36">
        <v>1</v>
      </c>
      <c r="AX6" s="36">
        <v>1</v>
      </c>
    </row>
    <row r="7" spans="1:50" ht="10.5">
      <c r="A7" s="36" t="str">
        <f>'Форма по МДС 81-35.2004'!A38</f>
        <v>2.</v>
      </c>
      <c r="B7" s="36">
        <v>1</v>
      </c>
      <c r="C7" s="36">
        <v>1</v>
      </c>
      <c r="D7" s="36">
        <v>1.5</v>
      </c>
      <c r="E7" s="36">
        <v>1.5</v>
      </c>
      <c r="F7" s="36">
        <v>1.38</v>
      </c>
      <c r="G7" s="36">
        <v>1</v>
      </c>
      <c r="H7" s="36">
        <v>1</v>
      </c>
      <c r="I7" s="36">
        <v>1</v>
      </c>
      <c r="J7" s="36">
        <v>1</v>
      </c>
      <c r="K7" s="36">
        <v>0</v>
      </c>
      <c r="L7" s="36">
        <v>0</v>
      </c>
      <c r="M7" s="36">
        <v>100</v>
      </c>
      <c r="N7" s="36">
        <v>0</v>
      </c>
      <c r="O7" s="36">
        <v>0</v>
      </c>
      <c r="P7" s="36">
        <v>1</v>
      </c>
      <c r="Q7" s="36">
        <v>1</v>
      </c>
      <c r="R7" s="36">
        <v>0</v>
      </c>
      <c r="S7" s="36">
        <v>0</v>
      </c>
      <c r="T7" s="36">
        <v>1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  <c r="AG7" s="36">
        <v>1.7</v>
      </c>
      <c r="AH7" s="36">
        <v>1.6</v>
      </c>
      <c r="AI7" s="36">
        <v>1.29</v>
      </c>
      <c r="AJ7" s="36">
        <v>0.092</v>
      </c>
      <c r="AK7" s="36">
        <v>0.18</v>
      </c>
      <c r="AL7" s="36">
        <v>1</v>
      </c>
      <c r="AM7" s="36">
        <v>1</v>
      </c>
      <c r="AN7" s="36">
        <v>0.2</v>
      </c>
      <c r="AO7" s="36">
        <v>1.5</v>
      </c>
      <c r="AP7" s="36">
        <v>1</v>
      </c>
      <c r="AQ7" s="36">
        <v>1</v>
      </c>
      <c r="AR7" s="36">
        <v>1</v>
      </c>
      <c r="AS7" s="36">
        <v>1</v>
      </c>
      <c r="AT7" s="36">
        <v>1</v>
      </c>
      <c r="AU7" s="36">
        <v>100</v>
      </c>
      <c r="AV7" s="36">
        <v>1</v>
      </c>
      <c r="AW7" s="36">
        <v>1</v>
      </c>
      <c r="AX7" s="36">
        <v>1</v>
      </c>
    </row>
    <row r="8" spans="1:50" ht="10.5">
      <c r="A8" s="36" t="str">
        <f>'Форма по МДС 81-35.2004'!A65</f>
        <v>3.</v>
      </c>
      <c r="B8" s="36">
        <v>1</v>
      </c>
      <c r="C8" s="36">
        <v>1</v>
      </c>
      <c r="D8" s="36">
        <v>1.5</v>
      </c>
      <c r="E8" s="36">
        <v>1.5</v>
      </c>
      <c r="F8" s="36">
        <v>1.38</v>
      </c>
      <c r="G8" s="36">
        <v>1</v>
      </c>
      <c r="H8" s="36">
        <v>1</v>
      </c>
      <c r="I8" s="36">
        <v>1</v>
      </c>
      <c r="J8" s="36">
        <v>1</v>
      </c>
      <c r="K8" s="36">
        <v>0</v>
      </c>
      <c r="L8" s="36">
        <v>0</v>
      </c>
      <c r="M8" s="36">
        <v>100</v>
      </c>
      <c r="N8" s="36">
        <v>0</v>
      </c>
      <c r="O8" s="36">
        <v>0</v>
      </c>
      <c r="P8" s="36">
        <v>1</v>
      </c>
      <c r="Q8" s="36">
        <v>1</v>
      </c>
      <c r="R8" s="36">
        <v>0</v>
      </c>
      <c r="S8" s="36">
        <v>0</v>
      </c>
      <c r="T8" s="36">
        <v>1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1.7</v>
      </c>
      <c r="AH8" s="36">
        <v>1.6</v>
      </c>
      <c r="AI8" s="36">
        <v>1.29</v>
      </c>
      <c r="AJ8" s="36">
        <v>0.092</v>
      </c>
      <c r="AK8" s="36">
        <v>0.18</v>
      </c>
      <c r="AL8" s="36">
        <v>1</v>
      </c>
      <c r="AM8" s="36">
        <v>1</v>
      </c>
      <c r="AN8" s="36">
        <v>0.2</v>
      </c>
      <c r="AO8" s="36">
        <v>1.5</v>
      </c>
      <c r="AP8" s="36">
        <v>1</v>
      </c>
      <c r="AQ8" s="36">
        <v>1</v>
      </c>
      <c r="AR8" s="36">
        <v>1</v>
      </c>
      <c r="AS8" s="36">
        <v>1</v>
      </c>
      <c r="AT8" s="36">
        <v>1</v>
      </c>
      <c r="AU8" s="36">
        <v>100</v>
      </c>
      <c r="AV8" s="36">
        <v>1</v>
      </c>
      <c r="AW8" s="36">
        <v>1</v>
      </c>
      <c r="AX8" s="36">
        <v>1</v>
      </c>
    </row>
    <row r="9" spans="1:50" ht="10.5">
      <c r="A9" s="36" t="str">
        <f>'Форма по МДС 81-35.2004'!A92</f>
        <v>4.</v>
      </c>
      <c r="B9" s="36">
        <v>1</v>
      </c>
      <c r="C9" s="36">
        <v>1</v>
      </c>
      <c r="D9" s="36">
        <v>1.5</v>
      </c>
      <c r="E9" s="36">
        <v>1.5</v>
      </c>
      <c r="F9" s="36">
        <v>1.38</v>
      </c>
      <c r="G9" s="36">
        <v>1</v>
      </c>
      <c r="H9" s="36">
        <v>1</v>
      </c>
      <c r="I9" s="36">
        <v>1</v>
      </c>
      <c r="J9" s="36">
        <v>1</v>
      </c>
      <c r="K9" s="36">
        <v>0</v>
      </c>
      <c r="L9" s="36">
        <v>0</v>
      </c>
      <c r="M9" s="36">
        <v>100</v>
      </c>
      <c r="N9" s="36">
        <v>0</v>
      </c>
      <c r="O9" s="36">
        <v>0</v>
      </c>
      <c r="P9" s="36">
        <v>1</v>
      </c>
      <c r="Q9" s="36">
        <v>1</v>
      </c>
      <c r="R9" s="36">
        <v>0</v>
      </c>
      <c r="S9" s="36">
        <v>0</v>
      </c>
      <c r="T9" s="36">
        <v>1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1.7</v>
      </c>
      <c r="AH9" s="36">
        <v>1.6</v>
      </c>
      <c r="AI9" s="36">
        <v>1.29</v>
      </c>
      <c r="AJ9" s="36">
        <v>0.092</v>
      </c>
      <c r="AK9" s="36">
        <v>0.18</v>
      </c>
      <c r="AL9" s="36">
        <v>1</v>
      </c>
      <c r="AM9" s="36">
        <v>1</v>
      </c>
      <c r="AN9" s="36">
        <v>0.2</v>
      </c>
      <c r="AO9" s="36">
        <v>1.5</v>
      </c>
      <c r="AP9" s="36">
        <v>1</v>
      </c>
      <c r="AQ9" s="36">
        <v>1</v>
      </c>
      <c r="AR9" s="36">
        <v>1</v>
      </c>
      <c r="AS9" s="36">
        <v>1</v>
      </c>
      <c r="AT9" s="36">
        <v>1</v>
      </c>
      <c r="AU9" s="36">
        <v>100</v>
      </c>
      <c r="AV9" s="36">
        <v>1</v>
      </c>
      <c r="AW9" s="36">
        <v>1</v>
      </c>
      <c r="AX9" s="36">
        <v>1</v>
      </c>
    </row>
    <row r="10" spans="1:50" ht="10.5">
      <c r="A10" s="36" t="str">
        <f>'Форма по МДС 81-35.2004'!A119</f>
        <v>5.</v>
      </c>
      <c r="B10" s="36">
        <v>1</v>
      </c>
      <c r="C10" s="36">
        <v>1</v>
      </c>
      <c r="D10" s="36">
        <v>1.5</v>
      </c>
      <c r="E10" s="36">
        <v>1.5</v>
      </c>
      <c r="F10" s="36">
        <v>1.38</v>
      </c>
      <c r="G10" s="36">
        <v>1</v>
      </c>
      <c r="H10" s="36">
        <v>1</v>
      </c>
      <c r="I10" s="36">
        <v>1</v>
      </c>
      <c r="J10" s="36">
        <v>1</v>
      </c>
      <c r="K10" s="36">
        <v>0</v>
      </c>
      <c r="L10" s="36">
        <v>0</v>
      </c>
      <c r="M10" s="36">
        <v>100</v>
      </c>
      <c r="N10" s="36">
        <v>0</v>
      </c>
      <c r="O10" s="36">
        <v>0</v>
      </c>
      <c r="P10" s="36">
        <v>1</v>
      </c>
      <c r="Q10" s="36">
        <v>1</v>
      </c>
      <c r="R10" s="36">
        <v>0</v>
      </c>
      <c r="S10" s="36">
        <v>0</v>
      </c>
      <c r="T10" s="36">
        <v>1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1.7</v>
      </c>
      <c r="AH10" s="36">
        <v>1.6</v>
      </c>
      <c r="AI10" s="36">
        <v>1.29</v>
      </c>
      <c r="AJ10" s="36">
        <v>0.092</v>
      </c>
      <c r="AK10" s="36">
        <v>0.18</v>
      </c>
      <c r="AL10" s="36">
        <v>1</v>
      </c>
      <c r="AM10" s="36">
        <v>1</v>
      </c>
      <c r="AN10" s="36">
        <v>0.2</v>
      </c>
      <c r="AO10" s="36">
        <v>1.5</v>
      </c>
      <c r="AP10" s="36">
        <v>1</v>
      </c>
      <c r="AQ10" s="36">
        <v>1</v>
      </c>
      <c r="AR10" s="36">
        <v>1</v>
      </c>
      <c r="AS10" s="36">
        <v>1</v>
      </c>
      <c r="AT10" s="36">
        <v>1</v>
      </c>
      <c r="AU10" s="36">
        <v>100</v>
      </c>
      <c r="AV10" s="36">
        <v>1</v>
      </c>
      <c r="AW10" s="36">
        <v>1</v>
      </c>
      <c r="AX10" s="36">
        <v>1</v>
      </c>
    </row>
    <row r="11" spans="1:50" ht="10.5">
      <c r="A11" s="36" t="str">
        <f>'Форма по МДС 81-35.2004'!A146</f>
        <v>6.</v>
      </c>
      <c r="B11" s="36">
        <v>1</v>
      </c>
      <c r="C11" s="36">
        <v>1</v>
      </c>
      <c r="D11" s="36">
        <v>1</v>
      </c>
      <c r="E11" s="36">
        <v>1</v>
      </c>
      <c r="F11" s="36">
        <v>1</v>
      </c>
      <c r="G11" s="36">
        <v>1</v>
      </c>
      <c r="H11" s="36">
        <v>1</v>
      </c>
      <c r="I11" s="36">
        <v>1</v>
      </c>
      <c r="J11" s="36">
        <v>1</v>
      </c>
      <c r="K11" s="36">
        <v>0</v>
      </c>
      <c r="L11" s="36">
        <v>0</v>
      </c>
      <c r="M11" s="36">
        <v>100</v>
      </c>
      <c r="N11" s="36">
        <v>0</v>
      </c>
      <c r="O11" s="36">
        <v>0</v>
      </c>
      <c r="P11" s="36">
        <v>1</v>
      </c>
      <c r="Q11" s="36">
        <v>1</v>
      </c>
      <c r="R11" s="36">
        <v>0</v>
      </c>
      <c r="S11" s="36">
        <v>0</v>
      </c>
      <c r="T11" s="36">
        <v>1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1.7</v>
      </c>
      <c r="AH11" s="36">
        <v>1.6</v>
      </c>
      <c r="AI11" s="36">
        <v>1.29</v>
      </c>
      <c r="AJ11" s="36">
        <v>0.092</v>
      </c>
      <c r="AK11" s="36">
        <v>0.18</v>
      </c>
      <c r="AL11" s="36">
        <v>1</v>
      </c>
      <c r="AM11" s="36">
        <v>1</v>
      </c>
      <c r="AN11" s="36">
        <v>0.2</v>
      </c>
      <c r="AO11" s="36">
        <v>1.5</v>
      </c>
      <c r="AP11" s="36">
        <v>1</v>
      </c>
      <c r="AQ11" s="36">
        <v>1</v>
      </c>
      <c r="AR11" s="36">
        <v>1</v>
      </c>
      <c r="AS11" s="36">
        <v>1</v>
      </c>
      <c r="AT11" s="36">
        <v>1</v>
      </c>
      <c r="AU11" s="36">
        <v>100</v>
      </c>
      <c r="AV11" s="36">
        <v>1</v>
      </c>
      <c r="AW11" s="36">
        <v>1</v>
      </c>
      <c r="AX11" s="36">
        <v>1</v>
      </c>
    </row>
    <row r="12" spans="1:50" ht="10.5">
      <c r="A12" s="36" t="str">
        <f>'Форма по МДС 81-35.2004'!A172</f>
        <v>7.</v>
      </c>
      <c r="B12" s="36">
        <v>1</v>
      </c>
      <c r="C12" s="36">
        <v>1</v>
      </c>
      <c r="D12" s="36">
        <v>1</v>
      </c>
      <c r="E12" s="36">
        <v>1</v>
      </c>
      <c r="F12" s="36">
        <v>1</v>
      </c>
      <c r="G12" s="36">
        <v>1</v>
      </c>
      <c r="H12" s="36">
        <v>1</v>
      </c>
      <c r="I12" s="36">
        <v>1</v>
      </c>
      <c r="J12" s="36">
        <v>1</v>
      </c>
      <c r="K12" s="36">
        <v>0</v>
      </c>
      <c r="L12" s="36">
        <v>0</v>
      </c>
      <c r="M12" s="36">
        <v>100</v>
      </c>
      <c r="N12" s="36">
        <v>0</v>
      </c>
      <c r="O12" s="36">
        <v>0</v>
      </c>
      <c r="P12" s="36">
        <v>1</v>
      </c>
      <c r="Q12" s="36">
        <v>1</v>
      </c>
      <c r="R12" s="36">
        <v>0</v>
      </c>
      <c r="S12" s="36">
        <v>0</v>
      </c>
      <c r="T12" s="36">
        <v>1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1.7</v>
      </c>
      <c r="AH12" s="36">
        <v>1.6</v>
      </c>
      <c r="AI12" s="36">
        <v>1.29</v>
      </c>
      <c r="AJ12" s="36">
        <v>0.092</v>
      </c>
      <c r="AK12" s="36">
        <v>0.18</v>
      </c>
      <c r="AL12" s="36">
        <v>1</v>
      </c>
      <c r="AM12" s="36">
        <v>1</v>
      </c>
      <c r="AN12" s="36">
        <v>0.2</v>
      </c>
      <c r="AO12" s="36">
        <v>1.5</v>
      </c>
      <c r="AP12" s="36">
        <v>1</v>
      </c>
      <c r="AQ12" s="36">
        <v>1</v>
      </c>
      <c r="AR12" s="36">
        <v>1</v>
      </c>
      <c r="AS12" s="36">
        <v>1</v>
      </c>
      <c r="AT12" s="36">
        <v>1</v>
      </c>
      <c r="AU12" s="36">
        <v>100</v>
      </c>
      <c r="AV12" s="36">
        <v>1</v>
      </c>
      <c r="AW12" s="36">
        <v>1</v>
      </c>
      <c r="AX12" s="36">
        <v>1</v>
      </c>
    </row>
    <row r="13" spans="1:50" ht="10.5">
      <c r="A13" s="36" t="str">
        <f>'Форма по МДС 81-35.2004'!A198</f>
        <v>8.</v>
      </c>
      <c r="B13" s="36">
        <v>1</v>
      </c>
      <c r="C13" s="36">
        <v>1</v>
      </c>
      <c r="D13" s="36">
        <v>1</v>
      </c>
      <c r="E13" s="36">
        <v>1</v>
      </c>
      <c r="F13" s="36">
        <v>1</v>
      </c>
      <c r="G13" s="36">
        <v>1</v>
      </c>
      <c r="H13" s="36">
        <v>1</v>
      </c>
      <c r="I13" s="36">
        <v>1</v>
      </c>
      <c r="J13" s="36">
        <v>1</v>
      </c>
      <c r="K13" s="36">
        <v>0</v>
      </c>
      <c r="L13" s="36">
        <v>0</v>
      </c>
      <c r="M13" s="36">
        <v>100</v>
      </c>
      <c r="N13" s="36">
        <v>0</v>
      </c>
      <c r="O13" s="36">
        <v>0</v>
      </c>
      <c r="P13" s="36">
        <v>1</v>
      </c>
      <c r="Q13" s="36">
        <v>1</v>
      </c>
      <c r="R13" s="36">
        <v>0</v>
      </c>
      <c r="S13" s="36">
        <v>0</v>
      </c>
      <c r="T13" s="36">
        <v>1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1.7</v>
      </c>
      <c r="AH13" s="36">
        <v>1.6</v>
      </c>
      <c r="AI13" s="36">
        <v>1.29</v>
      </c>
      <c r="AJ13" s="36">
        <v>0.092</v>
      </c>
      <c r="AK13" s="36">
        <v>0.18</v>
      </c>
      <c r="AL13" s="36">
        <v>1</v>
      </c>
      <c r="AM13" s="36">
        <v>1</v>
      </c>
      <c r="AN13" s="36">
        <v>0.2</v>
      </c>
      <c r="AO13" s="36">
        <v>1.5</v>
      </c>
      <c r="AP13" s="36">
        <v>1</v>
      </c>
      <c r="AQ13" s="36">
        <v>1</v>
      </c>
      <c r="AR13" s="36">
        <v>1</v>
      </c>
      <c r="AS13" s="36">
        <v>1</v>
      </c>
      <c r="AT13" s="36">
        <v>1</v>
      </c>
      <c r="AU13" s="36">
        <v>100</v>
      </c>
      <c r="AV13" s="36">
        <v>1</v>
      </c>
      <c r="AW13" s="36">
        <v>1</v>
      </c>
      <c r="AX13" s="36">
        <v>1</v>
      </c>
    </row>
    <row r="14" spans="1:50" ht="10.5">
      <c r="A14" s="36" t="str">
        <f>'Форма по МДС 81-35.2004'!A222</f>
        <v>9.</v>
      </c>
      <c r="B14" s="36">
        <v>1</v>
      </c>
      <c r="C14" s="36">
        <v>1</v>
      </c>
      <c r="D14" s="36">
        <v>1</v>
      </c>
      <c r="E14" s="36">
        <v>1</v>
      </c>
      <c r="F14" s="36">
        <v>1</v>
      </c>
      <c r="G14" s="36">
        <v>1</v>
      </c>
      <c r="H14" s="36">
        <v>1</v>
      </c>
      <c r="I14" s="36">
        <v>1</v>
      </c>
      <c r="J14" s="36">
        <v>1</v>
      </c>
      <c r="K14" s="36">
        <v>0</v>
      </c>
      <c r="L14" s="36">
        <v>0</v>
      </c>
      <c r="M14" s="36">
        <v>100</v>
      </c>
      <c r="N14" s="36">
        <v>0</v>
      </c>
      <c r="O14" s="36">
        <v>0</v>
      </c>
      <c r="P14" s="36">
        <v>1</v>
      </c>
      <c r="Q14" s="36">
        <v>1</v>
      </c>
      <c r="R14" s="36">
        <v>0</v>
      </c>
      <c r="S14" s="36">
        <v>0</v>
      </c>
      <c r="T14" s="36">
        <v>1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1.7</v>
      </c>
      <c r="AH14" s="36">
        <v>1.6</v>
      </c>
      <c r="AI14" s="36">
        <v>1.29</v>
      </c>
      <c r="AJ14" s="36">
        <v>0.092</v>
      </c>
      <c r="AK14" s="36">
        <v>0.18</v>
      </c>
      <c r="AL14" s="36">
        <v>1</v>
      </c>
      <c r="AM14" s="36">
        <v>1</v>
      </c>
      <c r="AN14" s="36">
        <v>0.2</v>
      </c>
      <c r="AO14" s="36">
        <v>1.5</v>
      </c>
      <c r="AP14" s="36">
        <v>1</v>
      </c>
      <c r="AQ14" s="36">
        <v>1</v>
      </c>
      <c r="AR14" s="36">
        <v>1</v>
      </c>
      <c r="AS14" s="36">
        <v>1</v>
      </c>
      <c r="AT14" s="36">
        <v>1</v>
      </c>
      <c r="AU14" s="36">
        <v>100</v>
      </c>
      <c r="AV14" s="36">
        <v>1</v>
      </c>
      <c r="AW14" s="36">
        <v>1</v>
      </c>
      <c r="AX14" s="36">
        <v>1</v>
      </c>
    </row>
    <row r="15" spans="1:50" ht="10.5">
      <c r="A15" s="36" t="str">
        <f>'Форма по МДС 81-35.2004'!A246</f>
        <v>10.</v>
      </c>
      <c r="B15" s="36">
        <v>1</v>
      </c>
      <c r="C15" s="36">
        <v>1</v>
      </c>
      <c r="D15" s="36">
        <v>1</v>
      </c>
      <c r="E15" s="36">
        <v>1</v>
      </c>
      <c r="F15" s="36">
        <v>1</v>
      </c>
      <c r="G15" s="36">
        <v>1</v>
      </c>
      <c r="H15" s="36">
        <v>1</v>
      </c>
      <c r="I15" s="36">
        <v>1</v>
      </c>
      <c r="J15" s="36">
        <v>1</v>
      </c>
      <c r="K15" s="36">
        <v>0</v>
      </c>
      <c r="L15" s="36">
        <v>0</v>
      </c>
      <c r="M15" s="36">
        <v>100</v>
      </c>
      <c r="N15" s="36">
        <v>0</v>
      </c>
      <c r="O15" s="36">
        <v>0</v>
      </c>
      <c r="P15" s="36">
        <v>1</v>
      </c>
      <c r="Q15" s="36">
        <v>1</v>
      </c>
      <c r="R15" s="36">
        <v>0</v>
      </c>
      <c r="S15" s="36">
        <v>0</v>
      </c>
      <c r="T15" s="36">
        <v>1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1.7</v>
      </c>
      <c r="AH15" s="36">
        <v>1.6</v>
      </c>
      <c r="AI15" s="36">
        <v>1.29</v>
      </c>
      <c r="AJ15" s="36">
        <v>0.092</v>
      </c>
      <c r="AK15" s="36">
        <v>0.18</v>
      </c>
      <c r="AL15" s="36">
        <v>1</v>
      </c>
      <c r="AM15" s="36">
        <v>1</v>
      </c>
      <c r="AN15" s="36">
        <v>0.2</v>
      </c>
      <c r="AO15" s="36">
        <v>1.5</v>
      </c>
      <c r="AP15" s="36">
        <v>1</v>
      </c>
      <c r="AQ15" s="36">
        <v>1</v>
      </c>
      <c r="AR15" s="36">
        <v>1</v>
      </c>
      <c r="AS15" s="36">
        <v>1</v>
      </c>
      <c r="AT15" s="36">
        <v>1</v>
      </c>
      <c r="AU15" s="36">
        <v>100</v>
      </c>
      <c r="AV15" s="36">
        <v>1</v>
      </c>
      <c r="AW15" s="36">
        <v>1</v>
      </c>
      <c r="AX15" s="36">
        <v>1</v>
      </c>
    </row>
    <row r="16" spans="1:50" ht="10.5">
      <c r="A16" s="36" t="str">
        <f>'Форма по МДС 81-35.2004'!A270</f>
        <v>11.</v>
      </c>
      <c r="B16" s="36">
        <v>1</v>
      </c>
      <c r="C16" s="36">
        <v>1</v>
      </c>
      <c r="D16" s="36">
        <v>1</v>
      </c>
      <c r="E16" s="36">
        <v>1</v>
      </c>
      <c r="F16" s="36">
        <v>1</v>
      </c>
      <c r="G16" s="36">
        <v>1</v>
      </c>
      <c r="H16" s="36">
        <v>1</v>
      </c>
      <c r="I16" s="36">
        <v>1</v>
      </c>
      <c r="J16" s="36">
        <v>1</v>
      </c>
      <c r="K16" s="36">
        <v>0</v>
      </c>
      <c r="L16" s="36">
        <v>0</v>
      </c>
      <c r="M16" s="36">
        <v>100</v>
      </c>
      <c r="N16" s="36">
        <v>0</v>
      </c>
      <c r="O16" s="36">
        <v>0</v>
      </c>
      <c r="P16" s="36">
        <v>1</v>
      </c>
      <c r="Q16" s="36">
        <v>1</v>
      </c>
      <c r="R16" s="36">
        <v>0</v>
      </c>
      <c r="S16" s="36">
        <v>0</v>
      </c>
      <c r="T16" s="36">
        <v>1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1.7</v>
      </c>
      <c r="AH16" s="36">
        <v>1.6</v>
      </c>
      <c r="AI16" s="36">
        <v>1.29</v>
      </c>
      <c r="AJ16" s="36">
        <v>0.092</v>
      </c>
      <c r="AK16" s="36">
        <v>0.18</v>
      </c>
      <c r="AL16" s="36">
        <v>1</v>
      </c>
      <c r="AM16" s="36">
        <v>1</v>
      </c>
      <c r="AN16" s="36">
        <v>0.2</v>
      </c>
      <c r="AO16" s="36">
        <v>1.5</v>
      </c>
      <c r="AP16" s="36">
        <v>1</v>
      </c>
      <c r="AQ16" s="36">
        <v>1</v>
      </c>
      <c r="AR16" s="36">
        <v>1</v>
      </c>
      <c r="AS16" s="36">
        <v>1</v>
      </c>
      <c r="AT16" s="36">
        <v>1</v>
      </c>
      <c r="AU16" s="36">
        <v>100</v>
      </c>
      <c r="AV16" s="36">
        <v>1</v>
      </c>
      <c r="AW16" s="36">
        <v>1</v>
      </c>
      <c r="AX16" s="36">
        <v>1</v>
      </c>
    </row>
    <row r="17" spans="1:50" ht="10.5">
      <c r="A17" s="36" t="str">
        <f>'Форма по МДС 81-35.2004'!A296</f>
        <v>12.</v>
      </c>
      <c r="B17" s="36">
        <v>1</v>
      </c>
      <c r="C17" s="36">
        <v>1</v>
      </c>
      <c r="D17" s="36">
        <v>1</v>
      </c>
      <c r="E17" s="36">
        <v>1</v>
      </c>
      <c r="F17" s="36">
        <v>1</v>
      </c>
      <c r="G17" s="36">
        <v>1</v>
      </c>
      <c r="H17" s="36">
        <v>1</v>
      </c>
      <c r="I17" s="36">
        <v>1</v>
      </c>
      <c r="J17" s="36">
        <v>1</v>
      </c>
      <c r="K17" s="36">
        <v>0</v>
      </c>
      <c r="L17" s="36">
        <v>0</v>
      </c>
      <c r="M17" s="36">
        <v>100</v>
      </c>
      <c r="N17" s="36">
        <v>0</v>
      </c>
      <c r="O17" s="36">
        <v>0</v>
      </c>
      <c r="P17" s="36">
        <v>1</v>
      </c>
      <c r="Q17" s="36">
        <v>1</v>
      </c>
      <c r="R17" s="36">
        <v>0</v>
      </c>
      <c r="S17" s="36">
        <v>0</v>
      </c>
      <c r="T17" s="36">
        <v>1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1.7</v>
      </c>
      <c r="AH17" s="36">
        <v>1.6</v>
      </c>
      <c r="AI17" s="36">
        <v>1.29</v>
      </c>
      <c r="AJ17" s="36">
        <v>0.092</v>
      </c>
      <c r="AK17" s="36">
        <v>0.18</v>
      </c>
      <c r="AL17" s="36">
        <v>1</v>
      </c>
      <c r="AM17" s="36">
        <v>1</v>
      </c>
      <c r="AN17" s="36">
        <v>0.2</v>
      </c>
      <c r="AO17" s="36">
        <v>1.5</v>
      </c>
      <c r="AP17" s="36">
        <v>1</v>
      </c>
      <c r="AQ17" s="36">
        <v>1</v>
      </c>
      <c r="AR17" s="36">
        <v>1</v>
      </c>
      <c r="AS17" s="36">
        <v>1</v>
      </c>
      <c r="AT17" s="36">
        <v>1</v>
      </c>
      <c r="AU17" s="36">
        <v>100</v>
      </c>
      <c r="AV17" s="36">
        <v>1</v>
      </c>
      <c r="AW17" s="36">
        <v>1</v>
      </c>
      <c r="AX17" s="36">
        <v>1</v>
      </c>
    </row>
    <row r="18" spans="1:50" ht="10.5">
      <c r="A18" s="36" t="str">
        <f>'Форма по МДС 81-35.2004'!A320</f>
        <v>13.</v>
      </c>
      <c r="B18" s="36">
        <v>1</v>
      </c>
      <c r="C18" s="36">
        <v>1</v>
      </c>
      <c r="D18" s="36">
        <v>1</v>
      </c>
      <c r="E18" s="36">
        <v>1</v>
      </c>
      <c r="F18" s="36">
        <v>1</v>
      </c>
      <c r="G18" s="36">
        <v>1</v>
      </c>
      <c r="H18" s="36">
        <v>1</v>
      </c>
      <c r="I18" s="36">
        <v>1</v>
      </c>
      <c r="J18" s="36">
        <v>1</v>
      </c>
      <c r="K18" s="36">
        <v>0</v>
      </c>
      <c r="L18" s="36">
        <v>0</v>
      </c>
      <c r="M18" s="36">
        <v>100</v>
      </c>
      <c r="N18" s="36">
        <v>0</v>
      </c>
      <c r="O18" s="36">
        <v>0</v>
      </c>
      <c r="P18" s="36">
        <v>1</v>
      </c>
      <c r="Q18" s="36">
        <v>1</v>
      </c>
      <c r="R18" s="36">
        <v>0</v>
      </c>
      <c r="S18" s="36">
        <v>0</v>
      </c>
      <c r="T18" s="36">
        <v>1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1.7</v>
      </c>
      <c r="AH18" s="36">
        <v>1.6</v>
      </c>
      <c r="AI18" s="36">
        <v>1.29</v>
      </c>
      <c r="AJ18" s="36">
        <v>0.092</v>
      </c>
      <c r="AK18" s="36">
        <v>0.18</v>
      </c>
      <c r="AL18" s="36">
        <v>1</v>
      </c>
      <c r="AM18" s="36">
        <v>1</v>
      </c>
      <c r="AN18" s="36">
        <v>0.2</v>
      </c>
      <c r="AO18" s="36">
        <v>1.5</v>
      </c>
      <c r="AP18" s="36">
        <v>1</v>
      </c>
      <c r="AQ18" s="36">
        <v>1</v>
      </c>
      <c r="AR18" s="36">
        <v>1</v>
      </c>
      <c r="AS18" s="36">
        <v>1</v>
      </c>
      <c r="AT18" s="36">
        <v>1</v>
      </c>
      <c r="AU18" s="36">
        <v>100</v>
      </c>
      <c r="AV18" s="36">
        <v>1</v>
      </c>
      <c r="AW18" s="36">
        <v>1</v>
      </c>
      <c r="AX18" s="36">
        <v>1</v>
      </c>
    </row>
    <row r="19" spans="1:50" ht="10.5">
      <c r="A19" s="36" t="str">
        <f>'Форма по МДС 81-35.2004'!A346</f>
        <v>14.</v>
      </c>
      <c r="B19" s="36">
        <v>1</v>
      </c>
      <c r="C19" s="36">
        <v>1</v>
      </c>
      <c r="D19" s="36">
        <v>1</v>
      </c>
      <c r="E19" s="36">
        <v>1</v>
      </c>
      <c r="F19" s="36">
        <v>1</v>
      </c>
      <c r="G19" s="36">
        <v>1</v>
      </c>
      <c r="H19" s="36">
        <v>1</v>
      </c>
      <c r="I19" s="36">
        <v>1</v>
      </c>
      <c r="J19" s="36">
        <v>1</v>
      </c>
      <c r="K19" s="36">
        <v>0</v>
      </c>
      <c r="L19" s="36">
        <v>0</v>
      </c>
      <c r="M19" s="36">
        <v>100</v>
      </c>
      <c r="N19" s="36">
        <v>0</v>
      </c>
      <c r="O19" s="36">
        <v>0</v>
      </c>
      <c r="P19" s="36">
        <v>1</v>
      </c>
      <c r="Q19" s="36">
        <v>1</v>
      </c>
      <c r="R19" s="36">
        <v>0</v>
      </c>
      <c r="S19" s="36">
        <v>0</v>
      </c>
      <c r="T19" s="36">
        <v>1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1.7</v>
      </c>
      <c r="AH19" s="36">
        <v>1.6</v>
      </c>
      <c r="AI19" s="36">
        <v>1.29</v>
      </c>
      <c r="AJ19" s="36">
        <v>0.092</v>
      </c>
      <c r="AK19" s="36">
        <v>0.18</v>
      </c>
      <c r="AL19" s="36">
        <v>1</v>
      </c>
      <c r="AM19" s="36">
        <v>1</v>
      </c>
      <c r="AN19" s="36">
        <v>0.2</v>
      </c>
      <c r="AO19" s="36">
        <v>1.5</v>
      </c>
      <c r="AP19" s="36">
        <v>1</v>
      </c>
      <c r="AQ19" s="36">
        <v>1</v>
      </c>
      <c r="AR19" s="36">
        <v>1</v>
      </c>
      <c r="AS19" s="36">
        <v>1</v>
      </c>
      <c r="AT19" s="36">
        <v>1</v>
      </c>
      <c r="AU19" s="36">
        <v>100</v>
      </c>
      <c r="AV19" s="36">
        <v>1</v>
      </c>
      <c r="AW19" s="36">
        <v>1</v>
      </c>
      <c r="AX19" s="36">
        <v>1</v>
      </c>
    </row>
    <row r="20" spans="1:50" ht="10.5">
      <c r="A20" s="36" t="str">
        <f>'Форма по МДС 81-35.2004'!A372</f>
        <v>15.</v>
      </c>
      <c r="B20" s="36">
        <v>1</v>
      </c>
      <c r="C20" s="36">
        <v>1</v>
      </c>
      <c r="D20" s="36">
        <v>1</v>
      </c>
      <c r="E20" s="36">
        <v>1</v>
      </c>
      <c r="F20" s="36">
        <v>1</v>
      </c>
      <c r="G20" s="36">
        <v>1</v>
      </c>
      <c r="H20" s="36">
        <v>1</v>
      </c>
      <c r="I20" s="36">
        <v>1</v>
      </c>
      <c r="J20" s="36">
        <v>1</v>
      </c>
      <c r="K20" s="36">
        <v>0</v>
      </c>
      <c r="L20" s="36">
        <v>0</v>
      </c>
      <c r="M20" s="36">
        <v>100</v>
      </c>
      <c r="N20" s="36">
        <v>0</v>
      </c>
      <c r="O20" s="36">
        <v>0</v>
      </c>
      <c r="P20" s="36">
        <v>1</v>
      </c>
      <c r="Q20" s="36">
        <v>1</v>
      </c>
      <c r="R20" s="36">
        <v>0</v>
      </c>
      <c r="S20" s="36">
        <v>0</v>
      </c>
      <c r="T20" s="36">
        <v>1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1.7</v>
      </c>
      <c r="AH20" s="36">
        <v>1.6</v>
      </c>
      <c r="AI20" s="36">
        <v>1.29</v>
      </c>
      <c r="AJ20" s="36">
        <v>0.092</v>
      </c>
      <c r="AK20" s="36">
        <v>0.18</v>
      </c>
      <c r="AL20" s="36">
        <v>1</v>
      </c>
      <c r="AM20" s="36">
        <v>1</v>
      </c>
      <c r="AN20" s="36">
        <v>0.2</v>
      </c>
      <c r="AO20" s="36">
        <v>1.5</v>
      </c>
      <c r="AP20" s="36">
        <v>1</v>
      </c>
      <c r="AQ20" s="36">
        <v>1</v>
      </c>
      <c r="AR20" s="36">
        <v>1</v>
      </c>
      <c r="AS20" s="36">
        <v>1</v>
      </c>
      <c r="AT20" s="36">
        <v>1</v>
      </c>
      <c r="AU20" s="36">
        <v>100</v>
      </c>
      <c r="AV20" s="36">
        <v>1</v>
      </c>
      <c r="AW20" s="36">
        <v>1</v>
      </c>
      <c r="AX20" s="36">
        <v>1</v>
      </c>
    </row>
    <row r="21" spans="1:50" ht="10.5">
      <c r="A21" s="36" t="str">
        <f>'Форма по МДС 81-35.2004'!A398</f>
        <v>16.</v>
      </c>
      <c r="B21" s="36">
        <v>1</v>
      </c>
      <c r="C21" s="36">
        <v>1</v>
      </c>
      <c r="D21" s="36">
        <v>1</v>
      </c>
      <c r="E21" s="36">
        <v>1</v>
      </c>
      <c r="F21" s="36">
        <v>1</v>
      </c>
      <c r="G21" s="36">
        <v>1</v>
      </c>
      <c r="H21" s="36">
        <v>1</v>
      </c>
      <c r="I21" s="36">
        <v>1</v>
      </c>
      <c r="J21" s="36">
        <v>1</v>
      </c>
      <c r="K21" s="36">
        <v>0</v>
      </c>
      <c r="L21" s="36">
        <v>0</v>
      </c>
      <c r="M21" s="36">
        <v>100</v>
      </c>
      <c r="N21" s="36">
        <v>0</v>
      </c>
      <c r="O21" s="36">
        <v>0</v>
      </c>
      <c r="P21" s="36">
        <v>1</v>
      </c>
      <c r="Q21" s="36">
        <v>1</v>
      </c>
      <c r="R21" s="36">
        <v>0</v>
      </c>
      <c r="S21" s="36">
        <v>0</v>
      </c>
      <c r="T21" s="36">
        <v>1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1.7</v>
      </c>
      <c r="AH21" s="36">
        <v>1.6</v>
      </c>
      <c r="AI21" s="36">
        <v>1.29</v>
      </c>
      <c r="AJ21" s="36">
        <v>0.092</v>
      </c>
      <c r="AK21" s="36">
        <v>0.18</v>
      </c>
      <c r="AL21" s="36">
        <v>1</v>
      </c>
      <c r="AM21" s="36">
        <v>1</v>
      </c>
      <c r="AN21" s="36">
        <v>0.2</v>
      </c>
      <c r="AO21" s="36">
        <v>1.5</v>
      </c>
      <c r="AP21" s="36">
        <v>1</v>
      </c>
      <c r="AQ21" s="36">
        <v>1</v>
      </c>
      <c r="AR21" s="36">
        <v>1</v>
      </c>
      <c r="AS21" s="36">
        <v>1</v>
      </c>
      <c r="AT21" s="36">
        <v>1</v>
      </c>
      <c r="AU21" s="36">
        <v>100</v>
      </c>
      <c r="AV21" s="36">
        <v>1</v>
      </c>
      <c r="AW21" s="36">
        <v>1</v>
      </c>
      <c r="AX21" s="36">
        <v>1</v>
      </c>
    </row>
    <row r="22" spans="1:50" ht="10.5">
      <c r="A22" s="36" t="str">
        <f>'Форма по МДС 81-35.2004'!A424</f>
        <v>17.</v>
      </c>
      <c r="B22" s="36">
        <v>1</v>
      </c>
      <c r="C22" s="36">
        <v>1</v>
      </c>
      <c r="D22" s="36">
        <v>1</v>
      </c>
      <c r="E22" s="36">
        <v>1</v>
      </c>
      <c r="F22" s="36">
        <v>1</v>
      </c>
      <c r="G22" s="36">
        <v>1</v>
      </c>
      <c r="H22" s="36">
        <v>1</v>
      </c>
      <c r="I22" s="36">
        <v>1</v>
      </c>
      <c r="J22" s="36">
        <v>1</v>
      </c>
      <c r="K22" s="36">
        <v>0</v>
      </c>
      <c r="L22" s="36">
        <v>0</v>
      </c>
      <c r="M22" s="36">
        <v>100</v>
      </c>
      <c r="N22" s="36">
        <v>0</v>
      </c>
      <c r="O22" s="36">
        <v>0</v>
      </c>
      <c r="P22" s="36">
        <v>1</v>
      </c>
      <c r="Q22" s="36">
        <v>1</v>
      </c>
      <c r="R22" s="36">
        <v>0</v>
      </c>
      <c r="S22" s="36">
        <v>0</v>
      </c>
      <c r="T22" s="36">
        <v>1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1.7</v>
      </c>
      <c r="AH22" s="36">
        <v>1.6</v>
      </c>
      <c r="AI22" s="36">
        <v>1.29</v>
      </c>
      <c r="AJ22" s="36">
        <v>0.092</v>
      </c>
      <c r="AK22" s="36">
        <v>0.18</v>
      </c>
      <c r="AL22" s="36">
        <v>1</v>
      </c>
      <c r="AM22" s="36">
        <v>1</v>
      </c>
      <c r="AN22" s="36">
        <v>0.2</v>
      </c>
      <c r="AO22" s="36">
        <v>1.5</v>
      </c>
      <c r="AP22" s="36">
        <v>1</v>
      </c>
      <c r="AQ22" s="36">
        <v>1</v>
      </c>
      <c r="AR22" s="36">
        <v>1</v>
      </c>
      <c r="AS22" s="36">
        <v>1</v>
      </c>
      <c r="AT22" s="36">
        <v>1</v>
      </c>
      <c r="AU22" s="36">
        <v>100</v>
      </c>
      <c r="AV22" s="36">
        <v>1</v>
      </c>
      <c r="AW22" s="36">
        <v>1</v>
      </c>
      <c r="AX22" s="36">
        <v>1</v>
      </c>
    </row>
    <row r="23" spans="1:50" ht="10.5">
      <c r="A23" s="36" t="str">
        <f>'Форма по МДС 81-35.2004'!A450</f>
        <v>18.</v>
      </c>
      <c r="B23" s="36">
        <v>1</v>
      </c>
      <c r="C23" s="36">
        <v>1</v>
      </c>
      <c r="D23" s="36">
        <v>1</v>
      </c>
      <c r="E23" s="36">
        <v>1</v>
      </c>
      <c r="F23" s="36">
        <v>1</v>
      </c>
      <c r="G23" s="36">
        <v>1</v>
      </c>
      <c r="H23" s="36">
        <v>1</v>
      </c>
      <c r="I23" s="36">
        <v>1</v>
      </c>
      <c r="J23" s="36">
        <v>1</v>
      </c>
      <c r="K23" s="36">
        <v>0</v>
      </c>
      <c r="L23" s="36">
        <v>0</v>
      </c>
      <c r="M23" s="36">
        <v>100</v>
      </c>
      <c r="N23" s="36">
        <v>0</v>
      </c>
      <c r="O23" s="36">
        <v>0</v>
      </c>
      <c r="P23" s="36">
        <v>1</v>
      </c>
      <c r="Q23" s="36">
        <v>1</v>
      </c>
      <c r="R23" s="36">
        <v>0</v>
      </c>
      <c r="S23" s="36">
        <v>0</v>
      </c>
      <c r="T23" s="36">
        <v>1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1.7</v>
      </c>
      <c r="AH23" s="36">
        <v>1.6</v>
      </c>
      <c r="AI23" s="36">
        <v>1.29</v>
      </c>
      <c r="AJ23" s="36">
        <v>0.092</v>
      </c>
      <c r="AK23" s="36">
        <v>0.18</v>
      </c>
      <c r="AL23" s="36">
        <v>1</v>
      </c>
      <c r="AM23" s="36">
        <v>1</v>
      </c>
      <c r="AN23" s="36">
        <v>0.2</v>
      </c>
      <c r="AO23" s="36">
        <v>1.5</v>
      </c>
      <c r="AP23" s="36">
        <v>1</v>
      </c>
      <c r="AQ23" s="36">
        <v>1</v>
      </c>
      <c r="AR23" s="36">
        <v>1</v>
      </c>
      <c r="AS23" s="36">
        <v>1</v>
      </c>
      <c r="AT23" s="36">
        <v>1</v>
      </c>
      <c r="AU23" s="36">
        <v>100</v>
      </c>
      <c r="AV23" s="36">
        <v>1</v>
      </c>
      <c r="AW23" s="36">
        <v>1</v>
      </c>
      <c r="AX23" s="36">
        <v>1</v>
      </c>
    </row>
    <row r="24" spans="1:50" ht="10.5">
      <c r="A24" s="36" t="str">
        <f>'Форма по МДС 81-35.2004'!A476</f>
        <v>19.</v>
      </c>
      <c r="B24" s="36">
        <v>1</v>
      </c>
      <c r="C24" s="36">
        <v>1</v>
      </c>
      <c r="D24" s="36">
        <v>1</v>
      </c>
      <c r="E24" s="36">
        <v>1</v>
      </c>
      <c r="F24" s="36">
        <v>1</v>
      </c>
      <c r="G24" s="36">
        <v>1</v>
      </c>
      <c r="H24" s="36">
        <v>1</v>
      </c>
      <c r="I24" s="36">
        <v>1</v>
      </c>
      <c r="J24" s="36">
        <v>1</v>
      </c>
      <c r="K24" s="36">
        <v>0</v>
      </c>
      <c r="L24" s="36">
        <v>0</v>
      </c>
      <c r="M24" s="36">
        <v>100</v>
      </c>
      <c r="N24" s="36">
        <v>0</v>
      </c>
      <c r="O24" s="36">
        <v>0</v>
      </c>
      <c r="P24" s="36">
        <v>1</v>
      </c>
      <c r="Q24" s="36">
        <v>1</v>
      </c>
      <c r="R24" s="36">
        <v>0</v>
      </c>
      <c r="S24" s="36">
        <v>0</v>
      </c>
      <c r="T24" s="36">
        <v>1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1.7</v>
      </c>
      <c r="AH24" s="36">
        <v>1.6</v>
      </c>
      <c r="AI24" s="36">
        <v>1.29</v>
      </c>
      <c r="AJ24" s="36">
        <v>0.092</v>
      </c>
      <c r="AK24" s="36">
        <v>0.18</v>
      </c>
      <c r="AL24" s="36">
        <v>1</v>
      </c>
      <c r="AM24" s="36">
        <v>1</v>
      </c>
      <c r="AN24" s="36">
        <v>0.2</v>
      </c>
      <c r="AO24" s="36">
        <v>1.5</v>
      </c>
      <c r="AP24" s="36">
        <v>1</v>
      </c>
      <c r="AQ24" s="36">
        <v>1</v>
      </c>
      <c r="AR24" s="36">
        <v>1</v>
      </c>
      <c r="AS24" s="36">
        <v>1</v>
      </c>
      <c r="AT24" s="36">
        <v>1</v>
      </c>
      <c r="AU24" s="36">
        <v>100</v>
      </c>
      <c r="AV24" s="36">
        <v>1</v>
      </c>
      <c r="AW24" s="36">
        <v>1</v>
      </c>
      <c r="AX24" s="36">
        <v>1</v>
      </c>
    </row>
  </sheetData>
  <sheetProtection/>
  <mergeCells count="4">
    <mergeCell ref="A2:H2"/>
    <mergeCell ref="B3:H3"/>
    <mergeCell ref="B4:H4"/>
    <mergeCell ref="A5:H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J24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45" customWidth="1"/>
    <col min="2" max="16384" width="9.140625" style="44" customWidth="1"/>
  </cols>
  <sheetData>
    <row r="1" spans="2:10" s="41" customFormat="1" ht="10.5">
      <c r="B1" s="41" t="s">
        <v>430</v>
      </c>
      <c r="C1" s="41" t="s">
        <v>431</v>
      </c>
      <c r="D1" s="41" t="s">
        <v>432</v>
      </c>
      <c r="E1" s="41" t="s">
        <v>433</v>
      </c>
      <c r="F1" s="41" t="s">
        <v>434</v>
      </c>
      <c r="G1" s="41" t="s">
        <v>435</v>
      </c>
      <c r="H1" s="41" t="s">
        <v>436</v>
      </c>
      <c r="I1" s="41" t="s">
        <v>437</v>
      </c>
      <c r="J1" s="41" t="s">
        <v>438</v>
      </c>
    </row>
    <row r="2" spans="1:8" ht="10.5">
      <c r="A2" s="76"/>
      <c r="B2" s="77"/>
      <c r="C2" s="77"/>
      <c r="D2" s="77"/>
      <c r="E2" s="77"/>
      <c r="F2" s="77"/>
      <c r="G2" s="77"/>
      <c r="H2" s="77"/>
    </row>
    <row r="3" spans="1:8" ht="10.5">
      <c r="A3" s="46"/>
      <c r="B3" s="78" t="s">
        <v>379</v>
      </c>
      <c r="C3" s="78"/>
      <c r="D3" s="78"/>
      <c r="E3" s="78"/>
      <c r="F3" s="78"/>
      <c r="G3" s="78"/>
      <c r="H3" s="78"/>
    </row>
    <row r="4" spans="1:8" ht="10.5">
      <c r="A4" s="46"/>
      <c r="B4" s="78" t="s">
        <v>380</v>
      </c>
      <c r="C4" s="78"/>
      <c r="D4" s="78"/>
      <c r="E4" s="78"/>
      <c r="F4" s="78"/>
      <c r="G4" s="78"/>
      <c r="H4" s="78"/>
    </row>
    <row r="5" spans="1:8" ht="10.5">
      <c r="A5" s="76"/>
      <c r="B5" s="77"/>
      <c r="C5" s="77"/>
      <c r="D5" s="77"/>
      <c r="E5" s="77"/>
      <c r="F5" s="77"/>
      <c r="G5" s="77"/>
      <c r="H5" s="77"/>
    </row>
    <row r="6" spans="1:10" ht="10.5">
      <c r="A6" s="45" t="str">
        <f>'Форма по МДС 81-35.2004'!A19</f>
        <v>1.</v>
      </c>
      <c r="B6" s="44" t="s">
        <v>439</v>
      </c>
      <c r="C6" s="44" t="s">
        <v>439</v>
      </c>
      <c r="D6" s="44" t="s">
        <v>440</v>
      </c>
      <c r="E6" s="44" t="s">
        <v>440</v>
      </c>
      <c r="F6" s="44" t="s">
        <v>319</v>
      </c>
      <c r="G6" s="44" t="s">
        <v>440</v>
      </c>
      <c r="H6" s="44" t="s">
        <v>440</v>
      </c>
      <c r="I6" s="44" t="s">
        <v>441</v>
      </c>
      <c r="J6" s="44" t="s">
        <v>440</v>
      </c>
    </row>
    <row r="7" spans="1:10" ht="10.5">
      <c r="A7" s="45" t="str">
        <f>'Форма по МДС 81-35.2004'!A38</f>
        <v>2.</v>
      </c>
      <c r="B7" s="44" t="s">
        <v>439</v>
      </c>
      <c r="C7" s="44" t="s">
        <v>439</v>
      </c>
      <c r="D7" s="44" t="s">
        <v>440</v>
      </c>
      <c r="E7" s="44" t="s">
        <v>440</v>
      </c>
      <c r="F7" s="44" t="s">
        <v>319</v>
      </c>
      <c r="G7" s="44" t="s">
        <v>440</v>
      </c>
      <c r="H7" s="44" t="s">
        <v>440</v>
      </c>
      <c r="I7" s="44" t="s">
        <v>441</v>
      </c>
      <c r="J7" s="44" t="s">
        <v>440</v>
      </c>
    </row>
    <row r="8" spans="1:10" ht="10.5">
      <c r="A8" s="45" t="str">
        <f>'Форма по МДС 81-35.2004'!A65</f>
        <v>3.</v>
      </c>
      <c r="B8" s="44" t="s">
        <v>439</v>
      </c>
      <c r="C8" s="44" t="s">
        <v>439</v>
      </c>
      <c r="D8" s="44" t="s">
        <v>440</v>
      </c>
      <c r="E8" s="44" t="s">
        <v>440</v>
      </c>
      <c r="F8" s="44" t="s">
        <v>319</v>
      </c>
      <c r="G8" s="44" t="s">
        <v>440</v>
      </c>
      <c r="H8" s="44" t="s">
        <v>440</v>
      </c>
      <c r="I8" s="44" t="s">
        <v>441</v>
      </c>
      <c r="J8" s="44" t="s">
        <v>440</v>
      </c>
    </row>
    <row r="9" spans="1:10" ht="10.5">
      <c r="A9" s="45" t="str">
        <f>'Форма по МДС 81-35.2004'!A92</f>
        <v>4.</v>
      </c>
      <c r="B9" s="44" t="s">
        <v>439</v>
      </c>
      <c r="C9" s="44" t="s">
        <v>439</v>
      </c>
      <c r="D9" s="44" t="s">
        <v>440</v>
      </c>
      <c r="E9" s="44" t="s">
        <v>440</v>
      </c>
      <c r="F9" s="44" t="s">
        <v>319</v>
      </c>
      <c r="G9" s="44" t="s">
        <v>440</v>
      </c>
      <c r="H9" s="44" t="s">
        <v>440</v>
      </c>
      <c r="I9" s="44" t="s">
        <v>441</v>
      </c>
      <c r="J9" s="44" t="s">
        <v>440</v>
      </c>
    </row>
    <row r="10" spans="1:10" ht="10.5">
      <c r="A10" s="45" t="str">
        <f>'Форма по МДС 81-35.2004'!A119</f>
        <v>5.</v>
      </c>
      <c r="B10" s="44" t="s">
        <v>439</v>
      </c>
      <c r="C10" s="44" t="s">
        <v>439</v>
      </c>
      <c r="D10" s="44" t="s">
        <v>440</v>
      </c>
      <c r="E10" s="44" t="s">
        <v>440</v>
      </c>
      <c r="F10" s="44" t="s">
        <v>319</v>
      </c>
      <c r="G10" s="44" t="s">
        <v>440</v>
      </c>
      <c r="H10" s="44" t="s">
        <v>440</v>
      </c>
      <c r="I10" s="44" t="s">
        <v>441</v>
      </c>
      <c r="J10" s="44" t="s">
        <v>440</v>
      </c>
    </row>
    <row r="11" spans="1:10" ht="10.5">
      <c r="A11" s="45" t="str">
        <f>'Форма по МДС 81-35.2004'!A146</f>
        <v>6.</v>
      </c>
      <c r="B11" s="44" t="s">
        <v>439</v>
      </c>
      <c r="C11" s="44" t="s">
        <v>439</v>
      </c>
      <c r="D11" s="44" t="s">
        <v>440</v>
      </c>
      <c r="E11" s="44" t="s">
        <v>440</v>
      </c>
      <c r="F11" s="44" t="s">
        <v>319</v>
      </c>
      <c r="G11" s="44" t="s">
        <v>440</v>
      </c>
      <c r="H11" s="44" t="s">
        <v>440</v>
      </c>
      <c r="I11" s="44" t="s">
        <v>441</v>
      </c>
      <c r="J11" s="44" t="s">
        <v>440</v>
      </c>
    </row>
    <row r="12" spans="1:10" ht="10.5">
      <c r="A12" s="45" t="str">
        <f>'Форма по МДС 81-35.2004'!A172</f>
        <v>7.</v>
      </c>
      <c r="B12" s="44" t="s">
        <v>439</v>
      </c>
      <c r="C12" s="44" t="s">
        <v>439</v>
      </c>
      <c r="D12" s="44" t="s">
        <v>440</v>
      </c>
      <c r="E12" s="44" t="s">
        <v>440</v>
      </c>
      <c r="F12" s="44" t="s">
        <v>319</v>
      </c>
      <c r="G12" s="44" t="s">
        <v>440</v>
      </c>
      <c r="H12" s="44" t="s">
        <v>440</v>
      </c>
      <c r="I12" s="44" t="s">
        <v>441</v>
      </c>
      <c r="J12" s="44" t="s">
        <v>440</v>
      </c>
    </row>
    <row r="13" spans="1:10" ht="10.5">
      <c r="A13" s="45" t="str">
        <f>'Форма по МДС 81-35.2004'!A198</f>
        <v>8.</v>
      </c>
      <c r="B13" s="44" t="s">
        <v>439</v>
      </c>
      <c r="C13" s="44" t="s">
        <v>439</v>
      </c>
      <c r="D13" s="44" t="s">
        <v>440</v>
      </c>
      <c r="E13" s="44" t="s">
        <v>440</v>
      </c>
      <c r="F13" s="44" t="s">
        <v>319</v>
      </c>
      <c r="G13" s="44" t="s">
        <v>440</v>
      </c>
      <c r="H13" s="44" t="s">
        <v>440</v>
      </c>
      <c r="I13" s="44" t="s">
        <v>441</v>
      </c>
      <c r="J13" s="44" t="s">
        <v>440</v>
      </c>
    </row>
    <row r="14" spans="1:10" ht="10.5">
      <c r="A14" s="45" t="str">
        <f>'Форма по МДС 81-35.2004'!A222</f>
        <v>9.</v>
      </c>
      <c r="B14" s="44" t="s">
        <v>439</v>
      </c>
      <c r="C14" s="44" t="s">
        <v>439</v>
      </c>
      <c r="D14" s="44" t="s">
        <v>440</v>
      </c>
      <c r="E14" s="44" t="s">
        <v>440</v>
      </c>
      <c r="F14" s="44" t="s">
        <v>319</v>
      </c>
      <c r="G14" s="44" t="s">
        <v>440</v>
      </c>
      <c r="H14" s="44" t="s">
        <v>440</v>
      </c>
      <c r="I14" s="44" t="s">
        <v>441</v>
      </c>
      <c r="J14" s="44" t="s">
        <v>440</v>
      </c>
    </row>
    <row r="15" spans="1:10" ht="10.5">
      <c r="A15" s="45" t="str">
        <f>'Форма по МДС 81-35.2004'!A246</f>
        <v>10.</v>
      </c>
      <c r="B15" s="44" t="s">
        <v>439</v>
      </c>
      <c r="C15" s="44" t="s">
        <v>439</v>
      </c>
      <c r="D15" s="44" t="s">
        <v>440</v>
      </c>
      <c r="E15" s="44" t="s">
        <v>440</v>
      </c>
      <c r="F15" s="44" t="s">
        <v>319</v>
      </c>
      <c r="G15" s="44" t="s">
        <v>440</v>
      </c>
      <c r="H15" s="44" t="s">
        <v>440</v>
      </c>
      <c r="I15" s="44" t="s">
        <v>441</v>
      </c>
      <c r="J15" s="44" t="s">
        <v>440</v>
      </c>
    </row>
    <row r="16" spans="1:10" ht="10.5">
      <c r="A16" s="45" t="str">
        <f>'Форма по МДС 81-35.2004'!A270</f>
        <v>11.</v>
      </c>
      <c r="B16" s="44" t="s">
        <v>439</v>
      </c>
      <c r="C16" s="44" t="s">
        <v>439</v>
      </c>
      <c r="D16" s="44" t="s">
        <v>440</v>
      </c>
      <c r="E16" s="44" t="s">
        <v>440</v>
      </c>
      <c r="F16" s="44" t="s">
        <v>319</v>
      </c>
      <c r="G16" s="44" t="s">
        <v>440</v>
      </c>
      <c r="H16" s="44" t="s">
        <v>440</v>
      </c>
      <c r="I16" s="44" t="s">
        <v>441</v>
      </c>
      <c r="J16" s="44" t="s">
        <v>440</v>
      </c>
    </row>
    <row r="17" spans="1:10" ht="10.5">
      <c r="A17" s="45" t="str">
        <f>'Форма по МДС 81-35.2004'!A296</f>
        <v>12.</v>
      </c>
      <c r="B17" s="44" t="s">
        <v>439</v>
      </c>
      <c r="C17" s="44" t="s">
        <v>439</v>
      </c>
      <c r="D17" s="44" t="s">
        <v>440</v>
      </c>
      <c r="E17" s="44" t="s">
        <v>440</v>
      </c>
      <c r="F17" s="44" t="s">
        <v>319</v>
      </c>
      <c r="G17" s="44" t="s">
        <v>440</v>
      </c>
      <c r="H17" s="44" t="s">
        <v>440</v>
      </c>
      <c r="I17" s="44" t="s">
        <v>441</v>
      </c>
      <c r="J17" s="44" t="s">
        <v>440</v>
      </c>
    </row>
    <row r="18" spans="1:10" ht="10.5">
      <c r="A18" s="45" t="str">
        <f>'Форма по МДС 81-35.2004'!A320</f>
        <v>13.</v>
      </c>
      <c r="B18" s="44" t="s">
        <v>439</v>
      </c>
      <c r="C18" s="44" t="s">
        <v>439</v>
      </c>
      <c r="D18" s="44" t="s">
        <v>440</v>
      </c>
      <c r="E18" s="44" t="s">
        <v>440</v>
      </c>
      <c r="F18" s="44" t="s">
        <v>319</v>
      </c>
      <c r="G18" s="44" t="s">
        <v>440</v>
      </c>
      <c r="H18" s="44" t="s">
        <v>440</v>
      </c>
      <c r="I18" s="44" t="s">
        <v>441</v>
      </c>
      <c r="J18" s="44" t="s">
        <v>440</v>
      </c>
    </row>
    <row r="19" spans="1:10" ht="10.5">
      <c r="A19" s="45" t="str">
        <f>'Форма по МДС 81-35.2004'!A346</f>
        <v>14.</v>
      </c>
      <c r="B19" s="44" t="s">
        <v>439</v>
      </c>
      <c r="C19" s="44" t="s">
        <v>439</v>
      </c>
      <c r="D19" s="44" t="s">
        <v>440</v>
      </c>
      <c r="E19" s="44" t="s">
        <v>440</v>
      </c>
      <c r="F19" s="44" t="s">
        <v>319</v>
      </c>
      <c r="G19" s="44" t="s">
        <v>440</v>
      </c>
      <c r="H19" s="44" t="s">
        <v>440</v>
      </c>
      <c r="I19" s="44" t="s">
        <v>441</v>
      </c>
      <c r="J19" s="44" t="s">
        <v>440</v>
      </c>
    </row>
    <row r="20" spans="1:10" ht="10.5">
      <c r="A20" s="45" t="str">
        <f>'Форма по МДС 81-35.2004'!A372</f>
        <v>15.</v>
      </c>
      <c r="B20" s="44" t="s">
        <v>439</v>
      </c>
      <c r="C20" s="44" t="s">
        <v>439</v>
      </c>
      <c r="D20" s="44" t="s">
        <v>440</v>
      </c>
      <c r="E20" s="44" t="s">
        <v>440</v>
      </c>
      <c r="F20" s="44" t="s">
        <v>319</v>
      </c>
      <c r="G20" s="44" t="s">
        <v>440</v>
      </c>
      <c r="H20" s="44" t="s">
        <v>440</v>
      </c>
      <c r="I20" s="44" t="s">
        <v>441</v>
      </c>
      <c r="J20" s="44" t="s">
        <v>440</v>
      </c>
    </row>
    <row r="21" spans="1:10" ht="10.5">
      <c r="A21" s="45" t="str">
        <f>'Форма по МДС 81-35.2004'!A398</f>
        <v>16.</v>
      </c>
      <c r="B21" s="44" t="s">
        <v>439</v>
      </c>
      <c r="C21" s="44" t="s">
        <v>439</v>
      </c>
      <c r="D21" s="44" t="s">
        <v>440</v>
      </c>
      <c r="E21" s="44" t="s">
        <v>440</v>
      </c>
      <c r="F21" s="44" t="s">
        <v>319</v>
      </c>
      <c r="G21" s="44" t="s">
        <v>440</v>
      </c>
      <c r="H21" s="44" t="s">
        <v>440</v>
      </c>
      <c r="I21" s="44" t="s">
        <v>441</v>
      </c>
      <c r="J21" s="44" t="s">
        <v>440</v>
      </c>
    </row>
    <row r="22" spans="1:10" ht="10.5">
      <c r="A22" s="45" t="str">
        <f>'Форма по МДС 81-35.2004'!A424</f>
        <v>17.</v>
      </c>
      <c r="B22" s="44" t="s">
        <v>439</v>
      </c>
      <c r="C22" s="44" t="s">
        <v>439</v>
      </c>
      <c r="D22" s="44" t="s">
        <v>440</v>
      </c>
      <c r="E22" s="44" t="s">
        <v>440</v>
      </c>
      <c r="F22" s="44" t="s">
        <v>319</v>
      </c>
      <c r="G22" s="44" t="s">
        <v>440</v>
      </c>
      <c r="H22" s="44" t="s">
        <v>440</v>
      </c>
      <c r="I22" s="44" t="s">
        <v>441</v>
      </c>
      <c r="J22" s="44" t="s">
        <v>440</v>
      </c>
    </row>
    <row r="23" spans="1:10" ht="10.5">
      <c r="A23" s="45" t="str">
        <f>'Форма по МДС 81-35.2004'!A450</f>
        <v>18.</v>
      </c>
      <c r="B23" s="44" t="s">
        <v>439</v>
      </c>
      <c r="C23" s="44" t="s">
        <v>439</v>
      </c>
      <c r="D23" s="44" t="s">
        <v>440</v>
      </c>
      <c r="E23" s="44" t="s">
        <v>440</v>
      </c>
      <c r="F23" s="44" t="s">
        <v>319</v>
      </c>
      <c r="G23" s="44" t="s">
        <v>440</v>
      </c>
      <c r="H23" s="44" t="s">
        <v>440</v>
      </c>
      <c r="I23" s="44" t="s">
        <v>441</v>
      </c>
      <c r="J23" s="44" t="s">
        <v>440</v>
      </c>
    </row>
    <row r="24" spans="1:10" ht="10.5">
      <c r="A24" s="45" t="str">
        <f>'Форма по МДС 81-35.2004'!A476</f>
        <v>19.</v>
      </c>
      <c r="B24" s="44" t="s">
        <v>439</v>
      </c>
      <c r="C24" s="44" t="s">
        <v>439</v>
      </c>
      <c r="D24" s="44" t="s">
        <v>440</v>
      </c>
      <c r="E24" s="44" t="s">
        <v>440</v>
      </c>
      <c r="F24" s="44" t="s">
        <v>319</v>
      </c>
      <c r="G24" s="44" t="s">
        <v>440</v>
      </c>
      <c r="H24" s="44" t="s">
        <v>440</v>
      </c>
      <c r="I24" s="44" t="s">
        <v>441</v>
      </c>
      <c r="J24" s="44" t="s">
        <v>440</v>
      </c>
    </row>
  </sheetData>
  <sheetProtection/>
  <mergeCells count="4">
    <mergeCell ref="A2:H2"/>
    <mergeCell ref="B3:H3"/>
    <mergeCell ref="B4:H4"/>
    <mergeCell ref="A5:H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2:N98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36" customWidth="1"/>
    <col min="2" max="2" width="44.421875" style="10" customWidth="1"/>
    <col min="3" max="3" width="3.421875" style="44" customWidth="1"/>
    <col min="4" max="4" width="6.00390625" style="47" customWidth="1"/>
    <col min="5" max="5" width="6.00390625" style="10" customWidth="1"/>
    <col min="6" max="9" width="12.7109375" style="47" customWidth="1"/>
    <col min="10" max="11" width="18.7109375" style="47" customWidth="1"/>
    <col min="12" max="12" width="12.7109375" style="47" customWidth="1"/>
    <col min="13" max="13" width="9.140625" style="47" customWidth="1"/>
    <col min="14" max="14" width="3.421875" style="44" hidden="1" customWidth="1"/>
    <col min="15" max="16384" width="9.140625" style="47" customWidth="1"/>
  </cols>
  <sheetData>
    <row r="2" spans="1:14" ht="10.5">
      <c r="A2" s="73"/>
      <c r="B2" s="79"/>
      <c r="C2" s="79"/>
      <c r="D2" s="80"/>
      <c r="E2" s="79"/>
      <c r="F2" s="80"/>
      <c r="G2" s="80"/>
      <c r="H2" s="80"/>
      <c r="N2" s="47"/>
    </row>
    <row r="3" spans="1:14" ht="10.5">
      <c r="A3" s="42"/>
      <c r="B3" s="75" t="s">
        <v>379</v>
      </c>
      <c r="C3" s="75"/>
      <c r="D3" s="75"/>
      <c r="E3" s="75"/>
      <c r="F3" s="75"/>
      <c r="G3" s="75"/>
      <c r="H3" s="75"/>
      <c r="N3" s="47"/>
    </row>
    <row r="4" spans="1:14" ht="10.5">
      <c r="A4" s="42"/>
      <c r="B4" s="75" t="s">
        <v>380</v>
      </c>
      <c r="C4" s="75"/>
      <c r="D4" s="75"/>
      <c r="E4" s="75"/>
      <c r="F4" s="75"/>
      <c r="G4" s="75"/>
      <c r="H4" s="75"/>
      <c r="N4" s="47"/>
    </row>
    <row r="5" spans="1:14" ht="10.5">
      <c r="A5" s="73"/>
      <c r="B5" s="79"/>
      <c r="C5" s="79"/>
      <c r="D5" s="80"/>
      <c r="E5" s="79"/>
      <c r="F5" s="80"/>
      <c r="G5" s="80"/>
      <c r="H5" s="80"/>
      <c r="N5" s="47"/>
    </row>
    <row r="6" spans="1:13" s="41" customFormat="1" ht="10.5">
      <c r="A6" s="8"/>
      <c r="B6" s="41" t="s">
        <v>310</v>
      </c>
      <c r="C6" s="41" t="s">
        <v>442</v>
      </c>
      <c r="D6" s="37" t="s">
        <v>443</v>
      </c>
      <c r="E6" s="41" t="s">
        <v>444</v>
      </c>
      <c r="F6" s="41" t="s">
        <v>445</v>
      </c>
      <c r="G6" s="41" t="s">
        <v>446</v>
      </c>
      <c r="H6" s="41" t="s">
        <v>447</v>
      </c>
      <c r="I6" s="41" t="s">
        <v>448</v>
      </c>
      <c r="J6" s="41" t="s">
        <v>449</v>
      </c>
      <c r="K6" s="41" t="s">
        <v>450</v>
      </c>
      <c r="L6" s="41" t="s">
        <v>451</v>
      </c>
      <c r="M6" s="41" t="s">
        <v>452</v>
      </c>
    </row>
    <row r="7" spans="1:14" ht="10.5">
      <c r="A7" s="36">
        <v>1</v>
      </c>
      <c r="B7" s="10" t="s">
        <v>247</v>
      </c>
      <c r="C7" s="44" t="s">
        <v>453</v>
      </c>
      <c r="D7" s="47">
        <v>0</v>
      </c>
      <c r="E7" s="47"/>
      <c r="F7" s="40">
        <f>ROUND(SUM('Базовые цены с учетом расхода'!B6:B24),2)</f>
        <v>24441.15</v>
      </c>
      <c r="G7" s="40">
        <f>ROUND(SUM('Базовые цены с учетом расхода'!C6:C24),2)</f>
        <v>1697.78</v>
      </c>
      <c r="H7" s="40">
        <f>ROUND(SUM('Базовые цены с учетом расхода'!D6:D24),2)</f>
        <v>7643.61</v>
      </c>
      <c r="I7" s="40">
        <f>ROUND(SUM('Базовые цены с учетом расхода'!E6:E24),2)</f>
        <v>956.76</v>
      </c>
      <c r="J7" s="48">
        <f>ROUND(SUM('Базовые цены с учетом расхода'!I6:I24),8)</f>
        <v>205.0228582</v>
      </c>
      <c r="K7" s="48">
        <f>ROUND(SUM('Базовые цены с учетом расхода'!K6:K24),8)</f>
        <v>80.08212</v>
      </c>
      <c r="L7" s="40">
        <f>ROUND(SUM('Базовые цены с учетом расхода'!F6:F24),2)</f>
        <v>15099.75</v>
      </c>
      <c r="N7" s="44" t="s">
        <v>439</v>
      </c>
    </row>
    <row r="8" spans="1:14" ht="10.5">
      <c r="A8" s="36">
        <v>2</v>
      </c>
      <c r="B8" s="10" t="s">
        <v>248</v>
      </c>
      <c r="C8" s="44" t="s">
        <v>454</v>
      </c>
      <c r="D8" s="47">
        <v>0</v>
      </c>
      <c r="F8" s="40">
        <f>ROUND(SUMIF(Определители!I6:I24,"= ",'Базовые цены с учетом расхода'!B6:B24),2)</f>
        <v>0</v>
      </c>
      <c r="G8" s="40">
        <f>ROUND(SUMIF(Определители!I6:I24,"= ",'Базовые цены с учетом расхода'!C6:C24),2)</f>
        <v>0</v>
      </c>
      <c r="H8" s="40">
        <f>ROUND(SUMIF(Определители!I6:I24,"= ",'Базовые цены с учетом расхода'!D6:D24),2)</f>
        <v>0</v>
      </c>
      <c r="I8" s="40">
        <f>ROUND(SUMIF(Определители!I6:I24,"= ",'Базовые цены с учетом расхода'!E6:E24),2)</f>
        <v>0</v>
      </c>
      <c r="J8" s="48">
        <f>ROUND(SUMIF(Определители!I6:I24,"= ",'Базовые цены с учетом расхода'!I6:I24),8)</f>
        <v>0</v>
      </c>
      <c r="K8" s="48">
        <f>ROUND(SUMIF(Определители!I6:I24,"= ",'Базовые цены с учетом расхода'!K6:K24),8)</f>
        <v>0</v>
      </c>
      <c r="L8" s="40">
        <f>ROUND(SUMIF(Определители!I6:I24,"= ",'Базовые цены с учетом расхода'!F6:F24),2)</f>
        <v>0</v>
      </c>
      <c r="N8" s="44" t="s">
        <v>441</v>
      </c>
    </row>
    <row r="9" spans="1:14" ht="10.5">
      <c r="A9" s="36">
        <v>3</v>
      </c>
      <c r="B9" s="10" t="s">
        <v>249</v>
      </c>
      <c r="C9" s="44" t="s">
        <v>454</v>
      </c>
      <c r="D9" s="47">
        <v>0</v>
      </c>
      <c r="F9" s="40">
        <f>ROUND(СУММПРОИЗВЕСЛИ(0.01,Определители!I6:I24," ",'Базовые цены с учетом расхода'!B6:B24,Начисления!X6:X24,0),2)</f>
        <v>0</v>
      </c>
      <c r="G9" s="40"/>
      <c r="H9" s="40"/>
      <c r="I9" s="40"/>
      <c r="J9" s="48"/>
      <c r="K9" s="48"/>
      <c r="L9" s="40"/>
      <c r="N9" s="44" t="s">
        <v>455</v>
      </c>
    </row>
    <row r="10" spans="1:14" ht="10.5">
      <c r="A10" s="36">
        <v>4</v>
      </c>
      <c r="B10" s="10" t="s">
        <v>250</v>
      </c>
      <c r="C10" s="44" t="s">
        <v>454</v>
      </c>
      <c r="D10" s="47">
        <v>0</v>
      </c>
      <c r="F10" s="40">
        <f>ROUND(СУММПРОИЗВЕСЛИ(0.01,Определители!I6:I24," ",'Базовые цены с учетом расхода'!B6:B24,Начисления!Y6:Y24,0),2)</f>
        <v>0</v>
      </c>
      <c r="G10" s="40"/>
      <c r="H10" s="40"/>
      <c r="I10" s="40"/>
      <c r="J10" s="48"/>
      <c r="K10" s="48"/>
      <c r="L10" s="40"/>
      <c r="N10" s="44" t="s">
        <v>456</v>
      </c>
    </row>
    <row r="11" spans="1:14" ht="10.5">
      <c r="A11" s="36">
        <v>5</v>
      </c>
      <c r="B11" s="10" t="s">
        <v>251</v>
      </c>
      <c r="C11" s="44" t="s">
        <v>454</v>
      </c>
      <c r="D11" s="47">
        <v>0</v>
      </c>
      <c r="F11" s="40">
        <f>ROUND(ТРАНСПРАСХОД(Определители!B6:B24,Определители!H6:H24,Определители!I6:I24,'Базовые цены с учетом расхода'!B6:B24,Начисления!Z6:Z24,Начисления!AA6:AA24),2)</f>
        <v>0</v>
      </c>
      <c r="G11" s="40"/>
      <c r="H11" s="40"/>
      <c r="I11" s="40"/>
      <c r="J11" s="48"/>
      <c r="K11" s="48"/>
      <c r="L11" s="40"/>
      <c r="N11" s="44" t="s">
        <v>457</v>
      </c>
    </row>
    <row r="12" spans="1:14" ht="10.5">
      <c r="A12" s="36">
        <v>6</v>
      </c>
      <c r="B12" s="10" t="s">
        <v>252</v>
      </c>
      <c r="C12" s="44" t="s">
        <v>454</v>
      </c>
      <c r="D12" s="47">
        <v>0</v>
      </c>
      <c r="F12" s="40">
        <f>ROUND(СУММПРОИЗВЕСЛИ(0.01,Определители!I6:I24," ",'Базовые цены с учетом расхода'!B6:B24,Начисления!AC6:AC24,0),2)</f>
        <v>0</v>
      </c>
      <c r="G12" s="40"/>
      <c r="H12" s="40"/>
      <c r="I12" s="40"/>
      <c r="J12" s="48"/>
      <c r="K12" s="48"/>
      <c r="L12" s="40"/>
      <c r="N12" s="44" t="s">
        <v>458</v>
      </c>
    </row>
    <row r="13" spans="1:14" ht="10.5">
      <c r="A13" s="36">
        <v>7</v>
      </c>
      <c r="B13" s="10" t="s">
        <v>253</v>
      </c>
      <c r="C13" s="44" t="s">
        <v>454</v>
      </c>
      <c r="D13" s="47">
        <v>0</v>
      </c>
      <c r="F13" s="40">
        <f>ROUND(СУММПРОИЗВЕСЛИ(0.01,Определители!I6:I24," ",'Базовые цены с учетом расхода'!B6:B24,Начисления!AF6:AF24,0),2)</f>
        <v>0</v>
      </c>
      <c r="G13" s="40"/>
      <c r="H13" s="40"/>
      <c r="I13" s="40"/>
      <c r="J13" s="48"/>
      <c r="K13" s="48"/>
      <c r="L13" s="40"/>
      <c r="N13" s="44" t="s">
        <v>459</v>
      </c>
    </row>
    <row r="14" spans="1:14" ht="10.5">
      <c r="A14" s="36">
        <v>8</v>
      </c>
      <c r="B14" s="10" t="s">
        <v>254</v>
      </c>
      <c r="C14" s="44" t="s">
        <v>454</v>
      </c>
      <c r="D14" s="47">
        <v>0</v>
      </c>
      <c r="F14" s="40">
        <f>ROUND(ЗАГОТСКЛАДРАСХОД(Определители!B6:B24,Определители!H6:H24,Определители!I6:I24,'Базовые цены с учетом расхода'!B6:B24,Начисления!X6:X24,Начисления!Y6:Y24,Начисления!Z6:Z24,Начисления!AA6:AA24,Начисления!AB6:AB24,Начисления!AC6:AC24,Начисления!AF6:AF24),2)</f>
        <v>0</v>
      </c>
      <c r="G14" s="40"/>
      <c r="H14" s="40"/>
      <c r="I14" s="40"/>
      <c r="J14" s="48"/>
      <c r="K14" s="48"/>
      <c r="L14" s="40"/>
      <c r="N14" s="44" t="s">
        <v>460</v>
      </c>
    </row>
    <row r="15" spans="1:14" ht="10.5">
      <c r="A15" s="36">
        <v>9</v>
      </c>
      <c r="B15" s="10" t="s">
        <v>255</v>
      </c>
      <c r="C15" s="44" t="s">
        <v>454</v>
      </c>
      <c r="D15" s="47">
        <v>0</v>
      </c>
      <c r="F15" s="40">
        <f>ROUND(СУММПРОИЗВЕСЛИ(1,Определители!I6:I24," ",'Базовые цены с учетом расхода'!M6:M24,Начисления!I6:I24,0),2)</f>
        <v>0</v>
      </c>
      <c r="G15" s="40"/>
      <c r="H15" s="40"/>
      <c r="I15" s="40"/>
      <c r="J15" s="48"/>
      <c r="K15" s="48"/>
      <c r="L15" s="40"/>
      <c r="N15" s="44" t="s">
        <v>461</v>
      </c>
    </row>
    <row r="16" spans="1:14" ht="10.5">
      <c r="A16" s="36">
        <v>10</v>
      </c>
      <c r="B16" s="10" t="s">
        <v>256</v>
      </c>
      <c r="C16" s="44" t="s">
        <v>462</v>
      </c>
      <c r="D16" s="47">
        <v>0</v>
      </c>
      <c r="F16" s="40">
        <f>ROUND((F15+F26+F46),2)</f>
        <v>0</v>
      </c>
      <c r="G16" s="40"/>
      <c r="H16" s="40"/>
      <c r="I16" s="40"/>
      <c r="J16" s="48"/>
      <c r="K16" s="48"/>
      <c r="L16" s="40"/>
      <c r="N16" s="44" t="s">
        <v>463</v>
      </c>
    </row>
    <row r="17" spans="1:14" ht="10.5">
      <c r="A17" s="36">
        <v>11</v>
      </c>
      <c r="B17" s="10" t="s">
        <v>257</v>
      </c>
      <c r="C17" s="44" t="s">
        <v>462</v>
      </c>
      <c r="D17" s="47">
        <v>0</v>
      </c>
      <c r="F17" s="40">
        <f>ROUND((F8+F9+F10+F11+F12+F13+F14+F16),2)</f>
        <v>0</v>
      </c>
      <c r="G17" s="40"/>
      <c r="H17" s="40"/>
      <c r="I17" s="40"/>
      <c r="J17" s="48"/>
      <c r="K17" s="48"/>
      <c r="L17" s="40"/>
      <c r="N17" s="44" t="s">
        <v>464</v>
      </c>
    </row>
    <row r="18" spans="1:14" ht="10.5">
      <c r="A18" s="36">
        <v>12</v>
      </c>
      <c r="B18" s="10" t="s">
        <v>258</v>
      </c>
      <c r="C18" s="44" t="s">
        <v>454</v>
      </c>
      <c r="D18" s="47">
        <v>0</v>
      </c>
      <c r="F18" s="40">
        <f>ROUND(SUMIF(Определители!I6:I24,"=1",'Базовые цены с учетом расхода'!B6:B24),2)</f>
        <v>0</v>
      </c>
      <c r="G18" s="40">
        <f>ROUND(SUMIF(Определители!I6:I24,"=1",'Базовые цены с учетом расхода'!C6:C24),2)</f>
        <v>0</v>
      </c>
      <c r="H18" s="40">
        <f>ROUND(SUMIF(Определители!I6:I24,"=1",'Базовые цены с учетом расхода'!D6:D24),2)</f>
        <v>0</v>
      </c>
      <c r="I18" s="40">
        <f>ROUND(SUMIF(Определители!I6:I24,"=1",'Базовые цены с учетом расхода'!E6:E24),2)</f>
        <v>0</v>
      </c>
      <c r="J18" s="48">
        <f>ROUND(SUMIF(Определители!I6:I24,"=1",'Базовые цены с учетом расхода'!I6:I24),8)</f>
        <v>0</v>
      </c>
      <c r="K18" s="48">
        <f>ROUND(SUMIF(Определители!I6:I24,"=1",'Базовые цены с учетом расхода'!K6:K24),8)</f>
        <v>0</v>
      </c>
      <c r="L18" s="40">
        <f>ROUND(SUMIF(Определители!I6:I24,"=1",'Базовые цены с учетом расхода'!F6:F24),2)</f>
        <v>0</v>
      </c>
      <c r="N18" s="44" t="s">
        <v>465</v>
      </c>
    </row>
    <row r="19" spans="1:14" ht="10.5">
      <c r="A19" s="36">
        <v>13</v>
      </c>
      <c r="B19" s="10" t="s">
        <v>259</v>
      </c>
      <c r="C19" s="44" t="s">
        <v>454</v>
      </c>
      <c r="D19" s="47">
        <v>0</v>
      </c>
      <c r="F19" s="40"/>
      <c r="G19" s="40"/>
      <c r="H19" s="40"/>
      <c r="I19" s="40"/>
      <c r="J19" s="48"/>
      <c r="K19" s="48"/>
      <c r="L19" s="40"/>
      <c r="N19" s="44" t="s">
        <v>466</v>
      </c>
    </row>
    <row r="20" spans="1:14" ht="10.5">
      <c r="A20" s="36">
        <v>14</v>
      </c>
      <c r="B20" s="10" t="s">
        <v>260</v>
      </c>
      <c r="C20" s="44" t="s">
        <v>454</v>
      </c>
      <c r="D20" s="47">
        <v>0</v>
      </c>
      <c r="F20" s="40"/>
      <c r="G20" s="40">
        <f>ROUND(SUMIF(Определители!I6:I24,"=1",'Базовые цены с учетом расхода'!T6:T24),2)</f>
        <v>0</v>
      </c>
      <c r="H20" s="40"/>
      <c r="I20" s="40"/>
      <c r="J20" s="48"/>
      <c r="K20" s="48"/>
      <c r="L20" s="40"/>
      <c r="N20" s="44" t="s">
        <v>467</v>
      </c>
    </row>
    <row r="21" spans="1:14" ht="10.5">
      <c r="A21" s="36">
        <v>15</v>
      </c>
      <c r="B21" s="10" t="s">
        <v>261</v>
      </c>
      <c r="C21" s="44" t="s">
        <v>454</v>
      </c>
      <c r="D21" s="47">
        <v>0</v>
      </c>
      <c r="F21" s="40">
        <f>ROUND(SUMIF(Определители!I6:I24,"=1",'Базовые цены с учетом расхода'!U6:U24),2)</f>
        <v>0</v>
      </c>
      <c r="G21" s="40"/>
      <c r="H21" s="40"/>
      <c r="I21" s="40"/>
      <c r="J21" s="48"/>
      <c r="K21" s="48"/>
      <c r="L21" s="40"/>
      <c r="N21" s="44" t="s">
        <v>468</v>
      </c>
    </row>
    <row r="22" spans="1:14" ht="10.5">
      <c r="A22" s="36">
        <v>16</v>
      </c>
      <c r="B22" s="10" t="s">
        <v>262</v>
      </c>
      <c r="C22" s="44" t="s">
        <v>454</v>
      </c>
      <c r="D22" s="47">
        <v>0</v>
      </c>
      <c r="F22" s="40">
        <f>ROUND(СУММЕСЛИ2(Определители!I6:I24,"1",Определители!G6:G24,"1",'Базовые цены с учетом расхода'!B6:B24),2)</f>
        <v>0</v>
      </c>
      <c r="G22" s="40"/>
      <c r="H22" s="40"/>
      <c r="I22" s="40"/>
      <c r="J22" s="48"/>
      <c r="K22" s="48"/>
      <c r="L22" s="40"/>
      <c r="N22" s="44" t="s">
        <v>469</v>
      </c>
    </row>
    <row r="23" spans="1:14" ht="10.5">
      <c r="A23" s="36">
        <v>17</v>
      </c>
      <c r="B23" s="10" t="s">
        <v>263</v>
      </c>
      <c r="C23" s="44" t="s">
        <v>454</v>
      </c>
      <c r="D23" s="47">
        <v>0</v>
      </c>
      <c r="F23" s="40">
        <f>ROUND(SUMIF(Определители!I6:I24,"=1",'Базовые цены с учетом расхода'!H6:H24),2)</f>
        <v>0</v>
      </c>
      <c r="G23" s="40"/>
      <c r="H23" s="40"/>
      <c r="I23" s="40"/>
      <c r="J23" s="48"/>
      <c r="K23" s="48"/>
      <c r="L23" s="40"/>
      <c r="N23" s="44" t="s">
        <v>470</v>
      </c>
    </row>
    <row r="24" spans="1:14" ht="10.5">
      <c r="A24" s="36">
        <v>18</v>
      </c>
      <c r="B24" s="10" t="s">
        <v>264</v>
      </c>
      <c r="C24" s="44" t="s">
        <v>454</v>
      </c>
      <c r="D24" s="47">
        <v>0</v>
      </c>
      <c r="F24" s="40">
        <f>ROUND(SUMIF(Определители!I6:I24,"=1",'Базовые цены с учетом расхода'!N6:N24),2)</f>
        <v>0</v>
      </c>
      <c r="G24" s="40"/>
      <c r="H24" s="40"/>
      <c r="I24" s="40"/>
      <c r="J24" s="48"/>
      <c r="K24" s="48"/>
      <c r="L24" s="40"/>
      <c r="N24" s="44" t="s">
        <v>471</v>
      </c>
    </row>
    <row r="25" spans="1:14" ht="10.5">
      <c r="A25" s="36">
        <v>19</v>
      </c>
      <c r="B25" s="10" t="s">
        <v>265</v>
      </c>
      <c r="C25" s="44" t="s">
        <v>454</v>
      </c>
      <c r="D25" s="47">
        <v>0</v>
      </c>
      <c r="F25" s="40">
        <f>ROUND(SUMIF(Определители!I6:I24,"=1",'Базовые цены с учетом расхода'!O6:O24),2)</f>
        <v>0</v>
      </c>
      <c r="G25" s="40"/>
      <c r="H25" s="40"/>
      <c r="I25" s="40"/>
      <c r="J25" s="48"/>
      <c r="K25" s="48"/>
      <c r="L25" s="40"/>
      <c r="N25" s="44" t="s">
        <v>472</v>
      </c>
    </row>
    <row r="26" spans="1:14" ht="10.5">
      <c r="A26" s="36">
        <v>20</v>
      </c>
      <c r="B26" s="10" t="s">
        <v>256</v>
      </c>
      <c r="C26" s="44" t="s">
        <v>454</v>
      </c>
      <c r="D26" s="47">
        <v>0</v>
      </c>
      <c r="F26" s="40">
        <f>ROUND(СУММПРОИЗВЕСЛИ(1,Определители!I6:I24," ",'Базовые цены с учетом расхода'!M6:M24,Начисления!I6:I24,0),2)</f>
        <v>0</v>
      </c>
      <c r="G26" s="40"/>
      <c r="H26" s="40"/>
      <c r="I26" s="40"/>
      <c r="J26" s="48"/>
      <c r="K26" s="48"/>
      <c r="L26" s="40"/>
      <c r="N26" s="44" t="s">
        <v>473</v>
      </c>
    </row>
    <row r="27" spans="1:14" ht="10.5">
      <c r="A27" s="36">
        <v>21</v>
      </c>
      <c r="B27" s="10" t="s">
        <v>266</v>
      </c>
      <c r="C27" s="44" t="s">
        <v>462</v>
      </c>
      <c r="D27" s="47">
        <v>0</v>
      </c>
      <c r="F27" s="40">
        <f>ROUND((F18+F24+F25),2)</f>
        <v>0</v>
      </c>
      <c r="G27" s="40"/>
      <c r="H27" s="40"/>
      <c r="I27" s="40"/>
      <c r="J27" s="48"/>
      <c r="K27" s="48"/>
      <c r="L27" s="40"/>
      <c r="N27" s="44" t="s">
        <v>474</v>
      </c>
    </row>
    <row r="28" spans="1:14" ht="10.5">
      <c r="A28" s="36">
        <v>22</v>
      </c>
      <c r="B28" s="10" t="s">
        <v>267</v>
      </c>
      <c r="C28" s="44" t="s">
        <v>454</v>
      </c>
      <c r="D28" s="47">
        <v>0</v>
      </c>
      <c r="F28" s="40">
        <f>ROUND(SUMIF(Определители!I6:I24,"=2",'Базовые цены с учетом расхода'!B6:B24),2)</f>
        <v>24441.15</v>
      </c>
      <c r="G28" s="40">
        <f>ROUND(SUMIF(Определители!I6:I24,"=2",'Базовые цены с учетом расхода'!C6:C24),2)</f>
        <v>1697.78</v>
      </c>
      <c r="H28" s="40">
        <f>ROUND(SUMIF(Определители!I6:I24,"=2",'Базовые цены с учетом расхода'!D6:D24),2)</f>
        <v>7643.61</v>
      </c>
      <c r="I28" s="40">
        <f>ROUND(SUMIF(Определители!I6:I24,"=2",'Базовые цены с учетом расхода'!E6:E24),2)</f>
        <v>956.76</v>
      </c>
      <c r="J28" s="48">
        <f>ROUND(SUMIF(Определители!I6:I24,"=2",'Базовые цены с учетом расхода'!I6:I24),8)</f>
        <v>205.0228582</v>
      </c>
      <c r="K28" s="48">
        <f>ROUND(SUMIF(Определители!I6:I24,"=2",'Базовые цены с учетом расхода'!K6:K24),8)</f>
        <v>80.08212</v>
      </c>
      <c r="L28" s="40">
        <f>ROUND(SUMIF(Определители!I6:I24,"=2",'Базовые цены с учетом расхода'!F6:F24),2)</f>
        <v>15099.75</v>
      </c>
      <c r="N28" s="44" t="s">
        <v>475</v>
      </c>
    </row>
    <row r="29" spans="1:14" ht="10.5">
      <c r="A29" s="36">
        <v>23</v>
      </c>
      <c r="B29" s="10" t="s">
        <v>259</v>
      </c>
      <c r="C29" s="44" t="s">
        <v>454</v>
      </c>
      <c r="D29" s="47">
        <v>0</v>
      </c>
      <c r="F29" s="40"/>
      <c r="G29" s="40"/>
      <c r="H29" s="40"/>
      <c r="I29" s="40"/>
      <c r="J29" s="48"/>
      <c r="K29" s="48"/>
      <c r="L29" s="40"/>
      <c r="N29" s="44" t="s">
        <v>476</v>
      </c>
    </row>
    <row r="30" spans="1:14" ht="10.5">
      <c r="A30" s="36">
        <v>24</v>
      </c>
      <c r="B30" s="10" t="s">
        <v>268</v>
      </c>
      <c r="C30" s="44" t="s">
        <v>454</v>
      </c>
      <c r="D30" s="47">
        <v>0</v>
      </c>
      <c r="F30" s="40">
        <f>ROUND(СУММЕСЛИ2(Определители!I6:I24,"2",Определители!G6:G24,"1",'Базовые цены с учетом расхода'!B6:B24),2)</f>
        <v>0</v>
      </c>
      <c r="G30" s="40"/>
      <c r="H30" s="40"/>
      <c r="I30" s="40"/>
      <c r="J30" s="48"/>
      <c r="K30" s="48"/>
      <c r="L30" s="40"/>
      <c r="N30" s="44" t="s">
        <v>477</v>
      </c>
    </row>
    <row r="31" spans="1:14" ht="10.5">
      <c r="A31" s="36">
        <v>25</v>
      </c>
      <c r="B31" s="10" t="s">
        <v>263</v>
      </c>
      <c r="C31" s="44" t="s">
        <v>454</v>
      </c>
      <c r="D31" s="47">
        <v>0</v>
      </c>
      <c r="F31" s="40">
        <f>ROUND(SUMIF(Определители!I6:I24,"=2",'Базовые цены с учетом расхода'!H6:H24),2)</f>
        <v>0</v>
      </c>
      <c r="G31" s="40"/>
      <c r="H31" s="40"/>
      <c r="I31" s="40"/>
      <c r="J31" s="48"/>
      <c r="K31" s="48"/>
      <c r="L31" s="40"/>
      <c r="N31" s="44" t="s">
        <v>478</v>
      </c>
    </row>
    <row r="32" spans="1:14" ht="10.5">
      <c r="A32" s="36">
        <v>26</v>
      </c>
      <c r="B32" s="10" t="s">
        <v>264</v>
      </c>
      <c r="C32" s="44" t="s">
        <v>454</v>
      </c>
      <c r="D32" s="47">
        <v>0</v>
      </c>
      <c r="F32" s="40">
        <f>ROUND(SUMIF(Определители!I6:I24,"=2",'Базовые цены с учетом расхода'!N6:N24),2)</f>
        <v>3286.99</v>
      </c>
      <c r="G32" s="40"/>
      <c r="H32" s="40"/>
      <c r="I32" s="40"/>
      <c r="J32" s="48"/>
      <c r="K32" s="48"/>
      <c r="L32" s="40"/>
      <c r="N32" s="44" t="s">
        <v>479</v>
      </c>
    </row>
    <row r="33" spans="1:14" ht="10.5">
      <c r="A33" s="36">
        <v>27</v>
      </c>
      <c r="B33" s="10" t="s">
        <v>265</v>
      </c>
      <c r="C33" s="44" t="s">
        <v>454</v>
      </c>
      <c r="D33" s="47">
        <v>0</v>
      </c>
      <c r="F33" s="40">
        <f>ROUND(SUMIF(Определители!I6:I24,"=2",'Базовые цены с учетом расхода'!O6:O24),2)</f>
        <v>1522.42</v>
      </c>
      <c r="G33" s="40"/>
      <c r="H33" s="40"/>
      <c r="I33" s="40"/>
      <c r="J33" s="48"/>
      <c r="K33" s="48"/>
      <c r="L33" s="40"/>
      <c r="N33" s="44" t="s">
        <v>480</v>
      </c>
    </row>
    <row r="34" spans="1:14" ht="10.5">
      <c r="A34" s="36">
        <v>28</v>
      </c>
      <c r="B34" s="10" t="s">
        <v>269</v>
      </c>
      <c r="C34" s="44" t="s">
        <v>462</v>
      </c>
      <c r="D34" s="47">
        <v>0</v>
      </c>
      <c r="F34" s="40">
        <f>ROUND((F28+F32+F33),2)</f>
        <v>29250.56</v>
      </c>
      <c r="G34" s="40"/>
      <c r="H34" s="40"/>
      <c r="I34" s="40"/>
      <c r="J34" s="48"/>
      <c r="K34" s="48"/>
      <c r="L34" s="40"/>
      <c r="N34" s="44" t="s">
        <v>481</v>
      </c>
    </row>
    <row r="35" spans="1:14" ht="10.5">
      <c r="A35" s="36">
        <v>29</v>
      </c>
      <c r="B35" s="10" t="s">
        <v>270</v>
      </c>
      <c r="C35" s="44" t="s">
        <v>454</v>
      </c>
      <c r="D35" s="47">
        <v>0</v>
      </c>
      <c r="F35" s="40">
        <f>ROUND(SUMIF(Определители!I6:I24,"=3",'Базовые цены с учетом расхода'!B6:B24),2)</f>
        <v>0</v>
      </c>
      <c r="G35" s="40">
        <f>ROUND(SUMIF(Определители!I6:I24,"=3",'Базовые цены с учетом расхода'!C6:C24),2)</f>
        <v>0</v>
      </c>
      <c r="H35" s="40">
        <f>ROUND(SUMIF(Определители!I6:I24,"=3",'Базовые цены с учетом расхода'!D6:D24),2)</f>
        <v>0</v>
      </c>
      <c r="I35" s="40">
        <f>ROUND(SUMIF(Определители!I6:I24,"=3",'Базовые цены с учетом расхода'!E6:E24),2)</f>
        <v>0</v>
      </c>
      <c r="J35" s="48">
        <f>ROUND(SUMIF(Определители!I6:I24,"=3",'Базовые цены с учетом расхода'!I6:I24),8)</f>
        <v>0</v>
      </c>
      <c r="K35" s="48">
        <f>ROUND(SUMIF(Определители!I6:I24,"=3",'Базовые цены с учетом расхода'!K6:K24),8)</f>
        <v>0</v>
      </c>
      <c r="L35" s="40">
        <f>ROUND(SUMIF(Определители!I6:I24,"=3",'Базовые цены с учетом расхода'!F6:F24),2)</f>
        <v>0</v>
      </c>
      <c r="N35" s="44" t="s">
        <v>482</v>
      </c>
    </row>
    <row r="36" spans="1:14" ht="10.5">
      <c r="A36" s="36">
        <v>30</v>
      </c>
      <c r="B36" s="10" t="s">
        <v>263</v>
      </c>
      <c r="C36" s="44" t="s">
        <v>454</v>
      </c>
      <c r="D36" s="47">
        <v>0</v>
      </c>
      <c r="F36" s="40">
        <f>ROUND(SUMIF(Определители!I6:I24,"=3",'Базовые цены с учетом расхода'!H6:H24),2)</f>
        <v>0</v>
      </c>
      <c r="G36" s="40"/>
      <c r="H36" s="40"/>
      <c r="I36" s="40"/>
      <c r="J36" s="48"/>
      <c r="K36" s="48"/>
      <c r="L36" s="40"/>
      <c r="N36" s="44" t="s">
        <v>483</v>
      </c>
    </row>
    <row r="37" spans="1:14" ht="10.5">
      <c r="A37" s="36">
        <v>31</v>
      </c>
      <c r="B37" s="10" t="s">
        <v>264</v>
      </c>
      <c r="C37" s="44" t="s">
        <v>454</v>
      </c>
      <c r="D37" s="47">
        <v>0</v>
      </c>
      <c r="F37" s="40">
        <f>ROUND(SUMIF(Определители!I6:I24,"=3",'Базовые цены с учетом расхода'!N6:N24),2)</f>
        <v>0</v>
      </c>
      <c r="G37" s="40"/>
      <c r="H37" s="40"/>
      <c r="I37" s="40"/>
      <c r="J37" s="48"/>
      <c r="K37" s="48"/>
      <c r="L37" s="40"/>
      <c r="N37" s="44" t="s">
        <v>484</v>
      </c>
    </row>
    <row r="38" spans="1:14" ht="10.5">
      <c r="A38" s="36">
        <v>32</v>
      </c>
      <c r="B38" s="10" t="s">
        <v>265</v>
      </c>
      <c r="C38" s="44" t="s">
        <v>454</v>
      </c>
      <c r="D38" s="47">
        <v>0</v>
      </c>
      <c r="F38" s="40">
        <f>ROUND(SUMIF(Определители!I6:I24,"=3",'Базовые цены с учетом расхода'!O6:O24),2)</f>
        <v>0</v>
      </c>
      <c r="G38" s="40"/>
      <c r="H38" s="40"/>
      <c r="I38" s="40"/>
      <c r="J38" s="48"/>
      <c r="K38" s="48"/>
      <c r="L38" s="40"/>
      <c r="N38" s="44" t="s">
        <v>485</v>
      </c>
    </row>
    <row r="39" spans="1:14" ht="10.5">
      <c r="A39" s="36">
        <v>33</v>
      </c>
      <c r="B39" s="10" t="s">
        <v>271</v>
      </c>
      <c r="C39" s="44" t="s">
        <v>462</v>
      </c>
      <c r="D39" s="47">
        <v>0</v>
      </c>
      <c r="F39" s="40">
        <f>ROUND((F35+F37+F38),2)</f>
        <v>0</v>
      </c>
      <c r="G39" s="40"/>
      <c r="H39" s="40"/>
      <c r="I39" s="40"/>
      <c r="J39" s="48"/>
      <c r="K39" s="48"/>
      <c r="L39" s="40"/>
      <c r="N39" s="44" t="s">
        <v>486</v>
      </c>
    </row>
    <row r="40" spans="1:14" ht="10.5">
      <c r="A40" s="36">
        <v>34</v>
      </c>
      <c r="B40" s="10" t="s">
        <v>272</v>
      </c>
      <c r="C40" s="44" t="s">
        <v>454</v>
      </c>
      <c r="D40" s="47">
        <v>0</v>
      </c>
      <c r="F40" s="40">
        <f>ROUND(SUMIF(Определители!I6:I24,"=4",'Базовые цены с учетом расхода'!B6:B24),2)</f>
        <v>0</v>
      </c>
      <c r="G40" s="40">
        <f>ROUND(SUMIF(Определители!I6:I24,"=4",'Базовые цены с учетом расхода'!C6:C24),2)</f>
        <v>0</v>
      </c>
      <c r="H40" s="40">
        <f>ROUND(SUMIF(Определители!I6:I24,"=4",'Базовые цены с учетом расхода'!D6:D24),2)</f>
        <v>0</v>
      </c>
      <c r="I40" s="40">
        <f>ROUND(SUMIF(Определители!I6:I24,"=4",'Базовые цены с учетом расхода'!E6:E24),2)</f>
        <v>0</v>
      </c>
      <c r="J40" s="48">
        <f>ROUND(SUMIF(Определители!I6:I24,"=4",'Базовые цены с учетом расхода'!I6:I24),8)</f>
        <v>0</v>
      </c>
      <c r="K40" s="48">
        <f>ROUND(SUMIF(Определители!I6:I24,"=4",'Базовые цены с учетом расхода'!K6:K24),8)</f>
        <v>0</v>
      </c>
      <c r="L40" s="40">
        <f>ROUND(SUMIF(Определители!I6:I24,"=4",'Базовые цены с учетом расхода'!F6:F24),2)</f>
        <v>0</v>
      </c>
      <c r="N40" s="44" t="s">
        <v>487</v>
      </c>
    </row>
    <row r="41" spans="1:14" ht="10.5">
      <c r="A41" s="36">
        <v>35</v>
      </c>
      <c r="B41" s="10" t="s">
        <v>259</v>
      </c>
      <c r="C41" s="44" t="s">
        <v>454</v>
      </c>
      <c r="D41" s="47">
        <v>0</v>
      </c>
      <c r="F41" s="40"/>
      <c r="G41" s="40"/>
      <c r="H41" s="40"/>
      <c r="I41" s="40"/>
      <c r="J41" s="48"/>
      <c r="K41" s="48"/>
      <c r="L41" s="40"/>
      <c r="N41" s="44" t="s">
        <v>488</v>
      </c>
    </row>
    <row r="42" spans="1:14" ht="10.5">
      <c r="A42" s="36">
        <v>36</v>
      </c>
      <c r="B42" s="10" t="s">
        <v>273</v>
      </c>
      <c r="C42" s="44" t="s">
        <v>454</v>
      </c>
      <c r="D42" s="47">
        <v>0</v>
      </c>
      <c r="F42" s="40">
        <f>ROUND(SUMIF(Определители!I6:I24,"=4",'Базовые цены с учетом расхода'!AJ6:AJ24),2)</f>
        <v>0</v>
      </c>
      <c r="G42" s="40">
        <f>ROUND(SUMIF(Определители!I6:I24,"=4",'Базовые цены с учетом расхода'!AI6:AI24),2)</f>
        <v>0</v>
      </c>
      <c r="H42" s="40">
        <f>ROUND(SUMIF(Определители!I6:I24,"=4",'Базовые цены с учетом расхода'!AH6:AH24),2)</f>
        <v>0</v>
      </c>
      <c r="I42" s="40">
        <f>ROUND(SUMIF(Определители!I6:I24,"=4",'Базовые цены с учетом расхода'!V6:V24),2)</f>
        <v>0</v>
      </c>
      <c r="J42" s="48"/>
      <c r="K42" s="48"/>
      <c r="L42" s="40"/>
      <c r="N42" s="44" t="s">
        <v>489</v>
      </c>
    </row>
    <row r="43" spans="1:14" ht="10.5">
      <c r="A43" s="36">
        <v>37</v>
      </c>
      <c r="B43" s="10" t="s">
        <v>263</v>
      </c>
      <c r="C43" s="44" t="s">
        <v>454</v>
      </c>
      <c r="D43" s="47">
        <v>0</v>
      </c>
      <c r="F43" s="40">
        <f>ROUND(SUMIF(Определители!I6:I24,"=4",'Базовые цены с учетом расхода'!H6:H24),2)</f>
        <v>0</v>
      </c>
      <c r="G43" s="40"/>
      <c r="H43" s="40"/>
      <c r="I43" s="40"/>
      <c r="J43" s="48"/>
      <c r="K43" s="48"/>
      <c r="L43" s="40"/>
      <c r="N43" s="44" t="s">
        <v>490</v>
      </c>
    </row>
    <row r="44" spans="1:14" ht="10.5">
      <c r="A44" s="36">
        <v>38</v>
      </c>
      <c r="B44" s="10" t="s">
        <v>264</v>
      </c>
      <c r="C44" s="44" t="s">
        <v>454</v>
      </c>
      <c r="D44" s="47">
        <v>0</v>
      </c>
      <c r="F44" s="40">
        <f>ROUND(SUMIF(Определители!I6:I24,"=4",'Базовые цены с учетом расхода'!N6:N24),2)</f>
        <v>0</v>
      </c>
      <c r="G44" s="40"/>
      <c r="H44" s="40"/>
      <c r="I44" s="40"/>
      <c r="J44" s="48"/>
      <c r="K44" s="48"/>
      <c r="L44" s="40"/>
      <c r="N44" s="44" t="s">
        <v>491</v>
      </c>
    </row>
    <row r="45" spans="1:14" ht="10.5">
      <c r="A45" s="36">
        <v>39</v>
      </c>
      <c r="B45" s="10" t="s">
        <v>265</v>
      </c>
      <c r="C45" s="44" t="s">
        <v>454</v>
      </c>
      <c r="D45" s="47">
        <v>0</v>
      </c>
      <c r="F45" s="40">
        <f>ROUND(SUMIF(Определители!I6:I24,"=4",'Базовые цены с учетом расхода'!O6:O24),2)</f>
        <v>0</v>
      </c>
      <c r="G45" s="40"/>
      <c r="H45" s="40"/>
      <c r="I45" s="40"/>
      <c r="J45" s="48"/>
      <c r="K45" s="48"/>
      <c r="L45" s="40"/>
      <c r="N45" s="44" t="s">
        <v>492</v>
      </c>
    </row>
    <row r="46" spans="1:14" ht="10.5">
      <c r="A46" s="36">
        <v>40</v>
      </c>
      <c r="B46" s="10" t="s">
        <v>256</v>
      </c>
      <c r="C46" s="44" t="s">
        <v>454</v>
      </c>
      <c r="D46" s="47">
        <v>0</v>
      </c>
      <c r="F46" s="40">
        <f>ROUND(СУММПРОИЗВЕСЛИ(1,Определители!I6:I24," ",'Базовые цены с учетом расхода'!M6:M24,Начисления!I6:I24,0),2)</f>
        <v>0</v>
      </c>
      <c r="G46" s="40"/>
      <c r="H46" s="40"/>
      <c r="I46" s="40"/>
      <c r="J46" s="48"/>
      <c r="K46" s="48"/>
      <c r="L46" s="40"/>
      <c r="N46" s="44" t="s">
        <v>493</v>
      </c>
    </row>
    <row r="47" spans="1:14" ht="10.5">
      <c r="A47" s="36">
        <v>41</v>
      </c>
      <c r="B47" s="10" t="s">
        <v>274</v>
      </c>
      <c r="C47" s="44" t="s">
        <v>462</v>
      </c>
      <c r="D47" s="47">
        <v>0</v>
      </c>
      <c r="F47" s="40">
        <f>ROUND((F40+F44+F45),2)</f>
        <v>0</v>
      </c>
      <c r="G47" s="40"/>
      <c r="H47" s="40"/>
      <c r="I47" s="40"/>
      <c r="J47" s="48"/>
      <c r="K47" s="48"/>
      <c r="L47" s="40"/>
      <c r="N47" s="44" t="s">
        <v>494</v>
      </c>
    </row>
    <row r="48" spans="1:14" ht="10.5">
      <c r="A48" s="36">
        <v>42</v>
      </c>
      <c r="B48" s="10" t="s">
        <v>275</v>
      </c>
      <c r="C48" s="44" t="s">
        <v>454</v>
      </c>
      <c r="D48" s="47">
        <v>0</v>
      </c>
      <c r="F48" s="40">
        <f>ROUND(SUMIF(Определители!I6:I24,"=5",'Базовые цены с учетом расхода'!B6:B24),2)</f>
        <v>0</v>
      </c>
      <c r="G48" s="40">
        <f>ROUND(SUMIF(Определители!I6:I24,"=5",'Базовые цены с учетом расхода'!C6:C24),2)</f>
        <v>0</v>
      </c>
      <c r="H48" s="40">
        <f>ROUND(SUMIF(Определители!I6:I24,"=5",'Базовые цены с учетом расхода'!D6:D24),2)</f>
        <v>0</v>
      </c>
      <c r="I48" s="40">
        <f>ROUND(SUMIF(Определители!I6:I24,"=5",'Базовые цены с учетом расхода'!E6:E24),2)</f>
        <v>0</v>
      </c>
      <c r="J48" s="48">
        <f>ROUND(SUMIF(Определители!I6:I24,"=5",'Базовые цены с учетом расхода'!I6:I24),8)</f>
        <v>0</v>
      </c>
      <c r="K48" s="48">
        <f>ROUND(SUMIF(Определители!I6:I24,"=5",'Базовые цены с учетом расхода'!K6:K24),8)</f>
        <v>0</v>
      </c>
      <c r="L48" s="40">
        <f>ROUND(SUMIF(Определители!I6:I24,"=5",'Базовые цены с учетом расхода'!F6:F24),2)</f>
        <v>0</v>
      </c>
      <c r="N48" s="44" t="s">
        <v>495</v>
      </c>
    </row>
    <row r="49" spans="1:14" ht="10.5">
      <c r="A49" s="36">
        <v>43</v>
      </c>
      <c r="B49" s="10" t="s">
        <v>263</v>
      </c>
      <c r="C49" s="44" t="s">
        <v>454</v>
      </c>
      <c r="D49" s="47">
        <v>0</v>
      </c>
      <c r="F49" s="40">
        <f>ROUND(SUMIF(Определители!I6:I24,"=5",'Базовые цены с учетом расхода'!H6:H24),2)</f>
        <v>0</v>
      </c>
      <c r="G49" s="40"/>
      <c r="H49" s="40"/>
      <c r="I49" s="40"/>
      <c r="J49" s="48"/>
      <c r="K49" s="48"/>
      <c r="L49" s="40"/>
      <c r="N49" s="44" t="s">
        <v>496</v>
      </c>
    </row>
    <row r="50" spans="1:14" ht="10.5">
      <c r="A50" s="36">
        <v>44</v>
      </c>
      <c r="B50" s="10" t="s">
        <v>264</v>
      </c>
      <c r="C50" s="44" t="s">
        <v>454</v>
      </c>
      <c r="D50" s="47">
        <v>0</v>
      </c>
      <c r="F50" s="40">
        <f>ROUND(SUMIF(Определители!I6:I24,"=5",'Базовые цены с учетом расхода'!N6:N24),2)</f>
        <v>0</v>
      </c>
      <c r="G50" s="40"/>
      <c r="H50" s="40"/>
      <c r="I50" s="40"/>
      <c r="J50" s="48"/>
      <c r="K50" s="48"/>
      <c r="L50" s="40"/>
      <c r="N50" s="44" t="s">
        <v>497</v>
      </c>
    </row>
    <row r="51" spans="1:14" ht="10.5">
      <c r="A51" s="36">
        <v>45</v>
      </c>
      <c r="B51" s="10" t="s">
        <v>265</v>
      </c>
      <c r="C51" s="44" t="s">
        <v>454</v>
      </c>
      <c r="D51" s="47">
        <v>0</v>
      </c>
      <c r="F51" s="40">
        <f>ROUND(SUMIF(Определители!I6:I24,"=5",'Базовые цены с учетом расхода'!O6:O24),2)</f>
        <v>0</v>
      </c>
      <c r="G51" s="40"/>
      <c r="H51" s="40"/>
      <c r="I51" s="40"/>
      <c r="J51" s="48"/>
      <c r="K51" s="48"/>
      <c r="L51" s="40"/>
      <c r="N51" s="44" t="s">
        <v>498</v>
      </c>
    </row>
    <row r="52" spans="1:14" ht="10.5">
      <c r="A52" s="36">
        <v>46</v>
      </c>
      <c r="B52" s="10" t="s">
        <v>276</v>
      </c>
      <c r="C52" s="44" t="s">
        <v>462</v>
      </c>
      <c r="D52" s="47">
        <v>0</v>
      </c>
      <c r="F52" s="40">
        <f>ROUND((F48+F50+F51),2)</f>
        <v>0</v>
      </c>
      <c r="G52" s="40"/>
      <c r="H52" s="40"/>
      <c r="I52" s="40"/>
      <c r="J52" s="48"/>
      <c r="K52" s="48"/>
      <c r="L52" s="40"/>
      <c r="N52" s="44" t="s">
        <v>499</v>
      </c>
    </row>
    <row r="53" spans="1:14" ht="10.5">
      <c r="A53" s="36">
        <v>47</v>
      </c>
      <c r="B53" s="10" t="s">
        <v>277</v>
      </c>
      <c r="C53" s="44" t="s">
        <v>454</v>
      </c>
      <c r="D53" s="47">
        <v>0</v>
      </c>
      <c r="F53" s="40">
        <f>ROUND(SUMIF(Определители!I6:I24,"=6",'Базовые цены с учетом расхода'!B6:B24),2)</f>
        <v>0</v>
      </c>
      <c r="G53" s="40">
        <f>ROUND(SUMIF(Определители!I6:I24,"=6",'Базовые цены с учетом расхода'!C6:C24),2)</f>
        <v>0</v>
      </c>
      <c r="H53" s="40">
        <f>ROUND(SUMIF(Определители!I6:I24,"=6",'Базовые цены с учетом расхода'!D6:D24),2)</f>
        <v>0</v>
      </c>
      <c r="I53" s="40">
        <f>ROUND(SUMIF(Определители!I6:I24,"=6",'Базовые цены с учетом расхода'!E6:E24),2)</f>
        <v>0</v>
      </c>
      <c r="J53" s="48">
        <f>ROUND(SUMIF(Определители!I6:I24,"=6",'Базовые цены с учетом расхода'!I6:I24),8)</f>
        <v>0</v>
      </c>
      <c r="K53" s="48">
        <f>ROUND(SUMIF(Определители!I6:I24,"=6",'Базовые цены с учетом расхода'!K6:K24),8)</f>
        <v>0</v>
      </c>
      <c r="L53" s="40">
        <f>ROUND(SUMIF(Определители!I6:I24,"=6",'Базовые цены с учетом расхода'!F6:F24),2)</f>
        <v>0</v>
      </c>
      <c r="N53" s="44" t="s">
        <v>500</v>
      </c>
    </row>
    <row r="54" spans="1:14" ht="10.5">
      <c r="A54" s="36">
        <v>48</v>
      </c>
      <c r="B54" s="10" t="s">
        <v>263</v>
      </c>
      <c r="C54" s="44" t="s">
        <v>454</v>
      </c>
      <c r="D54" s="47">
        <v>0</v>
      </c>
      <c r="F54" s="40">
        <f>ROUND(SUMIF(Определители!I6:I24,"=6",'Базовые цены с учетом расхода'!H6:H24),2)</f>
        <v>0</v>
      </c>
      <c r="G54" s="40"/>
      <c r="H54" s="40"/>
      <c r="I54" s="40"/>
      <c r="J54" s="48"/>
      <c r="K54" s="48"/>
      <c r="L54" s="40"/>
      <c r="N54" s="44" t="s">
        <v>501</v>
      </c>
    </row>
    <row r="55" spans="1:14" ht="10.5">
      <c r="A55" s="36">
        <v>49</v>
      </c>
      <c r="B55" s="10" t="s">
        <v>264</v>
      </c>
      <c r="C55" s="44" t="s">
        <v>454</v>
      </c>
      <c r="D55" s="47">
        <v>0</v>
      </c>
      <c r="F55" s="40">
        <f>ROUND(SUMIF(Определители!I6:I24,"=6",'Базовые цены с учетом расхода'!N6:N24),2)</f>
        <v>0</v>
      </c>
      <c r="G55" s="40"/>
      <c r="H55" s="40"/>
      <c r="I55" s="40"/>
      <c r="J55" s="48"/>
      <c r="K55" s="48"/>
      <c r="L55" s="40"/>
      <c r="N55" s="44" t="s">
        <v>502</v>
      </c>
    </row>
    <row r="56" spans="1:14" ht="10.5">
      <c r="A56" s="36">
        <v>50</v>
      </c>
      <c r="B56" s="10" t="s">
        <v>265</v>
      </c>
      <c r="C56" s="44" t="s">
        <v>454</v>
      </c>
      <c r="D56" s="47">
        <v>0</v>
      </c>
      <c r="F56" s="40">
        <f>ROUND(SUMIF(Определители!I6:I24,"=6",'Базовые цены с учетом расхода'!O6:O24),2)</f>
        <v>0</v>
      </c>
      <c r="G56" s="40"/>
      <c r="H56" s="40"/>
      <c r="I56" s="40"/>
      <c r="J56" s="48"/>
      <c r="K56" s="48"/>
      <c r="L56" s="40"/>
      <c r="N56" s="44" t="s">
        <v>503</v>
      </c>
    </row>
    <row r="57" spans="1:14" ht="10.5">
      <c r="A57" s="36">
        <v>51</v>
      </c>
      <c r="B57" s="10" t="s">
        <v>278</v>
      </c>
      <c r="C57" s="44" t="s">
        <v>462</v>
      </c>
      <c r="D57" s="47">
        <v>0</v>
      </c>
      <c r="F57" s="40">
        <f>ROUND((F53+F55+F56),2)</f>
        <v>0</v>
      </c>
      <c r="G57" s="40"/>
      <c r="H57" s="40"/>
      <c r="I57" s="40"/>
      <c r="J57" s="48"/>
      <c r="K57" s="48"/>
      <c r="L57" s="40"/>
      <c r="N57" s="44" t="s">
        <v>504</v>
      </c>
    </row>
    <row r="58" spans="1:14" ht="10.5">
      <c r="A58" s="36">
        <v>52</v>
      </c>
      <c r="B58" s="10" t="s">
        <v>279</v>
      </c>
      <c r="C58" s="44" t="s">
        <v>454</v>
      </c>
      <c r="D58" s="47">
        <v>0</v>
      </c>
      <c r="F58" s="40">
        <f>ROUND(SUMIF(Определители!I6:I24,"=7",'Базовые цены с учетом расхода'!B6:B24),2)</f>
        <v>0</v>
      </c>
      <c r="G58" s="40">
        <f>ROUND(SUMIF(Определители!I6:I24,"=7",'Базовые цены с учетом расхода'!C6:C24),2)</f>
        <v>0</v>
      </c>
      <c r="H58" s="40">
        <f>ROUND(SUMIF(Определители!I6:I24,"=7",'Базовые цены с учетом расхода'!D6:D24),2)</f>
        <v>0</v>
      </c>
      <c r="I58" s="40">
        <f>ROUND(SUMIF(Определители!I6:I24,"=7",'Базовые цены с учетом расхода'!E6:E24),2)</f>
        <v>0</v>
      </c>
      <c r="J58" s="48">
        <f>ROUND(SUMIF(Определители!I6:I24,"=7",'Базовые цены с учетом расхода'!I6:I24),8)</f>
        <v>0</v>
      </c>
      <c r="K58" s="48">
        <f>ROUND(SUMIF(Определители!I6:I24,"=7",'Базовые цены с учетом расхода'!K6:K24),8)</f>
        <v>0</v>
      </c>
      <c r="L58" s="40">
        <f>ROUND(SUMIF(Определители!I6:I24,"=7",'Базовые цены с учетом расхода'!F6:F24),2)</f>
        <v>0</v>
      </c>
      <c r="N58" s="44" t="s">
        <v>505</v>
      </c>
    </row>
    <row r="59" spans="1:14" ht="10.5">
      <c r="A59" s="36">
        <v>53</v>
      </c>
      <c r="B59" s="10" t="s">
        <v>259</v>
      </c>
      <c r="C59" s="44" t="s">
        <v>454</v>
      </c>
      <c r="D59" s="47">
        <v>0</v>
      </c>
      <c r="F59" s="40"/>
      <c r="G59" s="40"/>
      <c r="H59" s="40"/>
      <c r="I59" s="40"/>
      <c r="J59" s="48"/>
      <c r="K59" s="48"/>
      <c r="L59" s="40"/>
      <c r="N59" s="44" t="s">
        <v>506</v>
      </c>
    </row>
    <row r="60" spans="1:14" ht="10.5">
      <c r="A60" s="36">
        <v>54</v>
      </c>
      <c r="B60" s="10" t="s">
        <v>268</v>
      </c>
      <c r="C60" s="44" t="s">
        <v>454</v>
      </c>
      <c r="D60" s="47">
        <v>0</v>
      </c>
      <c r="F60" s="40">
        <f>ROUND(СУММЕСЛИ2(Определители!I6:I24,"2",Определители!G6:G24,"1",'Базовые цены с учетом расхода'!B6:B24),2)</f>
        <v>0</v>
      </c>
      <c r="G60" s="40"/>
      <c r="H60" s="40"/>
      <c r="I60" s="40"/>
      <c r="J60" s="48"/>
      <c r="K60" s="48"/>
      <c r="L60" s="40"/>
      <c r="N60" s="44" t="s">
        <v>507</v>
      </c>
    </row>
    <row r="61" spans="1:14" ht="10.5">
      <c r="A61" s="36">
        <v>55</v>
      </c>
      <c r="B61" s="10" t="s">
        <v>263</v>
      </c>
      <c r="C61" s="44" t="s">
        <v>454</v>
      </c>
      <c r="D61" s="47">
        <v>0</v>
      </c>
      <c r="F61" s="40">
        <f>ROUND(SUMIF(Определители!I6:I24,"=7",'Базовые цены с учетом расхода'!H6:H24),2)</f>
        <v>0</v>
      </c>
      <c r="G61" s="40"/>
      <c r="H61" s="40"/>
      <c r="I61" s="40"/>
      <c r="J61" s="48"/>
      <c r="K61" s="48"/>
      <c r="L61" s="40"/>
      <c r="N61" s="44" t="s">
        <v>508</v>
      </c>
    </row>
    <row r="62" spans="1:14" ht="10.5">
      <c r="A62" s="36">
        <v>56</v>
      </c>
      <c r="B62" s="10" t="s">
        <v>264</v>
      </c>
      <c r="C62" s="44" t="s">
        <v>454</v>
      </c>
      <c r="D62" s="47">
        <v>0</v>
      </c>
      <c r="F62" s="40">
        <f>ROUND(SUMIF(Определители!I6:I24,"=7",'Базовые цены с учетом расхода'!N6:N24),2)</f>
        <v>0</v>
      </c>
      <c r="G62" s="40"/>
      <c r="H62" s="40"/>
      <c r="I62" s="40"/>
      <c r="J62" s="48"/>
      <c r="K62" s="48"/>
      <c r="L62" s="40"/>
      <c r="N62" s="44" t="s">
        <v>509</v>
      </c>
    </row>
    <row r="63" spans="1:14" ht="10.5">
      <c r="A63" s="36">
        <v>57</v>
      </c>
      <c r="B63" s="10" t="s">
        <v>265</v>
      </c>
      <c r="C63" s="44" t="s">
        <v>454</v>
      </c>
      <c r="D63" s="47">
        <v>0</v>
      </c>
      <c r="F63" s="40">
        <f>ROUND(SUMIF(Определители!I6:I24,"=7",'Базовые цены с учетом расхода'!O6:O24),2)</f>
        <v>0</v>
      </c>
      <c r="G63" s="40"/>
      <c r="H63" s="40"/>
      <c r="I63" s="40"/>
      <c r="J63" s="48"/>
      <c r="K63" s="48"/>
      <c r="L63" s="40"/>
      <c r="N63" s="44" t="s">
        <v>510</v>
      </c>
    </row>
    <row r="64" spans="1:14" ht="10.5">
      <c r="A64" s="36">
        <v>58</v>
      </c>
      <c r="B64" s="10" t="s">
        <v>280</v>
      </c>
      <c r="C64" s="44" t="s">
        <v>462</v>
      </c>
      <c r="D64" s="47">
        <v>0</v>
      </c>
      <c r="F64" s="40">
        <f>ROUND((F58+F62+F63),2)</f>
        <v>0</v>
      </c>
      <c r="G64" s="40"/>
      <c r="H64" s="40"/>
      <c r="I64" s="40"/>
      <c r="J64" s="48"/>
      <c r="K64" s="48"/>
      <c r="L64" s="40"/>
      <c r="N64" s="44" t="s">
        <v>511</v>
      </c>
    </row>
    <row r="65" spans="1:14" ht="10.5">
      <c r="A65" s="36">
        <v>59</v>
      </c>
      <c r="B65" s="10" t="s">
        <v>281</v>
      </c>
      <c r="C65" s="44" t="s">
        <v>454</v>
      </c>
      <c r="D65" s="47">
        <v>0</v>
      </c>
      <c r="F65" s="40">
        <f>ROUND(SUMIF(Определители!I6:I24,"=;",'Базовые цены с учетом расхода'!B6:B24),2)</f>
        <v>0</v>
      </c>
      <c r="G65" s="40">
        <f>ROUND(SUMIF(Определители!I6:I24,"=;",'Базовые цены с учетом расхода'!C6:C24),2)</f>
        <v>0</v>
      </c>
      <c r="H65" s="40">
        <f>ROUND(SUMIF(Определители!I6:I24,"=;",'Базовые цены с учетом расхода'!D6:D24),2)</f>
        <v>0</v>
      </c>
      <c r="I65" s="40">
        <f>ROUND(SUMIF(Определители!I6:I24,"=;",'Базовые цены с учетом расхода'!E6:E24),2)</f>
        <v>0</v>
      </c>
      <c r="J65" s="48">
        <f>ROUND(SUMIF(Определители!I6:I24,"=;",'Базовые цены с учетом расхода'!I6:I24),8)</f>
        <v>0</v>
      </c>
      <c r="K65" s="48">
        <f>ROUND(SUMIF(Определители!I6:I24,"=;",'Базовые цены с учетом расхода'!K6:K24),8)</f>
        <v>0</v>
      </c>
      <c r="L65" s="40">
        <f>ROUND(SUMIF(Определители!I6:I24,"=;",'Базовые цены с учетом расхода'!F6:F24),2)</f>
        <v>0</v>
      </c>
      <c r="N65" s="44" t="s">
        <v>512</v>
      </c>
    </row>
    <row r="66" spans="1:14" ht="10.5">
      <c r="A66" s="36">
        <v>60</v>
      </c>
      <c r="B66" s="10" t="s">
        <v>282</v>
      </c>
      <c r="C66" s="44" t="s">
        <v>454</v>
      </c>
      <c r="D66" s="47">
        <v>0</v>
      </c>
      <c r="F66" s="40">
        <f>ROUND(SUMIF(Определители!I6:I24,"=;",'Базовые цены с учетом расхода'!AF6:AF24),2)</f>
        <v>0</v>
      </c>
      <c r="G66" s="40"/>
      <c r="H66" s="40"/>
      <c r="I66" s="40"/>
      <c r="J66" s="48"/>
      <c r="K66" s="48"/>
      <c r="L66" s="40"/>
      <c r="N66" s="44" t="s">
        <v>513</v>
      </c>
    </row>
    <row r="67" spans="1:14" ht="10.5">
      <c r="A67" s="36">
        <v>61</v>
      </c>
      <c r="B67" s="10" t="s">
        <v>283</v>
      </c>
      <c r="C67" s="44" t="s">
        <v>454</v>
      </c>
      <c r="D67" s="47">
        <v>0</v>
      </c>
      <c r="F67" s="40">
        <f>ROUND(SUMIF(Определители!I6:I24,"=;",'Базовые цены с учетом расхода'!AG6:AG24),2)</f>
        <v>0</v>
      </c>
      <c r="G67" s="40"/>
      <c r="H67" s="40"/>
      <c r="I67" s="40"/>
      <c r="J67" s="48"/>
      <c r="K67" s="48"/>
      <c r="L67" s="40"/>
      <c r="N67" s="44" t="s">
        <v>514</v>
      </c>
    </row>
    <row r="68" spans="1:14" ht="10.5">
      <c r="A68" s="36">
        <v>62</v>
      </c>
      <c r="B68" s="10" t="s">
        <v>264</v>
      </c>
      <c r="C68" s="44" t="s">
        <v>454</v>
      </c>
      <c r="D68" s="47">
        <v>0</v>
      </c>
      <c r="F68" s="40">
        <f>ROUND(SUMIF(Определители!I6:I24,"=;",'Базовые цены с учетом расхода'!N6:N24),2)</f>
        <v>0</v>
      </c>
      <c r="G68" s="40"/>
      <c r="H68" s="40"/>
      <c r="I68" s="40"/>
      <c r="J68" s="48"/>
      <c r="K68" s="48"/>
      <c r="L68" s="40"/>
      <c r="N68" s="44" t="s">
        <v>515</v>
      </c>
    </row>
    <row r="69" spans="1:14" ht="10.5">
      <c r="A69" s="36">
        <v>63</v>
      </c>
      <c r="B69" s="10" t="s">
        <v>265</v>
      </c>
      <c r="C69" s="44" t="s">
        <v>454</v>
      </c>
      <c r="D69" s="47">
        <v>0</v>
      </c>
      <c r="F69" s="40">
        <f>ROUND(SUMIF(Определители!I6:I24,"=;",'Базовые цены с учетом расхода'!O6:O24),2)</f>
        <v>0</v>
      </c>
      <c r="G69" s="40"/>
      <c r="H69" s="40"/>
      <c r="I69" s="40"/>
      <c r="J69" s="48"/>
      <c r="K69" s="48"/>
      <c r="L69" s="40"/>
      <c r="N69" s="44" t="s">
        <v>516</v>
      </c>
    </row>
    <row r="70" spans="1:14" ht="10.5">
      <c r="A70" s="36">
        <v>64</v>
      </c>
      <c r="B70" s="10" t="s">
        <v>284</v>
      </c>
      <c r="C70" s="44" t="s">
        <v>462</v>
      </c>
      <c r="D70" s="47">
        <v>0</v>
      </c>
      <c r="F70" s="40">
        <f>ROUND((F65+F68+F69),2)</f>
        <v>0</v>
      </c>
      <c r="G70" s="40"/>
      <c r="H70" s="40"/>
      <c r="I70" s="40"/>
      <c r="J70" s="48"/>
      <c r="K70" s="48"/>
      <c r="L70" s="40"/>
      <c r="N70" s="44" t="s">
        <v>517</v>
      </c>
    </row>
    <row r="71" spans="1:14" ht="10.5">
      <c r="A71" s="36">
        <v>65</v>
      </c>
      <c r="B71" s="10" t="s">
        <v>285</v>
      </c>
      <c r="C71" s="44" t="s">
        <v>454</v>
      </c>
      <c r="D71" s="47">
        <v>0</v>
      </c>
      <c r="F71" s="40">
        <f>ROUND(SUMIF(Определители!I6:I24,"=9",'Базовые цены с учетом расхода'!B6:B24),2)</f>
        <v>0</v>
      </c>
      <c r="G71" s="40">
        <f>ROUND(SUMIF(Определители!I6:I24,"=9",'Базовые цены с учетом расхода'!C6:C24),2)</f>
        <v>0</v>
      </c>
      <c r="H71" s="40">
        <f>ROUND(SUMIF(Определители!I6:I24,"=9",'Базовые цены с учетом расхода'!D6:D24),2)</f>
        <v>0</v>
      </c>
      <c r="I71" s="40">
        <f>ROUND(SUMIF(Определители!I6:I24,"=9",'Базовые цены с учетом расхода'!E6:E24),2)</f>
        <v>0</v>
      </c>
      <c r="J71" s="48">
        <f>ROUND(SUMIF(Определители!I6:I24,"=9",'Базовые цены с учетом расхода'!I6:I24),8)</f>
        <v>0</v>
      </c>
      <c r="K71" s="48">
        <f>ROUND(SUMIF(Определители!I6:I24,"=9",'Базовые цены с учетом расхода'!K6:K24),8)</f>
        <v>0</v>
      </c>
      <c r="L71" s="40">
        <f>ROUND(SUMIF(Определители!I6:I24,"=9",'Базовые цены с учетом расхода'!F6:F24),2)</f>
        <v>0</v>
      </c>
      <c r="N71" s="44" t="s">
        <v>518</v>
      </c>
    </row>
    <row r="72" spans="1:14" ht="10.5">
      <c r="A72" s="36">
        <v>66</v>
      </c>
      <c r="B72" s="10" t="s">
        <v>264</v>
      </c>
      <c r="C72" s="44" t="s">
        <v>454</v>
      </c>
      <c r="D72" s="47">
        <v>0</v>
      </c>
      <c r="F72" s="40">
        <f>ROUND(SUMIF(Определители!I6:I24,"=9",'Базовые цены с учетом расхода'!N6:N24),2)</f>
        <v>0</v>
      </c>
      <c r="G72" s="40"/>
      <c r="H72" s="40"/>
      <c r="I72" s="40"/>
      <c r="J72" s="48"/>
      <c r="K72" s="48"/>
      <c r="L72" s="40"/>
      <c r="N72" s="44" t="s">
        <v>519</v>
      </c>
    </row>
    <row r="73" spans="1:14" ht="10.5">
      <c r="A73" s="36">
        <v>67</v>
      </c>
      <c r="B73" s="10" t="s">
        <v>265</v>
      </c>
      <c r="C73" s="44" t="s">
        <v>454</v>
      </c>
      <c r="D73" s="47">
        <v>0</v>
      </c>
      <c r="F73" s="40">
        <f>ROUND(SUMIF(Определители!I6:I24,"=9",'Базовые цены с учетом расхода'!O6:O24),2)</f>
        <v>0</v>
      </c>
      <c r="G73" s="40"/>
      <c r="H73" s="40"/>
      <c r="I73" s="40"/>
      <c r="J73" s="48"/>
      <c r="K73" s="48"/>
      <c r="L73" s="40"/>
      <c r="N73" s="44" t="s">
        <v>520</v>
      </c>
    </row>
    <row r="74" spans="1:14" ht="10.5">
      <c r="A74" s="36">
        <v>68</v>
      </c>
      <c r="B74" s="10" t="s">
        <v>286</v>
      </c>
      <c r="C74" s="44" t="s">
        <v>462</v>
      </c>
      <c r="D74" s="47">
        <v>0</v>
      </c>
      <c r="F74" s="40">
        <f>ROUND((F71+F72+F73),2)</f>
        <v>0</v>
      </c>
      <c r="G74" s="40"/>
      <c r="H74" s="40"/>
      <c r="I74" s="40"/>
      <c r="J74" s="48"/>
      <c r="K74" s="48"/>
      <c r="L74" s="40"/>
      <c r="N74" s="44" t="s">
        <v>521</v>
      </c>
    </row>
    <row r="75" spans="1:14" ht="10.5">
      <c r="A75" s="36">
        <v>69</v>
      </c>
      <c r="B75" s="10" t="s">
        <v>287</v>
      </c>
      <c r="C75" s="44" t="s">
        <v>454</v>
      </c>
      <c r="D75" s="47">
        <v>0</v>
      </c>
      <c r="F75" s="40">
        <f>ROUND(SUMIF(Определители!I6:I24,"=:",'Базовые цены с учетом расхода'!B6:B24),2)</f>
        <v>0</v>
      </c>
      <c r="G75" s="40">
        <f>ROUND(SUMIF(Определители!I6:I24,"=:",'Базовые цены с учетом расхода'!C6:C24),2)</f>
        <v>0</v>
      </c>
      <c r="H75" s="40">
        <f>ROUND(SUMIF(Определители!I6:I24,"=:",'Базовые цены с учетом расхода'!D6:D24),2)</f>
        <v>0</v>
      </c>
      <c r="I75" s="40">
        <f>ROUND(SUMIF(Определители!I6:I24,"=:",'Базовые цены с учетом расхода'!E6:E24),2)</f>
        <v>0</v>
      </c>
      <c r="J75" s="48">
        <f>ROUND(SUMIF(Определители!I6:I24,"=:",'Базовые цены с учетом расхода'!I6:I24),8)</f>
        <v>0</v>
      </c>
      <c r="K75" s="48">
        <f>ROUND(SUMIF(Определители!I6:I24,"=:",'Базовые цены с учетом расхода'!K6:K24),8)</f>
        <v>0</v>
      </c>
      <c r="L75" s="40">
        <f>ROUND(SUMIF(Определители!I6:I24,"=:",'Базовые цены с учетом расхода'!F6:F24),2)</f>
        <v>0</v>
      </c>
      <c r="N75" s="44" t="s">
        <v>522</v>
      </c>
    </row>
    <row r="76" spans="1:14" ht="10.5">
      <c r="A76" s="36">
        <v>70</v>
      </c>
      <c r="B76" s="10" t="s">
        <v>263</v>
      </c>
      <c r="C76" s="44" t="s">
        <v>454</v>
      </c>
      <c r="D76" s="47">
        <v>0</v>
      </c>
      <c r="F76" s="40">
        <f>ROUND(SUMIF(Определители!I6:I24,"=:",'Базовые цены с учетом расхода'!H6:H24),2)</f>
        <v>0</v>
      </c>
      <c r="G76" s="40"/>
      <c r="H76" s="40"/>
      <c r="I76" s="40"/>
      <c r="J76" s="48"/>
      <c r="K76" s="48"/>
      <c r="L76" s="40"/>
      <c r="N76" s="44" t="s">
        <v>523</v>
      </c>
    </row>
    <row r="77" spans="1:14" ht="10.5">
      <c r="A77" s="36">
        <v>71</v>
      </c>
      <c r="B77" s="10" t="s">
        <v>264</v>
      </c>
      <c r="C77" s="44" t="s">
        <v>454</v>
      </c>
      <c r="D77" s="47">
        <v>0</v>
      </c>
      <c r="F77" s="40">
        <f>ROUND(SUMIF(Определители!I6:I24,"=:",'Базовые цены с учетом расхода'!N6:N24),2)</f>
        <v>0</v>
      </c>
      <c r="G77" s="40"/>
      <c r="H77" s="40"/>
      <c r="I77" s="40"/>
      <c r="J77" s="48"/>
      <c r="K77" s="48"/>
      <c r="L77" s="40"/>
      <c r="N77" s="44" t="s">
        <v>524</v>
      </c>
    </row>
    <row r="78" spans="1:14" ht="10.5">
      <c r="A78" s="36">
        <v>72</v>
      </c>
      <c r="B78" s="10" t="s">
        <v>265</v>
      </c>
      <c r="C78" s="44" t="s">
        <v>454</v>
      </c>
      <c r="D78" s="47">
        <v>0</v>
      </c>
      <c r="F78" s="40">
        <f>ROUND(SUMIF(Определители!I6:I24,"=:",'Базовые цены с учетом расхода'!O6:O24),2)</f>
        <v>0</v>
      </c>
      <c r="G78" s="40"/>
      <c r="H78" s="40"/>
      <c r="I78" s="40"/>
      <c r="J78" s="48"/>
      <c r="K78" s="48"/>
      <c r="L78" s="40"/>
      <c r="N78" s="44" t="s">
        <v>525</v>
      </c>
    </row>
    <row r="79" spans="1:14" ht="10.5">
      <c r="A79" s="36">
        <v>73</v>
      </c>
      <c r="B79" s="10" t="s">
        <v>288</v>
      </c>
      <c r="C79" s="44" t="s">
        <v>462</v>
      </c>
      <c r="D79" s="47">
        <v>0</v>
      </c>
      <c r="F79" s="40">
        <f>ROUND((F75+F77+F78),2)</f>
        <v>0</v>
      </c>
      <c r="G79" s="40"/>
      <c r="H79" s="40"/>
      <c r="I79" s="40"/>
      <c r="J79" s="48"/>
      <c r="K79" s="48"/>
      <c r="L79" s="40"/>
      <c r="N79" s="44" t="s">
        <v>526</v>
      </c>
    </row>
    <row r="80" spans="1:14" ht="10.5">
      <c r="A80" s="36">
        <v>74</v>
      </c>
      <c r="B80" s="10" t="s">
        <v>289</v>
      </c>
      <c r="C80" s="44" t="s">
        <v>454</v>
      </c>
      <c r="D80" s="47">
        <v>0</v>
      </c>
      <c r="F80" s="40">
        <f>ROUND(SUMIF(Определители!I6:I24,"=8",'Базовые цены с учетом расхода'!B6:B24),2)</f>
        <v>0</v>
      </c>
      <c r="G80" s="40">
        <f>ROUND(SUMIF(Определители!I6:I24,"=8",'Базовые цены с учетом расхода'!C6:C24),2)</f>
        <v>0</v>
      </c>
      <c r="H80" s="40">
        <f>ROUND(SUMIF(Определители!I6:I24,"=8",'Базовые цены с учетом расхода'!D6:D24),2)</f>
        <v>0</v>
      </c>
      <c r="I80" s="40">
        <f>ROUND(SUMIF(Определители!I6:I24,"=8",'Базовые цены с учетом расхода'!E6:E24),2)</f>
        <v>0</v>
      </c>
      <c r="J80" s="48">
        <f>ROUND(SUMIF(Определители!I6:I24,"=8",'Базовые цены с учетом расхода'!I6:I24),8)</f>
        <v>0</v>
      </c>
      <c r="K80" s="48">
        <f>ROUND(SUMIF(Определители!I6:I24,"=8",'Базовые цены с учетом расхода'!K6:K24),8)</f>
        <v>0</v>
      </c>
      <c r="L80" s="40">
        <f>ROUND(SUMIF(Определители!I6:I24,"=8",'Базовые цены с учетом расхода'!F6:F24),2)</f>
        <v>0</v>
      </c>
      <c r="N80" s="44" t="s">
        <v>527</v>
      </c>
    </row>
    <row r="81" spans="1:14" ht="10.5">
      <c r="A81" s="36">
        <v>75</v>
      </c>
      <c r="B81" s="10" t="s">
        <v>263</v>
      </c>
      <c r="C81" s="44" t="s">
        <v>454</v>
      </c>
      <c r="D81" s="47">
        <v>0</v>
      </c>
      <c r="F81" s="40">
        <f>ROUND(SUMIF(Определители!I6:I24,"=8",'Базовые цены с учетом расхода'!H6:H24),2)</f>
        <v>0</v>
      </c>
      <c r="G81" s="40"/>
      <c r="H81" s="40"/>
      <c r="I81" s="40"/>
      <c r="J81" s="48"/>
      <c r="K81" s="48"/>
      <c r="L81" s="40"/>
      <c r="N81" s="44" t="s">
        <v>528</v>
      </c>
    </row>
    <row r="82" spans="1:14" ht="10.5">
      <c r="A82" s="36">
        <v>76</v>
      </c>
      <c r="B82" s="10" t="s">
        <v>290</v>
      </c>
      <c r="C82" s="44" t="s">
        <v>462</v>
      </c>
      <c r="D82" s="47">
        <v>0</v>
      </c>
      <c r="F82" s="40">
        <f>ROUND((F17+F27+F34+F39+F47+F52+F57+F64+F74+F79+F80+F70),2)</f>
        <v>29250.56</v>
      </c>
      <c r="G82" s="40">
        <f>ROUND((G17+G27+G34+G39+G47+G52+G57+G64+G74+G79+G80+G70),2)</f>
        <v>0</v>
      </c>
      <c r="H82" s="40">
        <f>ROUND((H17+H27+H34+H39+H47+H52+H57+H64+H74+H79+H80+H70),2)</f>
        <v>0</v>
      </c>
      <c r="I82" s="40">
        <f>ROUND((I17+I27+I34+I39+I47+I52+I57+I64+I74+I79+I80+I70),2)</f>
        <v>0</v>
      </c>
      <c r="J82" s="48">
        <f>ROUND((J17+J27+J34+J39+J47+J52+J57+J64+J74+J79+J80+J70),8)</f>
        <v>0</v>
      </c>
      <c r="K82" s="48">
        <f>ROUND((K17+K27+K34+K39+K47+K52+K57+K64+K74+K79+K80+K70),8)</f>
        <v>0</v>
      </c>
      <c r="L82" s="40">
        <f>ROUND((L17+L27+L34+L39+L47+L52+L57+L64+L74+L79+L80+L70),2)</f>
        <v>0</v>
      </c>
      <c r="N82" s="44" t="s">
        <v>529</v>
      </c>
    </row>
    <row r="83" spans="1:14" ht="10.5">
      <c r="A83" s="36">
        <v>77</v>
      </c>
      <c r="B83" s="10" t="s">
        <v>291</v>
      </c>
      <c r="C83" s="44" t="s">
        <v>462</v>
      </c>
      <c r="D83" s="47">
        <v>0</v>
      </c>
      <c r="F83" s="40">
        <f>ROUND((F23+F31+F36+F43+F49+F54+F61+F76+F81),2)</f>
        <v>0</v>
      </c>
      <c r="G83" s="40"/>
      <c r="H83" s="40"/>
      <c r="I83" s="40"/>
      <c r="J83" s="48"/>
      <c r="K83" s="48"/>
      <c r="L83" s="40"/>
      <c r="N83" s="44" t="s">
        <v>530</v>
      </c>
    </row>
    <row r="84" spans="1:14" ht="10.5">
      <c r="A84" s="36">
        <v>78</v>
      </c>
      <c r="B84" s="10" t="s">
        <v>292</v>
      </c>
      <c r="C84" s="44" t="s">
        <v>462</v>
      </c>
      <c r="D84" s="47">
        <v>0</v>
      </c>
      <c r="F84" s="40">
        <f>ROUND((F24+F32+F37+F44+F50+F55+F62+F72+F77+F68),2)</f>
        <v>3286.99</v>
      </c>
      <c r="G84" s="40"/>
      <c r="H84" s="40"/>
      <c r="I84" s="40"/>
      <c r="J84" s="48"/>
      <c r="K84" s="48"/>
      <c r="L84" s="40"/>
      <c r="N84" s="44" t="s">
        <v>531</v>
      </c>
    </row>
    <row r="85" spans="1:14" ht="10.5">
      <c r="A85" s="36">
        <v>79</v>
      </c>
      <c r="B85" s="10" t="s">
        <v>293</v>
      </c>
      <c r="C85" s="44" t="s">
        <v>462</v>
      </c>
      <c r="D85" s="47">
        <v>0</v>
      </c>
      <c r="F85" s="40">
        <f>ROUND((F25+F33+F38+F45+F51+F56+F63+F73+F78+F69),2)</f>
        <v>1522.42</v>
      </c>
      <c r="G85" s="40"/>
      <c r="H85" s="40"/>
      <c r="I85" s="40"/>
      <c r="J85" s="48"/>
      <c r="K85" s="48"/>
      <c r="L85" s="40"/>
      <c r="N85" s="44" t="s">
        <v>532</v>
      </c>
    </row>
    <row r="86" spans="1:14" ht="10.5">
      <c r="A86" s="36">
        <v>80</v>
      </c>
      <c r="B86" s="10" t="s">
        <v>41</v>
      </c>
      <c r="C86" s="44" t="s">
        <v>533</v>
      </c>
      <c r="D86" s="47">
        <v>0</v>
      </c>
      <c r="F86" s="40">
        <f>ROUND(SUM('Базовые цены с учетом расхода'!X6:X24),2)</f>
        <v>0</v>
      </c>
      <c r="G86" s="40"/>
      <c r="H86" s="40"/>
      <c r="I86" s="40"/>
      <c r="J86" s="48"/>
      <c r="K86" s="48"/>
      <c r="L86" s="40">
        <f>ROUND(SUM('Базовые цены с учетом расхода'!X6:X24),2)</f>
        <v>0</v>
      </c>
      <c r="N86" s="44" t="s">
        <v>534</v>
      </c>
    </row>
    <row r="87" spans="1:14" ht="10.5">
      <c r="A87" s="36">
        <v>81</v>
      </c>
      <c r="B87" s="10" t="s">
        <v>294</v>
      </c>
      <c r="C87" s="44" t="s">
        <v>533</v>
      </c>
      <c r="D87" s="47">
        <v>0</v>
      </c>
      <c r="F87" s="40">
        <f>ROUND(SUM(G87:N87),2)</f>
        <v>0</v>
      </c>
      <c r="G87" s="40"/>
      <c r="H87" s="40"/>
      <c r="I87" s="40"/>
      <c r="J87" s="48"/>
      <c r="K87" s="48"/>
      <c r="L87" s="40">
        <f>ROUND(SUM('Базовые цены с учетом расхода'!AE6:AE24),2)</f>
        <v>0</v>
      </c>
      <c r="N87" s="44" t="s">
        <v>535</v>
      </c>
    </row>
    <row r="88" spans="1:14" ht="10.5">
      <c r="A88" s="36">
        <v>82</v>
      </c>
      <c r="B88" s="10" t="s">
        <v>295</v>
      </c>
      <c r="C88" s="44" t="s">
        <v>533</v>
      </c>
      <c r="D88" s="47">
        <v>0</v>
      </c>
      <c r="F88" s="40">
        <f>ROUND(SUM('Базовые цены с учетом расхода'!C6:C24),2)</f>
        <v>1697.78</v>
      </c>
      <c r="G88" s="40"/>
      <c r="H88" s="40"/>
      <c r="I88" s="40"/>
      <c r="J88" s="48"/>
      <c r="K88" s="48"/>
      <c r="L88" s="40"/>
      <c r="N88" s="44" t="s">
        <v>536</v>
      </c>
    </row>
    <row r="89" spans="1:14" ht="10.5">
      <c r="A89" s="36">
        <v>83</v>
      </c>
      <c r="B89" s="10" t="s">
        <v>296</v>
      </c>
      <c r="C89" s="44" t="s">
        <v>533</v>
      </c>
      <c r="D89" s="47">
        <v>0</v>
      </c>
      <c r="F89" s="40">
        <f>ROUND(SUM('Базовые цены с учетом расхода'!E6:E24),2)</f>
        <v>956.76</v>
      </c>
      <c r="G89" s="40"/>
      <c r="H89" s="40"/>
      <c r="I89" s="40"/>
      <c r="J89" s="48"/>
      <c r="K89" s="48"/>
      <c r="L89" s="40"/>
      <c r="N89" s="44" t="s">
        <v>537</v>
      </c>
    </row>
    <row r="90" spans="1:14" ht="10.5">
      <c r="A90" s="36">
        <v>84</v>
      </c>
      <c r="B90" s="10" t="s">
        <v>297</v>
      </c>
      <c r="C90" s="44" t="s">
        <v>33</v>
      </c>
      <c r="D90" s="47">
        <v>0</v>
      </c>
      <c r="F90" s="40">
        <f>ROUND((F88+F89),2)</f>
        <v>2654.54</v>
      </c>
      <c r="G90" s="40"/>
      <c r="H90" s="40"/>
      <c r="I90" s="40"/>
      <c r="J90" s="48"/>
      <c r="K90" s="48"/>
      <c r="L90" s="40"/>
      <c r="N90" s="44" t="s">
        <v>538</v>
      </c>
    </row>
    <row r="91" spans="1:14" ht="10.5">
      <c r="A91" s="36">
        <v>85</v>
      </c>
      <c r="B91" s="10" t="s">
        <v>298</v>
      </c>
      <c r="C91" s="44" t="s">
        <v>533</v>
      </c>
      <c r="D91" s="47">
        <v>0</v>
      </c>
      <c r="F91" s="40"/>
      <c r="G91" s="40"/>
      <c r="H91" s="40"/>
      <c r="I91" s="40"/>
      <c r="J91" s="48">
        <f>ROUND(SUM('Базовые цены с учетом расхода'!I6:I24),8)</f>
        <v>205.0228582</v>
      </c>
      <c r="K91" s="48"/>
      <c r="L91" s="40"/>
      <c r="N91" s="44" t="s">
        <v>539</v>
      </c>
    </row>
    <row r="92" spans="1:14" ht="10.5">
      <c r="A92" s="36">
        <v>86</v>
      </c>
      <c r="B92" s="10" t="s">
        <v>299</v>
      </c>
      <c r="C92" s="44" t="s">
        <v>533</v>
      </c>
      <c r="D92" s="47">
        <v>0</v>
      </c>
      <c r="F92" s="40"/>
      <c r="G92" s="40"/>
      <c r="H92" s="40"/>
      <c r="I92" s="40"/>
      <c r="J92" s="48">
        <f>ROUND(SUM('Базовые цены с учетом расхода'!K6:K24),8)</f>
        <v>80.08212</v>
      </c>
      <c r="K92" s="48"/>
      <c r="L92" s="40"/>
      <c r="N92" s="44" t="s">
        <v>540</v>
      </c>
    </row>
    <row r="93" spans="1:14" ht="10.5">
      <c r="A93" s="36">
        <v>87</v>
      </c>
      <c r="B93" s="10" t="s">
        <v>300</v>
      </c>
      <c r="C93" s="44" t="s">
        <v>33</v>
      </c>
      <c r="D93" s="47">
        <v>0</v>
      </c>
      <c r="F93" s="40"/>
      <c r="G93" s="40"/>
      <c r="H93" s="40"/>
      <c r="I93" s="40"/>
      <c r="J93" s="48">
        <f>ROUND((J91+J92),8)</f>
        <v>285.1049782</v>
      </c>
      <c r="K93" s="48"/>
      <c r="L93" s="40"/>
      <c r="N93" s="44" t="s">
        <v>541</v>
      </c>
    </row>
    <row r="94" spans="1:14" ht="10.5">
      <c r="A94" s="36">
        <v>88</v>
      </c>
      <c r="B94" s="10" t="s">
        <v>301</v>
      </c>
      <c r="C94" s="44" t="s">
        <v>542</v>
      </c>
      <c r="D94" s="47">
        <v>0.94</v>
      </c>
      <c r="F94" s="40">
        <f>ROUND((F84)*D94,2)</f>
        <v>3089.77</v>
      </c>
      <c r="G94" s="40"/>
      <c r="H94" s="40"/>
      <c r="I94" s="40"/>
      <c r="J94" s="48"/>
      <c r="K94" s="48"/>
      <c r="L94" s="40"/>
      <c r="N94" s="44" t="s">
        <v>543</v>
      </c>
    </row>
    <row r="95" spans="1:14" ht="10.5">
      <c r="A95" s="36">
        <v>89</v>
      </c>
      <c r="B95" s="10" t="s">
        <v>302</v>
      </c>
      <c r="C95" s="44" t="s">
        <v>542</v>
      </c>
      <c r="D95" s="47">
        <v>0.9</v>
      </c>
      <c r="F95" s="40">
        <f>ROUND((F85)*D95,2)</f>
        <v>1370.18</v>
      </c>
      <c r="G95" s="40">
        <f>ROUND((F85)*D95,2)</f>
        <v>1370.18</v>
      </c>
      <c r="H95" s="40"/>
      <c r="I95" s="40"/>
      <c r="J95" s="48"/>
      <c r="K95" s="48"/>
      <c r="L95" s="40"/>
      <c r="N95" s="44" t="s">
        <v>544</v>
      </c>
    </row>
    <row r="96" spans="1:14" ht="10.5">
      <c r="A96" s="36">
        <v>90</v>
      </c>
      <c r="B96" s="10" t="s">
        <v>303</v>
      </c>
      <c r="C96" s="44" t="s">
        <v>545</v>
      </c>
      <c r="D96" s="47">
        <v>100</v>
      </c>
      <c r="F96" s="40">
        <f>ROUND((F94+F95+F7)*D96/100,2)</f>
        <v>28901.1</v>
      </c>
      <c r="G96" s="40">
        <f>ROUND((F94+F95+F7)*D96/100,2)</f>
        <v>28901.1</v>
      </c>
      <c r="H96" s="40"/>
      <c r="I96" s="40"/>
      <c r="J96" s="48"/>
      <c r="K96" s="48"/>
      <c r="L96" s="40"/>
      <c r="N96" s="44" t="s">
        <v>546</v>
      </c>
    </row>
    <row r="97" spans="1:14" ht="10.5">
      <c r="A97" s="36">
        <v>91</v>
      </c>
      <c r="B97" s="10" t="s">
        <v>304</v>
      </c>
      <c r="C97" s="44" t="s">
        <v>547</v>
      </c>
      <c r="D97" s="47">
        <v>1</v>
      </c>
      <c r="F97" s="40">
        <f>ROUND((L98)/D97,2)</f>
        <v>0</v>
      </c>
      <c r="G97" s="40"/>
      <c r="H97" s="40">
        <f>ROUND((H98)/D97,2)</f>
        <v>0</v>
      </c>
      <c r="I97" s="40">
        <f>ROUND((I98)/D97,2)</f>
        <v>0</v>
      </c>
      <c r="J97" s="48"/>
      <c r="K97" s="48"/>
      <c r="L97" s="40"/>
      <c r="N97" s="44" t="s">
        <v>548</v>
      </c>
    </row>
    <row r="98" spans="1:14" ht="10.5">
      <c r="A98" s="36">
        <v>92</v>
      </c>
      <c r="B98" s="10" t="s">
        <v>305</v>
      </c>
      <c r="C98" s="44" t="s">
        <v>33</v>
      </c>
      <c r="D98" s="47">
        <v>0</v>
      </c>
      <c r="F98" s="40">
        <f>ROUND((F96),2)</f>
        <v>28901.1</v>
      </c>
      <c r="G98" s="40">
        <f>ROUND((F96),2)</f>
        <v>28901.1</v>
      </c>
      <c r="H98" s="40"/>
      <c r="I98" s="40"/>
      <c r="J98" s="48"/>
      <c r="K98" s="48"/>
      <c r="L98" s="40"/>
      <c r="N98" s="44" t="s">
        <v>549</v>
      </c>
    </row>
  </sheetData>
  <sheetProtection/>
  <mergeCells count="4">
    <mergeCell ref="A2:H2"/>
    <mergeCell ref="B3:H3"/>
    <mergeCell ref="B4:H4"/>
    <mergeCell ref="A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nadezhda.samsonova</dc:creator>
  <cp:keywords/>
  <dc:description/>
  <cp:lastModifiedBy>Заинчковская</cp:lastModifiedBy>
  <cp:lastPrinted>2020-06-19T08:18:10Z</cp:lastPrinted>
  <dcterms:created xsi:type="dcterms:W3CDTF">2020-03-16T11:24:47Z</dcterms:created>
  <dcterms:modified xsi:type="dcterms:W3CDTF">2020-06-19T08:19:33Z</dcterms:modified>
  <cp:category/>
  <cp:version/>
  <cp:contentType/>
  <cp:contentStatus/>
</cp:coreProperties>
</file>